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worksheets/sheet9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x3-my.sharepoint.com/personal/senator_gex_us/Documents/BPWD/Models/OtherInputs/"/>
    </mc:Choice>
  </mc:AlternateContent>
  <xr:revisionPtr revIDLastSave="29" documentId="8_{928F9030-5008-49AA-8477-5F26C0423C6C}" xr6:coauthVersionLast="47" xr6:coauthVersionMax="47" xr10:uidLastSave="{8554CF62-12FF-4181-AA88-85B382828A3E}"/>
  <bookViews>
    <workbookView xWindow="10380" yWindow="-11985" windowWidth="21600" windowHeight="11100" tabRatio="925" activeTab="25" xr2:uid="{00000000-000D-0000-FFFF-FFFF00000000}"/>
  </bookViews>
  <sheets>
    <sheet name="Demand Inputs" sheetId="68" r:id="rId1"/>
    <sheet name="Annual Water Demand" sheetId="83" r:id="rId2"/>
    <sheet name="Plant Production Purchases" sheetId="84" r:id="rId3"/>
    <sheet name="Pipeline Production Purchases" sheetId="85" r:id="rId4"/>
    <sheet name="Financial Base" sheetId="67" r:id="rId5"/>
    <sheet name="Plan Inputs" sheetId="60" r:id="rId6"/>
    <sheet name="Capital Program" sheetId="63" r:id="rId7"/>
    <sheet name="New Depreciation" sheetId="65" r:id="rId8"/>
    <sheet name="Depreciation Chart" sheetId="95" r:id="rId9"/>
    <sheet name="Water Purchase Costs" sheetId="69" r:id="rId10"/>
    <sheet name="Water Purchase Graph" sheetId="87" r:id="rId11"/>
    <sheet name="Water Production Costs" sheetId="70" r:id="rId12"/>
    <sheet name="Water Production Graph " sheetId="88" r:id="rId13"/>
    <sheet name="Trans and Dist Costs" sheetId="71" r:id="rId14"/>
    <sheet name="Trans and Dist Graph" sheetId="89" r:id="rId15"/>
    <sheet name="Debt Service" sheetId="72" r:id="rId16"/>
    <sheet name="Debt Service Graph" sheetId="90" r:id="rId17"/>
    <sheet name="Revenue Requirement" sheetId="66" r:id="rId18"/>
    <sheet name="Rate Increase Graph" sheetId="92" r:id="rId19"/>
    <sheet name="Proforma Income Statement" sheetId="61" r:id="rId20"/>
    <sheet name="Cash Generated" sheetId="62" r:id="rId21"/>
    <sheet name="Financial Plan" sheetId="59" r:id="rId22"/>
    <sheet name="Projected Water Rates" sheetId="73" r:id="rId23"/>
    <sheet name="Present Value Analysis" sheetId="96" r:id="rId24"/>
    <sheet name="Monthly Minimum Bill Graph " sheetId="93" r:id="rId25"/>
    <sheet name="Typical Residential Bill Graph " sheetId="77" r:id="rId26"/>
    <sheet name="Rev Req Annual Graph" sheetId="91" r:id="rId27"/>
    <sheet name="Rev Req Cumulative Graph" sheetId="76" r:id="rId28"/>
    <sheet name="Present Value Graph" sheetId="82" r:id="rId29"/>
    <sheet name="Present Value Excl Depreciation" sheetId="86" r:id="rId30"/>
  </sheets>
  <definedNames>
    <definedName name="AHV">#REF!</definedName>
    <definedName name="_xlnm.Print_Area" localSheetId="6">'Capital Program'!$A$1:$AT$55</definedName>
    <definedName name="_xlnm.Print_Area" localSheetId="20">'Cash Generated'!$A$1:$AQ$27</definedName>
    <definedName name="_xlnm.Print_Area" localSheetId="15">'Debt Service'!$A$1:$AS$13</definedName>
    <definedName name="_xlnm.Print_Area" localSheetId="0">'Demand Inputs'!$A$1:$AP$114</definedName>
    <definedName name="_xlnm.Print_Area" localSheetId="4">'Financial Base'!$A$1:$H$44</definedName>
    <definedName name="_xlnm.Print_Area" localSheetId="21">'Financial Plan'!$A$1:$AQ$37</definedName>
    <definedName name="_xlnm.Print_Area" localSheetId="7">'New Depreciation'!$A$1:$AO$47</definedName>
    <definedName name="_xlnm.Print_Area" localSheetId="5">'Plan Inputs'!$A$1:$AS$25</definedName>
    <definedName name="_xlnm.Print_Area" localSheetId="19">'Proforma Income Statement'!$A$1:$AS$74</definedName>
    <definedName name="_xlnm.Print_Area" localSheetId="22">'Projected Water Rates'!$A$1:$AQ$35</definedName>
    <definedName name="_xlnm.Print_Area" localSheetId="17">'Revenue Requirement'!$A$1:$AS$56</definedName>
    <definedName name="_xlnm.Print_Area" localSheetId="13">'Trans and Dist Costs'!$A$1:$AS$44</definedName>
    <definedName name="_xlnm.Print_Area" localSheetId="11">'Water Production Costs'!$A$1:$AS$35</definedName>
    <definedName name="_xlnm.Print_Area" localSheetId="9">'Water Purchase Costs'!$A$1:$AS$53</definedName>
    <definedName name="_xlnm.Print_Area">#REF!</definedName>
    <definedName name="_xlnm.Print_Titles" localSheetId="6">'Capital Program'!$A:$C</definedName>
    <definedName name="_xlnm.Print_Titles" localSheetId="20">'Cash Generated'!$A:$C</definedName>
    <definedName name="_xlnm.Print_Titles" localSheetId="15">'Debt Service'!$A:$C</definedName>
    <definedName name="_xlnm.Print_Titles" localSheetId="0">'Demand Inputs'!$A:$A,'Demand Inputs'!$1:$1</definedName>
    <definedName name="_xlnm.Print_Titles" localSheetId="21">'Financial Plan'!$A:$C</definedName>
    <definedName name="_xlnm.Print_Titles" localSheetId="5">'Plan Inputs'!$A:$D</definedName>
    <definedName name="_xlnm.Print_Titles" localSheetId="19">'Proforma Income Statement'!$A:$C</definedName>
    <definedName name="_xlnm.Print_Titles" localSheetId="22">'Projected Water Rates'!$A:$C</definedName>
    <definedName name="_xlnm.Print_Titles" localSheetId="17">'Revenue Requirement'!$A:$C</definedName>
    <definedName name="_xlnm.Print_Titles" localSheetId="11">'Water Production Costs'!$A:$C</definedName>
    <definedName name="_xlnm.Print_Titles" localSheetId="9">'Water Purchase Costs'!$A:$C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0" l="1"/>
  <c r="F29" i="96"/>
  <c r="A25" i="96"/>
  <c r="F6" i="96"/>
  <c r="A2" i="96"/>
  <c r="AP14" i="68"/>
  <c r="AO14" i="68"/>
  <c r="AN14" i="68"/>
  <c r="AM14" i="68"/>
  <c r="AL14" i="68"/>
  <c r="AK14" i="68"/>
  <c r="AJ14" i="68"/>
  <c r="AI14" i="68"/>
  <c r="AH14" i="68"/>
  <c r="AG14" i="68"/>
  <c r="AF14" i="68"/>
  <c r="AE14" i="68"/>
  <c r="AD14" i="68"/>
  <c r="AC14" i="68"/>
  <c r="AB14" i="68"/>
  <c r="AA14" i="68"/>
  <c r="Z14" i="68"/>
  <c r="Y14" i="68"/>
  <c r="X14" i="68"/>
  <c r="W14" i="68"/>
  <c r="V14" i="68"/>
  <c r="U14" i="68"/>
  <c r="T14" i="68"/>
  <c r="S14" i="68"/>
  <c r="R14" i="68"/>
  <c r="Q14" i="68"/>
  <c r="P14" i="68"/>
  <c r="O14" i="68"/>
  <c r="N14" i="68"/>
  <c r="M14" i="68"/>
  <c r="L14" i="68"/>
  <c r="K14" i="68"/>
  <c r="J14" i="68"/>
  <c r="I14" i="68"/>
  <c r="H14" i="68"/>
  <c r="F23" i="60"/>
  <c r="F22" i="60" s="1"/>
  <c r="G22" i="60" s="1"/>
  <c r="F19" i="60"/>
  <c r="Y46" i="68"/>
  <c r="X46" i="68"/>
  <c r="W46" i="68"/>
  <c r="V46" i="68"/>
  <c r="U46" i="68"/>
  <c r="L46" i="68"/>
  <c r="K46" i="68"/>
  <c r="J46" i="68"/>
  <c r="I46" i="68"/>
  <c r="H46" i="68"/>
  <c r="AP45" i="68"/>
  <c r="AO45" i="68"/>
  <c r="AN45" i="68"/>
  <c r="AM45" i="68"/>
  <c r="AL45" i="68"/>
  <c r="AK45" i="68"/>
  <c r="AJ45" i="68"/>
  <c r="AJ46" i="68" s="1"/>
  <c r="AI45" i="68"/>
  <c r="AH45" i="68"/>
  <c r="AG45" i="68"/>
  <c r="AF45" i="68"/>
  <c r="AE45" i="68"/>
  <c r="AD45" i="68"/>
  <c r="AC45" i="68"/>
  <c r="AB45" i="68"/>
  <c r="AA45" i="68"/>
  <c r="Z45" i="68"/>
  <c r="Y45" i="68"/>
  <c r="X45" i="68"/>
  <c r="W45" i="68"/>
  <c r="V45" i="68"/>
  <c r="U45" i="68"/>
  <c r="T45" i="68"/>
  <c r="S45" i="68"/>
  <c r="R45" i="68"/>
  <c r="Q45" i="68"/>
  <c r="P45" i="68"/>
  <c r="O45" i="68"/>
  <c r="N45" i="68"/>
  <c r="M45" i="68"/>
  <c r="L45" i="68"/>
  <c r="K45" i="68"/>
  <c r="J45" i="68"/>
  <c r="I45" i="68"/>
  <c r="H45" i="68"/>
  <c r="AP44" i="68"/>
  <c r="AO44" i="68"/>
  <c r="AN44" i="68"/>
  <c r="AM44" i="68"/>
  <c r="AL44" i="68"/>
  <c r="AK44" i="68"/>
  <c r="AJ44" i="68"/>
  <c r="AI44" i="68"/>
  <c r="AH44" i="68"/>
  <c r="AG44" i="68"/>
  <c r="AF44" i="68"/>
  <c r="AE44" i="68"/>
  <c r="AD44" i="68"/>
  <c r="AC44" i="68"/>
  <c r="AB44" i="68"/>
  <c r="AA44" i="68"/>
  <c r="Z44" i="68"/>
  <c r="Y44" i="68"/>
  <c r="X44" i="68"/>
  <c r="W44" i="68"/>
  <c r="V44" i="68"/>
  <c r="U44" i="68"/>
  <c r="T44" i="68"/>
  <c r="S44" i="68"/>
  <c r="R44" i="68"/>
  <c r="Q44" i="68"/>
  <c r="P44" i="68"/>
  <c r="O44" i="68"/>
  <c r="N44" i="68"/>
  <c r="M44" i="68"/>
  <c r="L44" i="68"/>
  <c r="K44" i="68"/>
  <c r="J44" i="68"/>
  <c r="I44" i="68"/>
  <c r="H44" i="68"/>
  <c r="AP43" i="68"/>
  <c r="AO43" i="68"/>
  <c r="AN43" i="68"/>
  <c r="AM43" i="68"/>
  <c r="AL43" i="68"/>
  <c r="AK43" i="68"/>
  <c r="AJ43" i="68"/>
  <c r="AI43" i="68"/>
  <c r="AH43" i="68"/>
  <c r="AG43" i="68"/>
  <c r="AF43" i="68"/>
  <c r="AE43" i="68"/>
  <c r="AD43" i="68"/>
  <c r="AC43" i="68"/>
  <c r="AB43" i="68"/>
  <c r="AA43" i="68"/>
  <c r="Z43" i="68"/>
  <c r="Y43" i="68"/>
  <c r="X43" i="68"/>
  <c r="W43" i="68"/>
  <c r="V43" i="68"/>
  <c r="U43" i="68"/>
  <c r="T43" i="68"/>
  <c r="S43" i="68"/>
  <c r="R43" i="68"/>
  <c r="Q43" i="68"/>
  <c r="P43" i="68"/>
  <c r="O43" i="68"/>
  <c r="N43" i="68"/>
  <c r="M43" i="68"/>
  <c r="L43" i="68"/>
  <c r="K43" i="68"/>
  <c r="J43" i="68"/>
  <c r="I43" i="68"/>
  <c r="H43" i="68"/>
  <c r="AP42" i="68"/>
  <c r="AO42" i="68"/>
  <c r="AN42" i="68"/>
  <c r="AM42" i="68"/>
  <c r="AL42" i="68"/>
  <c r="AL46" i="68" s="1"/>
  <c r="AK42" i="68"/>
  <c r="AK46" i="68" s="1"/>
  <c r="AJ42" i="68"/>
  <c r="AI42" i="68"/>
  <c r="AI46" i="68" s="1"/>
  <c r="AH42" i="68"/>
  <c r="AH46" i="68" s="1"/>
  <c r="AG42" i="68"/>
  <c r="AG46" i="68" s="1"/>
  <c r="AF42" i="68"/>
  <c r="AF46" i="68" s="1"/>
  <c r="AE42" i="68"/>
  <c r="AE46" i="68" s="1"/>
  <c r="AD42" i="68"/>
  <c r="AC42" i="68"/>
  <c r="AB42" i="68"/>
  <c r="AA42" i="68"/>
  <c r="Z42" i="68"/>
  <c r="Z46" i="68" s="1"/>
  <c r="Y42" i="68"/>
  <c r="X42" i="68"/>
  <c r="W42" i="68"/>
  <c r="V42" i="68"/>
  <c r="U42" i="68"/>
  <c r="T42" i="68"/>
  <c r="T46" i="68" s="1"/>
  <c r="S42" i="68"/>
  <c r="S46" i="68" s="1"/>
  <c r="R42" i="68"/>
  <c r="Q42" i="68"/>
  <c r="P42" i="68"/>
  <c r="O42" i="68"/>
  <c r="N42" i="68"/>
  <c r="N46" i="68" s="1"/>
  <c r="M42" i="68"/>
  <c r="M46" i="68" s="1"/>
  <c r="L42" i="68"/>
  <c r="K42" i="68"/>
  <c r="J42" i="68"/>
  <c r="I42" i="68"/>
  <c r="H42" i="68"/>
  <c r="G18" i="60" l="1"/>
  <c r="AM46" i="68"/>
  <c r="P46" i="68"/>
  <c r="AC46" i="68"/>
  <c r="AN46" i="68"/>
  <c r="AA46" i="68"/>
  <c r="AB46" i="68"/>
  <c r="AO46" i="68"/>
  <c r="R46" i="68"/>
  <c r="AD46" i="68"/>
  <c r="AP46" i="68"/>
  <c r="O46" i="68"/>
  <c r="Q46" i="68"/>
  <c r="AK40" i="72"/>
  <c r="AK40" i="66" s="1"/>
  <c r="AK39" i="66"/>
  <c r="F17" i="65"/>
  <c r="G17" i="65" s="1"/>
  <c r="H17" i="65" s="1"/>
  <c r="I17" i="65" s="1"/>
  <c r="J17" i="65" s="1"/>
  <c r="K17" i="65" s="1"/>
  <c r="L17" i="65" s="1"/>
  <c r="M17" i="65" s="1"/>
  <c r="N17" i="65" s="1"/>
  <c r="O17" i="65" s="1"/>
  <c r="P17" i="65" s="1"/>
  <c r="Q17" i="65" s="1"/>
  <c r="R17" i="65" s="1"/>
  <c r="S17" i="65" s="1"/>
  <c r="T17" i="65" s="1"/>
  <c r="U17" i="65" s="1"/>
  <c r="V17" i="65" s="1"/>
  <c r="W17" i="65" s="1"/>
  <c r="X17" i="65" s="1"/>
  <c r="Y17" i="65" s="1"/>
  <c r="Z17" i="65" s="1"/>
  <c r="AA17" i="65" s="1"/>
  <c r="AB17" i="65" s="1"/>
  <c r="AC17" i="65" s="1"/>
  <c r="AD17" i="65" s="1"/>
  <c r="AE17" i="65" s="1"/>
  <c r="AF17" i="65" s="1"/>
  <c r="AG17" i="65" s="1"/>
  <c r="AH17" i="65" s="1"/>
  <c r="AI17" i="65" s="1"/>
  <c r="AJ17" i="65" s="1"/>
  <c r="AK17" i="65" s="1"/>
  <c r="AL17" i="65" s="1"/>
  <c r="AM17" i="65" s="1"/>
  <c r="AN17" i="65" s="1"/>
  <c r="AO17" i="65" s="1"/>
  <c r="E17" i="65"/>
  <c r="AS38" i="72"/>
  <c r="AS40" i="72" s="1"/>
  <c r="AS40" i="66" s="1"/>
  <c r="AR38" i="72"/>
  <c r="AR40" i="72" s="1"/>
  <c r="AR40" i="66" s="1"/>
  <c r="AQ38" i="72"/>
  <c r="AQ40" i="72" s="1"/>
  <c r="AQ40" i="66" s="1"/>
  <c r="AP38" i="72"/>
  <c r="AP40" i="72" s="1"/>
  <c r="AP40" i="66" s="1"/>
  <c r="AO38" i="72"/>
  <c r="AO40" i="72" s="1"/>
  <c r="AO40" i="66" s="1"/>
  <c r="AN38" i="72"/>
  <c r="AM38" i="72"/>
  <c r="AL38" i="72"/>
  <c r="AK38" i="72"/>
  <c r="G34" i="72"/>
  <c r="H34" i="72" s="1"/>
  <c r="I34" i="72" s="1"/>
  <c r="J34" i="72" s="1"/>
  <c r="K34" i="72" s="1"/>
  <c r="L34" i="72" s="1"/>
  <c r="M34" i="72" s="1"/>
  <c r="N34" i="72" s="1"/>
  <c r="O34" i="72" s="1"/>
  <c r="P34" i="72" s="1"/>
  <c r="Q34" i="72" s="1"/>
  <c r="R34" i="72" s="1"/>
  <c r="S34" i="72" s="1"/>
  <c r="T34" i="72" s="1"/>
  <c r="U34" i="72" s="1"/>
  <c r="V34" i="72" s="1"/>
  <c r="W34" i="72" s="1"/>
  <c r="X34" i="72" s="1"/>
  <c r="Y34" i="72" s="1"/>
  <c r="Z34" i="72" s="1"/>
  <c r="AA34" i="72" s="1"/>
  <c r="AB34" i="72" s="1"/>
  <c r="AC34" i="72" s="1"/>
  <c r="AD34" i="72" s="1"/>
  <c r="AE34" i="72" s="1"/>
  <c r="AF34" i="72" s="1"/>
  <c r="AG34" i="72" s="1"/>
  <c r="AH34" i="72" s="1"/>
  <c r="AI34" i="72" s="1"/>
  <c r="AJ34" i="72" s="1"/>
  <c r="AK34" i="72" s="1"/>
  <c r="AL34" i="72" s="1"/>
  <c r="AM34" i="72" s="1"/>
  <c r="AN34" i="72" s="1"/>
  <c r="AO34" i="72" s="1"/>
  <c r="AP34" i="72" s="1"/>
  <c r="AQ34" i="72" s="1"/>
  <c r="AR34" i="72" s="1"/>
  <c r="AS34" i="72" s="1"/>
  <c r="G20" i="72"/>
  <c r="H20" i="72" s="1"/>
  <c r="I20" i="72" s="1"/>
  <c r="J20" i="72" s="1"/>
  <c r="K20" i="72" s="1"/>
  <c r="L20" i="72" s="1"/>
  <c r="M20" i="72" s="1"/>
  <c r="N20" i="72" s="1"/>
  <c r="O20" i="72" s="1"/>
  <c r="P20" i="72" s="1"/>
  <c r="Q20" i="72" s="1"/>
  <c r="R20" i="72" s="1"/>
  <c r="S20" i="72" s="1"/>
  <c r="T20" i="72" s="1"/>
  <c r="U20" i="72" s="1"/>
  <c r="V20" i="72" s="1"/>
  <c r="W20" i="72" s="1"/>
  <c r="X20" i="72" s="1"/>
  <c r="Y20" i="72" s="1"/>
  <c r="Z20" i="72" s="1"/>
  <c r="AA20" i="72" s="1"/>
  <c r="AB20" i="72" s="1"/>
  <c r="AC20" i="72" s="1"/>
  <c r="AD20" i="72" s="1"/>
  <c r="AE20" i="72" s="1"/>
  <c r="AF20" i="72" s="1"/>
  <c r="AG20" i="72" s="1"/>
  <c r="AH20" i="72" s="1"/>
  <c r="AI20" i="72" s="1"/>
  <c r="AJ20" i="72" s="1"/>
  <c r="AK20" i="72" s="1"/>
  <c r="AL20" i="72" s="1"/>
  <c r="AM20" i="72" s="1"/>
  <c r="AN20" i="72" s="1"/>
  <c r="AO20" i="72" s="1"/>
  <c r="AP20" i="72" s="1"/>
  <c r="AQ20" i="72" s="1"/>
  <c r="AR20" i="72" s="1"/>
  <c r="AS20" i="72" s="1"/>
  <c r="E29" i="67"/>
  <c r="E26" i="67"/>
  <c r="E25" i="67"/>
  <c r="E24" i="67"/>
  <c r="E23" i="67"/>
  <c r="E22" i="67"/>
  <c r="E21" i="67"/>
  <c r="E14" i="67"/>
  <c r="E9" i="67"/>
  <c r="E7" i="67"/>
  <c r="F17" i="60"/>
  <c r="A10" i="69"/>
  <c r="AL40" i="72" l="1"/>
  <c r="AL40" i="66" s="1"/>
  <c r="AL39" i="66"/>
  <c r="AM40" i="72"/>
  <c r="AM40" i="66" s="1"/>
  <c r="AM39" i="66"/>
  <c r="AN40" i="72"/>
  <c r="AN40" i="66" s="1"/>
  <c r="AN39" i="66"/>
  <c r="AP39" i="66"/>
  <c r="AR39" i="66"/>
  <c r="AO39" i="66"/>
  <c r="AQ39" i="66"/>
  <c r="AS39" i="66"/>
  <c r="A39" i="69"/>
  <c r="G65" i="61"/>
  <c r="G26" i="61"/>
  <c r="F26" i="61"/>
  <c r="D25" i="73"/>
  <c r="D35" i="73"/>
  <c r="D34" i="73"/>
  <c r="D15" i="73"/>
  <c r="D14" i="73"/>
  <c r="A22" i="73"/>
  <c r="D5" i="73"/>
  <c r="A2" i="73"/>
  <c r="AQ34" i="59"/>
  <c r="AP34" i="59"/>
  <c r="AO34" i="59"/>
  <c r="AN34" i="59"/>
  <c r="AM34" i="59"/>
  <c r="AL34" i="59"/>
  <c r="AK34" i="59"/>
  <c r="AJ34" i="59"/>
  <c r="AI34" i="59"/>
  <c r="AH34" i="59"/>
  <c r="AG34" i="59"/>
  <c r="AF34" i="59"/>
  <c r="AE34" i="59"/>
  <c r="AD34" i="59"/>
  <c r="AC34" i="59"/>
  <c r="AB34" i="59"/>
  <c r="AA34" i="59"/>
  <c r="Z34" i="59"/>
  <c r="Y34" i="59"/>
  <c r="X34" i="59"/>
  <c r="W34" i="59"/>
  <c r="V34" i="59"/>
  <c r="U34" i="59"/>
  <c r="T34" i="59"/>
  <c r="S34" i="59"/>
  <c r="R34" i="59"/>
  <c r="Q34" i="59"/>
  <c r="P34" i="59"/>
  <c r="O34" i="59"/>
  <c r="N34" i="59"/>
  <c r="M34" i="59"/>
  <c r="L34" i="59"/>
  <c r="K34" i="59"/>
  <c r="J34" i="59"/>
  <c r="I34" i="59"/>
  <c r="H34" i="59"/>
  <c r="G34" i="59"/>
  <c r="F34" i="59"/>
  <c r="D29" i="59"/>
  <c r="A34" i="66"/>
  <c r="A33" i="66"/>
  <c r="F32" i="66"/>
  <c r="A28" i="66"/>
  <c r="A22" i="62"/>
  <c r="D21" i="62"/>
  <c r="A18" i="62"/>
  <c r="D27" i="59"/>
  <c r="D26" i="59"/>
  <c r="A23" i="59"/>
  <c r="P10" i="72"/>
  <c r="P11" i="72" s="1"/>
  <c r="N9" i="62" s="1"/>
  <c r="O10" i="72"/>
  <c r="N10" i="72"/>
  <c r="M10" i="72"/>
  <c r="L10" i="72"/>
  <c r="K10" i="72"/>
  <c r="J10" i="72"/>
  <c r="I10" i="72"/>
  <c r="H10" i="72"/>
  <c r="G10" i="72"/>
  <c r="F10" i="72"/>
  <c r="M9" i="72"/>
  <c r="L9" i="72"/>
  <c r="K9" i="72"/>
  <c r="J9" i="72"/>
  <c r="I9" i="72"/>
  <c r="H9" i="72"/>
  <c r="G9" i="72"/>
  <c r="F9" i="72"/>
  <c r="J8" i="72"/>
  <c r="I8" i="72"/>
  <c r="H8" i="72"/>
  <c r="G8" i="72"/>
  <c r="F8" i="72"/>
  <c r="F39" i="63"/>
  <c r="G39" i="63" s="1"/>
  <c r="F7" i="63"/>
  <c r="G7" i="63" s="1"/>
  <c r="AK11" i="72"/>
  <c r="G5" i="72"/>
  <c r="H5" i="72" s="1"/>
  <c r="I5" i="72" s="1"/>
  <c r="J5" i="72" s="1"/>
  <c r="K5" i="72" s="1"/>
  <c r="L5" i="72" s="1"/>
  <c r="M5" i="72" s="1"/>
  <c r="N5" i="72" s="1"/>
  <c r="O5" i="72" s="1"/>
  <c r="P5" i="72" s="1"/>
  <c r="Q5" i="72" s="1"/>
  <c r="R5" i="72" s="1"/>
  <c r="S5" i="72" s="1"/>
  <c r="T5" i="72" s="1"/>
  <c r="U5" i="72" s="1"/>
  <c r="V5" i="72" s="1"/>
  <c r="W5" i="72" s="1"/>
  <c r="X5" i="72" s="1"/>
  <c r="Y5" i="72" s="1"/>
  <c r="Z5" i="72" s="1"/>
  <c r="AA5" i="72" s="1"/>
  <c r="AB5" i="72" s="1"/>
  <c r="AC5" i="72" s="1"/>
  <c r="AD5" i="72" s="1"/>
  <c r="AE5" i="72" s="1"/>
  <c r="AF5" i="72" s="1"/>
  <c r="AG5" i="72" s="1"/>
  <c r="AH5" i="72" s="1"/>
  <c r="AI5" i="72" s="1"/>
  <c r="AJ5" i="72" s="1"/>
  <c r="AK5" i="72" s="1"/>
  <c r="AL5" i="72" s="1"/>
  <c r="AM5" i="72" s="1"/>
  <c r="AN5" i="72" s="1"/>
  <c r="AO5" i="72" s="1"/>
  <c r="AP5" i="72" s="1"/>
  <c r="AQ5" i="72" s="1"/>
  <c r="AR5" i="72" s="1"/>
  <c r="AS5" i="72" s="1"/>
  <c r="A8" i="66"/>
  <c r="A7" i="66"/>
  <c r="F65" i="61"/>
  <c r="AK13" i="72" l="1"/>
  <c r="AK37" i="66"/>
  <c r="AI25" i="62" s="1"/>
  <c r="AK11" i="66"/>
  <c r="P13" i="72"/>
  <c r="P38" i="66" s="1"/>
  <c r="P37" i="66"/>
  <c r="N25" i="62" s="1"/>
  <c r="P11" i="66"/>
  <c r="AI9" i="62"/>
  <c r="X11" i="72"/>
  <c r="Y11" i="72"/>
  <c r="Z11" i="72"/>
  <c r="AB11" i="72"/>
  <c r="AA11" i="72"/>
  <c r="I11" i="72"/>
  <c r="AC11" i="72"/>
  <c r="AM11" i="72"/>
  <c r="AD11" i="72"/>
  <c r="AF11" i="72"/>
  <c r="N11" i="72"/>
  <c r="O11" i="72"/>
  <c r="AI11" i="72"/>
  <c r="V11" i="72"/>
  <c r="M11" i="72"/>
  <c r="AH11" i="72"/>
  <c r="J11" i="72"/>
  <c r="W11" i="72"/>
  <c r="Q11" i="72"/>
  <c r="AN11" i="72"/>
  <c r="AP11" i="72"/>
  <c r="AQ11" i="72"/>
  <c r="R11" i="72"/>
  <c r="AL11" i="72"/>
  <c r="G70" i="61"/>
  <c r="F70" i="61"/>
  <c r="F31" i="61"/>
  <c r="D8" i="62" s="1"/>
  <c r="F35" i="72"/>
  <c r="F45" i="61"/>
  <c r="A41" i="61"/>
  <c r="A2" i="61"/>
  <c r="F21" i="60"/>
  <c r="F8" i="63" s="1"/>
  <c r="AT39" i="63"/>
  <c r="AT41" i="63" s="1"/>
  <c r="C18" i="68"/>
  <c r="C19" i="68"/>
  <c r="C20" i="68"/>
  <c r="C21" i="68"/>
  <c r="C22" i="68"/>
  <c r="AT40" i="63"/>
  <c r="AT9" i="63"/>
  <c r="J37" i="63"/>
  <c r="K37" i="63" s="1"/>
  <c r="L37" i="63" s="1"/>
  <c r="M37" i="63" s="1"/>
  <c r="N37" i="63" s="1"/>
  <c r="O37" i="63" s="1"/>
  <c r="P37" i="63" s="1"/>
  <c r="Q37" i="63" s="1"/>
  <c r="R37" i="63" s="1"/>
  <c r="S37" i="63" s="1"/>
  <c r="T37" i="63" s="1"/>
  <c r="U37" i="63" s="1"/>
  <c r="V37" i="63" s="1"/>
  <c r="W37" i="63" s="1"/>
  <c r="X37" i="63" s="1"/>
  <c r="Y37" i="63" s="1"/>
  <c r="Z37" i="63" s="1"/>
  <c r="AA37" i="63" s="1"/>
  <c r="AB37" i="63" s="1"/>
  <c r="AC37" i="63" s="1"/>
  <c r="AD37" i="63" s="1"/>
  <c r="AE37" i="63" s="1"/>
  <c r="AF37" i="63" s="1"/>
  <c r="AG37" i="63" s="1"/>
  <c r="AH37" i="63" s="1"/>
  <c r="AI37" i="63" s="1"/>
  <c r="AJ37" i="63" s="1"/>
  <c r="AK37" i="63" s="1"/>
  <c r="AL37" i="63" s="1"/>
  <c r="AM37" i="63" s="1"/>
  <c r="AN37" i="63" s="1"/>
  <c r="AO37" i="63" s="1"/>
  <c r="AP37" i="63" s="1"/>
  <c r="AQ37" i="63" s="1"/>
  <c r="AR37" i="63" s="1"/>
  <c r="AS37" i="63" s="1"/>
  <c r="J5" i="63"/>
  <c r="K5" i="63" s="1"/>
  <c r="L5" i="63" s="1"/>
  <c r="M5" i="63" s="1"/>
  <c r="N5" i="63" s="1"/>
  <c r="O5" i="63" s="1"/>
  <c r="P5" i="63" s="1"/>
  <c r="Q5" i="63" s="1"/>
  <c r="R5" i="63" s="1"/>
  <c r="S5" i="63" s="1"/>
  <c r="T5" i="63" s="1"/>
  <c r="U5" i="63" s="1"/>
  <c r="V5" i="63" s="1"/>
  <c r="W5" i="63" s="1"/>
  <c r="X5" i="63" s="1"/>
  <c r="Y5" i="63" s="1"/>
  <c r="Z5" i="63" s="1"/>
  <c r="AA5" i="63" s="1"/>
  <c r="AB5" i="63" s="1"/>
  <c r="AC5" i="63" s="1"/>
  <c r="AD5" i="63" s="1"/>
  <c r="AE5" i="63" s="1"/>
  <c r="AF5" i="63" s="1"/>
  <c r="AG5" i="63" s="1"/>
  <c r="AH5" i="63" s="1"/>
  <c r="AI5" i="63" s="1"/>
  <c r="AJ5" i="63" s="1"/>
  <c r="AK5" i="63" s="1"/>
  <c r="AL5" i="63" s="1"/>
  <c r="AM5" i="63" s="1"/>
  <c r="AN5" i="63" s="1"/>
  <c r="AO5" i="63" s="1"/>
  <c r="AP5" i="63" s="1"/>
  <c r="AQ5" i="63" s="1"/>
  <c r="AR5" i="63" s="1"/>
  <c r="AS5" i="63" s="1"/>
  <c r="I21" i="63"/>
  <c r="J21" i="63" s="1"/>
  <c r="K21" i="63" s="1"/>
  <c r="L21" i="63" s="1"/>
  <c r="M21" i="63" s="1"/>
  <c r="N21" i="63" s="1"/>
  <c r="O21" i="63" s="1"/>
  <c r="P21" i="63" s="1"/>
  <c r="Q21" i="63" s="1"/>
  <c r="R21" i="63" s="1"/>
  <c r="S21" i="63" s="1"/>
  <c r="T21" i="63" s="1"/>
  <c r="U21" i="63" s="1"/>
  <c r="V21" i="63" s="1"/>
  <c r="W21" i="63" s="1"/>
  <c r="X21" i="63" s="1"/>
  <c r="Y21" i="63" s="1"/>
  <c r="Z21" i="63" s="1"/>
  <c r="AA21" i="63" s="1"/>
  <c r="AB21" i="63" s="1"/>
  <c r="AC21" i="63" s="1"/>
  <c r="AD21" i="63" s="1"/>
  <c r="AE21" i="63" s="1"/>
  <c r="AF21" i="63" s="1"/>
  <c r="AG21" i="63" s="1"/>
  <c r="AH21" i="63" s="1"/>
  <c r="AI21" i="63" s="1"/>
  <c r="AJ21" i="63" s="1"/>
  <c r="AK21" i="63" s="1"/>
  <c r="AL21" i="63" s="1"/>
  <c r="AM21" i="63" s="1"/>
  <c r="AN21" i="63" s="1"/>
  <c r="AO21" i="63" s="1"/>
  <c r="AP21" i="63" s="1"/>
  <c r="AQ21" i="63" s="1"/>
  <c r="AR21" i="63" s="1"/>
  <c r="AS21" i="63" s="1"/>
  <c r="A46" i="65"/>
  <c r="A45" i="65"/>
  <c r="A36" i="65"/>
  <c r="A35" i="65"/>
  <c r="B44" i="65"/>
  <c r="A41" i="65"/>
  <c r="A30" i="65"/>
  <c r="F52" i="63"/>
  <c r="AK12" i="66" l="1"/>
  <c r="AK42" i="72"/>
  <c r="F38" i="72"/>
  <c r="G35" i="72"/>
  <c r="F21" i="72"/>
  <c r="G8" i="63"/>
  <c r="AJ10" i="63" s="1"/>
  <c r="P12" i="66"/>
  <c r="Q13" i="72"/>
  <c r="Q37" i="66"/>
  <c r="O25" i="62" s="1"/>
  <c r="Q11" i="66"/>
  <c r="O9" i="62"/>
  <c r="AD13" i="72"/>
  <c r="AB9" i="62"/>
  <c r="AD37" i="66"/>
  <c r="AB25" i="62" s="1"/>
  <c r="AD11" i="66"/>
  <c r="W13" i="72"/>
  <c r="U9" i="62"/>
  <c r="W37" i="66"/>
  <c r="U25" i="62" s="1"/>
  <c r="W11" i="66"/>
  <c r="AM13" i="72"/>
  <c r="AM42" i="72" s="1"/>
  <c r="AK9" i="62"/>
  <c r="AM37" i="66"/>
  <c r="AK25" i="62" s="1"/>
  <c r="AM11" i="66"/>
  <c r="J13" i="72"/>
  <c r="H9" i="62"/>
  <c r="J11" i="66"/>
  <c r="J37" i="66"/>
  <c r="H25" i="62" s="1"/>
  <c r="AC13" i="72"/>
  <c r="AA9" i="62"/>
  <c r="AC37" i="66"/>
  <c r="AA25" i="62" s="1"/>
  <c r="AC11" i="66"/>
  <c r="AH13" i="72"/>
  <c r="AF9" i="62"/>
  <c r="AH37" i="66"/>
  <c r="AF25" i="62" s="1"/>
  <c r="AH11" i="66"/>
  <c r="I13" i="72"/>
  <c r="G9" i="62"/>
  <c r="I37" i="66"/>
  <c r="G25" i="62" s="1"/>
  <c r="I11" i="66"/>
  <c r="M13" i="72"/>
  <c r="K9" i="62"/>
  <c r="M37" i="66"/>
  <c r="K25" i="62" s="1"/>
  <c r="M11" i="66"/>
  <c r="AA13" i="72"/>
  <c r="AA37" i="66"/>
  <c r="Y25" i="62" s="1"/>
  <c r="AA11" i="66"/>
  <c r="Y9" i="62"/>
  <c r="AL13" i="72"/>
  <c r="AL42" i="72" s="1"/>
  <c r="AJ9" i="62"/>
  <c r="AL37" i="66"/>
  <c r="AJ25" i="62" s="1"/>
  <c r="AL11" i="66"/>
  <c r="V13" i="72"/>
  <c r="T9" i="62"/>
  <c r="V37" i="66"/>
  <c r="T25" i="62" s="1"/>
  <c r="V11" i="66"/>
  <c r="AB13" i="72"/>
  <c r="Z9" i="62"/>
  <c r="AB37" i="66"/>
  <c r="Z25" i="62" s="1"/>
  <c r="AB11" i="66"/>
  <c r="R13" i="72"/>
  <c r="P9" i="62"/>
  <c r="R11" i="66"/>
  <c r="R37" i="66"/>
  <c r="P25" i="62" s="1"/>
  <c r="AI13" i="72"/>
  <c r="AI37" i="66"/>
  <c r="AG25" i="62" s="1"/>
  <c r="AI11" i="66"/>
  <c r="AG9" i="62"/>
  <c r="Z13" i="72"/>
  <c r="Z37" i="66"/>
  <c r="X25" i="62" s="1"/>
  <c r="Z11" i="66"/>
  <c r="X9" i="62"/>
  <c r="AQ13" i="72"/>
  <c r="AQ42" i="72" s="1"/>
  <c r="AO9" i="62"/>
  <c r="AQ37" i="66"/>
  <c r="AO25" i="62" s="1"/>
  <c r="AQ11" i="66"/>
  <c r="O13" i="72"/>
  <c r="O37" i="66"/>
  <c r="M25" i="62" s="1"/>
  <c r="O11" i="66"/>
  <c r="M9" i="62"/>
  <c r="Y13" i="72"/>
  <c r="Y37" i="66"/>
  <c r="W25" i="62" s="1"/>
  <c r="Y11" i="66"/>
  <c r="W9" i="62"/>
  <c r="AP13" i="72"/>
  <c r="AP42" i="72" s="1"/>
  <c r="AN9" i="62"/>
  <c r="AP37" i="66"/>
  <c r="AN25" i="62" s="1"/>
  <c r="AP11" i="66"/>
  <c r="N13" i="72"/>
  <c r="L9" i="62"/>
  <c r="N37" i="66"/>
  <c r="L25" i="62" s="1"/>
  <c r="N11" i="66"/>
  <c r="X13" i="72"/>
  <c r="V9" i="62"/>
  <c r="X37" i="66"/>
  <c r="V25" i="62" s="1"/>
  <c r="X11" i="66"/>
  <c r="AN13" i="72"/>
  <c r="AN42" i="72" s="1"/>
  <c r="AL9" i="62"/>
  <c r="AN37" i="66"/>
  <c r="AL25" i="62" s="1"/>
  <c r="AN11" i="66"/>
  <c r="AF13" i="72"/>
  <c r="AD9" i="62"/>
  <c r="AF37" i="66"/>
  <c r="AD25" i="62" s="1"/>
  <c r="AF11" i="66"/>
  <c r="AK38" i="66"/>
  <c r="G36" i="66"/>
  <c r="E24" i="62"/>
  <c r="D24" i="62"/>
  <c r="F36" i="66"/>
  <c r="D34" i="59"/>
  <c r="H11" i="72"/>
  <c r="AO11" i="72"/>
  <c r="U11" i="72"/>
  <c r="AS11" i="72"/>
  <c r="K11" i="72"/>
  <c r="AE11" i="72"/>
  <c r="AG11" i="72"/>
  <c r="L11" i="72"/>
  <c r="AJ11" i="72"/>
  <c r="AR11" i="72"/>
  <c r="T11" i="72"/>
  <c r="S11" i="72"/>
  <c r="G11" i="72"/>
  <c r="F11" i="72"/>
  <c r="AS33" i="70"/>
  <c r="AR33" i="70"/>
  <c r="AQ33" i="70"/>
  <c r="AP33" i="70"/>
  <c r="AO33" i="70"/>
  <c r="AN33" i="70"/>
  <c r="AM33" i="70"/>
  <c r="AL33" i="70"/>
  <c r="AK33" i="70"/>
  <c r="AJ33" i="70"/>
  <c r="AI33" i="70"/>
  <c r="AH33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U33" i="70"/>
  <c r="T33" i="70"/>
  <c r="S33" i="70"/>
  <c r="R33" i="70"/>
  <c r="Q33" i="70"/>
  <c r="P33" i="70"/>
  <c r="O33" i="70"/>
  <c r="N33" i="70"/>
  <c r="M33" i="70"/>
  <c r="L33" i="70"/>
  <c r="K33" i="70"/>
  <c r="J33" i="70"/>
  <c r="I33" i="70"/>
  <c r="H33" i="70"/>
  <c r="E40" i="71"/>
  <c r="F40" i="71" s="1"/>
  <c r="A40" i="71"/>
  <c r="E34" i="71"/>
  <c r="F34" i="71" s="1"/>
  <c r="G34" i="71" s="1"/>
  <c r="E33" i="71"/>
  <c r="F33" i="71" s="1"/>
  <c r="G33" i="71" s="1"/>
  <c r="E32" i="71"/>
  <c r="F32" i="71" s="1"/>
  <c r="G32" i="71" s="1"/>
  <c r="E31" i="71"/>
  <c r="F31" i="71" s="1"/>
  <c r="G31" i="71" s="1"/>
  <c r="E30" i="71"/>
  <c r="F29" i="71"/>
  <c r="G29" i="71" s="1"/>
  <c r="A48" i="63"/>
  <c r="F38" i="63"/>
  <c r="A34" i="63"/>
  <c r="A2" i="63"/>
  <c r="F54" i="63"/>
  <c r="A54" i="63"/>
  <c r="F53" i="63"/>
  <c r="A53" i="63"/>
  <c r="AS41" i="63"/>
  <c r="AQ41" i="63"/>
  <c r="AP41" i="63"/>
  <c r="AO41" i="63"/>
  <c r="AN41" i="63"/>
  <c r="AM41" i="63"/>
  <c r="AL41" i="63"/>
  <c r="AK41" i="63"/>
  <c r="AJ41" i="63"/>
  <c r="AI41" i="63"/>
  <c r="AG41" i="63"/>
  <c r="AF41" i="63"/>
  <c r="AE41" i="63"/>
  <c r="AD41" i="63"/>
  <c r="AC41" i="63"/>
  <c r="AB41" i="63"/>
  <c r="AA41" i="63"/>
  <c r="Z41" i="63"/>
  <c r="Y41" i="63"/>
  <c r="X41" i="63"/>
  <c r="W41" i="63"/>
  <c r="V41" i="63"/>
  <c r="U41" i="63"/>
  <c r="T41" i="63"/>
  <c r="S41" i="63"/>
  <c r="R41" i="63"/>
  <c r="Q41" i="63"/>
  <c r="P41" i="63"/>
  <c r="O41" i="63"/>
  <c r="N41" i="63"/>
  <c r="M41" i="63"/>
  <c r="L41" i="63"/>
  <c r="K41" i="63"/>
  <c r="J41" i="63"/>
  <c r="I41" i="63"/>
  <c r="H41" i="63"/>
  <c r="G41" i="63"/>
  <c r="F41" i="63"/>
  <c r="AT7" i="63"/>
  <c r="E34" i="59" l="1"/>
  <c r="H35" i="72"/>
  <c r="F40" i="72"/>
  <c r="F40" i="66" s="1"/>
  <c r="F39" i="66"/>
  <c r="D26" i="62" s="1"/>
  <c r="F24" i="72"/>
  <c r="G21" i="72"/>
  <c r="AG13" i="72"/>
  <c r="AE9" i="62"/>
  <c r="AG37" i="66"/>
  <c r="AE25" i="62" s="1"/>
  <c r="AG11" i="66"/>
  <c r="AE13" i="72"/>
  <c r="AC9" i="62"/>
  <c r="AE37" i="66"/>
  <c r="AC25" i="62" s="1"/>
  <c r="AE11" i="66"/>
  <c r="K13" i="72"/>
  <c r="I9" i="62"/>
  <c r="K37" i="66"/>
  <c r="I25" i="62" s="1"/>
  <c r="K11" i="66"/>
  <c r="F13" i="72"/>
  <c r="F37" i="66"/>
  <c r="F11" i="66"/>
  <c r="D9" i="62"/>
  <c r="AS13" i="72"/>
  <c r="AS42" i="72" s="1"/>
  <c r="AS37" i="66"/>
  <c r="AQ25" i="62" s="1"/>
  <c r="AS11" i="66"/>
  <c r="AQ9" i="62"/>
  <c r="G13" i="72"/>
  <c r="G37" i="66"/>
  <c r="E25" i="62" s="1"/>
  <c r="G11" i="66"/>
  <c r="E9" i="62"/>
  <c r="U13" i="72"/>
  <c r="S9" i="62"/>
  <c r="U37" i="66"/>
  <c r="S25" i="62" s="1"/>
  <c r="U11" i="66"/>
  <c r="S13" i="72"/>
  <c r="Q9" i="62"/>
  <c r="S11" i="66"/>
  <c r="S37" i="66"/>
  <c r="Q25" i="62" s="1"/>
  <c r="AO13" i="72"/>
  <c r="AO42" i="72" s="1"/>
  <c r="AM9" i="62"/>
  <c r="AO37" i="66"/>
  <c r="AM25" i="62" s="1"/>
  <c r="AO11" i="66"/>
  <c r="T13" i="72"/>
  <c r="R9" i="62"/>
  <c r="T11" i="66"/>
  <c r="T37" i="66"/>
  <c r="R25" i="62" s="1"/>
  <c r="H13" i="72"/>
  <c r="F9" i="62"/>
  <c r="H37" i="66"/>
  <c r="F25" i="62" s="1"/>
  <c r="H11" i="66"/>
  <c r="AR13" i="72"/>
  <c r="AR42" i="72" s="1"/>
  <c r="AP9" i="62"/>
  <c r="AR37" i="66"/>
  <c r="AP25" i="62" s="1"/>
  <c r="AR11" i="66"/>
  <c r="AJ13" i="72"/>
  <c r="AJ37" i="66"/>
  <c r="AH25" i="62" s="1"/>
  <c r="AJ11" i="66"/>
  <c r="AH9" i="62"/>
  <c r="L13" i="72"/>
  <c r="J9" i="62"/>
  <c r="L37" i="66"/>
  <c r="J25" i="62" s="1"/>
  <c r="L11" i="66"/>
  <c r="E35" i="71"/>
  <c r="J12" i="66"/>
  <c r="J38" i="66"/>
  <c r="AI12" i="66"/>
  <c r="AI38" i="66"/>
  <c r="R12" i="66"/>
  <c r="R38" i="66"/>
  <c r="AM12" i="66"/>
  <c r="AM38" i="66"/>
  <c r="AB12" i="66"/>
  <c r="AB38" i="66"/>
  <c r="W12" i="66"/>
  <c r="W38" i="66"/>
  <c r="X12" i="66"/>
  <c r="X38" i="66"/>
  <c r="V12" i="66"/>
  <c r="V38" i="66"/>
  <c r="AD12" i="66"/>
  <c r="AD38" i="66"/>
  <c r="N12" i="66"/>
  <c r="N38" i="66"/>
  <c r="AL12" i="66"/>
  <c r="AL38" i="66"/>
  <c r="Q12" i="66"/>
  <c r="Q38" i="66"/>
  <c r="AP12" i="66"/>
  <c r="AP38" i="66"/>
  <c r="AA12" i="66"/>
  <c r="AA38" i="66"/>
  <c r="AF12" i="66"/>
  <c r="AF38" i="66"/>
  <c r="Y12" i="66"/>
  <c r="Y38" i="66"/>
  <c r="M12" i="66"/>
  <c r="M38" i="66"/>
  <c r="AN12" i="66"/>
  <c r="AN38" i="66"/>
  <c r="O12" i="66"/>
  <c r="O38" i="66"/>
  <c r="I12" i="66"/>
  <c r="I38" i="66"/>
  <c r="AQ12" i="66"/>
  <c r="AQ38" i="66"/>
  <c r="AH12" i="66"/>
  <c r="AH38" i="66"/>
  <c r="Z12" i="66"/>
  <c r="Z38" i="66"/>
  <c r="AC12" i="66"/>
  <c r="AC38" i="66"/>
  <c r="AT8" i="63"/>
  <c r="AT10" i="63"/>
  <c r="G54" i="63"/>
  <c r="D46" i="65" s="1"/>
  <c r="G53" i="63"/>
  <c r="D45" i="65" s="1"/>
  <c r="G40" i="71"/>
  <c r="F55" i="63"/>
  <c r="D32" i="59" s="1"/>
  <c r="F30" i="71"/>
  <c r="AH41" i="63"/>
  <c r="AR41" i="63"/>
  <c r="G22" i="71"/>
  <c r="H22" i="71" s="1"/>
  <c r="I22" i="71" s="1"/>
  <c r="J22" i="71" s="1"/>
  <c r="K22" i="71" s="1"/>
  <c r="L22" i="71" s="1"/>
  <c r="M22" i="71" s="1"/>
  <c r="N22" i="71" s="1"/>
  <c r="O22" i="71" s="1"/>
  <c r="P22" i="71" s="1"/>
  <c r="Q22" i="71" s="1"/>
  <c r="R22" i="71" s="1"/>
  <c r="S22" i="71" s="1"/>
  <c r="T22" i="71" s="1"/>
  <c r="U22" i="71" s="1"/>
  <c r="V22" i="71" s="1"/>
  <c r="W22" i="71" s="1"/>
  <c r="X22" i="71" s="1"/>
  <c r="Y22" i="71" s="1"/>
  <c r="Z22" i="71" s="1"/>
  <c r="AA22" i="71" s="1"/>
  <c r="AB22" i="71" s="1"/>
  <c r="AC22" i="71" s="1"/>
  <c r="AD22" i="71" s="1"/>
  <c r="AE22" i="71" s="1"/>
  <c r="AF22" i="71" s="1"/>
  <c r="AG22" i="71" s="1"/>
  <c r="AH22" i="71" s="1"/>
  <c r="AI22" i="71" s="1"/>
  <c r="AJ22" i="71" s="1"/>
  <c r="AK22" i="71" s="1"/>
  <c r="AL22" i="71" s="1"/>
  <c r="AM22" i="71" s="1"/>
  <c r="AN22" i="71" s="1"/>
  <c r="AO22" i="71" s="1"/>
  <c r="AP22" i="71" s="1"/>
  <c r="AQ22" i="71" s="1"/>
  <c r="AR22" i="71" s="1"/>
  <c r="AS22" i="71" s="1"/>
  <c r="G5" i="71"/>
  <c r="H5" i="71" s="1"/>
  <c r="I5" i="71" s="1"/>
  <c r="J5" i="71" s="1"/>
  <c r="K5" i="71" s="1"/>
  <c r="L5" i="71" s="1"/>
  <c r="M5" i="71" s="1"/>
  <c r="N5" i="71" s="1"/>
  <c r="O5" i="71" s="1"/>
  <c r="P5" i="71" s="1"/>
  <c r="Q5" i="71" s="1"/>
  <c r="R5" i="71" s="1"/>
  <c r="S5" i="71" s="1"/>
  <c r="T5" i="71" s="1"/>
  <c r="U5" i="71" s="1"/>
  <c r="V5" i="71" s="1"/>
  <c r="W5" i="71" s="1"/>
  <c r="X5" i="71" s="1"/>
  <c r="Y5" i="71" s="1"/>
  <c r="Z5" i="71" s="1"/>
  <c r="AA5" i="71" s="1"/>
  <c r="AB5" i="71" s="1"/>
  <c r="AC5" i="71" s="1"/>
  <c r="AD5" i="71" s="1"/>
  <c r="AE5" i="71" s="1"/>
  <c r="AF5" i="71" s="1"/>
  <c r="AG5" i="71" s="1"/>
  <c r="AH5" i="71" s="1"/>
  <c r="AI5" i="71" s="1"/>
  <c r="AJ5" i="71" s="1"/>
  <c r="AK5" i="71" s="1"/>
  <c r="AL5" i="71" s="1"/>
  <c r="AM5" i="71" s="1"/>
  <c r="AN5" i="71" s="1"/>
  <c r="AO5" i="71" s="1"/>
  <c r="AP5" i="71" s="1"/>
  <c r="AQ5" i="71" s="1"/>
  <c r="AR5" i="71" s="1"/>
  <c r="AS5" i="71" s="1"/>
  <c r="G25" i="70"/>
  <c r="H25" i="70" s="1"/>
  <c r="I25" i="70" s="1"/>
  <c r="J25" i="70" s="1"/>
  <c r="K25" i="70" s="1"/>
  <c r="L25" i="70" s="1"/>
  <c r="M25" i="70" s="1"/>
  <c r="N25" i="70" s="1"/>
  <c r="O25" i="70" s="1"/>
  <c r="P25" i="70" s="1"/>
  <c r="Q25" i="70" s="1"/>
  <c r="R25" i="70" s="1"/>
  <c r="S25" i="70" s="1"/>
  <c r="T25" i="70" s="1"/>
  <c r="U25" i="70" s="1"/>
  <c r="V25" i="70" s="1"/>
  <c r="W25" i="70" s="1"/>
  <c r="X25" i="70" s="1"/>
  <c r="Y25" i="70" s="1"/>
  <c r="Z25" i="70" s="1"/>
  <c r="AA25" i="70" s="1"/>
  <c r="AB25" i="70" s="1"/>
  <c r="AC25" i="70" s="1"/>
  <c r="AD25" i="70" s="1"/>
  <c r="AE25" i="70" s="1"/>
  <c r="AF25" i="70" s="1"/>
  <c r="AG25" i="70" s="1"/>
  <c r="AH25" i="70" s="1"/>
  <c r="AI25" i="70" s="1"/>
  <c r="AJ25" i="70" s="1"/>
  <c r="AK25" i="70" s="1"/>
  <c r="AL25" i="70" s="1"/>
  <c r="AM25" i="70" s="1"/>
  <c r="AN25" i="70" s="1"/>
  <c r="AO25" i="70" s="1"/>
  <c r="AP25" i="70" s="1"/>
  <c r="AQ25" i="70" s="1"/>
  <c r="AR25" i="70" s="1"/>
  <c r="AS25" i="70" s="1"/>
  <c r="G5" i="70"/>
  <c r="H5" i="70" s="1"/>
  <c r="I5" i="70" s="1"/>
  <c r="J5" i="70" s="1"/>
  <c r="K5" i="70" s="1"/>
  <c r="L5" i="70" s="1"/>
  <c r="M5" i="70" s="1"/>
  <c r="N5" i="70" s="1"/>
  <c r="O5" i="70" s="1"/>
  <c r="P5" i="70" s="1"/>
  <c r="Q5" i="70" s="1"/>
  <c r="R5" i="70" s="1"/>
  <c r="S5" i="70" s="1"/>
  <c r="T5" i="70" s="1"/>
  <c r="U5" i="70" s="1"/>
  <c r="V5" i="70" s="1"/>
  <c r="W5" i="70" s="1"/>
  <c r="X5" i="70" s="1"/>
  <c r="Y5" i="70" s="1"/>
  <c r="Z5" i="70" s="1"/>
  <c r="AA5" i="70" s="1"/>
  <c r="AB5" i="70" s="1"/>
  <c r="AC5" i="70" s="1"/>
  <c r="AD5" i="70" s="1"/>
  <c r="AE5" i="70" s="1"/>
  <c r="AF5" i="70" s="1"/>
  <c r="AG5" i="70" s="1"/>
  <c r="AH5" i="70" s="1"/>
  <c r="AI5" i="70" s="1"/>
  <c r="AJ5" i="70" s="1"/>
  <c r="AK5" i="70" s="1"/>
  <c r="AL5" i="70" s="1"/>
  <c r="AM5" i="70" s="1"/>
  <c r="AN5" i="70" s="1"/>
  <c r="AO5" i="70" s="1"/>
  <c r="AP5" i="70" s="1"/>
  <c r="AQ5" i="70" s="1"/>
  <c r="AR5" i="70" s="1"/>
  <c r="AS5" i="70" s="1"/>
  <c r="B46" i="68"/>
  <c r="F39" i="69"/>
  <c r="F52" i="69" s="1"/>
  <c r="F38" i="69"/>
  <c r="F37" i="69"/>
  <c r="F36" i="69"/>
  <c r="F35" i="69"/>
  <c r="G34" i="69"/>
  <c r="H34" i="69" s="1"/>
  <c r="I34" i="69" s="1"/>
  <c r="J34" i="69" s="1"/>
  <c r="K34" i="69" s="1"/>
  <c r="L34" i="69" s="1"/>
  <c r="M34" i="69" s="1"/>
  <c r="N34" i="69" s="1"/>
  <c r="O34" i="69" s="1"/>
  <c r="P34" i="69" s="1"/>
  <c r="Q34" i="69" s="1"/>
  <c r="R34" i="69" s="1"/>
  <c r="S34" i="69" s="1"/>
  <c r="T34" i="69" s="1"/>
  <c r="U34" i="69" s="1"/>
  <c r="V34" i="69" s="1"/>
  <c r="W34" i="69" s="1"/>
  <c r="X34" i="69" s="1"/>
  <c r="Y34" i="69" s="1"/>
  <c r="Z34" i="69" s="1"/>
  <c r="AA34" i="69" s="1"/>
  <c r="AB34" i="69" s="1"/>
  <c r="AC34" i="69" s="1"/>
  <c r="AD34" i="69" s="1"/>
  <c r="AE34" i="69" s="1"/>
  <c r="AF34" i="69" s="1"/>
  <c r="AG34" i="69" s="1"/>
  <c r="AH34" i="69" s="1"/>
  <c r="AI34" i="69" s="1"/>
  <c r="AJ34" i="69" s="1"/>
  <c r="AK34" i="69" s="1"/>
  <c r="AL34" i="69" s="1"/>
  <c r="AM34" i="69" s="1"/>
  <c r="AN34" i="69" s="1"/>
  <c r="AO34" i="69" s="1"/>
  <c r="AP34" i="69" s="1"/>
  <c r="AQ34" i="69" s="1"/>
  <c r="AR34" i="69" s="1"/>
  <c r="AS34" i="69" s="1"/>
  <c r="G5" i="69"/>
  <c r="H5" i="69" s="1"/>
  <c r="I5" i="69" s="1"/>
  <c r="J5" i="69" s="1"/>
  <c r="K5" i="69" s="1"/>
  <c r="L5" i="69" s="1"/>
  <c r="M5" i="69" s="1"/>
  <c r="N5" i="69" s="1"/>
  <c r="O5" i="69" s="1"/>
  <c r="P5" i="69" s="1"/>
  <c r="Q5" i="69" s="1"/>
  <c r="R5" i="69" s="1"/>
  <c r="S5" i="69" s="1"/>
  <c r="T5" i="69" s="1"/>
  <c r="U5" i="69" s="1"/>
  <c r="V5" i="69" s="1"/>
  <c r="W5" i="69" s="1"/>
  <c r="X5" i="69" s="1"/>
  <c r="Y5" i="69" s="1"/>
  <c r="Z5" i="69" s="1"/>
  <c r="AA5" i="69" s="1"/>
  <c r="AB5" i="69" s="1"/>
  <c r="AC5" i="69" s="1"/>
  <c r="AD5" i="69" s="1"/>
  <c r="AE5" i="69" s="1"/>
  <c r="AF5" i="69" s="1"/>
  <c r="AG5" i="69" s="1"/>
  <c r="AH5" i="69" s="1"/>
  <c r="AI5" i="69" s="1"/>
  <c r="AJ5" i="69" s="1"/>
  <c r="AK5" i="69" s="1"/>
  <c r="AL5" i="69" s="1"/>
  <c r="AM5" i="69" s="1"/>
  <c r="AN5" i="69" s="1"/>
  <c r="AO5" i="69" s="1"/>
  <c r="AP5" i="69" s="1"/>
  <c r="AQ5" i="69" s="1"/>
  <c r="AR5" i="69" s="1"/>
  <c r="AS5" i="69" s="1"/>
  <c r="D18" i="67"/>
  <c r="F18" i="67" s="1"/>
  <c r="D17" i="67"/>
  <c r="F17" i="67" s="1"/>
  <c r="D16" i="67"/>
  <c r="F16" i="67" s="1"/>
  <c r="D15" i="67"/>
  <c r="F15" i="67" s="1"/>
  <c r="F9" i="67"/>
  <c r="F28" i="67"/>
  <c r="F26" i="67"/>
  <c r="F25" i="67"/>
  <c r="F24" i="67"/>
  <c r="F22" i="67"/>
  <c r="F21" i="67"/>
  <c r="E20" i="67"/>
  <c r="F20" i="67" s="1"/>
  <c r="G15" i="60"/>
  <c r="G14" i="60"/>
  <c r="H14" i="60" s="1"/>
  <c r="I14" i="60" s="1"/>
  <c r="J14" i="60" s="1"/>
  <c r="K14" i="60" s="1"/>
  <c r="L14" i="60" s="1"/>
  <c r="M14" i="60" s="1"/>
  <c r="N14" i="60" s="1"/>
  <c r="O14" i="60" s="1"/>
  <c r="P14" i="60" s="1"/>
  <c r="Q14" i="60" s="1"/>
  <c r="R14" i="60" s="1"/>
  <c r="S14" i="60" s="1"/>
  <c r="T14" i="60" s="1"/>
  <c r="U14" i="60" s="1"/>
  <c r="V14" i="60" s="1"/>
  <c r="W14" i="60" s="1"/>
  <c r="X14" i="60" s="1"/>
  <c r="Y14" i="60" s="1"/>
  <c r="Z14" i="60" s="1"/>
  <c r="AA14" i="60" s="1"/>
  <c r="AB14" i="60" s="1"/>
  <c r="AC14" i="60" s="1"/>
  <c r="AD14" i="60" s="1"/>
  <c r="AE14" i="60" s="1"/>
  <c r="AF14" i="60" s="1"/>
  <c r="AG14" i="60" s="1"/>
  <c r="AH14" i="60" s="1"/>
  <c r="AI14" i="60" s="1"/>
  <c r="AJ14" i="60" s="1"/>
  <c r="AK14" i="60" s="1"/>
  <c r="AL14" i="60" s="1"/>
  <c r="AM14" i="60" s="1"/>
  <c r="AN14" i="60" s="1"/>
  <c r="AO14" i="60" s="1"/>
  <c r="AP14" i="60" s="1"/>
  <c r="AQ14" i="60" s="1"/>
  <c r="AR14" i="60" s="1"/>
  <c r="AS14" i="60" s="1"/>
  <c r="G13" i="60"/>
  <c r="G12" i="60"/>
  <c r="H12" i="60" s="1"/>
  <c r="I12" i="60" s="1"/>
  <c r="J12" i="60" s="1"/>
  <c r="K12" i="60" s="1"/>
  <c r="L12" i="60" s="1"/>
  <c r="M12" i="60" s="1"/>
  <c r="N12" i="60" s="1"/>
  <c r="O12" i="60" s="1"/>
  <c r="P12" i="60" s="1"/>
  <c r="Q12" i="60" s="1"/>
  <c r="R12" i="60" s="1"/>
  <c r="S12" i="60" s="1"/>
  <c r="T12" i="60" s="1"/>
  <c r="U12" i="60" s="1"/>
  <c r="V12" i="60" s="1"/>
  <c r="W12" i="60" s="1"/>
  <c r="X12" i="60" s="1"/>
  <c r="Y12" i="60" s="1"/>
  <c r="Z12" i="60" s="1"/>
  <c r="AA12" i="60" s="1"/>
  <c r="AB12" i="60" s="1"/>
  <c r="AC12" i="60" s="1"/>
  <c r="AD12" i="60" s="1"/>
  <c r="AE12" i="60" s="1"/>
  <c r="AF12" i="60" s="1"/>
  <c r="AG12" i="60" s="1"/>
  <c r="AH12" i="60" s="1"/>
  <c r="AI12" i="60" s="1"/>
  <c r="AJ12" i="60" s="1"/>
  <c r="AK12" i="60" s="1"/>
  <c r="AL12" i="60" s="1"/>
  <c r="AM12" i="60" s="1"/>
  <c r="AN12" i="60" s="1"/>
  <c r="AO12" i="60" s="1"/>
  <c r="AP12" i="60" s="1"/>
  <c r="AQ12" i="60" s="1"/>
  <c r="AR12" i="60" s="1"/>
  <c r="AS12" i="60" s="1"/>
  <c r="G11" i="60"/>
  <c r="H11" i="60" s="1"/>
  <c r="I11" i="60" s="1"/>
  <c r="J11" i="60" s="1"/>
  <c r="K11" i="60" s="1"/>
  <c r="L11" i="60" s="1"/>
  <c r="M11" i="60" s="1"/>
  <c r="N11" i="60" s="1"/>
  <c r="O11" i="60" s="1"/>
  <c r="P11" i="60" s="1"/>
  <c r="Q11" i="60" s="1"/>
  <c r="R11" i="60" s="1"/>
  <c r="S11" i="60" s="1"/>
  <c r="T11" i="60" s="1"/>
  <c r="U11" i="60" s="1"/>
  <c r="V11" i="60" s="1"/>
  <c r="W11" i="60" s="1"/>
  <c r="X11" i="60" s="1"/>
  <c r="Y11" i="60" s="1"/>
  <c r="Z11" i="60" s="1"/>
  <c r="AA11" i="60" s="1"/>
  <c r="AB11" i="60" s="1"/>
  <c r="AC11" i="60" s="1"/>
  <c r="AD11" i="60" s="1"/>
  <c r="AE11" i="60" s="1"/>
  <c r="AF11" i="60" s="1"/>
  <c r="AG11" i="60" s="1"/>
  <c r="AH11" i="60" s="1"/>
  <c r="AI11" i="60" s="1"/>
  <c r="AJ11" i="60" s="1"/>
  <c r="AK11" i="60" s="1"/>
  <c r="AL11" i="60" s="1"/>
  <c r="AM11" i="60" s="1"/>
  <c r="AN11" i="60" s="1"/>
  <c r="AO11" i="60" s="1"/>
  <c r="AP11" i="60" s="1"/>
  <c r="AQ11" i="60" s="1"/>
  <c r="AR11" i="60" s="1"/>
  <c r="AS11" i="60" s="1"/>
  <c r="G10" i="60"/>
  <c r="G36" i="72" l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S36" i="72" s="1"/>
  <c r="T36" i="72" s="1"/>
  <c r="U36" i="72" s="1"/>
  <c r="V36" i="72" s="1"/>
  <c r="W36" i="72" s="1"/>
  <c r="X36" i="72" s="1"/>
  <c r="Y36" i="72" s="1"/>
  <c r="Z36" i="72" s="1"/>
  <c r="AA36" i="72" s="1"/>
  <c r="AB36" i="72" s="1"/>
  <c r="AC36" i="72" s="1"/>
  <c r="AD36" i="72" s="1"/>
  <c r="AE36" i="72" s="1"/>
  <c r="AF36" i="72" s="1"/>
  <c r="AG36" i="72" s="1"/>
  <c r="AH36" i="72" s="1"/>
  <c r="AI36" i="72" s="1"/>
  <c r="AJ36" i="72" s="1"/>
  <c r="AJ38" i="72" s="1"/>
  <c r="G17" i="60"/>
  <c r="G22" i="72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S22" i="72" s="1"/>
  <c r="T22" i="72" s="1"/>
  <c r="U22" i="72" s="1"/>
  <c r="V22" i="72" s="1"/>
  <c r="W22" i="72" s="1"/>
  <c r="X22" i="72" s="1"/>
  <c r="Y22" i="72" s="1"/>
  <c r="Z22" i="72" s="1"/>
  <c r="AA22" i="72" s="1"/>
  <c r="AB22" i="72" s="1"/>
  <c r="AC22" i="72" s="1"/>
  <c r="AD22" i="72" s="1"/>
  <c r="AE22" i="72" s="1"/>
  <c r="AF22" i="72" s="1"/>
  <c r="AG22" i="72" s="1"/>
  <c r="AH22" i="72" s="1"/>
  <c r="AI22" i="72" s="1"/>
  <c r="AJ22" i="72" s="1"/>
  <c r="F64" i="61"/>
  <c r="G64" i="61" s="1"/>
  <c r="F25" i="61"/>
  <c r="G25" i="61" s="1"/>
  <c r="F67" i="61"/>
  <c r="G67" i="61" s="1"/>
  <c r="F28" i="61"/>
  <c r="G28" i="61" s="1"/>
  <c r="F66" i="61"/>
  <c r="G66" i="61" s="1"/>
  <c r="H66" i="61" s="1"/>
  <c r="I66" i="61" s="1"/>
  <c r="F27" i="61"/>
  <c r="G27" i="61" s="1"/>
  <c r="F23" i="61"/>
  <c r="G23" i="61" s="1"/>
  <c r="I23" i="61" s="1"/>
  <c r="F62" i="61"/>
  <c r="G62" i="61" s="1"/>
  <c r="F22" i="61"/>
  <c r="G22" i="61" s="1"/>
  <c r="I22" i="61" s="1"/>
  <c r="F61" i="61"/>
  <c r="G61" i="61" s="1"/>
  <c r="F60" i="61"/>
  <c r="G60" i="61" s="1"/>
  <c r="F21" i="61"/>
  <c r="G21" i="61" s="1"/>
  <c r="G38" i="72"/>
  <c r="G39" i="66" s="1"/>
  <c r="E26" i="62" s="1"/>
  <c r="H38" i="72"/>
  <c r="I35" i="72"/>
  <c r="AJ40" i="72"/>
  <c r="AJ40" i="66" s="1"/>
  <c r="AJ39" i="66"/>
  <c r="F42" i="72"/>
  <c r="G24" i="72"/>
  <c r="H21" i="72"/>
  <c r="F26" i="72"/>
  <c r="F14" i="66" s="1"/>
  <c r="F13" i="66"/>
  <c r="D10" i="62" s="1"/>
  <c r="AU11" i="66"/>
  <c r="AU43" i="66"/>
  <c r="D25" i="62"/>
  <c r="F48" i="61"/>
  <c r="F9" i="61"/>
  <c r="F16" i="66" s="1"/>
  <c r="F69" i="61"/>
  <c r="F30" i="61"/>
  <c r="F42" i="66"/>
  <c r="F59" i="61"/>
  <c r="AO12" i="66"/>
  <c r="AO38" i="66"/>
  <c r="K12" i="66"/>
  <c r="K38" i="66"/>
  <c r="U12" i="66"/>
  <c r="U38" i="66"/>
  <c r="H12" i="66"/>
  <c r="H38" i="66"/>
  <c r="G12" i="66"/>
  <c r="G38" i="66"/>
  <c r="T12" i="66"/>
  <c r="T38" i="66"/>
  <c r="AS12" i="66"/>
  <c r="AS38" i="66"/>
  <c r="F12" i="66"/>
  <c r="F38" i="66"/>
  <c r="S12" i="66"/>
  <c r="S38" i="66"/>
  <c r="AE12" i="66"/>
  <c r="AE38" i="66"/>
  <c r="H13" i="60"/>
  <c r="E29" i="59"/>
  <c r="AG12" i="66"/>
  <c r="AG38" i="66"/>
  <c r="L12" i="66"/>
  <c r="L38" i="66"/>
  <c r="H15" i="60"/>
  <c r="H17" i="60" s="1"/>
  <c r="AJ12" i="66"/>
  <c r="AJ38" i="66"/>
  <c r="AR12" i="66"/>
  <c r="AR38" i="66"/>
  <c r="D47" i="65"/>
  <c r="H70" i="61" s="1"/>
  <c r="H10" i="60"/>
  <c r="I10" i="60" s="1"/>
  <c r="E8" i="71"/>
  <c r="F8" i="71" s="1"/>
  <c r="G8" i="71" s="1"/>
  <c r="H8" i="71" s="1"/>
  <c r="I8" i="71" s="1"/>
  <c r="I51" i="63"/>
  <c r="H53" i="63"/>
  <c r="H54" i="63"/>
  <c r="E28" i="70"/>
  <c r="E29" i="70"/>
  <c r="E30" i="70"/>
  <c r="E25" i="71"/>
  <c r="F25" i="71" s="1"/>
  <c r="G25" i="71" s="1"/>
  <c r="F35" i="71"/>
  <c r="G30" i="71"/>
  <c r="G35" i="71" s="1"/>
  <c r="E8" i="70"/>
  <c r="E10" i="70"/>
  <c r="E9" i="70"/>
  <c r="D19" i="67"/>
  <c r="E19" i="67" s="1"/>
  <c r="E8" i="67" s="1"/>
  <c r="G45" i="68"/>
  <c r="F45" i="68"/>
  <c r="E45" i="68"/>
  <c r="G44" i="68"/>
  <c r="F44" i="68"/>
  <c r="E44" i="68"/>
  <c r="G43" i="68"/>
  <c r="F43" i="68"/>
  <c r="E43" i="68"/>
  <c r="G42" i="68"/>
  <c r="F42" i="68"/>
  <c r="E42" i="68"/>
  <c r="AP108" i="68"/>
  <c r="AO108" i="68"/>
  <c r="AN108" i="68"/>
  <c r="AM108" i="68"/>
  <c r="AL108" i="68"/>
  <c r="AK108" i="68"/>
  <c r="AJ108" i="68"/>
  <c r="AI108" i="68"/>
  <c r="AH108" i="68"/>
  <c r="AG108" i="68"/>
  <c r="AF108" i="68"/>
  <c r="AE108" i="68"/>
  <c r="AD108" i="68"/>
  <c r="AC108" i="68"/>
  <c r="AB108" i="68"/>
  <c r="AA108" i="68"/>
  <c r="Z108" i="68"/>
  <c r="Y108" i="68"/>
  <c r="X108" i="68"/>
  <c r="W108" i="68"/>
  <c r="V108" i="68"/>
  <c r="U108" i="68"/>
  <c r="T108" i="68"/>
  <c r="S108" i="68"/>
  <c r="R108" i="68"/>
  <c r="Q108" i="68"/>
  <c r="P108" i="68"/>
  <c r="O108" i="68"/>
  <c r="N108" i="68"/>
  <c r="M108" i="68"/>
  <c r="L108" i="68"/>
  <c r="K108" i="68"/>
  <c r="J108" i="68"/>
  <c r="I108" i="68"/>
  <c r="H108" i="68"/>
  <c r="G108" i="68"/>
  <c r="F108" i="68"/>
  <c r="E108" i="68"/>
  <c r="B86" i="68"/>
  <c r="AP79" i="68"/>
  <c r="AO79" i="68"/>
  <c r="AN79" i="68"/>
  <c r="AM79" i="68"/>
  <c r="AL79" i="68"/>
  <c r="AK79" i="68"/>
  <c r="AJ79" i="68"/>
  <c r="AI79" i="68"/>
  <c r="AH79" i="68"/>
  <c r="AG79" i="68"/>
  <c r="AF79" i="68"/>
  <c r="AE79" i="68"/>
  <c r="AD79" i="68"/>
  <c r="AC79" i="68"/>
  <c r="AB79" i="68"/>
  <c r="AA79" i="68"/>
  <c r="Z79" i="68"/>
  <c r="Y79" i="68"/>
  <c r="X79" i="68"/>
  <c r="W79" i="68"/>
  <c r="V79" i="68"/>
  <c r="U79" i="68"/>
  <c r="T79" i="68"/>
  <c r="S79" i="68"/>
  <c r="R79" i="68"/>
  <c r="Q79" i="68"/>
  <c r="P79" i="68"/>
  <c r="O79" i="68"/>
  <c r="N79" i="68"/>
  <c r="M79" i="68"/>
  <c r="L79" i="68"/>
  <c r="K79" i="68"/>
  <c r="J79" i="68"/>
  <c r="I79" i="68"/>
  <c r="H79" i="68"/>
  <c r="G79" i="68"/>
  <c r="F79" i="68"/>
  <c r="AP11" i="68"/>
  <c r="AP12" i="68" s="1"/>
  <c r="AP61" i="68" s="1"/>
  <c r="AO11" i="68"/>
  <c r="AO12" i="68" s="1"/>
  <c r="AO61" i="68" s="1"/>
  <c r="AN11" i="68"/>
  <c r="AN12" i="68" s="1"/>
  <c r="AN61" i="68" s="1"/>
  <c r="AM11" i="68"/>
  <c r="AM12" i="68" s="1"/>
  <c r="AM61" i="68" s="1"/>
  <c r="AL11" i="68"/>
  <c r="AL12" i="68" s="1"/>
  <c r="AL61" i="68" s="1"/>
  <c r="AK11" i="68"/>
  <c r="AK12" i="68" s="1"/>
  <c r="AK61" i="68" s="1"/>
  <c r="AJ11" i="68"/>
  <c r="AJ12" i="68" s="1"/>
  <c r="AJ61" i="68" s="1"/>
  <c r="AI11" i="68"/>
  <c r="AH11" i="68"/>
  <c r="AH12" i="68" s="1"/>
  <c r="AH61" i="68" s="1"/>
  <c r="AG11" i="68"/>
  <c r="AG12" i="68" s="1"/>
  <c r="AG61" i="68" s="1"/>
  <c r="AF11" i="68"/>
  <c r="AF12" i="68" s="1"/>
  <c r="AF61" i="68" s="1"/>
  <c r="AE11" i="68"/>
  <c r="AE12" i="68" s="1"/>
  <c r="AE61" i="68" s="1"/>
  <c r="AD11" i="68"/>
  <c r="AD12" i="68" s="1"/>
  <c r="AD61" i="68" s="1"/>
  <c r="AC11" i="68"/>
  <c r="AC12" i="68" s="1"/>
  <c r="AC61" i="68" s="1"/>
  <c r="AB11" i="68"/>
  <c r="AB12" i="68" s="1"/>
  <c r="AB61" i="68" s="1"/>
  <c r="AA11" i="68"/>
  <c r="AA12" i="68" s="1"/>
  <c r="AA61" i="68" s="1"/>
  <c r="Z11" i="68"/>
  <c r="Z12" i="68" s="1"/>
  <c r="Z61" i="68" s="1"/>
  <c r="Y11" i="68"/>
  <c r="Y12" i="68" s="1"/>
  <c r="Y61" i="68" s="1"/>
  <c r="X11" i="68"/>
  <c r="X12" i="68" s="1"/>
  <c r="X61" i="68" s="1"/>
  <c r="W11" i="68"/>
  <c r="W12" i="68" s="1"/>
  <c r="W61" i="68" s="1"/>
  <c r="V11" i="68"/>
  <c r="V12" i="68" s="1"/>
  <c r="V61" i="68" s="1"/>
  <c r="U11" i="68"/>
  <c r="U12" i="68" s="1"/>
  <c r="U61" i="68" s="1"/>
  <c r="T11" i="68"/>
  <c r="T12" i="68" s="1"/>
  <c r="T61" i="68" s="1"/>
  <c r="S11" i="68"/>
  <c r="S12" i="68" s="1"/>
  <c r="S61" i="68" s="1"/>
  <c r="R11" i="68"/>
  <c r="R12" i="68" s="1"/>
  <c r="R61" i="68" s="1"/>
  <c r="Q11" i="68"/>
  <c r="Q12" i="68" s="1"/>
  <c r="Q61" i="68" s="1"/>
  <c r="P11" i="68"/>
  <c r="P12" i="68" s="1"/>
  <c r="P61" i="68" s="1"/>
  <c r="O11" i="68"/>
  <c r="O12" i="68" s="1"/>
  <c r="O61" i="68" s="1"/>
  <c r="N11" i="68"/>
  <c r="N12" i="68" s="1"/>
  <c r="N61" i="68" s="1"/>
  <c r="M11" i="68"/>
  <c r="M12" i="68" s="1"/>
  <c r="M61" i="68" s="1"/>
  <c r="L11" i="68"/>
  <c r="L12" i="68" s="1"/>
  <c r="L61" i="68" s="1"/>
  <c r="K11" i="68"/>
  <c r="K12" i="68" s="1"/>
  <c r="K61" i="68" s="1"/>
  <c r="J11" i="68"/>
  <c r="J12" i="68" s="1"/>
  <c r="J61" i="68" s="1"/>
  <c r="I11" i="68"/>
  <c r="I12" i="68" s="1"/>
  <c r="I61" i="68" s="1"/>
  <c r="H11" i="68"/>
  <c r="H12" i="68" s="1"/>
  <c r="H61" i="68" s="1"/>
  <c r="G11" i="68"/>
  <c r="G12" i="68" s="1"/>
  <c r="G61" i="68" s="1"/>
  <c r="F11" i="68"/>
  <c r="F12" i="68" s="1"/>
  <c r="F61" i="68" s="1"/>
  <c r="E11" i="68"/>
  <c r="E50" i="68" s="1"/>
  <c r="D11" i="68"/>
  <c r="D12" i="68" s="1"/>
  <c r="C11" i="68"/>
  <c r="C12" i="68" s="1"/>
  <c r="C27" i="68"/>
  <c r="C26" i="68"/>
  <c r="D26" i="68" s="1"/>
  <c r="B5" i="68"/>
  <c r="B88" i="68" s="1"/>
  <c r="B104" i="68" s="1"/>
  <c r="H27" i="61" l="1"/>
  <c r="I27" i="61" s="1"/>
  <c r="H28" i="61"/>
  <c r="I28" i="61" s="1"/>
  <c r="H67" i="61"/>
  <c r="I67" i="61" s="1"/>
  <c r="H25" i="61"/>
  <c r="I25" i="61" s="1"/>
  <c r="H64" i="61"/>
  <c r="I64" i="61" s="1"/>
  <c r="J10" i="60"/>
  <c r="K10" i="60" s="1"/>
  <c r="L10" i="60" s="1"/>
  <c r="M10" i="60" s="1"/>
  <c r="N10" i="60" s="1"/>
  <c r="O10" i="60" s="1"/>
  <c r="P10" i="60" s="1"/>
  <c r="Q10" i="60" s="1"/>
  <c r="R10" i="60" s="1"/>
  <c r="S10" i="60" s="1"/>
  <c r="T10" i="60" s="1"/>
  <c r="U10" i="60" s="1"/>
  <c r="V10" i="60" s="1"/>
  <c r="W10" i="60" s="1"/>
  <c r="X10" i="60" s="1"/>
  <c r="Y10" i="60" s="1"/>
  <c r="Z10" i="60" s="1"/>
  <c r="AA10" i="60" s="1"/>
  <c r="AB10" i="60" s="1"/>
  <c r="AC10" i="60" s="1"/>
  <c r="AD10" i="60" s="1"/>
  <c r="AE10" i="60" s="1"/>
  <c r="AF10" i="60" s="1"/>
  <c r="AG10" i="60" s="1"/>
  <c r="AH10" i="60" s="1"/>
  <c r="AI10" i="60" s="1"/>
  <c r="AJ10" i="60" s="1"/>
  <c r="AK10" i="60" s="1"/>
  <c r="AL10" i="60" s="1"/>
  <c r="AM10" i="60" s="1"/>
  <c r="AN10" i="60" s="1"/>
  <c r="AO10" i="60" s="1"/>
  <c r="AP10" i="60" s="1"/>
  <c r="AQ10" i="60" s="1"/>
  <c r="AR10" i="60" s="1"/>
  <c r="AS10" i="60" s="1"/>
  <c r="I62" i="61"/>
  <c r="I61" i="61"/>
  <c r="I60" i="61"/>
  <c r="I21" i="61"/>
  <c r="I53" i="61"/>
  <c r="I14" i="61"/>
  <c r="G40" i="72"/>
  <c r="G40" i="66" s="1"/>
  <c r="J35" i="72"/>
  <c r="I38" i="72"/>
  <c r="AJ42" i="72"/>
  <c r="H39" i="66"/>
  <c r="F26" i="62" s="1"/>
  <c r="H40" i="72"/>
  <c r="H40" i="66" s="1"/>
  <c r="F28" i="72"/>
  <c r="I21" i="72"/>
  <c r="H24" i="72"/>
  <c r="G26" i="72"/>
  <c r="G14" i="66" s="1"/>
  <c r="G13" i="66"/>
  <c r="E10" i="62" s="1"/>
  <c r="AU12" i="66"/>
  <c r="AU44" i="66"/>
  <c r="G69" i="61"/>
  <c r="D23" i="62"/>
  <c r="F35" i="66"/>
  <c r="AB42" i="69"/>
  <c r="AB13" i="69"/>
  <c r="O41" i="69"/>
  <c r="O12" i="69"/>
  <c r="Y41" i="69"/>
  <c r="Y12" i="69"/>
  <c r="AI41" i="69"/>
  <c r="AI12" i="69"/>
  <c r="Q42" i="69"/>
  <c r="Q13" i="69"/>
  <c r="AA42" i="69"/>
  <c r="AA13" i="69"/>
  <c r="AK42" i="69"/>
  <c r="AK13" i="69"/>
  <c r="I14" i="69"/>
  <c r="I43" i="69"/>
  <c r="S14" i="69"/>
  <c r="S43" i="69"/>
  <c r="AC14" i="69"/>
  <c r="AC43" i="69"/>
  <c r="AM14" i="69"/>
  <c r="AM43" i="69"/>
  <c r="K15" i="69"/>
  <c r="K44" i="69"/>
  <c r="U15" i="69"/>
  <c r="U44" i="69"/>
  <c r="AE15" i="69"/>
  <c r="AE44" i="69"/>
  <c r="AO15" i="69"/>
  <c r="AO44" i="69"/>
  <c r="Q41" i="69"/>
  <c r="Q12" i="69"/>
  <c r="AA41" i="69"/>
  <c r="AA12" i="69"/>
  <c r="AK41" i="69"/>
  <c r="AK12" i="69"/>
  <c r="I42" i="69"/>
  <c r="I13" i="69"/>
  <c r="S42" i="69"/>
  <c r="S13" i="69"/>
  <c r="AC42" i="69"/>
  <c r="AC13" i="69"/>
  <c r="AM42" i="69"/>
  <c r="AM13" i="69"/>
  <c r="K43" i="69"/>
  <c r="K14" i="69"/>
  <c r="U43" i="69"/>
  <c r="U14" i="69"/>
  <c r="AE43" i="69"/>
  <c r="AE14" i="69"/>
  <c r="AO43" i="69"/>
  <c r="AO14" i="69"/>
  <c r="M44" i="69"/>
  <c r="M15" i="69"/>
  <c r="W15" i="69"/>
  <c r="W44" i="69"/>
  <c r="AG44" i="69"/>
  <c r="AG15" i="69"/>
  <c r="AQ15" i="69"/>
  <c r="AQ44" i="69"/>
  <c r="J12" i="69"/>
  <c r="J41" i="69"/>
  <c r="T41" i="69"/>
  <c r="T12" i="69"/>
  <c r="AD12" i="69"/>
  <c r="AD41" i="69"/>
  <c r="AN12" i="69"/>
  <c r="AN41" i="69"/>
  <c r="L42" i="69"/>
  <c r="L13" i="69"/>
  <c r="V13" i="69"/>
  <c r="V42" i="69"/>
  <c r="AF42" i="69"/>
  <c r="AF13" i="69"/>
  <c r="AP42" i="69"/>
  <c r="AP13" i="69"/>
  <c r="N14" i="69"/>
  <c r="N43" i="69"/>
  <c r="X14" i="69"/>
  <c r="X43" i="69"/>
  <c r="AH43" i="69"/>
  <c r="AH14" i="69"/>
  <c r="AR43" i="69"/>
  <c r="AR14" i="69"/>
  <c r="P44" i="69"/>
  <c r="P15" i="69"/>
  <c r="Z44" i="69"/>
  <c r="Z15" i="69"/>
  <c r="AJ44" i="69"/>
  <c r="AJ15" i="69"/>
  <c r="AS41" i="69"/>
  <c r="AS12" i="69"/>
  <c r="P41" i="69"/>
  <c r="P12" i="69"/>
  <c r="Z41" i="69"/>
  <c r="Z12" i="69"/>
  <c r="AJ41" i="69"/>
  <c r="AJ12" i="69"/>
  <c r="H13" i="69"/>
  <c r="H42" i="69"/>
  <c r="R42" i="69"/>
  <c r="R13" i="69"/>
  <c r="AL42" i="69"/>
  <c r="AL13" i="69"/>
  <c r="J14" i="69"/>
  <c r="J43" i="69"/>
  <c r="T43" i="69"/>
  <c r="T14" i="69"/>
  <c r="AD43" i="69"/>
  <c r="AD14" i="69"/>
  <c r="AN43" i="69"/>
  <c r="AN14" i="69"/>
  <c r="L15" i="69"/>
  <c r="L44" i="69"/>
  <c r="V15" i="69"/>
  <c r="V44" i="69"/>
  <c r="AF15" i="69"/>
  <c r="AF44" i="69"/>
  <c r="AP15" i="69"/>
  <c r="AP44" i="69"/>
  <c r="H12" i="69"/>
  <c r="H41" i="69"/>
  <c r="R12" i="69"/>
  <c r="R41" i="69"/>
  <c r="AB41" i="69"/>
  <c r="AB12" i="69"/>
  <c r="AL41" i="69"/>
  <c r="AL12" i="69"/>
  <c r="J42" i="69"/>
  <c r="J13" i="69"/>
  <c r="T42" i="69"/>
  <c r="T13" i="69"/>
  <c r="AD42" i="69"/>
  <c r="AD13" i="69"/>
  <c r="AN42" i="69"/>
  <c r="AN13" i="69"/>
  <c r="L43" i="69"/>
  <c r="L14" i="69"/>
  <c r="V43" i="69"/>
  <c r="V14" i="69"/>
  <c r="AF43" i="69"/>
  <c r="AF14" i="69"/>
  <c r="AP43" i="69"/>
  <c r="AP14" i="69"/>
  <c r="N44" i="69"/>
  <c r="N15" i="69"/>
  <c r="X44" i="69"/>
  <c r="X15" i="69"/>
  <c r="AH44" i="69"/>
  <c r="AH15" i="69"/>
  <c r="AR44" i="69"/>
  <c r="AR15" i="69"/>
  <c r="B102" i="68"/>
  <c r="B108" i="68" s="1"/>
  <c r="E33" i="70"/>
  <c r="E13" i="70"/>
  <c r="I41" i="69"/>
  <c r="I12" i="69"/>
  <c r="S12" i="69"/>
  <c r="S41" i="69"/>
  <c r="AC41" i="69"/>
  <c r="AC12" i="69"/>
  <c r="AM12" i="69"/>
  <c r="AM41" i="69"/>
  <c r="K42" i="69"/>
  <c r="K13" i="69"/>
  <c r="U13" i="69"/>
  <c r="U42" i="69"/>
  <c r="AE13" i="69"/>
  <c r="AE42" i="69"/>
  <c r="AO42" i="69"/>
  <c r="AO13" i="69"/>
  <c r="M43" i="69"/>
  <c r="M14" i="69"/>
  <c r="W43" i="69"/>
  <c r="W14" i="69"/>
  <c r="AG43" i="69"/>
  <c r="AG14" i="69"/>
  <c r="AQ43" i="69"/>
  <c r="AQ14" i="69"/>
  <c r="O44" i="69"/>
  <c r="O15" i="69"/>
  <c r="Y44" i="69"/>
  <c r="Y15" i="69"/>
  <c r="AI44" i="69"/>
  <c r="AI15" i="69"/>
  <c r="AS44" i="69"/>
  <c r="AS15" i="69"/>
  <c r="K12" i="69"/>
  <c r="K41" i="69"/>
  <c r="U12" i="69"/>
  <c r="U41" i="69"/>
  <c r="AE12" i="69"/>
  <c r="AE41" i="69"/>
  <c r="AO12" i="69"/>
  <c r="AO41" i="69"/>
  <c r="M13" i="69"/>
  <c r="M42" i="69"/>
  <c r="W42" i="69"/>
  <c r="W13" i="69"/>
  <c r="AG13" i="69"/>
  <c r="AG42" i="69"/>
  <c r="AQ42" i="69"/>
  <c r="AQ13" i="69"/>
  <c r="O43" i="69"/>
  <c r="O14" i="69"/>
  <c r="Y14" i="69"/>
  <c r="Y43" i="69"/>
  <c r="AI43" i="69"/>
  <c r="AI14" i="69"/>
  <c r="AS14" i="69"/>
  <c r="AS43" i="69"/>
  <c r="Q15" i="69"/>
  <c r="Q44" i="69"/>
  <c r="AA44" i="69"/>
  <c r="AA15" i="69"/>
  <c r="AK15" i="69"/>
  <c r="AK44" i="69"/>
  <c r="L12" i="69"/>
  <c r="L41" i="69"/>
  <c r="V12" i="69"/>
  <c r="V41" i="69"/>
  <c r="AF12" i="69"/>
  <c r="AF41" i="69"/>
  <c r="AP12" i="69"/>
  <c r="AP41" i="69"/>
  <c r="N13" i="69"/>
  <c r="N42" i="69"/>
  <c r="X13" i="69"/>
  <c r="X42" i="69"/>
  <c r="AH13" i="69"/>
  <c r="AH42" i="69"/>
  <c r="AR13" i="69"/>
  <c r="AR42" i="69"/>
  <c r="P43" i="69"/>
  <c r="P14" i="69"/>
  <c r="Z14" i="69"/>
  <c r="Z43" i="69"/>
  <c r="AJ43" i="69"/>
  <c r="AJ14" i="69"/>
  <c r="H15" i="69"/>
  <c r="H44" i="69"/>
  <c r="R15" i="69"/>
  <c r="R44" i="69"/>
  <c r="AB44" i="69"/>
  <c r="AB15" i="69"/>
  <c r="AL44" i="69"/>
  <c r="AL15" i="69"/>
  <c r="M41" i="69"/>
  <c r="M12" i="69"/>
  <c r="W41" i="69"/>
  <c r="W12" i="69"/>
  <c r="AG41" i="69"/>
  <c r="AG12" i="69"/>
  <c r="AQ12" i="69"/>
  <c r="AQ41" i="69"/>
  <c r="O13" i="69"/>
  <c r="O42" i="69"/>
  <c r="Y13" i="69"/>
  <c r="Y42" i="69"/>
  <c r="AI13" i="69"/>
  <c r="AI42" i="69"/>
  <c r="AS13" i="69"/>
  <c r="AS42" i="69"/>
  <c r="Q14" i="69"/>
  <c r="Q43" i="69"/>
  <c r="AA14" i="69"/>
  <c r="AA43" i="69"/>
  <c r="AK14" i="69"/>
  <c r="AK43" i="69"/>
  <c r="I44" i="69"/>
  <c r="I15" i="69"/>
  <c r="S15" i="69"/>
  <c r="S44" i="69"/>
  <c r="AC44" i="69"/>
  <c r="AC15" i="69"/>
  <c r="AM15" i="69"/>
  <c r="AM44" i="69"/>
  <c r="N41" i="69"/>
  <c r="N12" i="69"/>
  <c r="X12" i="69"/>
  <c r="X41" i="69"/>
  <c r="AH41" i="69"/>
  <c r="AH12" i="69"/>
  <c r="AR41" i="69"/>
  <c r="AR12" i="69"/>
  <c r="P13" i="69"/>
  <c r="P42" i="69"/>
  <c r="Z13" i="69"/>
  <c r="Z42" i="69"/>
  <c r="AJ13" i="69"/>
  <c r="AJ42" i="69"/>
  <c r="H14" i="69"/>
  <c r="H43" i="69"/>
  <c r="R14" i="69"/>
  <c r="R43" i="69"/>
  <c r="AB14" i="69"/>
  <c r="AB43" i="69"/>
  <c r="AL14" i="69"/>
  <c r="AL43" i="69"/>
  <c r="J15" i="69"/>
  <c r="J44" i="69"/>
  <c r="T15" i="69"/>
  <c r="T44" i="69"/>
  <c r="AD15" i="69"/>
  <c r="AD44" i="69"/>
  <c r="AN15" i="69"/>
  <c r="AN44" i="69"/>
  <c r="I13" i="60"/>
  <c r="F29" i="59"/>
  <c r="I15" i="60"/>
  <c r="I17" i="60" s="1"/>
  <c r="F24" i="62"/>
  <c r="H36" i="66"/>
  <c r="H25" i="71"/>
  <c r="I25" i="71" s="1"/>
  <c r="J51" i="63"/>
  <c r="I53" i="63"/>
  <c r="E45" i="65" s="1"/>
  <c r="I54" i="63"/>
  <c r="E46" i="65" s="1"/>
  <c r="D22" i="68"/>
  <c r="G39" i="69" s="1"/>
  <c r="G52" i="69" s="1"/>
  <c r="F19" i="67"/>
  <c r="B92" i="68"/>
  <c r="AL50" i="68"/>
  <c r="AM50" i="68"/>
  <c r="H50" i="68"/>
  <c r="I50" i="68"/>
  <c r="AH50" i="68"/>
  <c r="AJ50" i="68"/>
  <c r="AG50" i="68"/>
  <c r="AK50" i="68"/>
  <c r="E12" i="68"/>
  <c r="E61" i="68" s="1"/>
  <c r="AI12" i="68"/>
  <c r="AI61" i="68" s="1"/>
  <c r="AI50" i="68"/>
  <c r="P50" i="68"/>
  <c r="Q50" i="68"/>
  <c r="R50" i="68"/>
  <c r="S50" i="68"/>
  <c r="AC50" i="68"/>
  <c r="F50" i="68"/>
  <c r="G50" i="68"/>
  <c r="W50" i="68"/>
  <c r="X50" i="68"/>
  <c r="Z50" i="68"/>
  <c r="N50" i="68"/>
  <c r="AA50" i="68"/>
  <c r="Y50" i="68"/>
  <c r="M50" i="68"/>
  <c r="O50" i="68"/>
  <c r="AB50" i="68"/>
  <c r="J50" i="68"/>
  <c r="T50" i="68"/>
  <c r="AD50" i="68"/>
  <c r="AN50" i="68"/>
  <c r="K50" i="68"/>
  <c r="U50" i="68"/>
  <c r="AE50" i="68"/>
  <c r="AO50" i="68"/>
  <c r="L50" i="68"/>
  <c r="V50" i="68"/>
  <c r="AF50" i="68"/>
  <c r="AP50" i="68"/>
  <c r="E26" i="68"/>
  <c r="F26" i="68" s="1"/>
  <c r="G26" i="68" s="1"/>
  <c r="C28" i="68"/>
  <c r="C88" i="68" s="1"/>
  <c r="C104" i="68" s="1"/>
  <c r="D27" i="68"/>
  <c r="E27" i="68" s="1"/>
  <c r="F27" i="68" s="1"/>
  <c r="G27" i="68" s="1"/>
  <c r="H27" i="68" s="1"/>
  <c r="I27" i="68" s="1"/>
  <c r="J27" i="68" s="1"/>
  <c r="K27" i="68" s="1"/>
  <c r="L27" i="68" s="1"/>
  <c r="M27" i="68" s="1"/>
  <c r="N27" i="68" s="1"/>
  <c r="O27" i="68" s="1"/>
  <c r="P27" i="68" s="1"/>
  <c r="Q27" i="68" s="1"/>
  <c r="R27" i="68" s="1"/>
  <c r="S27" i="68" s="1"/>
  <c r="T27" i="68" s="1"/>
  <c r="U27" i="68" s="1"/>
  <c r="V27" i="68" s="1"/>
  <c r="W27" i="68" s="1"/>
  <c r="X27" i="68" s="1"/>
  <c r="Y27" i="68" s="1"/>
  <c r="Z27" i="68" s="1"/>
  <c r="AA27" i="68" s="1"/>
  <c r="AB27" i="68" s="1"/>
  <c r="AC27" i="68" s="1"/>
  <c r="AD27" i="68" s="1"/>
  <c r="AE27" i="68" s="1"/>
  <c r="AF27" i="68" s="1"/>
  <c r="AG27" i="68" s="1"/>
  <c r="AH27" i="68" s="1"/>
  <c r="AI27" i="68" s="1"/>
  <c r="AJ27" i="68" s="1"/>
  <c r="AK27" i="68" s="1"/>
  <c r="AL27" i="68" s="1"/>
  <c r="AM27" i="68" s="1"/>
  <c r="AN27" i="68" s="1"/>
  <c r="AO27" i="68" s="1"/>
  <c r="AP27" i="68" s="1"/>
  <c r="J25" i="71" l="1"/>
  <c r="K25" i="71" s="1"/>
  <c r="L25" i="71" s="1"/>
  <c r="M25" i="71" s="1"/>
  <c r="N25" i="71" s="1"/>
  <c r="O25" i="71" s="1"/>
  <c r="P25" i="71" s="1"/>
  <c r="Q25" i="71" s="1"/>
  <c r="R25" i="71" s="1"/>
  <c r="S25" i="71" s="1"/>
  <c r="T25" i="71" s="1"/>
  <c r="U25" i="71" s="1"/>
  <c r="V25" i="71" s="1"/>
  <c r="W25" i="71" s="1"/>
  <c r="X25" i="71" s="1"/>
  <c r="Y25" i="71" s="1"/>
  <c r="Z25" i="71" s="1"/>
  <c r="AA25" i="71" s="1"/>
  <c r="AB25" i="71" s="1"/>
  <c r="AC25" i="71" s="1"/>
  <c r="AD25" i="71" s="1"/>
  <c r="AE25" i="71" s="1"/>
  <c r="AF25" i="71" s="1"/>
  <c r="AG25" i="71" s="1"/>
  <c r="AH25" i="71" s="1"/>
  <c r="AI25" i="71" s="1"/>
  <c r="AJ25" i="71" s="1"/>
  <c r="AK25" i="71" s="1"/>
  <c r="AL25" i="71" s="1"/>
  <c r="AM25" i="71" s="1"/>
  <c r="AN25" i="71" s="1"/>
  <c r="AO25" i="71" s="1"/>
  <c r="AP25" i="71" s="1"/>
  <c r="AQ25" i="71" s="1"/>
  <c r="AR25" i="71" s="1"/>
  <c r="AS25" i="71" s="1"/>
  <c r="J60" i="61"/>
  <c r="K60" i="61" s="1"/>
  <c r="L60" i="61" s="1"/>
  <c r="M60" i="61" s="1"/>
  <c r="N60" i="61" s="1"/>
  <c r="O60" i="61" s="1"/>
  <c r="P60" i="61" s="1"/>
  <c r="Q60" i="61" s="1"/>
  <c r="R60" i="61" s="1"/>
  <c r="S60" i="61" s="1"/>
  <c r="T60" i="61" s="1"/>
  <c r="U60" i="61" s="1"/>
  <c r="V60" i="61" s="1"/>
  <c r="W60" i="61" s="1"/>
  <c r="X60" i="61" s="1"/>
  <c r="Y60" i="61" s="1"/>
  <c r="Z60" i="61" s="1"/>
  <c r="AA60" i="61" s="1"/>
  <c r="AB60" i="61" s="1"/>
  <c r="AC60" i="61" s="1"/>
  <c r="AD60" i="61" s="1"/>
  <c r="AE60" i="61" s="1"/>
  <c r="AF60" i="61" s="1"/>
  <c r="AG60" i="61" s="1"/>
  <c r="AH60" i="61" s="1"/>
  <c r="AI60" i="61" s="1"/>
  <c r="AJ60" i="61" s="1"/>
  <c r="AK60" i="61" s="1"/>
  <c r="AL60" i="61" s="1"/>
  <c r="AM60" i="61" s="1"/>
  <c r="AN60" i="61" s="1"/>
  <c r="AO60" i="61" s="1"/>
  <c r="AP60" i="61" s="1"/>
  <c r="AQ60" i="61" s="1"/>
  <c r="AR60" i="61" s="1"/>
  <c r="AS60" i="61" s="1"/>
  <c r="J61" i="61"/>
  <c r="K61" i="61" s="1"/>
  <c r="L61" i="61" s="1"/>
  <c r="M61" i="61" s="1"/>
  <c r="N61" i="61" s="1"/>
  <c r="O61" i="61" s="1"/>
  <c r="P61" i="61" s="1"/>
  <c r="Q61" i="61" s="1"/>
  <c r="R61" i="61" s="1"/>
  <c r="S61" i="61" s="1"/>
  <c r="T61" i="61" s="1"/>
  <c r="U61" i="61" s="1"/>
  <c r="V61" i="61" s="1"/>
  <c r="W61" i="61" s="1"/>
  <c r="X61" i="61" s="1"/>
  <c r="Y61" i="61" s="1"/>
  <c r="Z61" i="61" s="1"/>
  <c r="AA61" i="61" s="1"/>
  <c r="AB61" i="61" s="1"/>
  <c r="AC61" i="61" s="1"/>
  <c r="AD61" i="61" s="1"/>
  <c r="AE61" i="61" s="1"/>
  <c r="AF61" i="61" s="1"/>
  <c r="AG61" i="61" s="1"/>
  <c r="AH61" i="61" s="1"/>
  <c r="AI61" i="61" s="1"/>
  <c r="AJ61" i="61" s="1"/>
  <c r="AK61" i="61" s="1"/>
  <c r="AL61" i="61" s="1"/>
  <c r="AM61" i="61" s="1"/>
  <c r="AN61" i="61" s="1"/>
  <c r="AO61" i="61" s="1"/>
  <c r="AP61" i="61" s="1"/>
  <c r="AQ61" i="61" s="1"/>
  <c r="AR61" i="61" s="1"/>
  <c r="AS61" i="61" s="1"/>
  <c r="J62" i="61"/>
  <c r="K62" i="61" s="1"/>
  <c r="L62" i="61" s="1"/>
  <c r="M62" i="61" s="1"/>
  <c r="N62" i="61" s="1"/>
  <c r="O62" i="61" s="1"/>
  <c r="P62" i="61" s="1"/>
  <c r="Q62" i="61" s="1"/>
  <c r="R62" i="61" s="1"/>
  <c r="S62" i="61" s="1"/>
  <c r="T62" i="61" s="1"/>
  <c r="U62" i="61" s="1"/>
  <c r="V62" i="61" s="1"/>
  <c r="W62" i="61" s="1"/>
  <c r="X62" i="61" s="1"/>
  <c r="Y62" i="61" s="1"/>
  <c r="Z62" i="61" s="1"/>
  <c r="AA62" i="61" s="1"/>
  <c r="AB62" i="61" s="1"/>
  <c r="AC62" i="61" s="1"/>
  <c r="AD62" i="61" s="1"/>
  <c r="AE62" i="61" s="1"/>
  <c r="AF62" i="61" s="1"/>
  <c r="AG62" i="61" s="1"/>
  <c r="AH62" i="61" s="1"/>
  <c r="AI62" i="61" s="1"/>
  <c r="AJ62" i="61" s="1"/>
  <c r="AK62" i="61" s="1"/>
  <c r="AL62" i="61" s="1"/>
  <c r="AM62" i="61" s="1"/>
  <c r="AN62" i="61" s="1"/>
  <c r="AO62" i="61" s="1"/>
  <c r="AP62" i="61" s="1"/>
  <c r="AQ62" i="61" s="1"/>
  <c r="AR62" i="61" s="1"/>
  <c r="AS62" i="61" s="1"/>
  <c r="J66" i="61"/>
  <c r="K66" i="61" s="1"/>
  <c r="L66" i="61" s="1"/>
  <c r="M66" i="61" s="1"/>
  <c r="N66" i="61" s="1"/>
  <c r="O66" i="61" s="1"/>
  <c r="P66" i="61" s="1"/>
  <c r="Q66" i="61" s="1"/>
  <c r="R66" i="61" s="1"/>
  <c r="S66" i="61" s="1"/>
  <c r="T66" i="61" s="1"/>
  <c r="U66" i="61" s="1"/>
  <c r="V66" i="61" s="1"/>
  <c r="W66" i="61" s="1"/>
  <c r="X66" i="61" s="1"/>
  <c r="Y66" i="61" s="1"/>
  <c r="Z66" i="61" s="1"/>
  <c r="AA66" i="61" s="1"/>
  <c r="AB66" i="61" s="1"/>
  <c r="AC66" i="61" s="1"/>
  <c r="AD66" i="61" s="1"/>
  <c r="AE66" i="61" s="1"/>
  <c r="AF66" i="61" s="1"/>
  <c r="AG66" i="61" s="1"/>
  <c r="AH66" i="61" s="1"/>
  <c r="AI66" i="61" s="1"/>
  <c r="AJ66" i="61" s="1"/>
  <c r="AK66" i="61" s="1"/>
  <c r="AL66" i="61" s="1"/>
  <c r="AM66" i="61" s="1"/>
  <c r="AN66" i="61" s="1"/>
  <c r="AO66" i="61" s="1"/>
  <c r="AP66" i="61" s="1"/>
  <c r="AQ66" i="61" s="1"/>
  <c r="AR66" i="61" s="1"/>
  <c r="AS66" i="61" s="1"/>
  <c r="J25" i="61"/>
  <c r="K25" i="61" s="1"/>
  <c r="L25" i="61" s="1"/>
  <c r="M25" i="61" s="1"/>
  <c r="N25" i="61" s="1"/>
  <c r="O25" i="61" s="1"/>
  <c r="P25" i="61" s="1"/>
  <c r="Q25" i="61" s="1"/>
  <c r="R25" i="61" s="1"/>
  <c r="S25" i="61" s="1"/>
  <c r="T25" i="61" s="1"/>
  <c r="U25" i="61" s="1"/>
  <c r="V25" i="61" s="1"/>
  <c r="W25" i="61" s="1"/>
  <c r="X25" i="61" s="1"/>
  <c r="Y25" i="61" s="1"/>
  <c r="Z25" i="61" s="1"/>
  <c r="AA25" i="61" s="1"/>
  <c r="AB25" i="61" s="1"/>
  <c r="AC25" i="61" s="1"/>
  <c r="AD25" i="61" s="1"/>
  <c r="AE25" i="61" s="1"/>
  <c r="AF25" i="61" s="1"/>
  <c r="AG25" i="61" s="1"/>
  <c r="AH25" i="61" s="1"/>
  <c r="AI25" i="61" s="1"/>
  <c r="AJ25" i="61" s="1"/>
  <c r="AK25" i="61" s="1"/>
  <c r="AL25" i="61" s="1"/>
  <c r="AM25" i="61" s="1"/>
  <c r="AN25" i="61" s="1"/>
  <c r="AO25" i="61" s="1"/>
  <c r="AP25" i="61" s="1"/>
  <c r="AQ25" i="61" s="1"/>
  <c r="AR25" i="61" s="1"/>
  <c r="AS25" i="61" s="1"/>
  <c r="J64" i="61"/>
  <c r="K64" i="61" s="1"/>
  <c r="L64" i="61" s="1"/>
  <c r="M64" i="61" s="1"/>
  <c r="N64" i="61" s="1"/>
  <c r="O64" i="61" s="1"/>
  <c r="P64" i="61" s="1"/>
  <c r="Q64" i="61" s="1"/>
  <c r="R64" i="61" s="1"/>
  <c r="S64" i="61" s="1"/>
  <c r="T64" i="61" s="1"/>
  <c r="U64" i="61" s="1"/>
  <c r="V64" i="61" s="1"/>
  <c r="W64" i="61" s="1"/>
  <c r="X64" i="61" s="1"/>
  <c r="Y64" i="61" s="1"/>
  <c r="Z64" i="61" s="1"/>
  <c r="AA64" i="61" s="1"/>
  <c r="AB64" i="61" s="1"/>
  <c r="AC64" i="61" s="1"/>
  <c r="AD64" i="61" s="1"/>
  <c r="AE64" i="61" s="1"/>
  <c r="AF64" i="61" s="1"/>
  <c r="AG64" i="61" s="1"/>
  <c r="AH64" i="61" s="1"/>
  <c r="AI64" i="61" s="1"/>
  <c r="AJ64" i="61" s="1"/>
  <c r="AK64" i="61" s="1"/>
  <c r="AL64" i="61" s="1"/>
  <c r="AM64" i="61" s="1"/>
  <c r="AN64" i="61" s="1"/>
  <c r="AO64" i="61" s="1"/>
  <c r="AP64" i="61" s="1"/>
  <c r="AQ64" i="61" s="1"/>
  <c r="AR64" i="61" s="1"/>
  <c r="AS64" i="61" s="1"/>
  <c r="J67" i="61"/>
  <c r="K67" i="61" s="1"/>
  <c r="L67" i="61" s="1"/>
  <c r="M67" i="61" s="1"/>
  <c r="N67" i="61" s="1"/>
  <c r="O67" i="61" s="1"/>
  <c r="P67" i="61" s="1"/>
  <c r="Q67" i="61" s="1"/>
  <c r="R67" i="61" s="1"/>
  <c r="S67" i="61" s="1"/>
  <c r="T67" i="61" s="1"/>
  <c r="U67" i="61" s="1"/>
  <c r="V67" i="61" s="1"/>
  <c r="W67" i="61" s="1"/>
  <c r="X67" i="61" s="1"/>
  <c r="Y67" i="61" s="1"/>
  <c r="Z67" i="61" s="1"/>
  <c r="AA67" i="61" s="1"/>
  <c r="AB67" i="61" s="1"/>
  <c r="AC67" i="61" s="1"/>
  <c r="AD67" i="61" s="1"/>
  <c r="AE67" i="61" s="1"/>
  <c r="AF67" i="61" s="1"/>
  <c r="AG67" i="61" s="1"/>
  <c r="AH67" i="61" s="1"/>
  <c r="AI67" i="61" s="1"/>
  <c r="AJ67" i="61" s="1"/>
  <c r="AK67" i="61" s="1"/>
  <c r="AL67" i="61" s="1"/>
  <c r="AM67" i="61" s="1"/>
  <c r="AN67" i="61" s="1"/>
  <c r="AO67" i="61" s="1"/>
  <c r="AP67" i="61" s="1"/>
  <c r="AQ67" i="61" s="1"/>
  <c r="AR67" i="61" s="1"/>
  <c r="AS67" i="61" s="1"/>
  <c r="J14" i="61"/>
  <c r="K14" i="61" s="1"/>
  <c r="L14" i="61" s="1"/>
  <c r="M14" i="61" s="1"/>
  <c r="N14" i="61" s="1"/>
  <c r="O14" i="61" s="1"/>
  <c r="P14" i="61" s="1"/>
  <c r="Q14" i="61" s="1"/>
  <c r="R14" i="61" s="1"/>
  <c r="S14" i="61" s="1"/>
  <c r="T14" i="61" s="1"/>
  <c r="U14" i="61" s="1"/>
  <c r="V14" i="61" s="1"/>
  <c r="W14" i="61" s="1"/>
  <c r="X14" i="61" s="1"/>
  <c r="Y14" i="61" s="1"/>
  <c r="Z14" i="61" s="1"/>
  <c r="AA14" i="61" s="1"/>
  <c r="AB14" i="61" s="1"/>
  <c r="AC14" i="61" s="1"/>
  <c r="AD14" i="61" s="1"/>
  <c r="AE14" i="61" s="1"/>
  <c r="AF14" i="61" s="1"/>
  <c r="AG14" i="61" s="1"/>
  <c r="AH14" i="61" s="1"/>
  <c r="AI14" i="61" s="1"/>
  <c r="AJ14" i="61" s="1"/>
  <c r="AK14" i="61" s="1"/>
  <c r="AL14" i="61" s="1"/>
  <c r="AM14" i="61" s="1"/>
  <c r="AN14" i="61" s="1"/>
  <c r="AO14" i="61" s="1"/>
  <c r="AP14" i="61" s="1"/>
  <c r="AQ14" i="61" s="1"/>
  <c r="AR14" i="61" s="1"/>
  <c r="AS14" i="61" s="1"/>
  <c r="J28" i="61"/>
  <c r="K28" i="61" s="1"/>
  <c r="L28" i="61" s="1"/>
  <c r="M28" i="61" s="1"/>
  <c r="N28" i="61" s="1"/>
  <c r="O28" i="61" s="1"/>
  <c r="P28" i="61" s="1"/>
  <c r="Q28" i="61" s="1"/>
  <c r="R28" i="61" s="1"/>
  <c r="S28" i="61" s="1"/>
  <c r="T28" i="61" s="1"/>
  <c r="U28" i="61" s="1"/>
  <c r="V28" i="61" s="1"/>
  <c r="W28" i="61" s="1"/>
  <c r="X28" i="61" s="1"/>
  <c r="Y28" i="61" s="1"/>
  <c r="Z28" i="61" s="1"/>
  <c r="AA28" i="61" s="1"/>
  <c r="AB28" i="61" s="1"/>
  <c r="AC28" i="61" s="1"/>
  <c r="AD28" i="61" s="1"/>
  <c r="AE28" i="61" s="1"/>
  <c r="AF28" i="61" s="1"/>
  <c r="AG28" i="61" s="1"/>
  <c r="AH28" i="61" s="1"/>
  <c r="AI28" i="61" s="1"/>
  <c r="AJ28" i="61" s="1"/>
  <c r="AK28" i="61" s="1"/>
  <c r="AL28" i="61" s="1"/>
  <c r="AM28" i="61" s="1"/>
  <c r="AN28" i="61" s="1"/>
  <c r="AO28" i="61" s="1"/>
  <c r="AP28" i="61" s="1"/>
  <c r="AQ28" i="61" s="1"/>
  <c r="AR28" i="61" s="1"/>
  <c r="AS28" i="61" s="1"/>
  <c r="J53" i="61"/>
  <c r="K53" i="61" s="1"/>
  <c r="L53" i="61" s="1"/>
  <c r="M53" i="61" s="1"/>
  <c r="N53" i="61" s="1"/>
  <c r="O53" i="61" s="1"/>
  <c r="P53" i="61" s="1"/>
  <c r="Q53" i="61" s="1"/>
  <c r="R53" i="61" s="1"/>
  <c r="S53" i="61" s="1"/>
  <c r="T53" i="61" s="1"/>
  <c r="U53" i="61" s="1"/>
  <c r="V53" i="61" s="1"/>
  <c r="W53" i="61" s="1"/>
  <c r="X53" i="61" s="1"/>
  <c r="Y53" i="61" s="1"/>
  <c r="Z53" i="61" s="1"/>
  <c r="AA53" i="61" s="1"/>
  <c r="AB53" i="61" s="1"/>
  <c r="AC53" i="61" s="1"/>
  <c r="AD53" i="61" s="1"/>
  <c r="AE53" i="61" s="1"/>
  <c r="AF53" i="61" s="1"/>
  <c r="AG53" i="61" s="1"/>
  <c r="AH53" i="61" s="1"/>
  <c r="AI53" i="61" s="1"/>
  <c r="AJ53" i="61" s="1"/>
  <c r="AK53" i="61" s="1"/>
  <c r="AL53" i="61" s="1"/>
  <c r="AM53" i="61" s="1"/>
  <c r="AN53" i="61" s="1"/>
  <c r="AO53" i="61" s="1"/>
  <c r="AP53" i="61" s="1"/>
  <c r="AQ53" i="61" s="1"/>
  <c r="AR53" i="61" s="1"/>
  <c r="AS53" i="61" s="1"/>
  <c r="J27" i="61"/>
  <c r="K27" i="61" s="1"/>
  <c r="L27" i="61" s="1"/>
  <c r="M27" i="61" s="1"/>
  <c r="N27" i="61" s="1"/>
  <c r="O27" i="61" s="1"/>
  <c r="P27" i="61" s="1"/>
  <c r="Q27" i="61" s="1"/>
  <c r="R27" i="61" s="1"/>
  <c r="S27" i="61" s="1"/>
  <c r="T27" i="61" s="1"/>
  <c r="U27" i="61" s="1"/>
  <c r="V27" i="61" s="1"/>
  <c r="W27" i="61" s="1"/>
  <c r="X27" i="61" s="1"/>
  <c r="Y27" i="61" s="1"/>
  <c r="Z27" i="61" s="1"/>
  <c r="AA27" i="61" s="1"/>
  <c r="AB27" i="61" s="1"/>
  <c r="AC27" i="61" s="1"/>
  <c r="AD27" i="61" s="1"/>
  <c r="AE27" i="61" s="1"/>
  <c r="AF27" i="61" s="1"/>
  <c r="AG27" i="61" s="1"/>
  <c r="AH27" i="61" s="1"/>
  <c r="AI27" i="61" s="1"/>
  <c r="AJ27" i="61" s="1"/>
  <c r="AK27" i="61" s="1"/>
  <c r="AL27" i="61" s="1"/>
  <c r="AM27" i="61" s="1"/>
  <c r="AN27" i="61" s="1"/>
  <c r="AO27" i="61" s="1"/>
  <c r="AP27" i="61" s="1"/>
  <c r="AQ27" i="61" s="1"/>
  <c r="AR27" i="61" s="1"/>
  <c r="AS27" i="61" s="1"/>
  <c r="J8" i="71"/>
  <c r="K8" i="71" s="1"/>
  <c r="L8" i="71" s="1"/>
  <c r="M8" i="71" s="1"/>
  <c r="N8" i="71" s="1"/>
  <c r="O8" i="71" s="1"/>
  <c r="P8" i="71" s="1"/>
  <c r="Q8" i="71" s="1"/>
  <c r="R8" i="71" s="1"/>
  <c r="S8" i="71" s="1"/>
  <c r="T8" i="71" s="1"/>
  <c r="U8" i="71" s="1"/>
  <c r="V8" i="71" s="1"/>
  <c r="W8" i="71" s="1"/>
  <c r="X8" i="71" s="1"/>
  <c r="Y8" i="71" s="1"/>
  <c r="Z8" i="71" s="1"/>
  <c r="AA8" i="71" s="1"/>
  <c r="AB8" i="71" s="1"/>
  <c r="AC8" i="71" s="1"/>
  <c r="AD8" i="71" s="1"/>
  <c r="AE8" i="71" s="1"/>
  <c r="AF8" i="71" s="1"/>
  <c r="AG8" i="71" s="1"/>
  <c r="AH8" i="71" s="1"/>
  <c r="AI8" i="71" s="1"/>
  <c r="AJ8" i="71" s="1"/>
  <c r="AK8" i="71" s="1"/>
  <c r="AL8" i="71" s="1"/>
  <c r="AM8" i="71" s="1"/>
  <c r="AN8" i="71" s="1"/>
  <c r="AO8" i="71" s="1"/>
  <c r="AP8" i="71" s="1"/>
  <c r="AQ8" i="71" s="1"/>
  <c r="AR8" i="71" s="1"/>
  <c r="AS8" i="71" s="1"/>
  <c r="J21" i="61"/>
  <c r="K21" i="61" s="1"/>
  <c r="L21" i="61" s="1"/>
  <c r="M21" i="61" s="1"/>
  <c r="N21" i="61" s="1"/>
  <c r="O21" i="61" s="1"/>
  <c r="P21" i="61" s="1"/>
  <c r="Q21" i="61" s="1"/>
  <c r="R21" i="61" s="1"/>
  <c r="S21" i="61" s="1"/>
  <c r="T21" i="61" s="1"/>
  <c r="U21" i="61" s="1"/>
  <c r="V21" i="61" s="1"/>
  <c r="W21" i="61" s="1"/>
  <c r="X21" i="61" s="1"/>
  <c r="Y21" i="61" s="1"/>
  <c r="Z21" i="61" s="1"/>
  <c r="AA21" i="61" s="1"/>
  <c r="AB21" i="61" s="1"/>
  <c r="AC21" i="61" s="1"/>
  <c r="AD21" i="61" s="1"/>
  <c r="AE21" i="61" s="1"/>
  <c r="AF21" i="61" s="1"/>
  <c r="AG21" i="61" s="1"/>
  <c r="AH21" i="61" s="1"/>
  <c r="AI21" i="61" s="1"/>
  <c r="AJ21" i="61" s="1"/>
  <c r="AK21" i="61" s="1"/>
  <c r="AL21" i="61" s="1"/>
  <c r="AM21" i="61" s="1"/>
  <c r="AN21" i="61" s="1"/>
  <c r="AO21" i="61" s="1"/>
  <c r="AP21" i="61" s="1"/>
  <c r="AQ21" i="61" s="1"/>
  <c r="AR21" i="61" s="1"/>
  <c r="AS21" i="61" s="1"/>
  <c r="J23" i="61"/>
  <c r="K23" i="61" s="1"/>
  <c r="L23" i="61" s="1"/>
  <c r="M23" i="61" s="1"/>
  <c r="N23" i="61" s="1"/>
  <c r="O23" i="61" s="1"/>
  <c r="P23" i="61" s="1"/>
  <c r="Q23" i="61" s="1"/>
  <c r="R23" i="61" s="1"/>
  <c r="S23" i="61" s="1"/>
  <c r="T23" i="61" s="1"/>
  <c r="U23" i="61" s="1"/>
  <c r="V23" i="61" s="1"/>
  <c r="W23" i="61" s="1"/>
  <c r="X23" i="61" s="1"/>
  <c r="Y23" i="61" s="1"/>
  <c r="Z23" i="61" s="1"/>
  <c r="AA23" i="61" s="1"/>
  <c r="AB23" i="61" s="1"/>
  <c r="AC23" i="61" s="1"/>
  <c r="AD23" i="61" s="1"/>
  <c r="AE23" i="61" s="1"/>
  <c r="AF23" i="61" s="1"/>
  <c r="AG23" i="61" s="1"/>
  <c r="AH23" i="61" s="1"/>
  <c r="AI23" i="61" s="1"/>
  <c r="AJ23" i="61" s="1"/>
  <c r="AK23" i="61" s="1"/>
  <c r="AL23" i="61" s="1"/>
  <c r="AM23" i="61" s="1"/>
  <c r="AN23" i="61" s="1"/>
  <c r="AO23" i="61" s="1"/>
  <c r="AP23" i="61" s="1"/>
  <c r="AQ23" i="61" s="1"/>
  <c r="AR23" i="61" s="1"/>
  <c r="AS23" i="61" s="1"/>
  <c r="J22" i="61"/>
  <c r="K22" i="61" s="1"/>
  <c r="L22" i="61" s="1"/>
  <c r="M22" i="61" s="1"/>
  <c r="N22" i="61" s="1"/>
  <c r="O22" i="61" s="1"/>
  <c r="P22" i="61" s="1"/>
  <c r="Q22" i="61" s="1"/>
  <c r="R22" i="61" s="1"/>
  <c r="S22" i="61" s="1"/>
  <c r="T22" i="61" s="1"/>
  <c r="U22" i="61" s="1"/>
  <c r="V22" i="61" s="1"/>
  <c r="W22" i="61" s="1"/>
  <c r="X22" i="61" s="1"/>
  <c r="Y22" i="61" s="1"/>
  <c r="Z22" i="61" s="1"/>
  <c r="AA22" i="61" s="1"/>
  <c r="AB22" i="61" s="1"/>
  <c r="AC22" i="61" s="1"/>
  <c r="AD22" i="61" s="1"/>
  <c r="AE22" i="61" s="1"/>
  <c r="AF22" i="61" s="1"/>
  <c r="AG22" i="61" s="1"/>
  <c r="AH22" i="61" s="1"/>
  <c r="AI22" i="61" s="1"/>
  <c r="AJ22" i="61" s="1"/>
  <c r="AK22" i="61" s="1"/>
  <c r="AL22" i="61" s="1"/>
  <c r="AM22" i="61" s="1"/>
  <c r="AN22" i="61" s="1"/>
  <c r="AO22" i="61" s="1"/>
  <c r="AP22" i="61" s="1"/>
  <c r="AQ22" i="61" s="1"/>
  <c r="AR22" i="61" s="1"/>
  <c r="AS22" i="61" s="1"/>
  <c r="G42" i="72"/>
  <c r="K35" i="72"/>
  <c r="J38" i="72"/>
  <c r="H42" i="72"/>
  <c r="I40" i="72"/>
  <c r="I40" i="66" s="1"/>
  <c r="I39" i="66"/>
  <c r="G28" i="72"/>
  <c r="H26" i="72"/>
  <c r="H14" i="66" s="1"/>
  <c r="H13" i="66"/>
  <c r="F10" i="62" s="1"/>
  <c r="J21" i="72"/>
  <c r="I24" i="72"/>
  <c r="G35" i="66"/>
  <c r="E23" i="62"/>
  <c r="H69" i="61"/>
  <c r="G59" i="61"/>
  <c r="J15" i="60"/>
  <c r="J17" i="60" s="1"/>
  <c r="J13" i="60"/>
  <c r="G29" i="59"/>
  <c r="E47" i="65"/>
  <c r="I70" i="61" s="1"/>
  <c r="K51" i="63"/>
  <c r="J54" i="63"/>
  <c r="F46" i="65" s="1"/>
  <c r="J53" i="63"/>
  <c r="F45" i="65" s="1"/>
  <c r="E22" i="68"/>
  <c r="H39" i="69" s="1"/>
  <c r="C29" i="68"/>
  <c r="E28" i="68"/>
  <c r="D28" i="68"/>
  <c r="D88" i="68" s="1"/>
  <c r="D104" i="68" s="1"/>
  <c r="F28" i="68"/>
  <c r="H26" i="68"/>
  <c r="G28" i="68"/>
  <c r="G88" i="68" s="1"/>
  <c r="G104" i="68" s="1"/>
  <c r="E79" i="68"/>
  <c r="AP16" i="68"/>
  <c r="AO16" i="68"/>
  <c r="AN16" i="68"/>
  <c r="AM16" i="68"/>
  <c r="AL16" i="68"/>
  <c r="AK16" i="68"/>
  <c r="AJ16" i="68"/>
  <c r="AI16" i="68"/>
  <c r="AH16" i="68"/>
  <c r="AG16" i="68"/>
  <c r="AF16" i="68"/>
  <c r="AE16" i="68"/>
  <c r="AD16" i="68"/>
  <c r="AC16" i="68"/>
  <c r="AB16" i="68"/>
  <c r="AA16" i="68"/>
  <c r="Z16" i="68"/>
  <c r="Y16" i="68"/>
  <c r="X16" i="68"/>
  <c r="W16" i="68"/>
  <c r="V16" i="68"/>
  <c r="U16" i="68"/>
  <c r="T16" i="68"/>
  <c r="S16" i="68"/>
  <c r="R16" i="68"/>
  <c r="Q16" i="68"/>
  <c r="P16" i="68"/>
  <c r="O16" i="68"/>
  <c r="N16" i="68"/>
  <c r="M16" i="68"/>
  <c r="L16" i="68"/>
  <c r="K16" i="68"/>
  <c r="J16" i="68"/>
  <c r="I16" i="68"/>
  <c r="H16" i="68"/>
  <c r="G16" i="68"/>
  <c r="F16" i="68"/>
  <c r="E16" i="68"/>
  <c r="J40" i="72" l="1"/>
  <c r="J40" i="66" s="1"/>
  <c r="J39" i="66"/>
  <c r="I42" i="72"/>
  <c r="L35" i="72"/>
  <c r="K38" i="72"/>
  <c r="H28" i="72"/>
  <c r="I13" i="66"/>
  <c r="G10" i="62" s="1"/>
  <c r="I26" i="72"/>
  <c r="I14" i="66" s="1"/>
  <c r="K21" i="72"/>
  <c r="J24" i="72"/>
  <c r="F88" i="68"/>
  <c r="F104" i="68" s="1"/>
  <c r="E88" i="68"/>
  <c r="E104" i="68" s="1"/>
  <c r="I69" i="61"/>
  <c r="H35" i="66"/>
  <c r="F23" i="62"/>
  <c r="K13" i="60"/>
  <c r="H29" i="59"/>
  <c r="K15" i="60"/>
  <c r="K17" i="60" s="1"/>
  <c r="G26" i="62"/>
  <c r="G24" i="62"/>
  <c r="I36" i="66"/>
  <c r="F47" i="65"/>
  <c r="J70" i="61" s="1"/>
  <c r="L51" i="63"/>
  <c r="K53" i="63"/>
  <c r="G45" i="65" s="1"/>
  <c r="K54" i="63"/>
  <c r="G46" i="65" s="1"/>
  <c r="F22" i="68"/>
  <c r="I39" i="69" s="1"/>
  <c r="E17" i="68"/>
  <c r="F29" i="68"/>
  <c r="G29" i="68"/>
  <c r="Q17" i="68"/>
  <c r="Q76" i="68"/>
  <c r="AK17" i="68"/>
  <c r="AK76" i="68"/>
  <c r="R17" i="68"/>
  <c r="R76" i="68"/>
  <c r="AL17" i="68"/>
  <c r="AL76" i="68"/>
  <c r="I17" i="68"/>
  <c r="I76" i="68"/>
  <c r="AC17" i="68"/>
  <c r="AC76" i="68"/>
  <c r="T17" i="68"/>
  <c r="T76" i="68"/>
  <c r="AN17" i="68"/>
  <c r="AN76" i="68"/>
  <c r="E29" i="68"/>
  <c r="O17" i="68"/>
  <c r="O76" i="68"/>
  <c r="Y17" i="68"/>
  <c r="Y76" i="68"/>
  <c r="AI17" i="68"/>
  <c r="AI76" i="68"/>
  <c r="C33" i="68"/>
  <c r="C36" i="68"/>
  <c r="C35" i="68"/>
  <c r="C34" i="68"/>
  <c r="G17" i="68"/>
  <c r="G76" i="68"/>
  <c r="AA17" i="68"/>
  <c r="AA76" i="68"/>
  <c r="H17" i="68"/>
  <c r="H76" i="68"/>
  <c r="AB17" i="68"/>
  <c r="AB76" i="68"/>
  <c r="S17" i="68"/>
  <c r="S76" i="68"/>
  <c r="AM17" i="68"/>
  <c r="AM76" i="68"/>
  <c r="J17" i="68"/>
  <c r="J76" i="68"/>
  <c r="AD17" i="68"/>
  <c r="AD76" i="68"/>
  <c r="K17" i="68"/>
  <c r="K76" i="68"/>
  <c r="U17" i="68"/>
  <c r="U76" i="68"/>
  <c r="AE17" i="68"/>
  <c r="AE76" i="68"/>
  <c r="AO17" i="68"/>
  <c r="AO76" i="68"/>
  <c r="L17" i="68"/>
  <c r="L76" i="68"/>
  <c r="V17" i="68"/>
  <c r="V76" i="68"/>
  <c r="AF17" i="68"/>
  <c r="AF76" i="68"/>
  <c r="AP17" i="68"/>
  <c r="AP76" i="68"/>
  <c r="M17" i="68"/>
  <c r="M76" i="68"/>
  <c r="W17" i="68"/>
  <c r="W76" i="68"/>
  <c r="AG17" i="68"/>
  <c r="AG76" i="68"/>
  <c r="D29" i="68"/>
  <c r="N17" i="68"/>
  <c r="N76" i="68"/>
  <c r="X17" i="68"/>
  <c r="X76" i="68"/>
  <c r="AH17" i="68"/>
  <c r="AH76" i="68"/>
  <c r="F17" i="68"/>
  <c r="F76" i="68"/>
  <c r="P17" i="68"/>
  <c r="P76" i="68"/>
  <c r="Z17" i="68"/>
  <c r="Z76" i="68"/>
  <c r="AJ17" i="68"/>
  <c r="AJ76" i="68"/>
  <c r="H28" i="68"/>
  <c r="H88" i="68" s="1"/>
  <c r="H104" i="68" s="1"/>
  <c r="I26" i="68"/>
  <c r="E76" i="68"/>
  <c r="E46" i="68"/>
  <c r="C30" i="68"/>
  <c r="F46" i="68"/>
  <c r="F47" i="68" s="1"/>
  <c r="G46" i="68"/>
  <c r="K39" i="66" l="1"/>
  <c r="K40" i="72"/>
  <c r="K40" i="66" s="1"/>
  <c r="L38" i="72"/>
  <c r="M35" i="72"/>
  <c r="J42" i="72"/>
  <c r="J26" i="72"/>
  <c r="J14" i="66" s="1"/>
  <c r="J13" i="66"/>
  <c r="H10" i="62" s="1"/>
  <c r="K24" i="72"/>
  <c r="L21" i="72"/>
  <c r="I28" i="72"/>
  <c r="E113" i="68"/>
  <c r="E47" i="68"/>
  <c r="E62" i="68" s="1"/>
  <c r="J69" i="61"/>
  <c r="I35" i="66"/>
  <c r="G23" i="62"/>
  <c r="H26" i="62"/>
  <c r="L15" i="60"/>
  <c r="L17" i="60" s="1"/>
  <c r="L13" i="60"/>
  <c r="I29" i="59"/>
  <c r="H24" i="62"/>
  <c r="J36" i="66"/>
  <c r="F13" i="69"/>
  <c r="F42" i="69"/>
  <c r="F49" i="69" s="1"/>
  <c r="F14" i="69"/>
  <c r="F43" i="69"/>
  <c r="F50" i="69" s="1"/>
  <c r="F15" i="69"/>
  <c r="F44" i="69"/>
  <c r="F51" i="69" s="1"/>
  <c r="F12" i="69"/>
  <c r="F41" i="69"/>
  <c r="G47" i="65"/>
  <c r="K70" i="61" s="1"/>
  <c r="M51" i="63"/>
  <c r="L54" i="63"/>
  <c r="H46" i="65" s="1"/>
  <c r="L53" i="63"/>
  <c r="H45" i="65" s="1"/>
  <c r="G113" i="68"/>
  <c r="G97" i="68"/>
  <c r="S113" i="68"/>
  <c r="S97" i="68"/>
  <c r="AI113" i="68"/>
  <c r="AI97" i="68"/>
  <c r="AD113" i="68"/>
  <c r="AD97" i="68"/>
  <c r="AB113" i="68"/>
  <c r="AB97" i="68"/>
  <c r="W113" i="68"/>
  <c r="W97" i="68"/>
  <c r="AK113" i="68"/>
  <c r="AK97" i="68"/>
  <c r="Z113" i="68"/>
  <c r="Z97" i="68"/>
  <c r="H113" i="68"/>
  <c r="H97" i="68"/>
  <c r="V113" i="68"/>
  <c r="V97" i="68"/>
  <c r="Q113" i="68"/>
  <c r="Q97" i="68"/>
  <c r="F113" i="68"/>
  <c r="F97" i="68"/>
  <c r="AC113" i="68"/>
  <c r="AC97" i="68"/>
  <c r="O113" i="68"/>
  <c r="O97" i="68"/>
  <c r="AJ113" i="68"/>
  <c r="AJ97" i="68"/>
  <c r="AN113" i="68"/>
  <c r="AN97" i="68"/>
  <c r="I113" i="68"/>
  <c r="I97" i="68"/>
  <c r="AP113" i="68"/>
  <c r="AP97" i="68"/>
  <c r="Y113" i="68"/>
  <c r="Y97" i="68"/>
  <c r="AH113" i="68"/>
  <c r="AH97" i="68"/>
  <c r="R113" i="68"/>
  <c r="R97" i="68"/>
  <c r="T113" i="68"/>
  <c r="T97" i="68"/>
  <c r="X113" i="68"/>
  <c r="X97" i="68"/>
  <c r="N113" i="68"/>
  <c r="N97" i="68"/>
  <c r="M113" i="68"/>
  <c r="M97" i="68"/>
  <c r="U113" i="68"/>
  <c r="U97" i="68"/>
  <c r="AO113" i="68"/>
  <c r="AO97" i="68"/>
  <c r="AF113" i="68"/>
  <c r="AF97" i="68"/>
  <c r="AA113" i="68"/>
  <c r="AA97" i="68"/>
  <c r="J113" i="68"/>
  <c r="J97" i="68"/>
  <c r="AM113" i="68"/>
  <c r="AM97" i="68"/>
  <c r="AG113" i="68"/>
  <c r="AG97" i="68"/>
  <c r="AE113" i="68"/>
  <c r="AE97" i="68"/>
  <c r="L113" i="68"/>
  <c r="L97" i="68"/>
  <c r="P113" i="68"/>
  <c r="P97" i="68"/>
  <c r="K113" i="68"/>
  <c r="K97" i="68"/>
  <c r="AL113" i="68"/>
  <c r="AL97" i="68"/>
  <c r="E97" i="68"/>
  <c r="D19" i="68"/>
  <c r="G36" i="69" s="1"/>
  <c r="F7" i="69"/>
  <c r="D20" i="68"/>
  <c r="G37" i="69" s="1"/>
  <c r="F8" i="69"/>
  <c r="D21" i="68"/>
  <c r="G38" i="69" s="1"/>
  <c r="F9" i="69"/>
  <c r="D18" i="68"/>
  <c r="G35" i="69" s="1"/>
  <c r="F6" i="69"/>
  <c r="G22" i="68"/>
  <c r="J39" i="69" s="1"/>
  <c r="G47" i="68"/>
  <c r="G62" i="68" s="1"/>
  <c r="F62" i="68"/>
  <c r="H47" i="68"/>
  <c r="H62" i="68" s="1"/>
  <c r="D35" i="68"/>
  <c r="D36" i="68"/>
  <c r="D33" i="68"/>
  <c r="C37" i="68"/>
  <c r="C85" i="68" s="1"/>
  <c r="C96" i="68" s="1"/>
  <c r="H29" i="68"/>
  <c r="D34" i="68"/>
  <c r="J26" i="68"/>
  <c r="I28" i="68"/>
  <c r="F19" i="69" l="1"/>
  <c r="N35" i="72"/>
  <c r="M38" i="72"/>
  <c r="L39" i="66"/>
  <c r="L40" i="72"/>
  <c r="L40" i="66" s="1"/>
  <c r="K42" i="72"/>
  <c r="K26" i="72"/>
  <c r="K14" i="66" s="1"/>
  <c r="K13" i="66"/>
  <c r="I10" i="62" s="1"/>
  <c r="M21" i="72"/>
  <c r="L24" i="72"/>
  <c r="J28" i="72"/>
  <c r="K69" i="61"/>
  <c r="H23" i="62"/>
  <c r="J35" i="66"/>
  <c r="F18" i="61"/>
  <c r="F57" i="61"/>
  <c r="F17" i="61"/>
  <c r="F56" i="61"/>
  <c r="F21" i="69"/>
  <c r="F16" i="61"/>
  <c r="F55" i="61"/>
  <c r="M13" i="60"/>
  <c r="J29" i="59"/>
  <c r="M15" i="60"/>
  <c r="M17" i="60" s="1"/>
  <c r="I26" i="62"/>
  <c r="K36" i="66"/>
  <c r="I24" i="62"/>
  <c r="F22" i="69"/>
  <c r="F20" i="69"/>
  <c r="F17" i="69"/>
  <c r="G12" i="69"/>
  <c r="G41" i="69"/>
  <c r="G48" i="69" s="1"/>
  <c r="G15" i="69"/>
  <c r="G44" i="69"/>
  <c r="G51" i="69" s="1"/>
  <c r="G14" i="69"/>
  <c r="G43" i="69"/>
  <c r="G50" i="69" s="1"/>
  <c r="F48" i="69"/>
  <c r="F54" i="61" s="1"/>
  <c r="F46" i="69"/>
  <c r="G13" i="69"/>
  <c r="G42" i="69"/>
  <c r="G49" i="69" s="1"/>
  <c r="H47" i="65"/>
  <c r="L70" i="61" s="1"/>
  <c r="N51" i="63"/>
  <c r="M54" i="63"/>
  <c r="I46" i="65" s="1"/>
  <c r="M53" i="63"/>
  <c r="I45" i="65" s="1"/>
  <c r="E20" i="68"/>
  <c r="H37" i="69" s="1"/>
  <c r="H50" i="69" s="1"/>
  <c r="G8" i="69"/>
  <c r="E19" i="68"/>
  <c r="H36" i="69" s="1"/>
  <c r="H49" i="69" s="1"/>
  <c r="G7" i="69"/>
  <c r="E18" i="68"/>
  <c r="H35" i="69" s="1"/>
  <c r="H48" i="69" s="1"/>
  <c r="G6" i="69"/>
  <c r="E21" i="68"/>
  <c r="H38" i="69" s="1"/>
  <c r="H51" i="69" s="1"/>
  <c r="G9" i="69"/>
  <c r="C91" i="68"/>
  <c r="C101" i="68"/>
  <c r="C112" i="68" s="1"/>
  <c r="H22" i="68"/>
  <c r="K39" i="69" s="1"/>
  <c r="G51" i="68"/>
  <c r="I47" i="68"/>
  <c r="I62" i="68" s="1"/>
  <c r="I88" i="68"/>
  <c r="I104" i="68" s="1"/>
  <c r="F51" i="68"/>
  <c r="E51" i="68"/>
  <c r="C38" i="68"/>
  <c r="C86" i="68" s="1"/>
  <c r="H51" i="68"/>
  <c r="I29" i="68"/>
  <c r="D37" i="68"/>
  <c r="D85" i="68" s="1"/>
  <c r="D96" i="68" s="1"/>
  <c r="J28" i="68"/>
  <c r="J88" i="68" s="1"/>
  <c r="J104" i="68" s="1"/>
  <c r="K26" i="68"/>
  <c r="L42" i="72" l="1"/>
  <c r="M40" i="72"/>
  <c r="M40" i="66" s="1"/>
  <c r="M39" i="66"/>
  <c r="O35" i="72"/>
  <c r="N38" i="72"/>
  <c r="L13" i="66"/>
  <c r="J10" i="62" s="1"/>
  <c r="L26" i="72"/>
  <c r="L14" i="66" s="1"/>
  <c r="N21" i="72"/>
  <c r="M24" i="72"/>
  <c r="K28" i="72"/>
  <c r="E53" i="68"/>
  <c r="E54" i="68" s="1"/>
  <c r="E52" i="68"/>
  <c r="F53" i="68"/>
  <c r="F52" i="68"/>
  <c r="G53" i="68"/>
  <c r="G52" i="68"/>
  <c r="H53" i="68"/>
  <c r="H52" i="68"/>
  <c r="L69" i="61"/>
  <c r="K35" i="66"/>
  <c r="I23" i="62"/>
  <c r="G22" i="69"/>
  <c r="G57" i="61"/>
  <c r="G18" i="61"/>
  <c r="H57" i="61"/>
  <c r="H18" i="61"/>
  <c r="G55" i="61"/>
  <c r="G16" i="61"/>
  <c r="H54" i="61"/>
  <c r="H15" i="61"/>
  <c r="H55" i="61"/>
  <c r="H16" i="61"/>
  <c r="F53" i="69"/>
  <c r="F15" i="61"/>
  <c r="G56" i="61"/>
  <c r="G17" i="61"/>
  <c r="G54" i="61"/>
  <c r="G15" i="61"/>
  <c r="H56" i="61"/>
  <c r="H17" i="61"/>
  <c r="N15" i="60"/>
  <c r="N17" i="60" s="1"/>
  <c r="J26" i="62"/>
  <c r="N13" i="60"/>
  <c r="K29" i="59"/>
  <c r="L36" i="66"/>
  <c r="J24" i="62"/>
  <c r="G21" i="69"/>
  <c r="G19" i="69"/>
  <c r="C102" i="68"/>
  <c r="C108" i="68" s="1"/>
  <c r="F33" i="70"/>
  <c r="F13" i="70"/>
  <c r="G53" i="69"/>
  <c r="G20" i="69"/>
  <c r="G46" i="69"/>
  <c r="G17" i="69"/>
  <c r="I47" i="65"/>
  <c r="M70" i="61" s="1"/>
  <c r="O51" i="63"/>
  <c r="N54" i="63"/>
  <c r="J46" i="65" s="1"/>
  <c r="N53" i="63"/>
  <c r="J45" i="65" s="1"/>
  <c r="I22" i="68"/>
  <c r="L39" i="69" s="1"/>
  <c r="F19" i="68"/>
  <c r="I36" i="69" s="1"/>
  <c r="I49" i="69" s="1"/>
  <c r="H7" i="69"/>
  <c r="H20" i="69" s="1"/>
  <c r="F21" i="68"/>
  <c r="I38" i="69" s="1"/>
  <c r="I51" i="69" s="1"/>
  <c r="H9" i="69"/>
  <c r="H22" i="69" s="1"/>
  <c r="F18" i="68"/>
  <c r="I35" i="69" s="1"/>
  <c r="I48" i="69" s="1"/>
  <c r="H6" i="69"/>
  <c r="H19" i="69" s="1"/>
  <c r="D91" i="68"/>
  <c r="D101" i="68"/>
  <c r="D112" i="68" s="1"/>
  <c r="H8" i="69"/>
  <c r="H21" i="69" s="1"/>
  <c r="F20" i="68"/>
  <c r="I37" i="69" s="1"/>
  <c r="I50" i="69" s="1"/>
  <c r="C92" i="68"/>
  <c r="C87" i="68"/>
  <c r="I51" i="68"/>
  <c r="C39" i="68"/>
  <c r="D38" i="68"/>
  <c r="D86" i="68" s="1"/>
  <c r="J29" i="68"/>
  <c r="J47" i="68"/>
  <c r="J62" i="68" s="1"/>
  <c r="L26" i="68"/>
  <c r="K28" i="68"/>
  <c r="K88" i="68" s="1"/>
  <c r="K104" i="68" s="1"/>
  <c r="P35" i="72" l="1"/>
  <c r="O38" i="72"/>
  <c r="N40" i="72"/>
  <c r="N40" i="66" s="1"/>
  <c r="N39" i="66"/>
  <c r="M42" i="72"/>
  <c r="M13" i="66"/>
  <c r="K10" i="62" s="1"/>
  <c r="M26" i="72"/>
  <c r="M14" i="66" s="1"/>
  <c r="O21" i="72"/>
  <c r="N24" i="72"/>
  <c r="L28" i="72"/>
  <c r="I53" i="68"/>
  <c r="I54" i="68" s="1"/>
  <c r="I55" i="68" s="1"/>
  <c r="I56" i="68" s="1"/>
  <c r="I52" i="68"/>
  <c r="M69" i="61"/>
  <c r="J23" i="62"/>
  <c r="L35" i="66"/>
  <c r="I54" i="61"/>
  <c r="I15" i="61"/>
  <c r="I18" i="61"/>
  <c r="I57" i="61"/>
  <c r="I17" i="61"/>
  <c r="I56" i="61"/>
  <c r="I55" i="61"/>
  <c r="I16" i="61"/>
  <c r="O13" i="60"/>
  <c r="L29" i="59"/>
  <c r="K26" i="62"/>
  <c r="O15" i="60"/>
  <c r="O17" i="60" s="1"/>
  <c r="M36" i="66"/>
  <c r="K24" i="62"/>
  <c r="G33" i="70"/>
  <c r="G13" i="70"/>
  <c r="J47" i="65"/>
  <c r="N70" i="61" s="1"/>
  <c r="P51" i="63"/>
  <c r="O54" i="63"/>
  <c r="K46" i="65" s="1"/>
  <c r="O53" i="63"/>
  <c r="K45" i="65" s="1"/>
  <c r="G18" i="68"/>
  <c r="J35" i="69" s="1"/>
  <c r="J48" i="69" s="1"/>
  <c r="I6" i="69"/>
  <c r="I19" i="69" s="1"/>
  <c r="G21" i="68"/>
  <c r="J38" i="69" s="1"/>
  <c r="J51" i="69" s="1"/>
  <c r="I9" i="69"/>
  <c r="I22" i="69" s="1"/>
  <c r="I8" i="69"/>
  <c r="I21" i="69" s="1"/>
  <c r="G20" i="68"/>
  <c r="J37" i="69" s="1"/>
  <c r="J50" i="69" s="1"/>
  <c r="G19" i="68"/>
  <c r="J36" i="69" s="1"/>
  <c r="J49" i="69" s="1"/>
  <c r="I7" i="69"/>
  <c r="I20" i="69" s="1"/>
  <c r="D87" i="68"/>
  <c r="D94" i="68" s="1"/>
  <c r="D102" i="68"/>
  <c r="D108" i="68" s="1"/>
  <c r="J22" i="68"/>
  <c r="M39" i="69" s="1"/>
  <c r="D107" i="68"/>
  <c r="C103" i="68"/>
  <c r="C109" i="68" s="1"/>
  <c r="C107" i="68"/>
  <c r="C89" i="68"/>
  <c r="C93" i="68"/>
  <c r="C94" i="68"/>
  <c r="D92" i="68"/>
  <c r="D39" i="68"/>
  <c r="J51" i="68"/>
  <c r="K29" i="68"/>
  <c r="K47" i="68"/>
  <c r="K62" i="68" s="1"/>
  <c r="L28" i="68"/>
  <c r="L88" i="68" s="1"/>
  <c r="L104" i="68" s="1"/>
  <c r="M26" i="68"/>
  <c r="I57" i="68" l="1"/>
  <c r="I58" i="68" s="1"/>
  <c r="I63" i="68" s="1"/>
  <c r="I64" i="68" s="1"/>
  <c r="I65" i="68" s="1"/>
  <c r="N42" i="72"/>
  <c r="O39" i="66"/>
  <c r="O40" i="72"/>
  <c r="O40" i="66" s="1"/>
  <c r="P38" i="72"/>
  <c r="Q35" i="72"/>
  <c r="N13" i="66"/>
  <c r="L10" i="62" s="1"/>
  <c r="N26" i="72"/>
  <c r="N14" i="66" s="1"/>
  <c r="O24" i="72"/>
  <c r="P21" i="72"/>
  <c r="M28" i="72"/>
  <c r="J53" i="68"/>
  <c r="J54" i="68" s="1"/>
  <c r="J55" i="68" s="1"/>
  <c r="J56" i="68" s="1"/>
  <c r="J52" i="68"/>
  <c r="N69" i="61"/>
  <c r="M35" i="66"/>
  <c r="K23" i="62"/>
  <c r="J18" i="61"/>
  <c r="J57" i="61"/>
  <c r="J15" i="61"/>
  <c r="J54" i="61"/>
  <c r="J16" i="61"/>
  <c r="J55" i="61"/>
  <c r="J17" i="61"/>
  <c r="J56" i="61"/>
  <c r="P13" i="60"/>
  <c r="M29" i="59"/>
  <c r="P15" i="60"/>
  <c r="P17" i="60" s="1"/>
  <c r="L26" i="62"/>
  <c r="N36" i="66"/>
  <c r="L24" i="62"/>
  <c r="K47" i="65"/>
  <c r="O70" i="61" s="1"/>
  <c r="Q51" i="63"/>
  <c r="P53" i="63"/>
  <c r="L45" i="65" s="1"/>
  <c r="P54" i="63"/>
  <c r="L46" i="65" s="1"/>
  <c r="D93" i="68"/>
  <c r="D89" i="68"/>
  <c r="H19" i="68"/>
  <c r="K36" i="69" s="1"/>
  <c r="K49" i="69" s="1"/>
  <c r="J7" i="69"/>
  <c r="J20" i="69" s="1"/>
  <c r="J8" i="69"/>
  <c r="J21" i="69" s="1"/>
  <c r="H20" i="68"/>
  <c r="K37" i="69" s="1"/>
  <c r="K50" i="69" s="1"/>
  <c r="D103" i="68"/>
  <c r="D109" i="68" s="1"/>
  <c r="H21" i="68"/>
  <c r="K38" i="69" s="1"/>
  <c r="K51" i="69" s="1"/>
  <c r="J9" i="69"/>
  <c r="J22" i="69" s="1"/>
  <c r="K22" i="68"/>
  <c r="N39" i="69" s="1"/>
  <c r="H18" i="68"/>
  <c r="K35" i="69" s="1"/>
  <c r="K48" i="69" s="1"/>
  <c r="J6" i="69"/>
  <c r="J19" i="69" s="1"/>
  <c r="C105" i="68"/>
  <c r="C110" i="68"/>
  <c r="K51" i="68"/>
  <c r="L29" i="68"/>
  <c r="L47" i="68"/>
  <c r="L62" i="68" s="1"/>
  <c r="N26" i="68"/>
  <c r="M28" i="68"/>
  <c r="M88" i="68" s="1"/>
  <c r="M104" i="68" s="1"/>
  <c r="R35" i="72" l="1"/>
  <c r="Q38" i="72"/>
  <c r="P40" i="72"/>
  <c r="P40" i="66" s="1"/>
  <c r="P39" i="66"/>
  <c r="O42" i="72"/>
  <c r="O26" i="72"/>
  <c r="O14" i="66" s="1"/>
  <c r="O13" i="66"/>
  <c r="M10" i="62" s="1"/>
  <c r="Q21" i="72"/>
  <c r="P24" i="72"/>
  <c r="N28" i="72"/>
  <c r="K53" i="68"/>
  <c r="K54" i="68" s="1"/>
  <c r="K55" i="68" s="1"/>
  <c r="K56" i="68" s="1"/>
  <c r="K52" i="68"/>
  <c r="O69" i="61"/>
  <c r="N35" i="66"/>
  <c r="L23" i="62"/>
  <c r="K15" i="61"/>
  <c r="K54" i="61"/>
  <c r="K18" i="61"/>
  <c r="K57" i="61"/>
  <c r="K56" i="61"/>
  <c r="K17" i="61"/>
  <c r="K16" i="61"/>
  <c r="K55" i="61"/>
  <c r="M26" i="62"/>
  <c r="Q15" i="60"/>
  <c r="Q17" i="60" s="1"/>
  <c r="Q13" i="60"/>
  <c r="N29" i="59"/>
  <c r="O36" i="66"/>
  <c r="M24" i="62"/>
  <c r="L47" i="65"/>
  <c r="P70" i="61" s="1"/>
  <c r="R51" i="63"/>
  <c r="Q53" i="63"/>
  <c r="M45" i="65" s="1"/>
  <c r="Q54" i="63"/>
  <c r="M46" i="65" s="1"/>
  <c r="D110" i="68"/>
  <c r="D105" i="68"/>
  <c r="L22" i="68"/>
  <c r="O39" i="69" s="1"/>
  <c r="K9" i="69"/>
  <c r="K22" i="69" s="1"/>
  <c r="I21" i="68"/>
  <c r="L38" i="69" s="1"/>
  <c r="L51" i="69" s="1"/>
  <c r="K8" i="69"/>
  <c r="K21" i="69" s="1"/>
  <c r="I20" i="68"/>
  <c r="L37" i="69" s="1"/>
  <c r="L50" i="69" s="1"/>
  <c r="I19" i="68"/>
  <c r="L36" i="69" s="1"/>
  <c r="L49" i="69" s="1"/>
  <c r="K7" i="69"/>
  <c r="K20" i="69" s="1"/>
  <c r="I18" i="68"/>
  <c r="L35" i="69" s="1"/>
  <c r="L48" i="69" s="1"/>
  <c r="K6" i="69"/>
  <c r="K19" i="69" s="1"/>
  <c r="I66" i="68"/>
  <c r="I71" i="68" s="1"/>
  <c r="I67" i="68"/>
  <c r="I68" i="68" s="1"/>
  <c r="I72" i="68" s="1"/>
  <c r="J57" i="68"/>
  <c r="J58" i="68" s="1"/>
  <c r="L51" i="68"/>
  <c r="M29" i="68"/>
  <c r="M47" i="68"/>
  <c r="M62" i="68" s="1"/>
  <c r="O26" i="68"/>
  <c r="N28" i="68"/>
  <c r="N88" i="68" s="1"/>
  <c r="N104" i="68" s="1"/>
  <c r="P42" i="72" l="1"/>
  <c r="Q40" i="72"/>
  <c r="Q40" i="66" s="1"/>
  <c r="Q39" i="66"/>
  <c r="S35" i="72"/>
  <c r="R38" i="72"/>
  <c r="P13" i="66"/>
  <c r="N10" i="62" s="1"/>
  <c r="P26" i="72"/>
  <c r="P14" i="66" s="1"/>
  <c r="Q24" i="72"/>
  <c r="R21" i="72"/>
  <c r="O28" i="72"/>
  <c r="L53" i="68"/>
  <c r="L54" i="68" s="1"/>
  <c r="L55" i="68" s="1"/>
  <c r="L56" i="68" s="1"/>
  <c r="L52" i="68"/>
  <c r="P69" i="61"/>
  <c r="M23" i="62"/>
  <c r="O35" i="66"/>
  <c r="L16" i="61"/>
  <c r="L55" i="61"/>
  <c r="L15" i="61"/>
  <c r="L54" i="61"/>
  <c r="L18" i="61"/>
  <c r="L57" i="61"/>
  <c r="L17" i="61"/>
  <c r="L56" i="61"/>
  <c r="N26" i="62"/>
  <c r="R13" i="60"/>
  <c r="O29" i="59"/>
  <c r="R15" i="60"/>
  <c r="R17" i="60" s="1"/>
  <c r="N24" i="62"/>
  <c r="P36" i="66"/>
  <c r="M47" i="65"/>
  <c r="Q70" i="61" s="1"/>
  <c r="S51" i="63"/>
  <c r="R53" i="63"/>
  <c r="N45" i="65" s="1"/>
  <c r="R54" i="63"/>
  <c r="N46" i="65" s="1"/>
  <c r="L8" i="69"/>
  <c r="L21" i="69" s="1"/>
  <c r="J20" i="68"/>
  <c r="M37" i="69" s="1"/>
  <c r="M50" i="69" s="1"/>
  <c r="J18" i="68"/>
  <c r="M35" i="69" s="1"/>
  <c r="M48" i="69" s="1"/>
  <c r="L6" i="69"/>
  <c r="L19" i="69" s="1"/>
  <c r="L7" i="69"/>
  <c r="L20" i="69" s="1"/>
  <c r="J19" i="68"/>
  <c r="M36" i="69" s="1"/>
  <c r="M49" i="69" s="1"/>
  <c r="L9" i="69"/>
  <c r="L22" i="69" s="1"/>
  <c r="J21" i="68"/>
  <c r="M38" i="69" s="1"/>
  <c r="M51" i="69" s="1"/>
  <c r="M22" i="68"/>
  <c r="P39" i="69" s="1"/>
  <c r="I77" i="68"/>
  <c r="I78" i="68"/>
  <c r="I80" i="68" s="1"/>
  <c r="I81" i="68" s="1"/>
  <c r="I85" i="68" s="1"/>
  <c r="I73" i="68"/>
  <c r="K57" i="68"/>
  <c r="K58" i="68" s="1"/>
  <c r="K63" i="68" s="1"/>
  <c r="K64" i="68" s="1"/>
  <c r="K65" i="68" s="1"/>
  <c r="J63" i="68"/>
  <c r="J64" i="68" s="1"/>
  <c r="J65" i="68" s="1"/>
  <c r="M51" i="68"/>
  <c r="N29" i="68"/>
  <c r="N47" i="68"/>
  <c r="N62" i="68" s="1"/>
  <c r="P26" i="68"/>
  <c r="O28" i="68"/>
  <c r="O88" i="68" s="1"/>
  <c r="O104" i="68" s="1"/>
  <c r="R40" i="72" l="1"/>
  <c r="R40" i="66" s="1"/>
  <c r="R39" i="66"/>
  <c r="S38" i="72"/>
  <c r="T35" i="72"/>
  <c r="Q42" i="72"/>
  <c r="R24" i="72"/>
  <c r="S21" i="72"/>
  <c r="Q13" i="66"/>
  <c r="O10" i="62" s="1"/>
  <c r="Q26" i="72"/>
  <c r="Q14" i="66" s="1"/>
  <c r="P28" i="72"/>
  <c r="M53" i="68"/>
  <c r="M54" i="68" s="1"/>
  <c r="M55" i="68" s="1"/>
  <c r="M57" i="68" s="1"/>
  <c r="M52" i="68"/>
  <c r="Q69" i="61"/>
  <c r="P35" i="66"/>
  <c r="N23" i="62"/>
  <c r="M17" i="61"/>
  <c r="M56" i="61"/>
  <c r="M18" i="61"/>
  <c r="M57" i="61"/>
  <c r="M55" i="61"/>
  <c r="M16" i="61"/>
  <c r="M15" i="61"/>
  <c r="M54" i="61"/>
  <c r="O26" i="62"/>
  <c r="S15" i="60"/>
  <c r="S17" i="60" s="1"/>
  <c r="S13" i="60"/>
  <c r="P29" i="59"/>
  <c r="O24" i="62"/>
  <c r="Q36" i="66"/>
  <c r="N47" i="65"/>
  <c r="R70" i="61" s="1"/>
  <c r="T51" i="63"/>
  <c r="S53" i="63"/>
  <c r="O45" i="65" s="1"/>
  <c r="S54" i="63"/>
  <c r="O46" i="65" s="1"/>
  <c r="I91" i="68"/>
  <c r="I96" i="68"/>
  <c r="I98" i="68" s="1"/>
  <c r="L16" i="69" s="1"/>
  <c r="M7" i="69"/>
  <c r="M20" i="69" s="1"/>
  <c r="K19" i="68"/>
  <c r="N36" i="69" s="1"/>
  <c r="N49" i="69" s="1"/>
  <c r="K18" i="68"/>
  <c r="N35" i="69" s="1"/>
  <c r="N48" i="69" s="1"/>
  <c r="M6" i="69"/>
  <c r="M19" i="69" s="1"/>
  <c r="M9" i="69"/>
  <c r="M22" i="69" s="1"/>
  <c r="K21" i="68"/>
  <c r="N38" i="69" s="1"/>
  <c r="N51" i="69" s="1"/>
  <c r="M8" i="69"/>
  <c r="M21" i="69" s="1"/>
  <c r="K20" i="68"/>
  <c r="N37" i="69" s="1"/>
  <c r="N50" i="69" s="1"/>
  <c r="N22" i="68"/>
  <c r="Q39" i="69" s="1"/>
  <c r="I82" i="68"/>
  <c r="I86" i="68"/>
  <c r="I87" i="68" s="1"/>
  <c r="I101" i="68" s="1"/>
  <c r="I112" i="68" s="1"/>
  <c r="I114" i="68" s="1"/>
  <c r="L45" i="69" s="1"/>
  <c r="J66" i="68"/>
  <c r="J71" i="68" s="1"/>
  <c r="J67" i="68"/>
  <c r="J68" i="68" s="1"/>
  <c r="J72" i="68" s="1"/>
  <c r="K67" i="68"/>
  <c r="K68" i="68" s="1"/>
  <c r="K72" i="68" s="1"/>
  <c r="K66" i="68"/>
  <c r="K71" i="68" s="1"/>
  <c r="L57" i="68"/>
  <c r="L58" i="68" s="1"/>
  <c r="N51" i="68"/>
  <c r="O29" i="68"/>
  <c r="O47" i="68"/>
  <c r="O62" i="68" s="1"/>
  <c r="Q26" i="68"/>
  <c r="P28" i="68"/>
  <c r="P88" i="68" s="1"/>
  <c r="P104" i="68" s="1"/>
  <c r="U35" i="72" l="1"/>
  <c r="T38" i="72"/>
  <c r="S39" i="66"/>
  <c r="S40" i="72"/>
  <c r="S40" i="66" s="1"/>
  <c r="R42" i="72"/>
  <c r="Q28" i="72"/>
  <c r="S24" i="72"/>
  <c r="T21" i="72"/>
  <c r="R13" i="66"/>
  <c r="P10" i="62" s="1"/>
  <c r="R26" i="72"/>
  <c r="R14" i="66" s="1"/>
  <c r="N53" i="68"/>
  <c r="N54" i="68" s="1"/>
  <c r="N55" i="68" s="1"/>
  <c r="N56" i="68" s="1"/>
  <c r="N52" i="68"/>
  <c r="R69" i="61"/>
  <c r="Q35" i="66"/>
  <c r="O23" i="62"/>
  <c r="I94" i="68"/>
  <c r="L46" i="69"/>
  <c r="L52" i="69"/>
  <c r="I92" i="68"/>
  <c r="L13" i="70"/>
  <c r="N16" i="61"/>
  <c r="N55" i="61"/>
  <c r="N54" i="61"/>
  <c r="N15" i="61"/>
  <c r="N17" i="61"/>
  <c r="N56" i="61"/>
  <c r="N18" i="61"/>
  <c r="N57" i="61"/>
  <c r="L17" i="69"/>
  <c r="P26" i="62"/>
  <c r="T13" i="60"/>
  <c r="Q29" i="59"/>
  <c r="T15" i="60"/>
  <c r="T17" i="60" s="1"/>
  <c r="P24" i="62"/>
  <c r="R36" i="66"/>
  <c r="O47" i="65"/>
  <c r="S70" i="61" s="1"/>
  <c r="U51" i="63"/>
  <c r="T54" i="63"/>
  <c r="P46" i="65" s="1"/>
  <c r="T53" i="63"/>
  <c r="P45" i="65" s="1"/>
  <c r="N8" i="69"/>
  <c r="N21" i="69" s="1"/>
  <c r="L20" i="68"/>
  <c r="O37" i="69" s="1"/>
  <c r="O50" i="69" s="1"/>
  <c r="N9" i="69"/>
  <c r="N22" i="69" s="1"/>
  <c r="L21" i="68"/>
  <c r="O38" i="69" s="1"/>
  <c r="O51" i="69" s="1"/>
  <c r="L18" i="68"/>
  <c r="O35" i="69" s="1"/>
  <c r="O48" i="69" s="1"/>
  <c r="N6" i="69"/>
  <c r="N19" i="69" s="1"/>
  <c r="N7" i="69"/>
  <c r="N20" i="69" s="1"/>
  <c r="L19" i="68"/>
  <c r="O36" i="69" s="1"/>
  <c r="O49" i="69" s="1"/>
  <c r="O22" i="68"/>
  <c r="R39" i="69" s="1"/>
  <c r="I103" i="68"/>
  <c r="I109" i="68" s="1"/>
  <c r="I107" i="68"/>
  <c r="I89" i="68"/>
  <c r="I93" i="68"/>
  <c r="K77" i="68"/>
  <c r="K78" i="68"/>
  <c r="K80" i="68" s="1"/>
  <c r="K81" i="68" s="1"/>
  <c r="K85" i="68" s="1"/>
  <c r="J78" i="68"/>
  <c r="J80" i="68" s="1"/>
  <c r="J81" i="68" s="1"/>
  <c r="J85" i="68" s="1"/>
  <c r="J77" i="68"/>
  <c r="K73" i="68"/>
  <c r="L63" i="68"/>
  <c r="L64" i="68" s="1"/>
  <c r="L65" i="68" s="1"/>
  <c r="L67" i="68" s="1"/>
  <c r="L68" i="68" s="1"/>
  <c r="L72" i="68" s="1"/>
  <c r="J73" i="68"/>
  <c r="M56" i="68"/>
  <c r="M58" i="68"/>
  <c r="O51" i="68"/>
  <c r="P29" i="68"/>
  <c r="P47" i="68"/>
  <c r="P62" i="68" s="1"/>
  <c r="R26" i="68"/>
  <c r="Q28" i="68"/>
  <c r="Q88" i="68" s="1"/>
  <c r="Q104" i="68" s="1"/>
  <c r="S42" i="72" l="1"/>
  <c r="T39" i="66"/>
  <c r="T40" i="72"/>
  <c r="T40" i="66" s="1"/>
  <c r="V35" i="72"/>
  <c r="U38" i="72"/>
  <c r="U21" i="72"/>
  <c r="T24" i="72"/>
  <c r="R28" i="72"/>
  <c r="S13" i="66"/>
  <c r="Q10" i="62" s="1"/>
  <c r="S26" i="72"/>
  <c r="S14" i="66" s="1"/>
  <c r="O53" i="68"/>
  <c r="O54" i="68" s="1"/>
  <c r="O55" i="68" s="1"/>
  <c r="O56" i="68" s="1"/>
  <c r="O52" i="68"/>
  <c r="L66" i="68"/>
  <c r="L71" i="68" s="1"/>
  <c r="L73" i="68" s="1"/>
  <c r="S69" i="61"/>
  <c r="R35" i="66"/>
  <c r="P23" i="62"/>
  <c r="O54" i="61"/>
  <c r="O15" i="61"/>
  <c r="O55" i="61"/>
  <c r="O16" i="61"/>
  <c r="L59" i="61"/>
  <c r="L53" i="69"/>
  <c r="O18" i="61"/>
  <c r="O57" i="61"/>
  <c r="O17" i="61"/>
  <c r="O56" i="61"/>
  <c r="Q26" i="62"/>
  <c r="U15" i="60"/>
  <c r="U17" i="60" s="1"/>
  <c r="U13" i="60"/>
  <c r="R29" i="59"/>
  <c r="Q24" i="62"/>
  <c r="S36" i="66"/>
  <c r="P47" i="65"/>
  <c r="T70" i="61" s="1"/>
  <c r="V51" i="63"/>
  <c r="U53" i="63"/>
  <c r="Q45" i="65" s="1"/>
  <c r="U54" i="63"/>
  <c r="Q46" i="65" s="1"/>
  <c r="J91" i="68"/>
  <c r="J96" i="68"/>
  <c r="J98" i="68" s="1"/>
  <c r="M16" i="69" s="1"/>
  <c r="K91" i="68"/>
  <c r="K96" i="68"/>
  <c r="K98" i="68" s="1"/>
  <c r="N16" i="69" s="1"/>
  <c r="O6" i="69"/>
  <c r="O19" i="69" s="1"/>
  <c r="M18" i="68"/>
  <c r="P35" i="69" s="1"/>
  <c r="P48" i="69" s="1"/>
  <c r="P22" i="68"/>
  <c r="S39" i="69" s="1"/>
  <c r="O7" i="69"/>
  <c r="O20" i="69" s="1"/>
  <c r="M19" i="68"/>
  <c r="P36" i="69" s="1"/>
  <c r="P49" i="69" s="1"/>
  <c r="O9" i="69"/>
  <c r="O22" i="69" s="1"/>
  <c r="M21" i="68"/>
  <c r="P38" i="69" s="1"/>
  <c r="P51" i="69" s="1"/>
  <c r="O8" i="69"/>
  <c r="O21" i="69" s="1"/>
  <c r="M20" i="68"/>
  <c r="P37" i="69" s="1"/>
  <c r="P50" i="69" s="1"/>
  <c r="I105" i="68"/>
  <c r="I110" i="68"/>
  <c r="J86" i="68"/>
  <c r="J82" i="68"/>
  <c r="K82" i="68"/>
  <c r="K86" i="68"/>
  <c r="L78" i="68"/>
  <c r="L80" i="68" s="1"/>
  <c r="L81" i="68" s="1"/>
  <c r="L77" i="68"/>
  <c r="M63" i="68"/>
  <c r="M64" i="68" s="1"/>
  <c r="M65" i="68" s="1"/>
  <c r="N57" i="68"/>
  <c r="N58" i="68" s="1"/>
  <c r="P51" i="68"/>
  <c r="Q29" i="68"/>
  <c r="Q47" i="68"/>
  <c r="Q62" i="68" s="1"/>
  <c r="S26" i="68"/>
  <c r="R28" i="68"/>
  <c r="R88" i="68" s="1"/>
  <c r="R104" i="68" s="1"/>
  <c r="L85" i="68" l="1"/>
  <c r="L91" i="68" s="1"/>
  <c r="U40" i="72"/>
  <c r="U40" i="66" s="1"/>
  <c r="U39" i="66"/>
  <c r="V38" i="72"/>
  <c r="W35" i="72"/>
  <c r="T42" i="72"/>
  <c r="S28" i="72"/>
  <c r="T26" i="72"/>
  <c r="T14" i="66" s="1"/>
  <c r="T13" i="66"/>
  <c r="R10" i="62" s="1"/>
  <c r="U24" i="72"/>
  <c r="V21" i="72"/>
  <c r="P53" i="68"/>
  <c r="P52" i="68"/>
  <c r="T69" i="61"/>
  <c r="Q23" i="62"/>
  <c r="S35" i="66"/>
  <c r="J92" i="68"/>
  <c r="M13" i="70"/>
  <c r="P56" i="61"/>
  <c r="P17" i="61"/>
  <c r="P57" i="61"/>
  <c r="P18" i="61"/>
  <c r="M17" i="69"/>
  <c r="P15" i="61"/>
  <c r="P54" i="61"/>
  <c r="N17" i="69"/>
  <c r="K87" i="68"/>
  <c r="K89" i="68" s="1"/>
  <c r="N13" i="70"/>
  <c r="P55" i="61"/>
  <c r="P16" i="61"/>
  <c r="V15" i="60"/>
  <c r="V17" i="60" s="1"/>
  <c r="R26" i="62"/>
  <c r="V13" i="60"/>
  <c r="S29" i="59"/>
  <c r="R24" i="62"/>
  <c r="T36" i="66"/>
  <c r="Q47" i="65"/>
  <c r="U70" i="61" s="1"/>
  <c r="W51" i="63"/>
  <c r="V54" i="63"/>
  <c r="R46" i="65" s="1"/>
  <c r="V53" i="63"/>
  <c r="R45" i="65" s="1"/>
  <c r="J87" i="68"/>
  <c r="J94" i="68" s="1"/>
  <c r="P8" i="69"/>
  <c r="P21" i="69" s="1"/>
  <c r="N20" i="68"/>
  <c r="Q37" i="69" s="1"/>
  <c r="Q50" i="69" s="1"/>
  <c r="P9" i="69"/>
  <c r="P22" i="69" s="1"/>
  <c r="N21" i="68"/>
  <c r="Q38" i="69" s="1"/>
  <c r="Q51" i="69" s="1"/>
  <c r="K92" i="68"/>
  <c r="P6" i="69"/>
  <c r="P19" i="69" s="1"/>
  <c r="N18" i="68"/>
  <c r="Q35" i="69" s="1"/>
  <c r="Q48" i="69" s="1"/>
  <c r="P7" i="69"/>
  <c r="P20" i="69" s="1"/>
  <c r="N19" i="68"/>
  <c r="Q36" i="69" s="1"/>
  <c r="Q49" i="69" s="1"/>
  <c r="Q22" i="68"/>
  <c r="T39" i="69" s="1"/>
  <c r="L82" i="68"/>
  <c r="L86" i="68"/>
  <c r="O13" i="70" s="1"/>
  <c r="M66" i="68"/>
  <c r="M71" i="68" s="1"/>
  <c r="M67" i="68"/>
  <c r="M68" i="68" s="1"/>
  <c r="M72" i="68" s="1"/>
  <c r="O57" i="68"/>
  <c r="O58" i="68" s="1"/>
  <c r="O63" i="68" s="1"/>
  <c r="O64" i="68" s="1"/>
  <c r="O65" i="68" s="1"/>
  <c r="N63" i="68"/>
  <c r="N64" i="68" s="1"/>
  <c r="N65" i="68" s="1"/>
  <c r="Q51" i="68"/>
  <c r="R29" i="68"/>
  <c r="R47" i="68"/>
  <c r="R62" i="68" s="1"/>
  <c r="T26" i="68"/>
  <c r="S28" i="68"/>
  <c r="S88" i="68" s="1"/>
  <c r="S104" i="68" s="1"/>
  <c r="L96" i="68" l="1"/>
  <c r="L98" i="68" s="1"/>
  <c r="O16" i="69" s="1"/>
  <c r="O17" i="69" s="1"/>
  <c r="X35" i="72"/>
  <c r="W38" i="72"/>
  <c r="V39" i="66"/>
  <c r="V40" i="72"/>
  <c r="V40" i="66" s="1"/>
  <c r="U42" i="72"/>
  <c r="U13" i="66"/>
  <c r="S10" i="62" s="1"/>
  <c r="U26" i="72"/>
  <c r="U14" i="66" s="1"/>
  <c r="W21" i="72"/>
  <c r="V24" i="72"/>
  <c r="T28" i="72"/>
  <c r="Q53" i="68"/>
  <c r="Q52" i="68"/>
  <c r="R23" i="62"/>
  <c r="U69" i="61"/>
  <c r="T35" i="66"/>
  <c r="J93" i="68"/>
  <c r="J89" i="68"/>
  <c r="Q16" i="61"/>
  <c r="Q55" i="61"/>
  <c r="J101" i="68"/>
  <c r="J112" i="68" s="1"/>
  <c r="J114" i="68" s="1"/>
  <c r="M45" i="69" s="1"/>
  <c r="Q57" i="61"/>
  <c r="Q18" i="61"/>
  <c r="K94" i="68"/>
  <c r="Q15" i="61"/>
  <c r="Q54" i="61"/>
  <c r="K93" i="68"/>
  <c r="K101" i="68"/>
  <c r="Q56" i="61"/>
  <c r="Q17" i="61"/>
  <c r="W13" i="60"/>
  <c r="T29" i="59"/>
  <c r="S26" i="62"/>
  <c r="W15" i="60"/>
  <c r="W17" i="60" s="1"/>
  <c r="U36" i="66"/>
  <c r="S24" i="62"/>
  <c r="R47" i="65"/>
  <c r="V70" i="61" s="1"/>
  <c r="X51" i="63"/>
  <c r="W54" i="63"/>
  <c r="S46" i="65" s="1"/>
  <c r="W53" i="63"/>
  <c r="S45" i="65" s="1"/>
  <c r="Q7" i="69"/>
  <c r="Q20" i="69" s="1"/>
  <c r="O19" i="68"/>
  <c r="R36" i="69" s="1"/>
  <c r="R49" i="69" s="1"/>
  <c r="Q6" i="69"/>
  <c r="Q19" i="69" s="1"/>
  <c r="O18" i="68"/>
  <c r="R35" i="69" s="1"/>
  <c r="R48" i="69" s="1"/>
  <c r="R22" i="68"/>
  <c r="U39" i="69" s="1"/>
  <c r="Q8" i="69"/>
  <c r="Q21" i="69" s="1"/>
  <c r="O20" i="68"/>
  <c r="R37" i="69" s="1"/>
  <c r="R50" i="69" s="1"/>
  <c r="Q9" i="69"/>
  <c r="Q22" i="69" s="1"/>
  <c r="O21" i="68"/>
  <c r="R38" i="69" s="1"/>
  <c r="R51" i="69" s="1"/>
  <c r="L87" i="68"/>
  <c r="L101" i="68" s="1"/>
  <c r="L112" i="68" s="1"/>
  <c r="L114" i="68" s="1"/>
  <c r="O45" i="69" s="1"/>
  <c r="L92" i="68"/>
  <c r="M78" i="68"/>
  <c r="M80" i="68" s="1"/>
  <c r="M81" i="68" s="1"/>
  <c r="M85" i="68" s="1"/>
  <c r="M77" i="68"/>
  <c r="M73" i="68"/>
  <c r="N66" i="68"/>
  <c r="N71" i="68" s="1"/>
  <c r="N67" i="68"/>
  <c r="N68" i="68" s="1"/>
  <c r="N72" i="68" s="1"/>
  <c r="O66" i="68"/>
  <c r="O71" i="68" s="1"/>
  <c r="O67" i="68"/>
  <c r="O68" i="68" s="1"/>
  <c r="O72" i="68" s="1"/>
  <c r="R51" i="68"/>
  <c r="S29" i="68"/>
  <c r="S47" i="68"/>
  <c r="S62" i="68" s="1"/>
  <c r="T28" i="68"/>
  <c r="T88" i="68" s="1"/>
  <c r="T104" i="68" s="1"/>
  <c r="U26" i="68"/>
  <c r="V42" i="72" l="1"/>
  <c r="W39" i="66"/>
  <c r="W40" i="72"/>
  <c r="W40" i="66" s="1"/>
  <c r="Y35" i="72"/>
  <c r="X38" i="72"/>
  <c r="V26" i="72"/>
  <c r="V14" i="66" s="1"/>
  <c r="V13" i="66"/>
  <c r="T10" i="62" s="1"/>
  <c r="X21" i="72"/>
  <c r="W24" i="72"/>
  <c r="U28" i="72"/>
  <c r="R53" i="68"/>
  <c r="R54" i="68" s="1"/>
  <c r="R55" i="68" s="1"/>
  <c r="R56" i="68" s="1"/>
  <c r="R52" i="68"/>
  <c r="V69" i="61"/>
  <c r="S23" i="62"/>
  <c r="U35" i="66"/>
  <c r="K103" i="68"/>
  <c r="K105" i="68" s="1"/>
  <c r="L103" i="68"/>
  <c r="L105" i="68" s="1"/>
  <c r="R15" i="61"/>
  <c r="R54" i="61"/>
  <c r="O46" i="69"/>
  <c r="O52" i="69"/>
  <c r="R55" i="61"/>
  <c r="R16" i="61"/>
  <c r="K112" i="68"/>
  <c r="K114" i="68" s="1"/>
  <c r="N45" i="69" s="1"/>
  <c r="K107" i="68"/>
  <c r="R57" i="61"/>
  <c r="R18" i="61"/>
  <c r="M46" i="69"/>
  <c r="M52" i="69"/>
  <c r="J107" i="68"/>
  <c r="R56" i="61"/>
  <c r="R17" i="61"/>
  <c r="J103" i="68"/>
  <c r="J109" i="68" s="1"/>
  <c r="L94" i="68"/>
  <c r="X15" i="60"/>
  <c r="X17" i="60" s="1"/>
  <c r="T26" i="62"/>
  <c r="X13" i="60"/>
  <c r="U29" i="59"/>
  <c r="V36" i="66"/>
  <c r="T24" i="62"/>
  <c r="Y51" i="63"/>
  <c r="X54" i="63"/>
  <c r="T46" i="65" s="1"/>
  <c r="X53" i="63"/>
  <c r="T45" i="65" s="1"/>
  <c r="S47" i="65"/>
  <c r="W70" i="61" s="1"/>
  <c r="M91" i="68"/>
  <c r="M96" i="68"/>
  <c r="M98" i="68" s="1"/>
  <c r="P16" i="69" s="1"/>
  <c r="L93" i="68"/>
  <c r="L89" i="68"/>
  <c r="R8" i="69"/>
  <c r="R21" i="69" s="1"/>
  <c r="P20" i="68"/>
  <c r="S37" i="69" s="1"/>
  <c r="S50" i="69" s="1"/>
  <c r="L107" i="68"/>
  <c r="S22" i="68"/>
  <c r="V39" i="69" s="1"/>
  <c r="R6" i="69"/>
  <c r="R19" i="69" s="1"/>
  <c r="P18" i="68"/>
  <c r="S35" i="69" s="1"/>
  <c r="S48" i="69" s="1"/>
  <c r="R9" i="69"/>
  <c r="R22" i="69" s="1"/>
  <c r="P21" i="68"/>
  <c r="S38" i="69" s="1"/>
  <c r="S51" i="69" s="1"/>
  <c r="R7" i="69"/>
  <c r="R20" i="69" s="1"/>
  <c r="P19" i="68"/>
  <c r="S36" i="69" s="1"/>
  <c r="S49" i="69" s="1"/>
  <c r="M86" i="68"/>
  <c r="M82" i="68"/>
  <c r="N78" i="68"/>
  <c r="N80" i="68" s="1"/>
  <c r="N81" i="68" s="1"/>
  <c r="N85" i="68" s="1"/>
  <c r="N77" i="68"/>
  <c r="O77" i="68"/>
  <c r="O78" i="68"/>
  <c r="O80" i="68" s="1"/>
  <c r="O81" i="68" s="1"/>
  <c r="O85" i="68" s="1"/>
  <c r="N73" i="68"/>
  <c r="O73" i="68"/>
  <c r="S51" i="68"/>
  <c r="T29" i="68"/>
  <c r="T47" i="68"/>
  <c r="T62" i="68" s="1"/>
  <c r="V26" i="68"/>
  <c r="U28" i="68"/>
  <c r="U88" i="68" s="1"/>
  <c r="U104" i="68" s="1"/>
  <c r="X40" i="72" l="1"/>
  <c r="X40" i="66" s="1"/>
  <c r="X39" i="66"/>
  <c r="Y38" i="72"/>
  <c r="Z35" i="72"/>
  <c r="W42" i="72"/>
  <c r="Y21" i="72"/>
  <c r="X24" i="72"/>
  <c r="W26" i="72"/>
  <c r="W14" i="66" s="1"/>
  <c r="W13" i="66"/>
  <c r="U10" i="62" s="1"/>
  <c r="V28" i="72"/>
  <c r="S53" i="68"/>
  <c r="S54" i="68" s="1"/>
  <c r="S55" i="68" s="1"/>
  <c r="S52" i="68"/>
  <c r="L109" i="68"/>
  <c r="K110" i="68"/>
  <c r="L110" i="68"/>
  <c r="T23" i="62"/>
  <c r="V35" i="66"/>
  <c r="W69" i="61"/>
  <c r="K109" i="68"/>
  <c r="J105" i="68"/>
  <c r="S55" i="61"/>
  <c r="S16" i="61"/>
  <c r="M59" i="61"/>
  <c r="M53" i="69"/>
  <c r="O59" i="61"/>
  <c r="O53" i="69"/>
  <c r="S54" i="61"/>
  <c r="S15" i="61"/>
  <c r="M92" i="68"/>
  <c r="P13" i="70"/>
  <c r="N46" i="69"/>
  <c r="N52" i="69"/>
  <c r="J110" i="68"/>
  <c r="S56" i="61"/>
  <c r="S17" i="61"/>
  <c r="S57" i="61"/>
  <c r="S18" i="61"/>
  <c r="P17" i="69"/>
  <c r="U26" i="62"/>
  <c r="Y15" i="60"/>
  <c r="Y17" i="60" s="1"/>
  <c r="Y13" i="60"/>
  <c r="V29" i="59"/>
  <c r="W36" i="66"/>
  <c r="U24" i="62"/>
  <c r="T47" i="65"/>
  <c r="X70" i="61" s="1"/>
  <c r="Z51" i="63"/>
  <c r="Y54" i="63"/>
  <c r="U46" i="65" s="1"/>
  <c r="Y53" i="63"/>
  <c r="U45" i="65" s="1"/>
  <c r="O91" i="68"/>
  <c r="O96" i="68"/>
  <c r="O98" i="68" s="1"/>
  <c r="R16" i="69" s="1"/>
  <c r="N91" i="68"/>
  <c r="N96" i="68"/>
  <c r="N98" i="68" s="1"/>
  <c r="Q16" i="69" s="1"/>
  <c r="M87" i="68"/>
  <c r="M101" i="68" s="1"/>
  <c r="M112" i="68" s="1"/>
  <c r="M114" i="68" s="1"/>
  <c r="P45" i="69" s="1"/>
  <c r="S9" i="69"/>
  <c r="S22" i="69" s="1"/>
  <c r="Q21" i="68"/>
  <c r="T38" i="69" s="1"/>
  <c r="T51" i="69" s="1"/>
  <c r="S6" i="69"/>
  <c r="S19" i="69" s="1"/>
  <c r="Q18" i="68"/>
  <c r="T35" i="69" s="1"/>
  <c r="T48" i="69" s="1"/>
  <c r="T22" i="68"/>
  <c r="W39" i="69" s="1"/>
  <c r="S8" i="69"/>
  <c r="S21" i="69" s="1"/>
  <c r="Q20" i="68"/>
  <c r="T37" i="69" s="1"/>
  <c r="T50" i="69" s="1"/>
  <c r="S7" i="69"/>
  <c r="S20" i="69" s="1"/>
  <c r="Q19" i="68"/>
  <c r="T36" i="69" s="1"/>
  <c r="T49" i="69" s="1"/>
  <c r="N86" i="68"/>
  <c r="N82" i="68"/>
  <c r="O82" i="68"/>
  <c r="O86" i="68"/>
  <c r="O87" i="68" s="1"/>
  <c r="R57" i="68"/>
  <c r="R58" i="68" s="1"/>
  <c r="T51" i="68"/>
  <c r="U29" i="68"/>
  <c r="U47" i="68"/>
  <c r="U62" i="68" s="1"/>
  <c r="W26" i="68"/>
  <c r="V28" i="68"/>
  <c r="V88" i="68" s="1"/>
  <c r="V104" i="68" s="1"/>
  <c r="O101" i="68" l="1"/>
  <c r="O112" i="68" s="1"/>
  <c r="O114" i="68" s="1"/>
  <c r="R45" i="69" s="1"/>
  <c r="R46" i="69" s="1"/>
  <c r="O94" i="68"/>
  <c r="M103" i="68"/>
  <c r="M109" i="68" s="1"/>
  <c r="Z38" i="72"/>
  <c r="AA35" i="72"/>
  <c r="Y39" i="66"/>
  <c r="Y40" i="72"/>
  <c r="Y40" i="66" s="1"/>
  <c r="X42" i="72"/>
  <c r="W28" i="72"/>
  <c r="X13" i="66"/>
  <c r="V10" i="62" s="1"/>
  <c r="X26" i="72"/>
  <c r="X14" i="66" s="1"/>
  <c r="Z21" i="72"/>
  <c r="Y24" i="72"/>
  <c r="T53" i="68"/>
  <c r="T52" i="68"/>
  <c r="X69" i="61"/>
  <c r="U23" i="62"/>
  <c r="W35" i="66"/>
  <c r="M107" i="68"/>
  <c r="T57" i="61"/>
  <c r="T18" i="61"/>
  <c r="R17" i="69"/>
  <c r="O92" i="68"/>
  <c r="R13" i="70"/>
  <c r="T55" i="61"/>
  <c r="T16" i="61"/>
  <c r="P46" i="69"/>
  <c r="P52" i="69"/>
  <c r="M93" i="68"/>
  <c r="Q17" i="69"/>
  <c r="T56" i="61"/>
  <c r="T17" i="61"/>
  <c r="N59" i="61"/>
  <c r="N53" i="69"/>
  <c r="T15" i="61"/>
  <c r="T54" i="61"/>
  <c r="N92" i="68"/>
  <c r="Q13" i="70"/>
  <c r="Z13" i="60"/>
  <c r="W29" i="59"/>
  <c r="Z15" i="60"/>
  <c r="Z17" i="60" s="1"/>
  <c r="V26" i="62"/>
  <c r="X36" i="66"/>
  <c r="V24" i="62"/>
  <c r="U47" i="65"/>
  <c r="Y70" i="61" s="1"/>
  <c r="AA51" i="63"/>
  <c r="Z53" i="63"/>
  <c r="V45" i="65" s="1"/>
  <c r="Z54" i="63"/>
  <c r="V46" i="65" s="1"/>
  <c r="M89" i="68"/>
  <c r="T7" i="69"/>
  <c r="T20" i="69" s="1"/>
  <c r="R19" i="68"/>
  <c r="U36" i="69" s="1"/>
  <c r="U49" i="69" s="1"/>
  <c r="T8" i="69"/>
  <c r="T21" i="69" s="1"/>
  <c r="R20" i="68"/>
  <c r="U37" i="69" s="1"/>
  <c r="U50" i="69" s="1"/>
  <c r="T9" i="69"/>
  <c r="T22" i="69" s="1"/>
  <c r="R21" i="68"/>
  <c r="U38" i="69" s="1"/>
  <c r="U51" i="69" s="1"/>
  <c r="U22" i="68"/>
  <c r="X39" i="69" s="1"/>
  <c r="T6" i="69"/>
  <c r="T19" i="69" s="1"/>
  <c r="R18" i="68"/>
  <c r="U35" i="69" s="1"/>
  <c r="U48" i="69" s="1"/>
  <c r="M94" i="68"/>
  <c r="N87" i="68"/>
  <c r="N101" i="68" s="1"/>
  <c r="N112" i="68" s="1"/>
  <c r="N114" i="68" s="1"/>
  <c r="Q45" i="69" s="1"/>
  <c r="O107" i="68"/>
  <c r="O89" i="68"/>
  <c r="O93" i="68"/>
  <c r="R63" i="68"/>
  <c r="R64" i="68" s="1"/>
  <c r="R65" i="68" s="1"/>
  <c r="S56" i="68"/>
  <c r="S57" i="68"/>
  <c r="S58" i="68" s="1"/>
  <c r="U51" i="68"/>
  <c r="V29" i="68"/>
  <c r="V47" i="68"/>
  <c r="V62" i="68" s="1"/>
  <c r="X26" i="68"/>
  <c r="W28" i="68"/>
  <c r="W88" i="68" s="1"/>
  <c r="W104" i="68" s="1"/>
  <c r="O103" i="68" l="1"/>
  <c r="O109" i="68" s="1"/>
  <c r="R52" i="69"/>
  <c r="R53" i="69" s="1"/>
  <c r="M110" i="68"/>
  <c r="M105" i="68"/>
  <c r="Y42" i="72"/>
  <c r="AA38" i="72"/>
  <c r="AB35" i="72"/>
  <c r="Z39" i="66"/>
  <c r="Z40" i="72"/>
  <c r="Z40" i="66" s="1"/>
  <c r="Y13" i="66"/>
  <c r="W10" i="62" s="1"/>
  <c r="Y26" i="72"/>
  <c r="Y14" i="66" s="1"/>
  <c r="Z24" i="72"/>
  <c r="AA21" i="72"/>
  <c r="X28" i="72"/>
  <c r="U53" i="68"/>
  <c r="U52" i="68"/>
  <c r="Y69" i="61"/>
  <c r="X35" i="66"/>
  <c r="V23" i="62"/>
  <c r="U18" i="61"/>
  <c r="U57" i="61"/>
  <c r="P59" i="61"/>
  <c r="P53" i="69"/>
  <c r="U17" i="61"/>
  <c r="U56" i="61"/>
  <c r="Q46" i="69"/>
  <c r="Q52" i="69"/>
  <c r="U16" i="61"/>
  <c r="U55" i="61"/>
  <c r="U15" i="61"/>
  <c r="U54" i="61"/>
  <c r="AA15" i="60"/>
  <c r="AA17" i="60" s="1"/>
  <c r="W26" i="62"/>
  <c r="AA13" i="60"/>
  <c r="X29" i="59"/>
  <c r="Y36" i="66"/>
  <c r="W24" i="62"/>
  <c r="V47" i="65"/>
  <c r="Z70" i="61" s="1"/>
  <c r="AB51" i="63"/>
  <c r="AA53" i="63"/>
  <c r="W45" i="65" s="1"/>
  <c r="AA54" i="63"/>
  <c r="W46" i="65" s="1"/>
  <c r="V22" i="68"/>
  <c r="Y39" i="69" s="1"/>
  <c r="U9" i="69"/>
  <c r="U22" i="69" s="1"/>
  <c r="S21" i="68"/>
  <c r="V38" i="69" s="1"/>
  <c r="V51" i="69" s="1"/>
  <c r="U8" i="69"/>
  <c r="U21" i="69" s="1"/>
  <c r="S20" i="68"/>
  <c r="V37" i="69" s="1"/>
  <c r="V50" i="69" s="1"/>
  <c r="U7" i="69"/>
  <c r="U20" i="69" s="1"/>
  <c r="S19" i="68"/>
  <c r="V36" i="69" s="1"/>
  <c r="V49" i="69" s="1"/>
  <c r="U6" i="69"/>
  <c r="U19" i="69" s="1"/>
  <c r="S18" i="68"/>
  <c r="V35" i="69" s="1"/>
  <c r="V48" i="69" s="1"/>
  <c r="N93" i="68"/>
  <c r="N89" i="68"/>
  <c r="N103" i="68"/>
  <c r="N107" i="68"/>
  <c r="N94" i="68"/>
  <c r="R66" i="68"/>
  <c r="R71" i="68" s="1"/>
  <c r="R67" i="68"/>
  <c r="R68" i="68" s="1"/>
  <c r="R72" i="68" s="1"/>
  <c r="S63" i="68"/>
  <c r="S64" i="68" s="1"/>
  <c r="S65" i="68" s="1"/>
  <c r="V51" i="68"/>
  <c r="W29" i="68"/>
  <c r="W47" i="68"/>
  <c r="W62" i="68" s="1"/>
  <c r="Y26" i="68"/>
  <c r="X28" i="68"/>
  <c r="X88" i="68" s="1"/>
  <c r="X104" i="68" s="1"/>
  <c r="R59" i="61" l="1"/>
  <c r="O110" i="68"/>
  <c r="O105" i="68"/>
  <c r="AC35" i="72"/>
  <c r="AB38" i="72"/>
  <c r="Z42" i="72"/>
  <c r="AA40" i="72"/>
  <c r="AA40" i="66" s="1"/>
  <c r="AA39" i="66"/>
  <c r="AB21" i="72"/>
  <c r="AA24" i="72"/>
  <c r="Z26" i="72"/>
  <c r="Z14" i="66" s="1"/>
  <c r="Z13" i="66"/>
  <c r="X10" i="62" s="1"/>
  <c r="Y28" i="72"/>
  <c r="V53" i="68"/>
  <c r="V54" i="68" s="1"/>
  <c r="V55" i="68" s="1"/>
  <c r="V56" i="68" s="1"/>
  <c r="V52" i="68"/>
  <c r="Z69" i="61"/>
  <c r="Y35" i="66"/>
  <c r="W23" i="62"/>
  <c r="V54" i="61"/>
  <c r="V15" i="61"/>
  <c r="V17" i="61"/>
  <c r="V56" i="61"/>
  <c r="V16" i="61"/>
  <c r="V55" i="61"/>
  <c r="V18" i="61"/>
  <c r="V57" i="61"/>
  <c r="Q59" i="61"/>
  <c r="Q53" i="69"/>
  <c r="AB13" i="60"/>
  <c r="Y29" i="59"/>
  <c r="X26" i="62"/>
  <c r="AB15" i="60"/>
  <c r="AB17" i="60" s="1"/>
  <c r="X24" i="62"/>
  <c r="Z36" i="66"/>
  <c r="W47" i="65"/>
  <c r="AA70" i="61" s="1"/>
  <c r="AC51" i="63"/>
  <c r="AB53" i="63"/>
  <c r="X45" i="65" s="1"/>
  <c r="AB54" i="63"/>
  <c r="X46" i="65" s="1"/>
  <c r="V7" i="69"/>
  <c r="V20" i="69" s="1"/>
  <c r="T19" i="68"/>
  <c r="W36" i="69" s="1"/>
  <c r="W49" i="69" s="1"/>
  <c r="V6" i="69"/>
  <c r="V19" i="69" s="1"/>
  <c r="T18" i="68"/>
  <c r="W35" i="69" s="1"/>
  <c r="W48" i="69" s="1"/>
  <c r="V8" i="69"/>
  <c r="V21" i="69" s="1"/>
  <c r="T20" i="68"/>
  <c r="W37" i="69" s="1"/>
  <c r="W50" i="69" s="1"/>
  <c r="V9" i="69"/>
  <c r="V22" i="69" s="1"/>
  <c r="T21" i="68"/>
  <c r="W38" i="69" s="1"/>
  <c r="W51" i="69" s="1"/>
  <c r="W22" i="68"/>
  <c r="Z39" i="69" s="1"/>
  <c r="N105" i="68"/>
  <c r="N110" i="68"/>
  <c r="N109" i="68"/>
  <c r="R78" i="68"/>
  <c r="R80" i="68" s="1"/>
  <c r="R81" i="68" s="1"/>
  <c r="R85" i="68" s="1"/>
  <c r="R77" i="68"/>
  <c r="R73" i="68"/>
  <c r="S66" i="68"/>
  <c r="S71" i="68" s="1"/>
  <c r="S67" i="68"/>
  <c r="S68" i="68" s="1"/>
  <c r="S72" i="68" s="1"/>
  <c r="W51" i="68"/>
  <c r="X29" i="68"/>
  <c r="X47" i="68"/>
  <c r="X62" i="68" s="1"/>
  <c r="Z26" i="68"/>
  <c r="Y28" i="68"/>
  <c r="Y88" i="68" s="1"/>
  <c r="Y104" i="68" s="1"/>
  <c r="AA42" i="72" l="1"/>
  <c r="AB40" i="72"/>
  <c r="AB40" i="66" s="1"/>
  <c r="AB39" i="66"/>
  <c r="AC38" i="72"/>
  <c r="AD35" i="72"/>
  <c r="AA13" i="66"/>
  <c r="Y10" i="62" s="1"/>
  <c r="AA26" i="72"/>
  <c r="AA14" i="66" s="1"/>
  <c r="Z28" i="72"/>
  <c r="AC21" i="72"/>
  <c r="AB24" i="72"/>
  <c r="W53" i="68"/>
  <c r="W52" i="68"/>
  <c r="X23" i="62"/>
  <c r="Z35" i="66"/>
  <c r="AA69" i="61"/>
  <c r="W17" i="61"/>
  <c r="W56" i="61"/>
  <c r="W15" i="61"/>
  <c r="W54" i="61"/>
  <c r="W16" i="61"/>
  <c r="W55" i="61"/>
  <c r="W18" i="61"/>
  <c r="W57" i="61"/>
  <c r="AC15" i="60"/>
  <c r="AC17" i="60" s="1"/>
  <c r="Y26" i="62"/>
  <c r="AC13" i="60"/>
  <c r="Z29" i="59"/>
  <c r="Y24" i="62"/>
  <c r="AA36" i="66"/>
  <c r="X47" i="65"/>
  <c r="AB70" i="61" s="1"/>
  <c r="AD51" i="63"/>
  <c r="AC53" i="63"/>
  <c r="Y45" i="65" s="1"/>
  <c r="AC54" i="63"/>
  <c r="Y46" i="65" s="1"/>
  <c r="R91" i="68"/>
  <c r="R96" i="68"/>
  <c r="R98" i="68" s="1"/>
  <c r="U16" i="69" s="1"/>
  <c r="X22" i="68"/>
  <c r="AA39" i="69" s="1"/>
  <c r="W9" i="69"/>
  <c r="W22" i="69" s="1"/>
  <c r="U21" i="68"/>
  <c r="X38" i="69" s="1"/>
  <c r="X51" i="69" s="1"/>
  <c r="W8" i="69"/>
  <c r="W21" i="69" s="1"/>
  <c r="U20" i="68"/>
  <c r="X37" i="69" s="1"/>
  <c r="X50" i="69" s="1"/>
  <c r="W6" i="69"/>
  <c r="W19" i="69" s="1"/>
  <c r="U18" i="68"/>
  <c r="X35" i="69" s="1"/>
  <c r="X48" i="69" s="1"/>
  <c r="W7" i="69"/>
  <c r="W20" i="69" s="1"/>
  <c r="U19" i="68"/>
  <c r="X36" i="69" s="1"/>
  <c r="X49" i="69" s="1"/>
  <c r="R86" i="68"/>
  <c r="R87" i="68" s="1"/>
  <c r="R101" i="68" s="1"/>
  <c r="R112" i="68" s="1"/>
  <c r="R114" i="68" s="1"/>
  <c r="U45" i="69" s="1"/>
  <c r="R82" i="68"/>
  <c r="S77" i="68"/>
  <c r="S78" i="68"/>
  <c r="S80" i="68" s="1"/>
  <c r="S81" i="68" s="1"/>
  <c r="S85" i="68" s="1"/>
  <c r="S73" i="68"/>
  <c r="V57" i="68"/>
  <c r="V58" i="68" s="1"/>
  <c r="X51" i="68"/>
  <c r="Y29" i="68"/>
  <c r="Y47" i="68"/>
  <c r="Y62" i="68" s="1"/>
  <c r="Z28" i="68"/>
  <c r="Z88" i="68" s="1"/>
  <c r="Z104" i="68" s="1"/>
  <c r="AA26" i="68"/>
  <c r="AE35" i="72" l="1"/>
  <c r="AD38" i="72"/>
  <c r="AC39" i="66"/>
  <c r="AC40" i="72"/>
  <c r="AC40" i="66" s="1"/>
  <c r="AB42" i="72"/>
  <c r="AB26" i="72"/>
  <c r="AB14" i="66" s="1"/>
  <c r="AB13" i="66"/>
  <c r="Z10" i="62" s="1"/>
  <c r="AD21" i="72"/>
  <c r="AC24" i="72"/>
  <c r="AA28" i="72"/>
  <c r="X53" i="68"/>
  <c r="X54" i="68" s="1"/>
  <c r="X55" i="68" s="1"/>
  <c r="X52" i="68"/>
  <c r="AB69" i="61"/>
  <c r="AA35" i="66"/>
  <c r="Y23" i="62"/>
  <c r="R94" i="68"/>
  <c r="X56" i="61"/>
  <c r="X17" i="61"/>
  <c r="X54" i="61"/>
  <c r="X15" i="61"/>
  <c r="U46" i="69"/>
  <c r="U52" i="69"/>
  <c r="X18" i="61"/>
  <c r="X57" i="61"/>
  <c r="R92" i="68"/>
  <c r="U13" i="70"/>
  <c r="X16" i="61"/>
  <c r="X55" i="61"/>
  <c r="U17" i="69"/>
  <c r="AD13" i="60"/>
  <c r="AA29" i="59"/>
  <c r="Z26" i="62"/>
  <c r="AD15" i="60"/>
  <c r="AD17" i="60" s="1"/>
  <c r="Z24" i="62"/>
  <c r="AB36" i="66"/>
  <c r="Y47" i="65"/>
  <c r="AC70" i="61" s="1"/>
  <c r="AE51" i="63"/>
  <c r="AD54" i="63"/>
  <c r="Z46" i="65" s="1"/>
  <c r="AD53" i="63"/>
  <c r="Z45" i="65" s="1"/>
  <c r="S91" i="68"/>
  <c r="S96" i="68"/>
  <c r="S98" i="68" s="1"/>
  <c r="V16" i="69" s="1"/>
  <c r="X6" i="69"/>
  <c r="X19" i="69" s="1"/>
  <c r="V18" i="68"/>
  <c r="Y35" i="69" s="1"/>
  <c r="Y48" i="69" s="1"/>
  <c r="X8" i="69"/>
  <c r="X21" i="69" s="1"/>
  <c r="V20" i="68"/>
  <c r="Y37" i="69" s="1"/>
  <c r="Y50" i="69" s="1"/>
  <c r="X7" i="69"/>
  <c r="X20" i="69" s="1"/>
  <c r="V19" i="68"/>
  <c r="Y36" i="69" s="1"/>
  <c r="Y49" i="69" s="1"/>
  <c r="X9" i="69"/>
  <c r="X22" i="69" s="1"/>
  <c r="V21" i="68"/>
  <c r="Y38" i="69" s="1"/>
  <c r="Y51" i="69" s="1"/>
  <c r="Y22" i="68"/>
  <c r="AB39" i="69" s="1"/>
  <c r="R103" i="68"/>
  <c r="R109" i="68" s="1"/>
  <c r="R107" i="68"/>
  <c r="S82" i="68"/>
  <c r="S86" i="68"/>
  <c r="S87" i="68" s="1"/>
  <c r="S101" i="68" s="1"/>
  <c r="S112" i="68" s="1"/>
  <c r="S114" i="68" s="1"/>
  <c r="V45" i="69" s="1"/>
  <c r="R89" i="68"/>
  <c r="R93" i="68"/>
  <c r="V63" i="68"/>
  <c r="V64" i="68" s="1"/>
  <c r="V65" i="68" s="1"/>
  <c r="Y51" i="68"/>
  <c r="Z29" i="68"/>
  <c r="Z47" i="68"/>
  <c r="Z62" i="68" s="1"/>
  <c r="AB26" i="68"/>
  <c r="AA28" i="68"/>
  <c r="AA88" i="68" s="1"/>
  <c r="AA104" i="68" s="1"/>
  <c r="AC42" i="72" l="1"/>
  <c r="AD39" i="66"/>
  <c r="AD40" i="72"/>
  <c r="AD40" i="66" s="1"/>
  <c r="AE38" i="72"/>
  <c r="AF35" i="72"/>
  <c r="AC13" i="66"/>
  <c r="AA10" i="62" s="1"/>
  <c r="AC26" i="72"/>
  <c r="AC14" i="66" s="1"/>
  <c r="AD24" i="72"/>
  <c r="AE21" i="72"/>
  <c r="AB28" i="72"/>
  <c r="Y53" i="68"/>
  <c r="Y54" i="68" s="1"/>
  <c r="Y55" i="68" s="1"/>
  <c r="Y52" i="68"/>
  <c r="AC69" i="61"/>
  <c r="AB35" i="66"/>
  <c r="Z23" i="62"/>
  <c r="Y17" i="61"/>
  <c r="Y56" i="61"/>
  <c r="Y54" i="61"/>
  <c r="Y15" i="61"/>
  <c r="V17" i="69"/>
  <c r="U59" i="61"/>
  <c r="U53" i="69"/>
  <c r="Y18" i="61"/>
  <c r="Y57" i="61"/>
  <c r="V46" i="69"/>
  <c r="V52" i="69"/>
  <c r="Y55" i="61"/>
  <c r="Y16" i="61"/>
  <c r="S92" i="68"/>
  <c r="V13" i="70"/>
  <c r="AE15" i="60"/>
  <c r="AE17" i="60" s="1"/>
  <c r="AA26" i="62"/>
  <c r="AE13" i="60"/>
  <c r="AB29" i="59"/>
  <c r="AA24" i="62"/>
  <c r="AC36" i="66"/>
  <c r="Z47" i="65"/>
  <c r="AD70" i="61" s="1"/>
  <c r="AF51" i="63"/>
  <c r="AE53" i="63"/>
  <c r="AA45" i="65" s="1"/>
  <c r="AE54" i="63"/>
  <c r="AA46" i="65" s="1"/>
  <c r="Y7" i="69"/>
  <c r="Y20" i="69" s="1"/>
  <c r="W19" i="68"/>
  <c r="Z36" i="69" s="1"/>
  <c r="Z49" i="69" s="1"/>
  <c r="Y8" i="69"/>
  <c r="Y21" i="69" s="1"/>
  <c r="W20" i="68"/>
  <c r="Z37" i="69" s="1"/>
  <c r="Z50" i="69" s="1"/>
  <c r="Y6" i="69"/>
  <c r="Y19" i="69" s="1"/>
  <c r="W18" i="68"/>
  <c r="Z35" i="69" s="1"/>
  <c r="Z48" i="69" s="1"/>
  <c r="Z22" i="68"/>
  <c r="AC39" i="69" s="1"/>
  <c r="Y9" i="69"/>
  <c r="Y22" i="69" s="1"/>
  <c r="W21" i="68"/>
  <c r="Z38" i="69" s="1"/>
  <c r="Z51" i="69" s="1"/>
  <c r="S94" i="68"/>
  <c r="S103" i="68"/>
  <c r="S109" i="68" s="1"/>
  <c r="S107" i="68"/>
  <c r="R105" i="68"/>
  <c r="R110" i="68"/>
  <c r="S89" i="68"/>
  <c r="S93" i="68"/>
  <c r="V66" i="68"/>
  <c r="V71" i="68" s="1"/>
  <c r="V67" i="68"/>
  <c r="V68" i="68" s="1"/>
  <c r="V72" i="68" s="1"/>
  <c r="X56" i="68"/>
  <c r="X57" i="68"/>
  <c r="X58" i="68" s="1"/>
  <c r="Z51" i="68"/>
  <c r="AA29" i="68"/>
  <c r="AA47" i="68"/>
  <c r="AA62" i="68" s="1"/>
  <c r="AB28" i="68"/>
  <c r="AB88" i="68" s="1"/>
  <c r="AB104" i="68" s="1"/>
  <c r="AC26" i="68"/>
  <c r="AF38" i="72" l="1"/>
  <c r="AG35" i="72"/>
  <c r="AE40" i="72"/>
  <c r="AE40" i="66" s="1"/>
  <c r="AE39" i="66"/>
  <c r="AD42" i="72"/>
  <c r="AE24" i="72"/>
  <c r="AF21" i="72"/>
  <c r="AD13" i="66"/>
  <c r="AB10" i="62" s="1"/>
  <c r="AD26" i="72"/>
  <c r="AD14" i="66" s="1"/>
  <c r="AC28" i="72"/>
  <c r="Z53" i="68"/>
  <c r="Z54" i="68" s="1"/>
  <c r="Z55" i="68" s="1"/>
  <c r="Z52" i="68"/>
  <c r="AD69" i="61"/>
  <c r="AA23" i="62"/>
  <c r="AC35" i="66"/>
  <c r="Z55" i="61"/>
  <c r="Z16" i="61"/>
  <c r="Z57" i="61"/>
  <c r="Z18" i="61"/>
  <c r="V59" i="61"/>
  <c r="V53" i="69"/>
  <c r="Z56" i="61"/>
  <c r="Z17" i="61"/>
  <c r="Z15" i="61"/>
  <c r="Z54" i="61"/>
  <c r="AB26" i="62"/>
  <c r="AF13" i="60"/>
  <c r="AC29" i="59"/>
  <c r="AF15" i="60"/>
  <c r="AF17" i="60" s="1"/>
  <c r="AB24" i="62"/>
  <c r="AD36" i="66"/>
  <c r="AA47" i="65"/>
  <c r="AE70" i="61" s="1"/>
  <c r="AG51" i="63"/>
  <c r="AF54" i="63"/>
  <c r="AB46" i="65" s="1"/>
  <c r="AF53" i="63"/>
  <c r="AB45" i="65" s="1"/>
  <c r="AA22" i="68"/>
  <c r="AD39" i="69" s="1"/>
  <c r="Z7" i="69"/>
  <c r="Z20" i="69" s="1"/>
  <c r="X19" i="68"/>
  <c r="AA36" i="69" s="1"/>
  <c r="AA49" i="69" s="1"/>
  <c r="Z9" i="69"/>
  <c r="Z22" i="69" s="1"/>
  <c r="X21" i="68"/>
  <c r="AA38" i="69" s="1"/>
  <c r="AA51" i="69" s="1"/>
  <c r="Z6" i="69"/>
  <c r="Z19" i="69" s="1"/>
  <c r="X18" i="68"/>
  <c r="AA35" i="69" s="1"/>
  <c r="AA48" i="69" s="1"/>
  <c r="Z8" i="69"/>
  <c r="Z21" i="69" s="1"/>
  <c r="X20" i="68"/>
  <c r="AA37" i="69" s="1"/>
  <c r="AA50" i="69" s="1"/>
  <c r="S105" i="68"/>
  <c r="S110" i="68"/>
  <c r="V78" i="68"/>
  <c r="V80" i="68" s="1"/>
  <c r="V81" i="68" s="1"/>
  <c r="V85" i="68" s="1"/>
  <c r="V77" i="68"/>
  <c r="V73" i="68"/>
  <c r="X63" i="68"/>
  <c r="X64" i="68" s="1"/>
  <c r="X65" i="68" s="1"/>
  <c r="Y56" i="68"/>
  <c r="Y57" i="68"/>
  <c r="Y58" i="68" s="1"/>
  <c r="AA51" i="68"/>
  <c r="AB29" i="68"/>
  <c r="AB47" i="68"/>
  <c r="AB62" i="68" s="1"/>
  <c r="AD26" i="68"/>
  <c r="AC28" i="68"/>
  <c r="AC88" i="68" s="1"/>
  <c r="AC104" i="68" s="1"/>
  <c r="AE42" i="72" l="1"/>
  <c r="AG38" i="72"/>
  <c r="AH35" i="72"/>
  <c r="AF39" i="66"/>
  <c r="AF40" i="72"/>
  <c r="AF40" i="66" s="1"/>
  <c r="AD28" i="72"/>
  <c r="AF24" i="72"/>
  <c r="AG21" i="72"/>
  <c r="AE13" i="66"/>
  <c r="AC10" i="62" s="1"/>
  <c r="AE26" i="72"/>
  <c r="AE14" i="66" s="1"/>
  <c r="AA53" i="68"/>
  <c r="AA54" i="68" s="1"/>
  <c r="AA55" i="68" s="1"/>
  <c r="AA56" i="68" s="1"/>
  <c r="AA52" i="68"/>
  <c r="AB23" i="62"/>
  <c r="AE69" i="61"/>
  <c r="AD35" i="66"/>
  <c r="AA54" i="61"/>
  <c r="AA15" i="61"/>
  <c r="AA57" i="61"/>
  <c r="AA18" i="61"/>
  <c r="AA16" i="61"/>
  <c r="AA55" i="61"/>
  <c r="AA56" i="61"/>
  <c r="AA17" i="61"/>
  <c r="AG13" i="60"/>
  <c r="AD29" i="59"/>
  <c r="AC26" i="62"/>
  <c r="AG15" i="60"/>
  <c r="AG17" i="60" s="1"/>
  <c r="AE36" i="66"/>
  <c r="AC24" i="62"/>
  <c r="AB47" i="65"/>
  <c r="AF70" i="61" s="1"/>
  <c r="AH51" i="63"/>
  <c r="AG54" i="63"/>
  <c r="AC46" i="65" s="1"/>
  <c r="AG53" i="63"/>
  <c r="AC45" i="65" s="1"/>
  <c r="V91" i="68"/>
  <c r="V96" i="68"/>
  <c r="V98" i="68" s="1"/>
  <c r="Y16" i="69" s="1"/>
  <c r="AA6" i="69"/>
  <c r="AA19" i="69" s="1"/>
  <c r="Y18" i="68"/>
  <c r="AB35" i="69" s="1"/>
  <c r="AB48" i="69" s="1"/>
  <c r="AA8" i="69"/>
  <c r="AA21" i="69" s="1"/>
  <c r="Y20" i="68"/>
  <c r="AB37" i="69" s="1"/>
  <c r="AB50" i="69" s="1"/>
  <c r="AA9" i="69"/>
  <c r="AA22" i="69" s="1"/>
  <c r="Y21" i="68"/>
  <c r="AB38" i="69" s="1"/>
  <c r="AB51" i="69" s="1"/>
  <c r="AA7" i="69"/>
  <c r="AA20" i="69" s="1"/>
  <c r="Y19" i="68"/>
  <c r="AB36" i="69" s="1"/>
  <c r="AB49" i="69" s="1"/>
  <c r="AB22" i="68"/>
  <c r="AE39" i="69" s="1"/>
  <c r="V86" i="68"/>
  <c r="V87" i="68" s="1"/>
  <c r="V101" i="68" s="1"/>
  <c r="V112" i="68" s="1"/>
  <c r="V114" i="68" s="1"/>
  <c r="Y45" i="69" s="1"/>
  <c r="V82" i="68"/>
  <c r="X66" i="68"/>
  <c r="X71" i="68" s="1"/>
  <c r="X67" i="68"/>
  <c r="X68" i="68" s="1"/>
  <c r="X72" i="68" s="1"/>
  <c r="Y63" i="68"/>
  <c r="Y64" i="68" s="1"/>
  <c r="Y65" i="68" s="1"/>
  <c r="Z56" i="68"/>
  <c r="Z57" i="68"/>
  <c r="Z58" i="68" s="1"/>
  <c r="AB51" i="68"/>
  <c r="AC29" i="68"/>
  <c r="AC47" i="68"/>
  <c r="AC62" i="68" s="1"/>
  <c r="AD28" i="68"/>
  <c r="AD88" i="68" s="1"/>
  <c r="AD104" i="68" s="1"/>
  <c r="AE26" i="68"/>
  <c r="AF42" i="72" l="1"/>
  <c r="AI35" i="72"/>
  <c r="AI38" i="72" s="1"/>
  <c r="AH38" i="72"/>
  <c r="AG40" i="72"/>
  <c r="AG40" i="66" s="1"/>
  <c r="AG39" i="66"/>
  <c r="AE28" i="72"/>
  <c r="AG24" i="72"/>
  <c r="AH21" i="72"/>
  <c r="AF13" i="66"/>
  <c r="AD10" i="62" s="1"/>
  <c r="AF26" i="72"/>
  <c r="AF14" i="66" s="1"/>
  <c r="AB53" i="68"/>
  <c r="AB52" i="68"/>
  <c r="AF69" i="61"/>
  <c r="AC23" i="62"/>
  <c r="AE35" i="66"/>
  <c r="V94" i="68"/>
  <c r="AB16" i="61"/>
  <c r="AB55" i="61"/>
  <c r="AB57" i="61"/>
  <c r="AB18" i="61"/>
  <c r="AB17" i="61"/>
  <c r="AB56" i="61"/>
  <c r="Y46" i="69"/>
  <c r="Y52" i="69"/>
  <c r="AB15" i="61"/>
  <c r="AB54" i="61"/>
  <c r="V92" i="68"/>
  <c r="Y13" i="70"/>
  <c r="Y17" i="69"/>
  <c r="AD26" i="62"/>
  <c r="AH15" i="60"/>
  <c r="AH17" i="60" s="1"/>
  <c r="AH13" i="60"/>
  <c r="AE29" i="59"/>
  <c r="AF36" i="66"/>
  <c r="AD24" i="62"/>
  <c r="AC47" i="65"/>
  <c r="AG70" i="61" s="1"/>
  <c r="AI51" i="63"/>
  <c r="AH54" i="63"/>
  <c r="AD46" i="65" s="1"/>
  <c r="AH53" i="63"/>
  <c r="AD45" i="65" s="1"/>
  <c r="AC22" i="68"/>
  <c r="AF39" i="69" s="1"/>
  <c r="AB7" i="69"/>
  <c r="AB20" i="69" s="1"/>
  <c r="Z19" i="68"/>
  <c r="AC36" i="69" s="1"/>
  <c r="AC49" i="69" s="1"/>
  <c r="AB9" i="69"/>
  <c r="AB22" i="69" s="1"/>
  <c r="Z21" i="68"/>
  <c r="AC38" i="69" s="1"/>
  <c r="AC51" i="69" s="1"/>
  <c r="AB8" i="69"/>
  <c r="AB21" i="69" s="1"/>
  <c r="Z20" i="68"/>
  <c r="AC37" i="69" s="1"/>
  <c r="AC50" i="69" s="1"/>
  <c r="AB6" i="69"/>
  <c r="AB19" i="69" s="1"/>
  <c r="Z18" i="68"/>
  <c r="AC35" i="69" s="1"/>
  <c r="AC48" i="69" s="1"/>
  <c r="V103" i="68"/>
  <c r="V109" i="68" s="1"/>
  <c r="V107" i="68"/>
  <c r="V89" i="68"/>
  <c r="V93" i="68"/>
  <c r="X78" i="68"/>
  <c r="X80" i="68" s="1"/>
  <c r="X81" i="68" s="1"/>
  <c r="X85" i="68" s="1"/>
  <c r="X77" i="68"/>
  <c r="X73" i="68"/>
  <c r="Y66" i="68"/>
  <c r="Y71" i="68" s="1"/>
  <c r="Y67" i="68"/>
  <c r="Y68" i="68" s="1"/>
  <c r="Y72" i="68" s="1"/>
  <c r="Z63" i="68"/>
  <c r="Z64" i="68" s="1"/>
  <c r="Z65" i="68" s="1"/>
  <c r="AA57" i="68"/>
  <c r="AA58" i="68" s="1"/>
  <c r="AC51" i="68"/>
  <c r="AD29" i="68"/>
  <c r="AD47" i="68"/>
  <c r="AD62" i="68" s="1"/>
  <c r="AF26" i="68"/>
  <c r="AE28" i="68"/>
  <c r="AE88" i="68" s="1"/>
  <c r="AE104" i="68" s="1"/>
  <c r="AG42" i="72" l="1"/>
  <c r="AH40" i="72"/>
  <c r="AH40" i="66" s="1"/>
  <c r="AH39" i="66"/>
  <c r="AI40" i="72"/>
  <c r="AI40" i="66" s="1"/>
  <c r="AI39" i="66"/>
  <c r="AF28" i="72"/>
  <c r="AI21" i="72"/>
  <c r="AI24" i="72" s="1"/>
  <c r="AH24" i="72"/>
  <c r="AG13" i="66"/>
  <c r="AE10" i="62" s="1"/>
  <c r="AG26" i="72"/>
  <c r="AG14" i="66" s="1"/>
  <c r="AC53" i="68"/>
  <c r="AC54" i="68" s="1"/>
  <c r="AC55" i="68" s="1"/>
  <c r="AC52" i="68"/>
  <c r="AG69" i="61"/>
  <c r="AF35" i="66"/>
  <c r="AD23" i="62"/>
  <c r="AC16" i="61"/>
  <c r="AC55" i="61"/>
  <c r="Y59" i="61"/>
  <c r="Y53" i="69"/>
  <c r="AC15" i="61"/>
  <c r="AC54" i="61"/>
  <c r="AC56" i="61"/>
  <c r="AC17" i="61"/>
  <c r="AC57" i="61"/>
  <c r="AC18" i="61"/>
  <c r="AI13" i="60"/>
  <c r="AF29" i="59"/>
  <c r="AI15" i="60"/>
  <c r="AI17" i="60" s="1"/>
  <c r="AE26" i="62"/>
  <c r="AG36" i="66"/>
  <c r="AE24" i="62"/>
  <c r="AD47" i="65"/>
  <c r="AH70" i="61" s="1"/>
  <c r="AJ51" i="63"/>
  <c r="AI54" i="63"/>
  <c r="AE46" i="65" s="1"/>
  <c r="AI53" i="63"/>
  <c r="AE45" i="65" s="1"/>
  <c r="X91" i="68"/>
  <c r="X96" i="68"/>
  <c r="X98" i="68" s="1"/>
  <c r="AA16" i="69" s="1"/>
  <c r="AC6" i="69"/>
  <c r="AC19" i="69" s="1"/>
  <c r="AA18" i="68"/>
  <c r="AD35" i="69" s="1"/>
  <c r="AD48" i="69" s="1"/>
  <c r="AC8" i="69"/>
  <c r="AC21" i="69" s="1"/>
  <c r="AA20" i="68"/>
  <c r="AD37" i="69" s="1"/>
  <c r="AD50" i="69" s="1"/>
  <c r="AC9" i="69"/>
  <c r="AC22" i="69" s="1"/>
  <c r="AA21" i="68"/>
  <c r="AD38" i="69" s="1"/>
  <c r="AD51" i="69" s="1"/>
  <c r="AC7" i="69"/>
  <c r="AC20" i="69" s="1"/>
  <c r="AA19" i="68"/>
  <c r="AD36" i="69" s="1"/>
  <c r="AD49" i="69" s="1"/>
  <c r="AD22" i="68"/>
  <c r="AG39" i="69" s="1"/>
  <c r="V105" i="68"/>
  <c r="V110" i="68"/>
  <c r="X86" i="68"/>
  <c r="X82" i="68"/>
  <c r="Y78" i="68"/>
  <c r="Y80" i="68" s="1"/>
  <c r="Y81" i="68" s="1"/>
  <c r="Y85" i="68" s="1"/>
  <c r="Y77" i="68"/>
  <c r="Y73" i="68"/>
  <c r="Z66" i="68"/>
  <c r="Z71" i="68" s="1"/>
  <c r="Z67" i="68"/>
  <c r="Z68" i="68" s="1"/>
  <c r="Z72" i="68" s="1"/>
  <c r="AA63" i="68"/>
  <c r="AA64" i="68" s="1"/>
  <c r="AA65" i="68" s="1"/>
  <c r="AD51" i="68"/>
  <c r="AE29" i="68"/>
  <c r="AE47" i="68"/>
  <c r="AE62" i="68" s="1"/>
  <c r="AG26" i="68"/>
  <c r="AF28" i="68"/>
  <c r="AF88" i="68" s="1"/>
  <c r="AF104" i="68" s="1"/>
  <c r="AI42" i="72" l="1"/>
  <c r="AH42" i="72"/>
  <c r="AG28" i="72"/>
  <c r="AH26" i="72"/>
  <c r="AH14" i="66" s="1"/>
  <c r="AH13" i="66"/>
  <c r="AF10" i="62" s="1"/>
  <c r="AI26" i="72"/>
  <c r="AI14" i="66" s="1"/>
  <c r="AI13" i="66"/>
  <c r="AG10" i="62" s="1"/>
  <c r="AD53" i="68"/>
  <c r="AD54" i="68" s="1"/>
  <c r="AD55" i="68" s="1"/>
  <c r="AD56" i="68" s="1"/>
  <c r="AD52" i="68"/>
  <c r="AH69" i="61"/>
  <c r="AG35" i="66"/>
  <c r="AE23" i="62"/>
  <c r="AD57" i="61"/>
  <c r="AD18" i="61"/>
  <c r="AD56" i="61"/>
  <c r="AD17" i="61"/>
  <c r="X87" i="68"/>
  <c r="X93" i="68" s="1"/>
  <c r="AA13" i="70"/>
  <c r="AA17" i="69"/>
  <c r="AD15" i="61"/>
  <c r="AD54" i="61"/>
  <c r="AD55" i="61"/>
  <c r="AD16" i="61"/>
  <c r="AJ13" i="60"/>
  <c r="AG29" i="59"/>
  <c r="AF26" i="62"/>
  <c r="AJ15" i="60"/>
  <c r="AJ17" i="60" s="1"/>
  <c r="AH36" i="66"/>
  <c r="AF24" i="62"/>
  <c r="AE47" i="65"/>
  <c r="AI70" i="61" s="1"/>
  <c r="AK51" i="63"/>
  <c r="AJ53" i="63"/>
  <c r="AF45" i="65" s="1"/>
  <c r="AJ54" i="63"/>
  <c r="AF46" i="65" s="1"/>
  <c r="Y91" i="68"/>
  <c r="Y96" i="68"/>
  <c r="Y98" i="68" s="1"/>
  <c r="AB16" i="69" s="1"/>
  <c r="AD7" i="69"/>
  <c r="AD20" i="69" s="1"/>
  <c r="AB19" i="68"/>
  <c r="AE36" i="69" s="1"/>
  <c r="AE49" i="69" s="1"/>
  <c r="AD9" i="69"/>
  <c r="AD22" i="69" s="1"/>
  <c r="AB21" i="68"/>
  <c r="AE38" i="69" s="1"/>
  <c r="AE51" i="69" s="1"/>
  <c r="AD8" i="69"/>
  <c r="AD21" i="69" s="1"/>
  <c r="AB20" i="68"/>
  <c r="AE37" i="69" s="1"/>
  <c r="AE50" i="69" s="1"/>
  <c r="AD6" i="69"/>
  <c r="AD19" i="69" s="1"/>
  <c r="AB18" i="68"/>
  <c r="AE35" i="69" s="1"/>
  <c r="AE48" i="69" s="1"/>
  <c r="AE22" i="68"/>
  <c r="AH39" i="69" s="1"/>
  <c r="X92" i="68"/>
  <c r="Y86" i="68"/>
  <c r="Y82" i="68"/>
  <c r="Z78" i="68"/>
  <c r="Z80" i="68" s="1"/>
  <c r="Z81" i="68" s="1"/>
  <c r="Z85" i="68" s="1"/>
  <c r="Z77" i="68"/>
  <c r="Z73" i="68"/>
  <c r="AA67" i="68"/>
  <c r="AA68" i="68" s="1"/>
  <c r="AA72" i="68" s="1"/>
  <c r="AA66" i="68"/>
  <c r="AA71" i="68" s="1"/>
  <c r="AC56" i="68"/>
  <c r="AC57" i="68"/>
  <c r="AC58" i="68" s="1"/>
  <c r="AE51" i="68"/>
  <c r="AF29" i="68"/>
  <c r="AF47" i="68"/>
  <c r="AF62" i="68" s="1"/>
  <c r="AG28" i="68"/>
  <c r="AG88" i="68" s="1"/>
  <c r="AG104" i="68" s="1"/>
  <c r="AH26" i="68"/>
  <c r="AH28" i="72" l="1"/>
  <c r="AI28" i="72"/>
  <c r="AE53" i="68"/>
  <c r="AE54" i="68" s="1"/>
  <c r="AE55" i="68" s="1"/>
  <c r="AE56" i="68" s="1"/>
  <c r="AE52" i="68"/>
  <c r="X89" i="68"/>
  <c r="AI69" i="61"/>
  <c r="AF23" i="62"/>
  <c r="AH35" i="66"/>
  <c r="X101" i="68"/>
  <c r="X112" i="68" s="1"/>
  <c r="X114" i="68" s="1"/>
  <c r="AA45" i="69" s="1"/>
  <c r="AA52" i="69" s="1"/>
  <c r="X94" i="68"/>
  <c r="AE57" i="61"/>
  <c r="AE18" i="61"/>
  <c r="AB17" i="69"/>
  <c r="AE56" i="61"/>
  <c r="AE17" i="61"/>
  <c r="Y87" i="68"/>
  <c r="Y89" i="68" s="1"/>
  <c r="AB13" i="70"/>
  <c r="AE16" i="61"/>
  <c r="AE55" i="61"/>
  <c r="AE15" i="61"/>
  <c r="AE54" i="61"/>
  <c r="AK15" i="60"/>
  <c r="AK17" i="60" s="1"/>
  <c r="AG26" i="62"/>
  <c r="AK13" i="60"/>
  <c r="AH29" i="59"/>
  <c r="AI36" i="66"/>
  <c r="AG24" i="62"/>
  <c r="AF47" i="65"/>
  <c r="AJ70" i="61" s="1"/>
  <c r="AL51" i="63"/>
  <c r="AK53" i="63"/>
  <c r="AG45" i="65" s="1"/>
  <c r="AK54" i="63"/>
  <c r="AG46" i="65" s="1"/>
  <c r="Y92" i="68"/>
  <c r="Z91" i="68"/>
  <c r="Z96" i="68"/>
  <c r="Z98" i="68" s="1"/>
  <c r="AC16" i="69" s="1"/>
  <c r="AE8" i="69"/>
  <c r="AE21" i="69" s="1"/>
  <c r="AC20" i="68"/>
  <c r="AF37" i="69" s="1"/>
  <c r="AF50" i="69" s="1"/>
  <c r="AE6" i="69"/>
  <c r="AE19" i="69" s="1"/>
  <c r="AC18" i="68"/>
  <c r="AF35" i="69" s="1"/>
  <c r="AF48" i="69" s="1"/>
  <c r="AF22" i="68"/>
  <c r="AI39" i="69" s="1"/>
  <c r="AE9" i="69"/>
  <c r="AE22" i="69" s="1"/>
  <c r="AC21" i="68"/>
  <c r="AF38" i="69" s="1"/>
  <c r="AF51" i="69" s="1"/>
  <c r="AE7" i="69"/>
  <c r="AE20" i="69" s="1"/>
  <c r="AC19" i="68"/>
  <c r="AF36" i="69" s="1"/>
  <c r="AF49" i="69" s="1"/>
  <c r="Z86" i="68"/>
  <c r="Z82" i="68"/>
  <c r="AA73" i="68"/>
  <c r="AA78" i="68"/>
  <c r="AA80" i="68" s="1"/>
  <c r="AA81" i="68" s="1"/>
  <c r="AA85" i="68" s="1"/>
  <c r="AA77" i="68"/>
  <c r="AC63" i="68"/>
  <c r="AC64" i="68" s="1"/>
  <c r="AC65" i="68" s="1"/>
  <c r="AD57" i="68"/>
  <c r="AD58" i="68" s="1"/>
  <c r="AF51" i="68"/>
  <c r="AG29" i="68"/>
  <c r="AG47" i="68"/>
  <c r="AG62" i="68" s="1"/>
  <c r="AI26" i="68"/>
  <c r="AH28" i="68"/>
  <c r="AH88" i="68" s="1"/>
  <c r="AH104" i="68" s="1"/>
  <c r="Y94" i="68" l="1"/>
  <c r="AA46" i="69"/>
  <c r="Y101" i="68"/>
  <c r="Y112" i="68" s="1"/>
  <c r="Y114" i="68" s="1"/>
  <c r="AB45" i="69" s="1"/>
  <c r="AB46" i="69" s="1"/>
  <c r="X107" i="68"/>
  <c r="AF53" i="68"/>
  <c r="AF54" i="68" s="1"/>
  <c r="AF55" i="68" s="1"/>
  <c r="AF56" i="68" s="1"/>
  <c r="AF52" i="68"/>
  <c r="AI35" i="66"/>
  <c r="AJ69" i="61"/>
  <c r="AG23" i="62"/>
  <c r="X103" i="68"/>
  <c r="X109" i="68" s="1"/>
  <c r="AF17" i="61"/>
  <c r="AF56" i="61"/>
  <c r="Y93" i="68"/>
  <c r="AF57" i="61"/>
  <c r="AF18" i="61"/>
  <c r="AF16" i="61"/>
  <c r="AF55" i="61"/>
  <c r="AC17" i="69"/>
  <c r="Z92" i="68"/>
  <c r="AC13" i="70"/>
  <c r="AF15" i="61"/>
  <c r="AF54" i="61"/>
  <c r="AA59" i="61"/>
  <c r="AA53" i="69"/>
  <c r="AH26" i="62"/>
  <c r="AL13" i="60"/>
  <c r="AI29" i="59"/>
  <c r="AL15" i="60"/>
  <c r="AL17" i="60" s="1"/>
  <c r="AH24" i="62"/>
  <c r="AJ36" i="66"/>
  <c r="AG47" i="65"/>
  <c r="AK70" i="61" s="1"/>
  <c r="AM51" i="63"/>
  <c r="AL53" i="63"/>
  <c r="AH45" i="65" s="1"/>
  <c r="AL54" i="63"/>
  <c r="AH46" i="65" s="1"/>
  <c r="Z87" i="68"/>
  <c r="Z101" i="68" s="1"/>
  <c r="Z112" i="68" s="1"/>
  <c r="Z114" i="68" s="1"/>
  <c r="AC45" i="69" s="1"/>
  <c r="AA91" i="68"/>
  <c r="AA96" i="68"/>
  <c r="AA98" i="68" s="1"/>
  <c r="AD16" i="69" s="1"/>
  <c r="AF9" i="69"/>
  <c r="AF22" i="69" s="1"/>
  <c r="AD21" i="68"/>
  <c r="AG38" i="69" s="1"/>
  <c r="AG51" i="69" s="1"/>
  <c r="AG22" i="68"/>
  <c r="AJ39" i="69" s="1"/>
  <c r="AF6" i="69"/>
  <c r="AF19" i="69" s="1"/>
  <c r="AD18" i="68"/>
  <c r="AG35" i="69" s="1"/>
  <c r="AG48" i="69" s="1"/>
  <c r="AF8" i="69"/>
  <c r="AF21" i="69" s="1"/>
  <c r="AD20" i="68"/>
  <c r="AG37" i="69" s="1"/>
  <c r="AG50" i="69" s="1"/>
  <c r="AF7" i="69"/>
  <c r="AF20" i="69" s="1"/>
  <c r="AD19" i="68"/>
  <c r="AG36" i="69" s="1"/>
  <c r="AG49" i="69" s="1"/>
  <c r="AA86" i="68"/>
  <c r="AA82" i="68"/>
  <c r="AE57" i="68"/>
  <c r="AE58" i="68" s="1"/>
  <c r="AE63" i="68" s="1"/>
  <c r="AE64" i="68" s="1"/>
  <c r="AE65" i="68" s="1"/>
  <c r="AC66" i="68"/>
  <c r="AC71" i="68" s="1"/>
  <c r="AC67" i="68"/>
  <c r="AC68" i="68" s="1"/>
  <c r="AC72" i="68" s="1"/>
  <c r="AD63" i="68"/>
  <c r="AD64" i="68" s="1"/>
  <c r="AD65" i="68" s="1"/>
  <c r="AG51" i="68"/>
  <c r="AH29" i="68"/>
  <c r="AH47" i="68"/>
  <c r="AH62" i="68" s="1"/>
  <c r="AI28" i="68"/>
  <c r="AI88" i="68" s="1"/>
  <c r="AI104" i="68" s="1"/>
  <c r="AJ26" i="68"/>
  <c r="Y107" i="68" l="1"/>
  <c r="AB52" i="69"/>
  <c r="AB59" i="61" s="1"/>
  <c r="Y103" i="68"/>
  <c r="Y110" i="68" s="1"/>
  <c r="AG53" i="68"/>
  <c r="AG54" i="68" s="1"/>
  <c r="AG55" i="68" s="1"/>
  <c r="AG56" i="68" s="1"/>
  <c r="AG52" i="68"/>
  <c r="X110" i="68"/>
  <c r="X105" i="68"/>
  <c r="AK69" i="61"/>
  <c r="AH23" i="62"/>
  <c r="AJ35" i="66"/>
  <c r="AC46" i="69"/>
  <c r="AC52" i="69"/>
  <c r="AG18" i="61"/>
  <c r="AG57" i="61"/>
  <c r="Z93" i="68"/>
  <c r="AA92" i="68"/>
  <c r="AD13" i="70"/>
  <c r="AG54" i="61"/>
  <c r="AG15" i="61"/>
  <c r="Z94" i="68"/>
  <c r="Z89" i="68"/>
  <c r="AG55" i="61"/>
  <c r="AG16" i="61"/>
  <c r="AD17" i="69"/>
  <c r="AG17" i="61"/>
  <c r="AG56" i="61"/>
  <c r="AM15" i="60"/>
  <c r="AM17" i="60" s="1"/>
  <c r="AI26" i="62"/>
  <c r="AM13" i="60"/>
  <c r="AJ29" i="59"/>
  <c r="AI24" i="62"/>
  <c r="AK36" i="66"/>
  <c r="AH47" i="65"/>
  <c r="AL70" i="61" s="1"/>
  <c r="AN51" i="63"/>
  <c r="AM53" i="63"/>
  <c r="AI45" i="65" s="1"/>
  <c r="AM54" i="63"/>
  <c r="AI46" i="65" s="1"/>
  <c r="AG6" i="69"/>
  <c r="AG19" i="69" s="1"/>
  <c r="AE18" i="68"/>
  <c r="AH35" i="69" s="1"/>
  <c r="AH48" i="69" s="1"/>
  <c r="AG7" i="69"/>
  <c r="AG20" i="69" s="1"/>
  <c r="AE19" i="68"/>
  <c r="AH36" i="69" s="1"/>
  <c r="AH49" i="69" s="1"/>
  <c r="AG8" i="69"/>
  <c r="AG21" i="69" s="1"/>
  <c r="AE20" i="68"/>
  <c r="AH37" i="69" s="1"/>
  <c r="AH50" i="69" s="1"/>
  <c r="AH22" i="68"/>
  <c r="AK39" i="69" s="1"/>
  <c r="AG9" i="69"/>
  <c r="AG22" i="69" s="1"/>
  <c r="AE21" i="68"/>
  <c r="AH38" i="69" s="1"/>
  <c r="AH51" i="69" s="1"/>
  <c r="AA87" i="68"/>
  <c r="AA93" i="68" s="1"/>
  <c r="Z103" i="68"/>
  <c r="Z109" i="68" s="1"/>
  <c r="Z107" i="68"/>
  <c r="AC77" i="68"/>
  <c r="AC78" i="68"/>
  <c r="AC80" i="68" s="1"/>
  <c r="AC81" i="68" s="1"/>
  <c r="AC85" i="68" s="1"/>
  <c r="AC73" i="68"/>
  <c r="AD66" i="68"/>
  <c r="AD71" i="68" s="1"/>
  <c r="AD67" i="68"/>
  <c r="AD68" i="68" s="1"/>
  <c r="AD72" i="68" s="1"/>
  <c r="AE66" i="68"/>
  <c r="AE71" i="68" s="1"/>
  <c r="AE67" i="68"/>
  <c r="AE68" i="68" s="1"/>
  <c r="AE72" i="68" s="1"/>
  <c r="AF57" i="68"/>
  <c r="AF58" i="68" s="1"/>
  <c r="AH51" i="68"/>
  <c r="AI29" i="68"/>
  <c r="AI47" i="68"/>
  <c r="AI62" i="68" s="1"/>
  <c r="AK26" i="68"/>
  <c r="AJ28" i="68"/>
  <c r="AJ88" i="68" s="1"/>
  <c r="AJ104" i="68" s="1"/>
  <c r="AB53" i="69" l="1"/>
  <c r="Y109" i="68"/>
  <c r="Y105" i="68"/>
  <c r="AH53" i="68"/>
  <c r="AH54" i="68" s="1"/>
  <c r="AH55" i="68" s="1"/>
  <c r="AH52" i="68"/>
  <c r="AA94" i="68"/>
  <c r="AL69" i="61"/>
  <c r="AK35" i="66"/>
  <c r="AI23" i="62"/>
  <c r="AH17" i="61"/>
  <c r="AH56" i="61"/>
  <c r="AH16" i="61"/>
  <c r="AH55" i="61"/>
  <c r="AH54" i="61"/>
  <c r="AH15" i="61"/>
  <c r="AC59" i="61"/>
  <c r="AC53" i="69"/>
  <c r="AH18" i="61"/>
  <c r="AH57" i="61"/>
  <c r="AJ26" i="62"/>
  <c r="AN13" i="60"/>
  <c r="AK29" i="59"/>
  <c r="AN15" i="60"/>
  <c r="AN17" i="60" s="1"/>
  <c r="AJ24" i="62"/>
  <c r="AL36" i="66"/>
  <c r="AI47" i="65"/>
  <c r="AM70" i="61" s="1"/>
  <c r="AO51" i="63"/>
  <c r="AN54" i="63"/>
  <c r="AJ46" i="65" s="1"/>
  <c r="AN53" i="63"/>
  <c r="AJ45" i="65" s="1"/>
  <c r="AC91" i="68"/>
  <c r="AC96" i="68"/>
  <c r="AC98" i="68" s="1"/>
  <c r="AF16" i="69" s="1"/>
  <c r="AH6" i="69"/>
  <c r="AH19" i="69" s="1"/>
  <c r="AF18" i="68"/>
  <c r="AI35" i="69" s="1"/>
  <c r="AI48" i="69" s="1"/>
  <c r="AH8" i="69"/>
  <c r="AH21" i="69" s="1"/>
  <c r="AF20" i="68"/>
  <c r="AI37" i="69" s="1"/>
  <c r="AI50" i="69" s="1"/>
  <c r="AH9" i="69"/>
  <c r="AH22" i="69" s="1"/>
  <c r="AF21" i="68"/>
  <c r="AI38" i="69" s="1"/>
  <c r="AI51" i="69" s="1"/>
  <c r="AI22" i="68"/>
  <c r="AL39" i="69" s="1"/>
  <c r="AH7" i="69"/>
  <c r="AH20" i="69" s="1"/>
  <c r="AF19" i="68"/>
  <c r="AI36" i="69" s="1"/>
  <c r="AI49" i="69" s="1"/>
  <c r="Z105" i="68"/>
  <c r="Z110" i="68"/>
  <c r="AA89" i="68"/>
  <c r="AA101" i="68"/>
  <c r="AA112" i="68" s="1"/>
  <c r="AA114" i="68" s="1"/>
  <c r="AD45" i="69" s="1"/>
  <c r="AC82" i="68"/>
  <c r="AC86" i="68"/>
  <c r="AE77" i="68"/>
  <c r="AE78" i="68"/>
  <c r="AE80" i="68" s="1"/>
  <c r="AE81" i="68" s="1"/>
  <c r="AE85" i="68" s="1"/>
  <c r="AD78" i="68"/>
  <c r="AD80" i="68" s="1"/>
  <c r="AD81" i="68" s="1"/>
  <c r="AD85" i="68" s="1"/>
  <c r="AD77" i="68"/>
  <c r="AF63" i="68"/>
  <c r="AF64" i="68" s="1"/>
  <c r="AF65" i="68" s="1"/>
  <c r="AF67" i="68" s="1"/>
  <c r="AF68" i="68" s="1"/>
  <c r="AF72" i="68" s="1"/>
  <c r="AD73" i="68"/>
  <c r="AE73" i="68"/>
  <c r="AG57" i="68"/>
  <c r="AG58" i="68" s="1"/>
  <c r="AI51" i="68"/>
  <c r="AJ29" i="68"/>
  <c r="AJ47" i="68"/>
  <c r="AJ62" i="68" s="1"/>
  <c r="AL26" i="68"/>
  <c r="AK28" i="68"/>
  <c r="AK88" i="68" s="1"/>
  <c r="AK104" i="68" s="1"/>
  <c r="AI53" i="68" l="1"/>
  <c r="AI54" i="68" s="1"/>
  <c r="AI55" i="68" s="1"/>
  <c r="AI56" i="68" s="1"/>
  <c r="AI52" i="68"/>
  <c r="AM69" i="61"/>
  <c r="AJ23" i="62"/>
  <c r="AL35" i="66"/>
  <c r="AI54" i="61"/>
  <c r="AI15" i="61"/>
  <c r="AI55" i="61"/>
  <c r="AI16" i="61"/>
  <c r="AF17" i="69"/>
  <c r="AC87" i="68"/>
  <c r="AC94" i="68" s="1"/>
  <c r="AF13" i="70"/>
  <c r="AI18" i="61"/>
  <c r="AI57" i="61"/>
  <c r="AD46" i="69"/>
  <c r="AD52" i="69"/>
  <c r="AI17" i="61"/>
  <c r="AI56" i="61"/>
  <c r="AO13" i="60"/>
  <c r="AL29" i="59"/>
  <c r="AK26" i="62"/>
  <c r="AO15" i="60"/>
  <c r="AO17" i="60" s="1"/>
  <c r="AK24" i="62"/>
  <c r="AM36" i="66"/>
  <c r="AJ47" i="65"/>
  <c r="AN70" i="61" s="1"/>
  <c r="AP51" i="63"/>
  <c r="AO53" i="63"/>
  <c r="AK45" i="65" s="1"/>
  <c r="AO54" i="63"/>
  <c r="AK46" i="65" s="1"/>
  <c r="AE91" i="68"/>
  <c r="AE96" i="68"/>
  <c r="AE98" i="68" s="1"/>
  <c r="AH16" i="69" s="1"/>
  <c r="AD91" i="68"/>
  <c r="AD96" i="68"/>
  <c r="AD98" i="68" s="1"/>
  <c r="AG16" i="69" s="1"/>
  <c r="AI7" i="69"/>
  <c r="AI20" i="69" s="1"/>
  <c r="AG19" i="68"/>
  <c r="AJ36" i="69" s="1"/>
  <c r="AJ49" i="69" s="1"/>
  <c r="AC92" i="68"/>
  <c r="AJ22" i="68"/>
  <c r="AM39" i="69" s="1"/>
  <c r="AI9" i="69"/>
  <c r="AI22" i="69" s="1"/>
  <c r="AG21" i="68"/>
  <c r="AJ38" i="69" s="1"/>
  <c r="AJ51" i="69" s="1"/>
  <c r="AI8" i="69"/>
  <c r="AI21" i="69" s="1"/>
  <c r="AG20" i="68"/>
  <c r="AJ37" i="69" s="1"/>
  <c r="AJ50" i="69" s="1"/>
  <c r="AI6" i="69"/>
  <c r="AI19" i="69" s="1"/>
  <c r="AG18" i="68"/>
  <c r="AJ35" i="69" s="1"/>
  <c r="AJ48" i="69" s="1"/>
  <c r="AA103" i="68"/>
  <c r="AA109" i="68" s="1"/>
  <c r="AA107" i="68"/>
  <c r="AD86" i="68"/>
  <c r="AD82" i="68"/>
  <c r="AE82" i="68"/>
  <c r="AF66" i="68"/>
  <c r="AF71" i="68" s="1"/>
  <c r="AF73" i="68" s="1"/>
  <c r="AE86" i="68"/>
  <c r="AF78" i="68"/>
  <c r="AF80" i="68" s="1"/>
  <c r="AF81" i="68" s="1"/>
  <c r="AF77" i="68"/>
  <c r="AG63" i="68"/>
  <c r="AG64" i="68" s="1"/>
  <c r="AG65" i="68" s="1"/>
  <c r="AH56" i="68"/>
  <c r="AH57" i="68"/>
  <c r="AH58" i="68" s="1"/>
  <c r="AJ51" i="68"/>
  <c r="AK29" i="68"/>
  <c r="AK47" i="68"/>
  <c r="AK62" i="68" s="1"/>
  <c r="AM26" i="68"/>
  <c r="AL28" i="68"/>
  <c r="AL88" i="68" s="1"/>
  <c r="AL104" i="68" s="1"/>
  <c r="AF82" i="68" l="1"/>
  <c r="AJ53" i="68"/>
  <c r="AJ54" i="68" s="1"/>
  <c r="AJ55" i="68" s="1"/>
  <c r="AJ56" i="68" s="1"/>
  <c r="AJ52" i="68"/>
  <c r="AN69" i="61"/>
  <c r="AM35" i="66"/>
  <c r="AK23" i="62"/>
  <c r="AJ54" i="61"/>
  <c r="AJ15" i="61"/>
  <c r="AD87" i="68"/>
  <c r="AD89" i="68" s="1"/>
  <c r="AG13" i="70"/>
  <c r="AJ57" i="61"/>
  <c r="AJ18" i="61"/>
  <c r="AD59" i="61"/>
  <c r="AD53" i="69"/>
  <c r="AC93" i="68"/>
  <c r="AC101" i="68"/>
  <c r="AC112" i="68" s="1"/>
  <c r="AC114" i="68" s="1"/>
  <c r="AF45" i="69" s="1"/>
  <c r="AE87" i="68"/>
  <c r="AE101" i="68" s="1"/>
  <c r="AE112" i="68" s="1"/>
  <c r="AE114" i="68" s="1"/>
  <c r="AH45" i="69" s="1"/>
  <c r="AH13" i="70"/>
  <c r="AG17" i="69"/>
  <c r="AJ56" i="61"/>
  <c r="AJ17" i="61"/>
  <c r="AH17" i="69"/>
  <c r="AC89" i="68"/>
  <c r="AJ55" i="61"/>
  <c r="AJ16" i="61"/>
  <c r="AP15" i="60"/>
  <c r="AP17" i="60" s="1"/>
  <c r="AL26" i="62"/>
  <c r="AP13" i="60"/>
  <c r="AM29" i="59"/>
  <c r="AL24" i="62"/>
  <c r="AN36" i="66"/>
  <c r="AK47" i="65"/>
  <c r="AO70" i="61" s="1"/>
  <c r="AQ51" i="63"/>
  <c r="AP54" i="63"/>
  <c r="AL46" i="65" s="1"/>
  <c r="AP53" i="63"/>
  <c r="AL45" i="65" s="1"/>
  <c r="AJ8" i="69"/>
  <c r="AJ21" i="69" s="1"/>
  <c r="AH20" i="68"/>
  <c r="AK37" i="69" s="1"/>
  <c r="AK50" i="69" s="1"/>
  <c r="AJ9" i="69"/>
  <c r="AJ22" i="69" s="1"/>
  <c r="AH21" i="68"/>
  <c r="AK38" i="69" s="1"/>
  <c r="AK51" i="69" s="1"/>
  <c r="AK22" i="68"/>
  <c r="AN39" i="69" s="1"/>
  <c r="AJ7" i="69"/>
  <c r="AJ20" i="69" s="1"/>
  <c r="AH19" i="68"/>
  <c r="AK36" i="69" s="1"/>
  <c r="AK49" i="69" s="1"/>
  <c r="AJ6" i="69"/>
  <c r="AJ19" i="69" s="1"/>
  <c r="AH18" i="68"/>
  <c r="AK35" i="69" s="1"/>
  <c r="AK48" i="69" s="1"/>
  <c r="AD92" i="68"/>
  <c r="AE92" i="68"/>
  <c r="AA105" i="68"/>
  <c r="AA110" i="68"/>
  <c r="AF85" i="68"/>
  <c r="AF86" i="68"/>
  <c r="AG66" i="68"/>
  <c r="AG71" i="68" s="1"/>
  <c r="AG67" i="68"/>
  <c r="AG68" i="68" s="1"/>
  <c r="AG72" i="68" s="1"/>
  <c r="AH63" i="68"/>
  <c r="AH64" i="68" s="1"/>
  <c r="AH65" i="68" s="1"/>
  <c r="AI57" i="68"/>
  <c r="AI58" i="68" s="1"/>
  <c r="AK51" i="68"/>
  <c r="AL29" i="68"/>
  <c r="AL47" i="68"/>
  <c r="AL62" i="68" s="1"/>
  <c r="AN26" i="68"/>
  <c r="AM28" i="68"/>
  <c r="AM88" i="68" s="1"/>
  <c r="AM104" i="68" s="1"/>
  <c r="AD101" i="68" l="1"/>
  <c r="AD112" i="68" s="1"/>
  <c r="AD114" i="68" s="1"/>
  <c r="AG45" i="69" s="1"/>
  <c r="AG46" i="69" s="1"/>
  <c r="AD94" i="68"/>
  <c r="AD93" i="68"/>
  <c r="AE93" i="68"/>
  <c r="AE89" i="68"/>
  <c r="AE107" i="68"/>
  <c r="AK53" i="68"/>
  <c r="AK52" i="68"/>
  <c r="AN35" i="66"/>
  <c r="AL23" i="62"/>
  <c r="AO69" i="61"/>
  <c r="AC107" i="68"/>
  <c r="AE103" i="68"/>
  <c r="AE109" i="68" s="1"/>
  <c r="AC103" i="68"/>
  <c r="AC105" i="68" s="1"/>
  <c r="AE94" i="68"/>
  <c r="AK16" i="61"/>
  <c r="AK55" i="61"/>
  <c r="AK57" i="61"/>
  <c r="AK18" i="61"/>
  <c r="AK56" i="61"/>
  <c r="AK17" i="61"/>
  <c r="AH46" i="69"/>
  <c r="AH52" i="69"/>
  <c r="AF46" i="69"/>
  <c r="AF52" i="69"/>
  <c r="AF92" i="68"/>
  <c r="AI13" i="70"/>
  <c r="AK15" i="61"/>
  <c r="AK54" i="61"/>
  <c r="AG52" i="69"/>
  <c r="AQ13" i="60"/>
  <c r="AN29" i="59"/>
  <c r="AM26" i="62"/>
  <c r="AQ15" i="60"/>
  <c r="AQ17" i="60" s="1"/>
  <c r="AO36" i="66"/>
  <c r="AM24" i="62"/>
  <c r="AL47" i="65"/>
  <c r="AP70" i="61" s="1"/>
  <c r="AR51" i="63"/>
  <c r="AQ54" i="63"/>
  <c r="AM46" i="65" s="1"/>
  <c r="AQ53" i="63"/>
  <c r="AM45" i="65" s="1"/>
  <c r="AF91" i="68"/>
  <c r="AF96" i="68"/>
  <c r="AF98" i="68" s="1"/>
  <c r="AI16" i="69" s="1"/>
  <c r="AK6" i="69"/>
  <c r="AK19" i="69" s="1"/>
  <c r="AI18" i="68"/>
  <c r="AL35" i="69" s="1"/>
  <c r="AL48" i="69" s="1"/>
  <c r="AK7" i="69"/>
  <c r="AK20" i="69" s="1"/>
  <c r="AI19" i="68"/>
  <c r="AL36" i="69" s="1"/>
  <c r="AL49" i="69" s="1"/>
  <c r="AL22" i="68"/>
  <c r="AO39" i="69" s="1"/>
  <c r="AK9" i="69"/>
  <c r="AK22" i="69" s="1"/>
  <c r="AI21" i="68"/>
  <c r="AL38" i="69" s="1"/>
  <c r="AL51" i="69" s="1"/>
  <c r="AK8" i="69"/>
  <c r="AK21" i="69" s="1"/>
  <c r="AI20" i="68"/>
  <c r="AL37" i="69" s="1"/>
  <c r="AL50" i="69" s="1"/>
  <c r="AD103" i="68"/>
  <c r="AD109" i="68" s="1"/>
  <c r="AF87" i="68"/>
  <c r="AG78" i="68"/>
  <c r="AG80" i="68" s="1"/>
  <c r="AG81" i="68" s="1"/>
  <c r="AG85" i="68" s="1"/>
  <c r="AG77" i="68"/>
  <c r="AG73" i="68"/>
  <c r="AH66" i="68"/>
  <c r="AH71" i="68" s="1"/>
  <c r="AH67" i="68"/>
  <c r="AH68" i="68" s="1"/>
  <c r="AH72" i="68" s="1"/>
  <c r="AI63" i="68"/>
  <c r="AI64" i="68" s="1"/>
  <c r="AI65" i="68" s="1"/>
  <c r="AJ57" i="68"/>
  <c r="AJ58" i="68" s="1"/>
  <c r="AL51" i="68"/>
  <c r="AM29" i="68"/>
  <c r="AM47" i="68"/>
  <c r="AM62" i="68" s="1"/>
  <c r="AN28" i="68"/>
  <c r="AN88" i="68" s="1"/>
  <c r="AN104" i="68" s="1"/>
  <c r="AO26" i="68"/>
  <c r="AD107" i="68" l="1"/>
  <c r="AC109" i="68"/>
  <c r="AE105" i="68"/>
  <c r="AE110" i="68"/>
  <c r="AC110" i="68"/>
  <c r="AL53" i="68"/>
  <c r="AL54" i="68" s="1"/>
  <c r="AL55" i="68" s="1"/>
  <c r="AL56" i="68" s="1"/>
  <c r="AL52" i="68"/>
  <c r="AM23" i="62"/>
  <c r="AO35" i="66"/>
  <c r="AP69" i="61"/>
  <c r="AH59" i="61"/>
  <c r="AH53" i="69"/>
  <c r="AG59" i="61"/>
  <c r="AG53" i="69"/>
  <c r="AL57" i="61"/>
  <c r="AL18" i="61"/>
  <c r="AL16" i="61"/>
  <c r="AL55" i="61"/>
  <c r="AL17" i="61"/>
  <c r="AL56" i="61"/>
  <c r="AI17" i="69"/>
  <c r="AF59" i="61"/>
  <c r="AF53" i="69"/>
  <c r="AL15" i="61"/>
  <c r="AL54" i="61"/>
  <c r="AR15" i="60"/>
  <c r="AR17" i="60" s="1"/>
  <c r="AN26" i="62"/>
  <c r="AR13" i="60"/>
  <c r="AO29" i="59"/>
  <c r="AP36" i="66"/>
  <c r="AN24" i="62"/>
  <c r="AM47" i="65"/>
  <c r="AQ70" i="61" s="1"/>
  <c r="AS51" i="63"/>
  <c r="AR54" i="63"/>
  <c r="AN46" i="65" s="1"/>
  <c r="AR53" i="63"/>
  <c r="AN45" i="65" s="1"/>
  <c r="AG91" i="68"/>
  <c r="AG96" i="68"/>
  <c r="AG98" i="68" s="1"/>
  <c r="AJ16" i="69" s="1"/>
  <c r="AL8" i="69"/>
  <c r="AL21" i="69" s="1"/>
  <c r="AJ20" i="68"/>
  <c r="AM37" i="69" s="1"/>
  <c r="AM50" i="69" s="1"/>
  <c r="AL9" i="69"/>
  <c r="AL22" i="69" s="1"/>
  <c r="AJ21" i="68"/>
  <c r="AM38" i="69" s="1"/>
  <c r="AM51" i="69" s="1"/>
  <c r="AL7" i="69"/>
  <c r="AL20" i="69" s="1"/>
  <c r="AJ19" i="68"/>
  <c r="AM36" i="69" s="1"/>
  <c r="AM49" i="69" s="1"/>
  <c r="AM22" i="68"/>
  <c r="AP39" i="69" s="1"/>
  <c r="AL6" i="69"/>
  <c r="AL19" i="69" s="1"/>
  <c r="AJ18" i="68"/>
  <c r="AM35" i="69" s="1"/>
  <c r="AM48" i="69" s="1"/>
  <c r="AF94" i="68"/>
  <c r="AF101" i="68"/>
  <c r="AF112" i="68" s="1"/>
  <c r="AF114" i="68" s="1"/>
  <c r="AI45" i="69" s="1"/>
  <c r="AD105" i="68"/>
  <c r="AD110" i="68"/>
  <c r="AG86" i="68"/>
  <c r="AG82" i="68"/>
  <c r="AF93" i="68"/>
  <c r="AF89" i="68"/>
  <c r="AH77" i="68"/>
  <c r="AH78" i="68"/>
  <c r="AH80" i="68" s="1"/>
  <c r="AH81" i="68" s="1"/>
  <c r="AH85" i="68" s="1"/>
  <c r="AH73" i="68"/>
  <c r="AI66" i="68"/>
  <c r="AI71" i="68" s="1"/>
  <c r="AI67" i="68"/>
  <c r="AI68" i="68" s="1"/>
  <c r="AI72" i="68" s="1"/>
  <c r="AJ63" i="68"/>
  <c r="AJ64" i="68" s="1"/>
  <c r="AJ65" i="68" s="1"/>
  <c r="AM51" i="68"/>
  <c r="AN29" i="68"/>
  <c r="AN47" i="68"/>
  <c r="AN62" i="68" s="1"/>
  <c r="AP26" i="68"/>
  <c r="AP28" i="68" s="1"/>
  <c r="AO28" i="68"/>
  <c r="AO88" i="68" s="1"/>
  <c r="AO104" i="68" s="1"/>
  <c r="AM53" i="68" l="1"/>
  <c r="AM54" i="68" s="1"/>
  <c r="AM55" i="68" s="1"/>
  <c r="AM57" i="68" s="1"/>
  <c r="AM58" i="68" s="1"/>
  <c r="AM52" i="68"/>
  <c r="AP35" i="66"/>
  <c r="AN23" i="62"/>
  <c r="AQ69" i="61"/>
  <c r="AM15" i="61"/>
  <c r="AM54" i="61"/>
  <c r="AM18" i="61"/>
  <c r="AM57" i="61"/>
  <c r="AM16" i="61"/>
  <c r="AM55" i="61"/>
  <c r="AI46" i="69"/>
  <c r="AI52" i="69"/>
  <c r="AM17" i="61"/>
  <c r="AM56" i="61"/>
  <c r="AG87" i="68"/>
  <c r="AG101" i="68" s="1"/>
  <c r="AG112" i="68" s="1"/>
  <c r="AG114" i="68" s="1"/>
  <c r="AJ45" i="69" s="1"/>
  <c r="AJ13" i="70"/>
  <c r="AJ17" i="69"/>
  <c r="AS15" i="60"/>
  <c r="AS17" i="60" s="1"/>
  <c r="AS13" i="60"/>
  <c r="AQ29" i="59" s="1"/>
  <c r="AP29" i="59"/>
  <c r="AO26" i="62"/>
  <c r="AQ36" i="66"/>
  <c r="AO24" i="62"/>
  <c r="AN47" i="65"/>
  <c r="AR70" i="61" s="1"/>
  <c r="AS54" i="63"/>
  <c r="AS53" i="63"/>
  <c r="AG92" i="68"/>
  <c r="AH91" i="68"/>
  <c r="AH96" i="68"/>
  <c r="AH98" i="68" s="1"/>
  <c r="AK16" i="69" s="1"/>
  <c r="AM6" i="69"/>
  <c r="AM19" i="69" s="1"/>
  <c r="AK18" i="68"/>
  <c r="AN35" i="69" s="1"/>
  <c r="AN48" i="69" s="1"/>
  <c r="AN22" i="68"/>
  <c r="AQ39" i="69" s="1"/>
  <c r="AM7" i="69"/>
  <c r="AM20" i="69" s="1"/>
  <c r="AK19" i="68"/>
  <c r="AN36" i="69" s="1"/>
  <c r="AN49" i="69" s="1"/>
  <c r="AM9" i="69"/>
  <c r="AM22" i="69" s="1"/>
  <c r="AK21" i="68"/>
  <c r="AN38" i="69" s="1"/>
  <c r="AN51" i="69" s="1"/>
  <c r="AM8" i="69"/>
  <c r="AM21" i="69" s="1"/>
  <c r="AK20" i="68"/>
  <c r="AN37" i="69" s="1"/>
  <c r="AN50" i="69" s="1"/>
  <c r="AF103" i="68"/>
  <c r="AF109" i="68" s="1"/>
  <c r="AF107" i="68"/>
  <c r="AH82" i="68"/>
  <c r="AH86" i="68"/>
  <c r="AH92" i="68" s="1"/>
  <c r="AP47" i="68"/>
  <c r="AP62" i="68" s="1"/>
  <c r="AP88" i="68"/>
  <c r="AP104" i="68" s="1"/>
  <c r="AI77" i="68"/>
  <c r="AI78" i="68"/>
  <c r="AI80" i="68" s="1"/>
  <c r="AI81" i="68" s="1"/>
  <c r="AI85" i="68" s="1"/>
  <c r="AI73" i="68"/>
  <c r="AJ66" i="68"/>
  <c r="AJ71" i="68" s="1"/>
  <c r="AJ67" i="68"/>
  <c r="AJ68" i="68" s="1"/>
  <c r="AJ72" i="68" s="1"/>
  <c r="AL57" i="68"/>
  <c r="AL58" i="68" s="1"/>
  <c r="AN51" i="68"/>
  <c r="AO29" i="68"/>
  <c r="AO47" i="68"/>
  <c r="AO62" i="68" s="1"/>
  <c r="AP29" i="68"/>
  <c r="B37" i="68"/>
  <c r="AN53" i="68" l="1"/>
  <c r="AN52" i="68"/>
  <c r="AG107" i="68"/>
  <c r="AG94" i="68"/>
  <c r="B85" i="68"/>
  <c r="B96" i="68" s="1"/>
  <c r="B23" i="68"/>
  <c r="C23" i="68" s="1"/>
  <c r="AG93" i="68"/>
  <c r="AG89" i="68"/>
  <c r="AR69" i="61"/>
  <c r="AO23" i="62"/>
  <c r="AQ35" i="66"/>
  <c r="AI59" i="61"/>
  <c r="AI53" i="69"/>
  <c r="AN15" i="61"/>
  <c r="AN54" i="61"/>
  <c r="AN17" i="61"/>
  <c r="AN56" i="61"/>
  <c r="AH87" i="68"/>
  <c r="AH101" i="68" s="1"/>
  <c r="AH112" i="68" s="1"/>
  <c r="AH114" i="68" s="1"/>
  <c r="AK45" i="69" s="1"/>
  <c r="AK13" i="70"/>
  <c r="AN57" i="61"/>
  <c r="AN18" i="61"/>
  <c r="AJ46" i="69"/>
  <c r="AJ52" i="69"/>
  <c r="AK17" i="69"/>
  <c r="AN16" i="61"/>
  <c r="AN55" i="61"/>
  <c r="AG103" i="68"/>
  <c r="AG109" i="68" s="1"/>
  <c r="AP26" i="62"/>
  <c r="AU45" i="66"/>
  <c r="AR36" i="66"/>
  <c r="AP24" i="62"/>
  <c r="AO45" i="65"/>
  <c r="AT53" i="63"/>
  <c r="AO46" i="65"/>
  <c r="AT54" i="63"/>
  <c r="AI91" i="68"/>
  <c r="AI96" i="68"/>
  <c r="AI98" i="68" s="1"/>
  <c r="AL16" i="69" s="1"/>
  <c r="AN8" i="69"/>
  <c r="AN21" i="69" s="1"/>
  <c r="AL20" i="68"/>
  <c r="AO37" i="69" s="1"/>
  <c r="AO50" i="69" s="1"/>
  <c r="AN9" i="69"/>
  <c r="AN22" i="69" s="1"/>
  <c r="AL21" i="68"/>
  <c r="AO38" i="69" s="1"/>
  <c r="AO51" i="69" s="1"/>
  <c r="AN7" i="69"/>
  <c r="AN20" i="69" s="1"/>
  <c r="AL19" i="68"/>
  <c r="AO36" i="69" s="1"/>
  <c r="AO49" i="69" s="1"/>
  <c r="AO22" i="68"/>
  <c r="AR39" i="69" s="1"/>
  <c r="AN6" i="69"/>
  <c r="AN19" i="69" s="1"/>
  <c r="AL18" i="68"/>
  <c r="AO35" i="69" s="1"/>
  <c r="AO48" i="69" s="1"/>
  <c r="AF105" i="68"/>
  <c r="AF110" i="68"/>
  <c r="AI82" i="68"/>
  <c r="AP51" i="68"/>
  <c r="AI86" i="68"/>
  <c r="AJ77" i="68"/>
  <c r="AJ78" i="68"/>
  <c r="AJ80" i="68" s="1"/>
  <c r="AJ81" i="68" s="1"/>
  <c r="AJ85" i="68" s="1"/>
  <c r="AJ73" i="68"/>
  <c r="AL63" i="68"/>
  <c r="AL64" i="68" s="1"/>
  <c r="AL65" i="68" s="1"/>
  <c r="AM56" i="68"/>
  <c r="B39" i="68"/>
  <c r="AO51" i="68"/>
  <c r="D1" i="68"/>
  <c r="E1" i="68" s="1"/>
  <c r="F1" i="68" s="1"/>
  <c r="G1" i="68" s="1"/>
  <c r="H1" i="68" s="1"/>
  <c r="I1" i="68" s="1"/>
  <c r="J1" i="68" s="1"/>
  <c r="K1" i="68" s="1"/>
  <c r="L1" i="68" s="1"/>
  <c r="M1" i="68" s="1"/>
  <c r="N1" i="68" s="1"/>
  <c r="O1" i="68" s="1"/>
  <c r="P1" i="68" s="1"/>
  <c r="Q1" i="68" s="1"/>
  <c r="R1" i="68" s="1"/>
  <c r="S1" i="68" s="1"/>
  <c r="T1" i="68" s="1"/>
  <c r="U1" i="68" s="1"/>
  <c r="V1" i="68" s="1"/>
  <c r="W1" i="68" s="1"/>
  <c r="X1" i="68" s="1"/>
  <c r="Y1" i="68" s="1"/>
  <c r="Z1" i="68" s="1"/>
  <c r="AA1" i="68" s="1"/>
  <c r="AB1" i="68" s="1"/>
  <c r="AC1" i="68" s="1"/>
  <c r="AD1" i="68" s="1"/>
  <c r="AE1" i="68" s="1"/>
  <c r="AF1" i="68" s="1"/>
  <c r="AG1" i="68" s="1"/>
  <c r="AH1" i="68" s="1"/>
  <c r="AI1" i="68" s="1"/>
  <c r="AJ1" i="68" s="1"/>
  <c r="AK1" i="68" s="1"/>
  <c r="AL1" i="68" s="1"/>
  <c r="AM1" i="68" s="1"/>
  <c r="AN1" i="68" s="1"/>
  <c r="AO1" i="68" s="1"/>
  <c r="AP1" i="68" s="1"/>
  <c r="B87" i="68" l="1"/>
  <c r="B91" i="68"/>
  <c r="AP53" i="68"/>
  <c r="AP52" i="68"/>
  <c r="AO53" i="68"/>
  <c r="AO54" i="68" s="1"/>
  <c r="AO55" i="68" s="1"/>
  <c r="AO52" i="68"/>
  <c r="B101" i="68"/>
  <c r="B112" i="68" s="1"/>
  <c r="D23" i="68"/>
  <c r="F10" i="69"/>
  <c r="F23" i="69" s="1"/>
  <c r="AR35" i="66"/>
  <c r="AP23" i="62"/>
  <c r="AS69" i="61"/>
  <c r="AG110" i="68"/>
  <c r="AG105" i="68"/>
  <c r="AH93" i="68"/>
  <c r="AH89" i="68"/>
  <c r="AJ59" i="61"/>
  <c r="AJ53" i="69"/>
  <c r="AH103" i="68"/>
  <c r="AH109" i="68" s="1"/>
  <c r="AI87" i="68"/>
  <c r="AI101" i="68" s="1"/>
  <c r="AI112" i="68" s="1"/>
  <c r="AI114" i="68" s="1"/>
  <c r="AL45" i="69" s="1"/>
  <c r="AL13" i="70"/>
  <c r="AL17" i="69"/>
  <c r="AO57" i="61"/>
  <c r="AO18" i="61"/>
  <c r="AK46" i="69"/>
  <c r="AK52" i="69"/>
  <c r="AO56" i="61"/>
  <c r="AO17" i="61"/>
  <c r="AH107" i="68"/>
  <c r="AH94" i="68"/>
  <c r="AO15" i="61"/>
  <c r="AO54" i="61"/>
  <c r="AO16" i="61"/>
  <c r="AO55" i="61"/>
  <c r="AU46" i="66"/>
  <c r="AQ26" i="62"/>
  <c r="AT55" i="63"/>
  <c r="AO47" i="65"/>
  <c r="AS70" i="61" s="1"/>
  <c r="AJ91" i="68"/>
  <c r="AJ96" i="68"/>
  <c r="AJ98" i="68" s="1"/>
  <c r="AM16" i="69" s="1"/>
  <c r="AO7" i="69"/>
  <c r="AO20" i="69" s="1"/>
  <c r="AM19" i="68"/>
  <c r="AP36" i="69" s="1"/>
  <c r="AP49" i="69" s="1"/>
  <c r="AP22" i="68"/>
  <c r="AO9" i="69"/>
  <c r="AO22" i="69" s="1"/>
  <c r="AM21" i="68"/>
  <c r="AP38" i="69" s="1"/>
  <c r="AP51" i="69" s="1"/>
  <c r="AO6" i="69"/>
  <c r="AO19" i="69" s="1"/>
  <c r="AM18" i="68"/>
  <c r="AP35" i="69" s="1"/>
  <c r="AP48" i="69" s="1"/>
  <c r="AO8" i="69"/>
  <c r="AO21" i="69" s="1"/>
  <c r="AM20" i="68"/>
  <c r="AP37" i="69" s="1"/>
  <c r="AP50" i="69" s="1"/>
  <c r="B93" i="68"/>
  <c r="AI92" i="68"/>
  <c r="AJ82" i="68"/>
  <c r="AJ86" i="68"/>
  <c r="B89" i="68"/>
  <c r="B94" i="68"/>
  <c r="AM63" i="68"/>
  <c r="AM64" i="68" s="1"/>
  <c r="AM65" i="68" s="1"/>
  <c r="AM66" i="68" s="1"/>
  <c r="AM71" i="68" s="1"/>
  <c r="AL67" i="68"/>
  <c r="AL68" i="68" s="1"/>
  <c r="AL72" i="68" s="1"/>
  <c r="AL66" i="68"/>
  <c r="AL71" i="68" s="1"/>
  <c r="D30" i="68"/>
  <c r="D29" i="67"/>
  <c r="D23" i="67"/>
  <c r="D14" i="67"/>
  <c r="G26" i="63"/>
  <c r="G25" i="63"/>
  <c r="G24" i="63"/>
  <c r="G23" i="63"/>
  <c r="F26" i="63"/>
  <c r="F25" i="63"/>
  <c r="D21" i="65" s="1"/>
  <c r="F24" i="63"/>
  <c r="D20" i="65" s="1"/>
  <c r="F23" i="63"/>
  <c r="D19" i="65" s="1"/>
  <c r="A9" i="65"/>
  <c r="A10" i="65"/>
  <c r="F20" i="61" l="1"/>
  <c r="F24" i="69"/>
  <c r="E23" i="68"/>
  <c r="G10" i="69"/>
  <c r="G23" i="69" s="1"/>
  <c r="F29" i="67"/>
  <c r="AS35" i="66"/>
  <c r="AU41" i="66" s="1"/>
  <c r="AQ23" i="62"/>
  <c r="AH105" i="68"/>
  <c r="AI94" i="68"/>
  <c r="AI89" i="68"/>
  <c r="AK59" i="61"/>
  <c r="AK53" i="69"/>
  <c r="AI103" i="68"/>
  <c r="AI110" i="68" s="1"/>
  <c r="AP16" i="61"/>
  <c r="AP55" i="61"/>
  <c r="AI107" i="68"/>
  <c r="AP17" i="61"/>
  <c r="AP56" i="61"/>
  <c r="AM17" i="69"/>
  <c r="AI93" i="68"/>
  <c r="AP57" i="61"/>
  <c r="AP18" i="61"/>
  <c r="AL46" i="69"/>
  <c r="AL52" i="69"/>
  <c r="AJ87" i="68"/>
  <c r="AJ101" i="68" s="1"/>
  <c r="AJ112" i="68" s="1"/>
  <c r="AJ114" i="68" s="1"/>
  <c r="AM45" i="69" s="1"/>
  <c r="AM13" i="70"/>
  <c r="AH110" i="68"/>
  <c r="AP15" i="61"/>
  <c r="AP54" i="61"/>
  <c r="AS36" i="66"/>
  <c r="AU42" i="66" s="1"/>
  <c r="AQ24" i="62"/>
  <c r="D22" i="65"/>
  <c r="AS39" i="69"/>
  <c r="AP9" i="69"/>
  <c r="AP22" i="69" s="1"/>
  <c r="AN21" i="68"/>
  <c r="AQ38" i="69" s="1"/>
  <c r="AQ51" i="69" s="1"/>
  <c r="AP6" i="69"/>
  <c r="AP19" i="69" s="1"/>
  <c r="AN18" i="68"/>
  <c r="AQ35" i="69" s="1"/>
  <c r="AQ48" i="69" s="1"/>
  <c r="AP8" i="69"/>
  <c r="AP21" i="69" s="1"/>
  <c r="AN20" i="68"/>
  <c r="AQ37" i="69" s="1"/>
  <c r="AQ50" i="69" s="1"/>
  <c r="AP7" i="69"/>
  <c r="AP20" i="69" s="1"/>
  <c r="AN19" i="68"/>
  <c r="AQ36" i="69" s="1"/>
  <c r="AQ49" i="69" s="1"/>
  <c r="F14" i="67"/>
  <c r="F23" i="67"/>
  <c r="AJ92" i="68"/>
  <c r="B103" i="68"/>
  <c r="B109" i="68" s="1"/>
  <c r="B107" i="68"/>
  <c r="AL73" i="68"/>
  <c r="AL78" i="68"/>
  <c r="AL80" i="68" s="1"/>
  <c r="AL81" i="68" s="1"/>
  <c r="AL85" i="68" s="1"/>
  <c r="AL77" i="68"/>
  <c r="AM67" i="68"/>
  <c r="AM68" i="68" s="1"/>
  <c r="AM72" i="68" s="1"/>
  <c r="AO56" i="68"/>
  <c r="AO57" i="68"/>
  <c r="AO58" i="68" s="1"/>
  <c r="E30" i="68"/>
  <c r="F24" i="61" l="1"/>
  <c r="G24" i="61" s="1"/>
  <c r="H24" i="61" s="1"/>
  <c r="I24" i="61" s="1"/>
  <c r="J24" i="61" s="1"/>
  <c r="K24" i="61" s="1"/>
  <c r="L24" i="61" s="1"/>
  <c r="M24" i="61" s="1"/>
  <c r="N24" i="61" s="1"/>
  <c r="O24" i="61" s="1"/>
  <c r="P24" i="61" s="1"/>
  <c r="Q24" i="61" s="1"/>
  <c r="R24" i="61" s="1"/>
  <c r="S24" i="61" s="1"/>
  <c r="T24" i="61" s="1"/>
  <c r="U24" i="61" s="1"/>
  <c r="V24" i="61" s="1"/>
  <c r="W24" i="61" s="1"/>
  <c r="X24" i="61" s="1"/>
  <c r="Y24" i="61" s="1"/>
  <c r="Z24" i="61" s="1"/>
  <c r="AA24" i="61" s="1"/>
  <c r="AB24" i="61" s="1"/>
  <c r="AC24" i="61" s="1"/>
  <c r="AD24" i="61" s="1"/>
  <c r="AE24" i="61" s="1"/>
  <c r="AF24" i="61" s="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F63" i="61"/>
  <c r="G63" i="61" s="1"/>
  <c r="H63" i="61" s="1"/>
  <c r="I63" i="61" s="1"/>
  <c r="J63" i="61" s="1"/>
  <c r="K63" i="61" s="1"/>
  <c r="L63" i="61" s="1"/>
  <c r="M63" i="61" s="1"/>
  <c r="N63" i="61" s="1"/>
  <c r="O63" i="61" s="1"/>
  <c r="P63" i="61" s="1"/>
  <c r="Q63" i="61" s="1"/>
  <c r="R63" i="61" s="1"/>
  <c r="S63" i="61" s="1"/>
  <c r="T63" i="61" s="1"/>
  <c r="U63" i="61" s="1"/>
  <c r="V63" i="61" s="1"/>
  <c r="W63" i="61" s="1"/>
  <c r="X63" i="61" s="1"/>
  <c r="Y63" i="61" s="1"/>
  <c r="Z63" i="61" s="1"/>
  <c r="AA63" i="61" s="1"/>
  <c r="AB63" i="61" s="1"/>
  <c r="AC63" i="61" s="1"/>
  <c r="AD63" i="61" s="1"/>
  <c r="AE63" i="61" s="1"/>
  <c r="AF63" i="61" s="1"/>
  <c r="AG63" i="61" s="1"/>
  <c r="AH63" i="61" s="1"/>
  <c r="AI63" i="61" s="1"/>
  <c r="AJ63" i="61" s="1"/>
  <c r="AK63" i="61" s="1"/>
  <c r="AL63" i="61" s="1"/>
  <c r="AM63" i="61" s="1"/>
  <c r="AN63" i="61" s="1"/>
  <c r="AO63" i="61" s="1"/>
  <c r="AP63" i="61" s="1"/>
  <c r="AQ63" i="61" s="1"/>
  <c r="AR63" i="61" s="1"/>
  <c r="AS63" i="61" s="1"/>
  <c r="F14" i="61"/>
  <c r="G14" i="61" s="1"/>
  <c r="F53" i="61"/>
  <c r="G53" i="61" s="1"/>
  <c r="G20" i="61"/>
  <c r="G24" i="69"/>
  <c r="F23" i="68"/>
  <c r="H10" i="69"/>
  <c r="AI109" i="68"/>
  <c r="F71" i="61"/>
  <c r="G71" i="61" s="1"/>
  <c r="H71" i="61" s="1"/>
  <c r="I71" i="61" s="1"/>
  <c r="J71" i="61" s="1"/>
  <c r="K71" i="61" s="1"/>
  <c r="L71" i="61" s="1"/>
  <c r="M71" i="61" s="1"/>
  <c r="N71" i="61" s="1"/>
  <c r="O71" i="61" s="1"/>
  <c r="P71" i="61" s="1"/>
  <c r="Q71" i="61" s="1"/>
  <c r="R71" i="61" s="1"/>
  <c r="S71" i="61" s="1"/>
  <c r="T71" i="61" s="1"/>
  <c r="U71" i="61" s="1"/>
  <c r="V71" i="61" s="1"/>
  <c r="W71" i="61" s="1"/>
  <c r="X71" i="61" s="1"/>
  <c r="Y71" i="61" s="1"/>
  <c r="Z71" i="61" s="1"/>
  <c r="AA71" i="61" s="1"/>
  <c r="AB71" i="61" s="1"/>
  <c r="AC71" i="61" s="1"/>
  <c r="AD71" i="61" s="1"/>
  <c r="AE71" i="61" s="1"/>
  <c r="AF71" i="61" s="1"/>
  <c r="AG71" i="61" s="1"/>
  <c r="AH71" i="61" s="1"/>
  <c r="AI71" i="61" s="1"/>
  <c r="AJ71" i="61" s="1"/>
  <c r="AK71" i="61" s="1"/>
  <c r="AL71" i="61" s="1"/>
  <c r="AM71" i="61" s="1"/>
  <c r="AN71" i="61" s="1"/>
  <c r="AO71" i="61" s="1"/>
  <c r="AP71" i="61" s="1"/>
  <c r="AQ71" i="61" s="1"/>
  <c r="AR71" i="61" s="1"/>
  <c r="AS71" i="61" s="1"/>
  <c r="F32" i="61"/>
  <c r="AI105" i="68"/>
  <c r="AM46" i="69"/>
  <c r="AM52" i="69"/>
  <c r="AQ15" i="61"/>
  <c r="AQ54" i="61"/>
  <c r="AJ107" i="68"/>
  <c r="AJ93" i="68"/>
  <c r="AQ18" i="61"/>
  <c r="AQ57" i="61"/>
  <c r="AJ94" i="68"/>
  <c r="AL59" i="61"/>
  <c r="AL53" i="69"/>
  <c r="AJ89" i="68"/>
  <c r="AJ103" i="68"/>
  <c r="AJ110" i="68" s="1"/>
  <c r="AQ16" i="61"/>
  <c r="AQ55" i="61"/>
  <c r="AQ17" i="61"/>
  <c r="AQ56" i="61"/>
  <c r="E24" i="71"/>
  <c r="E26" i="71" s="1"/>
  <c r="E37" i="71" s="1"/>
  <c r="E27" i="70"/>
  <c r="E31" i="70" s="1"/>
  <c r="E35" i="70" s="1"/>
  <c r="F35" i="70" s="1"/>
  <c r="G35" i="70" s="1"/>
  <c r="I35" i="70" s="1"/>
  <c r="J35" i="70" s="1"/>
  <c r="K35" i="70" s="1"/>
  <c r="L35" i="70" s="1"/>
  <c r="M35" i="70" s="1"/>
  <c r="N35" i="70" s="1"/>
  <c r="O35" i="70" s="1"/>
  <c r="P35" i="70" s="1"/>
  <c r="Q35" i="70" s="1"/>
  <c r="R35" i="70" s="1"/>
  <c r="S35" i="70" s="1"/>
  <c r="T35" i="70" s="1"/>
  <c r="U35" i="70" s="1"/>
  <c r="V35" i="70" s="1"/>
  <c r="W35" i="70" s="1"/>
  <c r="X35" i="70" s="1"/>
  <c r="Y35" i="70" s="1"/>
  <c r="Z35" i="70" s="1"/>
  <c r="AA35" i="70" s="1"/>
  <c r="AB35" i="70" s="1"/>
  <c r="AC35" i="70" s="1"/>
  <c r="AD35" i="70" s="1"/>
  <c r="AE35" i="70" s="1"/>
  <c r="AF35" i="70" s="1"/>
  <c r="AG35" i="70" s="1"/>
  <c r="AH35" i="70" s="1"/>
  <c r="AI35" i="70" s="1"/>
  <c r="AJ35" i="70" s="1"/>
  <c r="AK35" i="70" s="1"/>
  <c r="AL35" i="70" s="1"/>
  <c r="AM35" i="70" s="1"/>
  <c r="AN35" i="70" s="1"/>
  <c r="AO35" i="70" s="1"/>
  <c r="AP35" i="70" s="1"/>
  <c r="AQ35" i="70" s="1"/>
  <c r="AR35" i="70" s="1"/>
  <c r="AS35" i="70" s="1"/>
  <c r="G55" i="63"/>
  <c r="E32" i="59" s="1"/>
  <c r="H26" i="63"/>
  <c r="H25" i="63"/>
  <c r="H24" i="63"/>
  <c r="H23" i="63"/>
  <c r="E7" i="71"/>
  <c r="E7" i="70"/>
  <c r="E11" i="70" s="1"/>
  <c r="E15" i="70" s="1"/>
  <c r="F15" i="70" s="1"/>
  <c r="F11" i="70" s="1"/>
  <c r="AL91" i="68"/>
  <c r="AL96" i="68"/>
  <c r="AL98" i="68" s="1"/>
  <c r="AO16" i="69" s="1"/>
  <c r="AQ7" i="69"/>
  <c r="AQ20" i="69" s="1"/>
  <c r="AO19" i="68"/>
  <c r="AR36" i="69" s="1"/>
  <c r="AR49" i="69" s="1"/>
  <c r="AQ8" i="69"/>
  <c r="AQ21" i="69" s="1"/>
  <c r="AO20" i="68"/>
  <c r="AR37" i="69" s="1"/>
  <c r="AR50" i="69" s="1"/>
  <c r="AQ6" i="69"/>
  <c r="AQ19" i="69" s="1"/>
  <c r="AO18" i="68"/>
  <c r="AR35" i="69" s="1"/>
  <c r="AR48" i="69" s="1"/>
  <c r="AQ9" i="69"/>
  <c r="AQ22" i="69" s="1"/>
  <c r="AO21" i="68"/>
  <c r="AR38" i="69" s="1"/>
  <c r="AR51" i="69" s="1"/>
  <c r="F27" i="67"/>
  <c r="E27" i="67"/>
  <c r="E30" i="67" s="1"/>
  <c r="B110" i="68"/>
  <c r="B105" i="68"/>
  <c r="AL86" i="68"/>
  <c r="AL82" i="68"/>
  <c r="AM77" i="68"/>
  <c r="AM78" i="68"/>
  <c r="AM80" i="68" s="1"/>
  <c r="AM81" i="68" s="1"/>
  <c r="AM85" i="68" s="1"/>
  <c r="AM73" i="68"/>
  <c r="AO63" i="68"/>
  <c r="AO64" i="68" s="1"/>
  <c r="AO65" i="68" s="1"/>
  <c r="F30" i="68"/>
  <c r="D41" i="67"/>
  <c r="D42" i="67" s="1"/>
  <c r="D7" i="67"/>
  <c r="AQ13" i="59"/>
  <c r="AP13" i="59"/>
  <c r="AO13" i="59"/>
  <c r="AN13" i="59"/>
  <c r="AM13" i="59"/>
  <c r="AL13" i="59"/>
  <c r="AK13" i="59"/>
  <c r="AJ13" i="59"/>
  <c r="AI13" i="59"/>
  <c r="AH13" i="59"/>
  <c r="AJ23" i="72" s="1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T13" i="59"/>
  <c r="S13" i="59"/>
  <c r="R13" i="59"/>
  <c r="Q13" i="59"/>
  <c r="P13" i="59"/>
  <c r="O13" i="59"/>
  <c r="N13" i="59"/>
  <c r="M13" i="59"/>
  <c r="L13" i="59"/>
  <c r="K13" i="59"/>
  <c r="J13" i="59"/>
  <c r="AQ8" i="59"/>
  <c r="AP8" i="59"/>
  <c r="AO8" i="59"/>
  <c r="AN8" i="59"/>
  <c r="AM8" i="59"/>
  <c r="AL8" i="59"/>
  <c r="AK8" i="59"/>
  <c r="AJ8" i="59"/>
  <c r="AI8" i="59"/>
  <c r="AH8" i="59"/>
  <c r="AG8" i="59"/>
  <c r="AF8" i="59"/>
  <c r="AE8" i="59"/>
  <c r="AD8" i="59"/>
  <c r="AC8" i="59"/>
  <c r="AB8" i="59"/>
  <c r="AA8" i="59"/>
  <c r="Z8" i="59"/>
  <c r="Y8" i="59"/>
  <c r="X8" i="59"/>
  <c r="W8" i="59"/>
  <c r="V8" i="59"/>
  <c r="U8" i="59"/>
  <c r="T8" i="59"/>
  <c r="S8" i="59"/>
  <c r="R8" i="59"/>
  <c r="Q8" i="59"/>
  <c r="P8" i="59"/>
  <c r="O8" i="59"/>
  <c r="N8" i="59"/>
  <c r="M8" i="59"/>
  <c r="L8" i="59"/>
  <c r="K8" i="59"/>
  <c r="J8" i="59"/>
  <c r="F29" i="61" l="1"/>
  <c r="AJ109" i="68"/>
  <c r="F8" i="66"/>
  <c r="G32" i="61"/>
  <c r="H32" i="61" s="1"/>
  <c r="I32" i="61" s="1"/>
  <c r="J32" i="61" s="1"/>
  <c r="K32" i="61" s="1"/>
  <c r="L32" i="61" s="1"/>
  <c r="M32" i="61" s="1"/>
  <c r="N32" i="61" s="1"/>
  <c r="O32" i="61" s="1"/>
  <c r="P32" i="61" s="1"/>
  <c r="Q32" i="61" s="1"/>
  <c r="R32" i="61" s="1"/>
  <c r="S32" i="61" s="1"/>
  <c r="T32" i="61" s="1"/>
  <c r="U32" i="61" s="1"/>
  <c r="V32" i="61" s="1"/>
  <c r="W32" i="61" s="1"/>
  <c r="X32" i="61" s="1"/>
  <c r="Y32" i="61" s="1"/>
  <c r="Z32" i="61" s="1"/>
  <c r="AA32" i="61" s="1"/>
  <c r="AB32" i="61" s="1"/>
  <c r="AC32" i="61" s="1"/>
  <c r="AD32" i="61" s="1"/>
  <c r="AE32" i="61" s="1"/>
  <c r="AF32" i="61" s="1"/>
  <c r="AG32" i="61" s="1"/>
  <c r="AH32" i="61" s="1"/>
  <c r="AI32" i="61" s="1"/>
  <c r="AJ32" i="61" s="1"/>
  <c r="AK32" i="61" s="1"/>
  <c r="AL32" i="61" s="1"/>
  <c r="AM32" i="61" s="1"/>
  <c r="AN32" i="61" s="1"/>
  <c r="AO32" i="61" s="1"/>
  <c r="AP32" i="61" s="1"/>
  <c r="AQ32" i="61" s="1"/>
  <c r="AR32" i="61" s="1"/>
  <c r="AS32" i="61" s="1"/>
  <c r="F33" i="61"/>
  <c r="G23" i="68"/>
  <c r="I10" i="69"/>
  <c r="D9" i="59"/>
  <c r="F34" i="66"/>
  <c r="AJ105" i="68"/>
  <c r="AR18" i="61"/>
  <c r="AR57" i="61"/>
  <c r="AR54" i="61"/>
  <c r="AR15" i="61"/>
  <c r="AL92" i="68"/>
  <c r="AO13" i="70"/>
  <c r="AR56" i="61"/>
  <c r="AR17" i="61"/>
  <c r="AR55" i="61"/>
  <c r="AR16" i="61"/>
  <c r="AO17" i="69"/>
  <c r="AM59" i="61"/>
  <c r="AM53" i="69"/>
  <c r="F24" i="71"/>
  <c r="F26" i="71" s="1"/>
  <c r="F68" i="61"/>
  <c r="G29" i="61"/>
  <c r="E9" i="59" s="1"/>
  <c r="G31" i="70"/>
  <c r="F31" i="70"/>
  <c r="H55" i="63"/>
  <c r="F32" i="59" s="1"/>
  <c r="I23" i="63"/>
  <c r="I26" i="63"/>
  <c r="I25" i="63"/>
  <c r="I24" i="63"/>
  <c r="G15" i="70"/>
  <c r="G11" i="70" s="1"/>
  <c r="F7" i="71"/>
  <c r="E9" i="71"/>
  <c r="AM91" i="68"/>
  <c r="AM96" i="68"/>
  <c r="AM98" i="68" s="1"/>
  <c r="AP16" i="69" s="1"/>
  <c r="AR9" i="69"/>
  <c r="AR22" i="69" s="1"/>
  <c r="AP21" i="68"/>
  <c r="AL87" i="68"/>
  <c r="AL89" i="68" s="1"/>
  <c r="AR6" i="69"/>
  <c r="AR19" i="69" s="1"/>
  <c r="AP18" i="68"/>
  <c r="AR8" i="69"/>
  <c r="AR21" i="69" s="1"/>
  <c r="AP20" i="68"/>
  <c r="AR7" i="69"/>
  <c r="AR20" i="69" s="1"/>
  <c r="AP19" i="68"/>
  <c r="F8" i="67"/>
  <c r="D10" i="67"/>
  <c r="AM82" i="68"/>
  <c r="AM86" i="68"/>
  <c r="AO67" i="68"/>
  <c r="AO68" i="68" s="1"/>
  <c r="AO72" i="68" s="1"/>
  <c r="AO66" i="68"/>
  <c r="AO71" i="68" s="1"/>
  <c r="G30" i="68"/>
  <c r="F30" i="67"/>
  <c r="D27" i="67"/>
  <c r="D30" i="67" s="1"/>
  <c r="AS11" i="63"/>
  <c r="AR11" i="63"/>
  <c r="AQ11" i="63"/>
  <c r="AP11" i="63"/>
  <c r="AO11" i="63"/>
  <c r="AN11" i="63"/>
  <c r="AM11" i="63"/>
  <c r="AL11" i="63"/>
  <c r="AK11" i="63"/>
  <c r="AJ11" i="63"/>
  <c r="AI11" i="63"/>
  <c r="AH11" i="63"/>
  <c r="AG11" i="63"/>
  <c r="AF11" i="63"/>
  <c r="AE11" i="63"/>
  <c r="AD11" i="63"/>
  <c r="AC11" i="63"/>
  <c r="AB11" i="63"/>
  <c r="AA11" i="63"/>
  <c r="Z11" i="63"/>
  <c r="Y11" i="63"/>
  <c r="X11" i="63"/>
  <c r="W11" i="63"/>
  <c r="V11" i="63"/>
  <c r="U11" i="63"/>
  <c r="T11" i="63"/>
  <c r="S11" i="63"/>
  <c r="R11" i="63"/>
  <c r="Q11" i="63"/>
  <c r="P11" i="63"/>
  <c r="O11" i="63"/>
  <c r="N11" i="63"/>
  <c r="M11" i="63"/>
  <c r="L11" i="63"/>
  <c r="F37" i="71" l="1"/>
  <c r="F44" i="71"/>
  <c r="AL94" i="68"/>
  <c r="F8" i="61"/>
  <c r="F10" i="61" s="1"/>
  <c r="F47" i="61"/>
  <c r="H23" i="68"/>
  <c r="J10" i="69"/>
  <c r="G24" i="71"/>
  <c r="H24" i="71" s="1"/>
  <c r="G34" i="66"/>
  <c r="AP17" i="69"/>
  <c r="AM87" i="68"/>
  <c r="AM94" i="68" s="1"/>
  <c r="AP13" i="70"/>
  <c r="F72" i="61"/>
  <c r="D30" i="59"/>
  <c r="D36" i="59" s="1"/>
  <c r="F33" i="66"/>
  <c r="F41" i="66" s="1"/>
  <c r="G68" i="61"/>
  <c r="AS9" i="69"/>
  <c r="AS22" i="69" s="1"/>
  <c r="AS38" i="69"/>
  <c r="AS51" i="69" s="1"/>
  <c r="AS8" i="69"/>
  <c r="AS21" i="69" s="1"/>
  <c r="AS37" i="69"/>
  <c r="AS50" i="69" s="1"/>
  <c r="AS7" i="69"/>
  <c r="AS20" i="69" s="1"/>
  <c r="AS36" i="69"/>
  <c r="AS49" i="69" s="1"/>
  <c r="AS6" i="69"/>
  <c r="AS19" i="69" s="1"/>
  <c r="AS35" i="69"/>
  <c r="AS48" i="69" s="1"/>
  <c r="D32" i="67"/>
  <c r="D43" i="67" s="1"/>
  <c r="D44" i="67" s="1"/>
  <c r="H31" i="70"/>
  <c r="H58" i="61" s="1"/>
  <c r="I55" i="63"/>
  <c r="G32" i="59" s="1"/>
  <c r="J26" i="63"/>
  <c r="J25" i="63"/>
  <c r="J24" i="63"/>
  <c r="J23" i="63"/>
  <c r="G7" i="71"/>
  <c r="F9" i="71"/>
  <c r="F13" i="71" s="1"/>
  <c r="AL93" i="68"/>
  <c r="AM92" i="68"/>
  <c r="AL101" i="68"/>
  <c r="AL112" i="68" s="1"/>
  <c r="AL114" i="68" s="1"/>
  <c r="AO45" i="69" s="1"/>
  <c r="F10" i="67"/>
  <c r="F32" i="67" s="1"/>
  <c r="E10" i="67"/>
  <c r="E32" i="67" s="1"/>
  <c r="AO73" i="68"/>
  <c r="AO78" i="68"/>
  <c r="AO80" i="68" s="1"/>
  <c r="AO81" i="68" s="1"/>
  <c r="AO85" i="68" s="1"/>
  <c r="AO77" i="68"/>
  <c r="H30" i="68"/>
  <c r="G5" i="60"/>
  <c r="G29" i="96" l="1"/>
  <c r="G6" i="96"/>
  <c r="E5" i="73"/>
  <c r="E25" i="73"/>
  <c r="AM89" i="68"/>
  <c r="G26" i="71"/>
  <c r="AM93" i="68"/>
  <c r="I23" i="68"/>
  <c r="K10" i="69"/>
  <c r="H34" i="66"/>
  <c r="AM101" i="68"/>
  <c r="AM103" i="68" s="1"/>
  <c r="AM109" i="68" s="1"/>
  <c r="AS17" i="61"/>
  <c r="AS56" i="61"/>
  <c r="AS57" i="61"/>
  <c r="AS18" i="61"/>
  <c r="AS54" i="61"/>
  <c r="AS15" i="61"/>
  <c r="AO46" i="69"/>
  <c r="AO52" i="69"/>
  <c r="F49" i="61"/>
  <c r="F74" i="61" s="1"/>
  <c r="D22" i="62" s="1"/>
  <c r="D27" i="62" s="1"/>
  <c r="D28" i="59" s="1"/>
  <c r="D31" i="59" s="1"/>
  <c r="D33" i="59" s="1"/>
  <c r="D35" i="59" s="1"/>
  <c r="D37" i="59" s="1"/>
  <c r="F45" i="66"/>
  <c r="AS55" i="61"/>
  <c r="AS16" i="61"/>
  <c r="G45" i="61"/>
  <c r="G32" i="66"/>
  <c r="E26" i="59"/>
  <c r="E21" i="62"/>
  <c r="G72" i="61"/>
  <c r="E30" i="59"/>
  <c r="E36" i="59" s="1"/>
  <c r="G33" i="66"/>
  <c r="G41" i="66" s="1"/>
  <c r="I31" i="70"/>
  <c r="I58" i="61" s="1"/>
  <c r="H5" i="60"/>
  <c r="G52" i="63"/>
  <c r="C44" i="65"/>
  <c r="G38" i="63"/>
  <c r="I24" i="71"/>
  <c r="H26" i="71"/>
  <c r="J55" i="63"/>
  <c r="H32" i="59" s="1"/>
  <c r="K24" i="63"/>
  <c r="K26" i="63"/>
  <c r="K25" i="63"/>
  <c r="K23" i="63"/>
  <c r="H7" i="71"/>
  <c r="G9" i="71"/>
  <c r="G13" i="71" s="1"/>
  <c r="I15" i="70"/>
  <c r="AL107" i="68"/>
  <c r="AO91" i="68"/>
  <c r="AO96" i="68"/>
  <c r="AO98" i="68" s="1"/>
  <c r="AR16" i="69" s="1"/>
  <c r="AL103" i="68"/>
  <c r="AL109" i="68" s="1"/>
  <c r="AO82" i="68"/>
  <c r="AO86" i="68"/>
  <c r="I30" i="68"/>
  <c r="I13" i="59"/>
  <c r="G13" i="59"/>
  <c r="F6" i="66"/>
  <c r="A2" i="66"/>
  <c r="H29" i="96" l="1"/>
  <c r="H6" i="96"/>
  <c r="F5" i="73"/>
  <c r="F25" i="73"/>
  <c r="H37" i="71"/>
  <c r="H42" i="71" s="1"/>
  <c r="H65" i="61" s="1"/>
  <c r="G37" i="71"/>
  <c r="G44" i="71"/>
  <c r="AL110" i="68"/>
  <c r="J23" i="68"/>
  <c r="L10" i="69"/>
  <c r="L23" i="69" s="1"/>
  <c r="E27" i="59"/>
  <c r="F43" i="66"/>
  <c r="F44" i="66" s="1"/>
  <c r="I34" i="66"/>
  <c r="AM110" i="68"/>
  <c r="AM112" i="68"/>
  <c r="AM114" i="68" s="1"/>
  <c r="AP45" i="69" s="1"/>
  <c r="AM107" i="68"/>
  <c r="AM105" i="68"/>
  <c r="AO92" i="68"/>
  <c r="AR13" i="70"/>
  <c r="AL105" i="68"/>
  <c r="AR17" i="69"/>
  <c r="AO59" i="61"/>
  <c r="AO53" i="69"/>
  <c r="H45" i="61"/>
  <c r="F21" i="62"/>
  <c r="H32" i="66"/>
  <c r="F26" i="59"/>
  <c r="I26" i="71"/>
  <c r="J24" i="71"/>
  <c r="I5" i="60"/>
  <c r="H52" i="63"/>
  <c r="D44" i="65"/>
  <c r="H38" i="63"/>
  <c r="J31" i="70"/>
  <c r="J58" i="61" s="1"/>
  <c r="K55" i="63"/>
  <c r="I32" i="59" s="1"/>
  <c r="L26" i="63"/>
  <c r="L25" i="63"/>
  <c r="L24" i="63"/>
  <c r="L23" i="63"/>
  <c r="J15" i="70"/>
  <c r="I7" i="71"/>
  <c r="H9" i="71"/>
  <c r="H13" i="71" s="1"/>
  <c r="AO87" i="68"/>
  <c r="J30" i="68"/>
  <c r="I29" i="96" l="1"/>
  <c r="I6" i="96"/>
  <c r="G5" i="73"/>
  <c r="G25" i="73"/>
  <c r="H44" i="71"/>
  <c r="I37" i="71"/>
  <c r="I42" i="71" s="1"/>
  <c r="I65" i="61" s="1"/>
  <c r="F68" i="66"/>
  <c r="F37" i="96"/>
  <c r="F30" i="96"/>
  <c r="F56" i="66"/>
  <c r="K23" i="68"/>
  <c r="M10" i="69"/>
  <c r="M23" i="69" s="1"/>
  <c r="L20" i="61"/>
  <c r="L24" i="69"/>
  <c r="J34" i="66"/>
  <c r="F46" i="66"/>
  <c r="F47" i="66" s="1"/>
  <c r="AP46" i="69"/>
  <c r="AP52" i="69"/>
  <c r="I45" i="61"/>
  <c r="I32" i="66"/>
  <c r="G26" i="59"/>
  <c r="G21" i="62"/>
  <c r="K31" i="70"/>
  <c r="K58" i="61" s="1"/>
  <c r="L27" i="63"/>
  <c r="J11" i="59" s="1"/>
  <c r="J5" i="60"/>
  <c r="I52" i="63"/>
  <c r="E44" i="65"/>
  <c r="I38" i="63"/>
  <c r="J26" i="71"/>
  <c r="K24" i="71"/>
  <c r="L55" i="63"/>
  <c r="J32" i="59" s="1"/>
  <c r="M26" i="63"/>
  <c r="M23" i="63"/>
  <c r="M25" i="63"/>
  <c r="M24" i="63"/>
  <c r="J7" i="71"/>
  <c r="I9" i="71"/>
  <c r="I13" i="71" s="1"/>
  <c r="K15" i="70"/>
  <c r="AO89" i="68"/>
  <c r="AO101" i="68"/>
  <c r="AO112" i="68" s="1"/>
  <c r="AO114" i="68" s="1"/>
  <c r="AR45" i="69" s="1"/>
  <c r="AO94" i="68"/>
  <c r="AO93" i="68"/>
  <c r="K30" i="68"/>
  <c r="J29" i="96" l="1"/>
  <c r="J6" i="96"/>
  <c r="H5" i="73"/>
  <c r="H25" i="73"/>
  <c r="I44" i="71"/>
  <c r="J37" i="71"/>
  <c r="J42" i="71" s="1"/>
  <c r="J65" i="61" s="1"/>
  <c r="M24" i="69"/>
  <c r="M20" i="61"/>
  <c r="L23" i="68"/>
  <c r="N10" i="69"/>
  <c r="N23" i="69" s="1"/>
  <c r="E31" i="73"/>
  <c r="E29" i="73"/>
  <c r="E28" i="73"/>
  <c r="E27" i="73"/>
  <c r="E34" i="73" s="1"/>
  <c r="E30" i="73"/>
  <c r="G9" i="60"/>
  <c r="G48" i="61" s="1"/>
  <c r="K34" i="66"/>
  <c r="AP59" i="61"/>
  <c r="AP53" i="69"/>
  <c r="AR46" i="69"/>
  <c r="AR52" i="69"/>
  <c r="J45" i="61"/>
  <c r="J32" i="66"/>
  <c r="H26" i="59"/>
  <c r="H21" i="62"/>
  <c r="K26" i="71"/>
  <c r="L24" i="71"/>
  <c r="K5" i="60"/>
  <c r="F44" i="65"/>
  <c r="J52" i="63"/>
  <c r="J38" i="63"/>
  <c r="L31" i="70"/>
  <c r="L58" i="61" s="1"/>
  <c r="M55" i="63"/>
  <c r="K32" i="59" s="1"/>
  <c r="M27" i="63"/>
  <c r="K11" i="59" s="1"/>
  <c r="N24" i="63"/>
  <c r="N23" i="63"/>
  <c r="N26" i="63"/>
  <c r="N25" i="63"/>
  <c r="L15" i="70"/>
  <c r="L11" i="70" s="1"/>
  <c r="K7" i="71"/>
  <c r="J9" i="71"/>
  <c r="J13" i="71" s="1"/>
  <c r="AO103" i="68"/>
  <c r="AO109" i="68" s="1"/>
  <c r="AO107" i="68"/>
  <c r="L30" i="68"/>
  <c r="J44" i="71" l="1"/>
  <c r="K6" i="96"/>
  <c r="K29" i="96"/>
  <c r="I25" i="73"/>
  <c r="I5" i="73"/>
  <c r="K37" i="71"/>
  <c r="K42" i="71" s="1"/>
  <c r="K65" i="61" s="1"/>
  <c r="N24" i="69"/>
  <c r="N20" i="61"/>
  <c r="O10" i="69"/>
  <c r="O23" i="69" s="1"/>
  <c r="M23" i="68"/>
  <c r="G42" i="66"/>
  <c r="G47" i="61"/>
  <c r="G45" i="66" s="1"/>
  <c r="E35" i="73"/>
  <c r="L34" i="66"/>
  <c r="AR59" i="61"/>
  <c r="AR53" i="69"/>
  <c r="K45" i="61"/>
  <c r="I26" i="59"/>
  <c r="I21" i="62"/>
  <c r="K32" i="66"/>
  <c r="M31" i="70"/>
  <c r="M58" i="61" s="1"/>
  <c r="L5" i="60"/>
  <c r="G44" i="65"/>
  <c r="K52" i="63"/>
  <c r="K38" i="63"/>
  <c r="M24" i="71"/>
  <c r="L26" i="71"/>
  <c r="N27" i="63"/>
  <c r="L11" i="59" s="1"/>
  <c r="N55" i="63"/>
  <c r="L32" i="59" s="1"/>
  <c r="O25" i="63"/>
  <c r="O23" i="63"/>
  <c r="O24" i="63"/>
  <c r="O26" i="63"/>
  <c r="L7" i="71"/>
  <c r="K9" i="71"/>
  <c r="K13" i="71" s="1"/>
  <c r="M15" i="70"/>
  <c r="M11" i="70" s="1"/>
  <c r="L19" i="61"/>
  <c r="L29" i="61" s="1"/>
  <c r="J9" i="59" s="1"/>
  <c r="AO105" i="68"/>
  <c r="AO110" i="68"/>
  <c r="M30" i="68"/>
  <c r="L29" i="96" l="1"/>
  <c r="L6" i="96"/>
  <c r="J25" i="73"/>
  <c r="J5" i="73"/>
  <c r="L37" i="71"/>
  <c r="L42" i="71" s="1"/>
  <c r="L65" i="61" s="1"/>
  <c r="L68" i="61" s="1"/>
  <c r="L33" i="66" s="1"/>
  <c r="L41" i="66" s="1"/>
  <c r="K44" i="71"/>
  <c r="P10" i="69"/>
  <c r="P23" i="69" s="1"/>
  <c r="N23" i="68"/>
  <c r="O24" i="69"/>
  <c r="O20" i="61"/>
  <c r="M34" i="66"/>
  <c r="L45" i="61"/>
  <c r="J26" i="59"/>
  <c r="J21" i="62"/>
  <c r="L32" i="66"/>
  <c r="M26" i="71"/>
  <c r="N24" i="71"/>
  <c r="L52" i="63"/>
  <c r="H44" i="65"/>
  <c r="L38" i="63"/>
  <c r="J5" i="62"/>
  <c r="H18" i="65"/>
  <c r="L6" i="61"/>
  <c r="J5" i="59"/>
  <c r="L6" i="66"/>
  <c r="L6" i="63"/>
  <c r="L22" i="63"/>
  <c r="M5" i="60"/>
  <c r="N31" i="70"/>
  <c r="N58" i="61" s="1"/>
  <c r="O55" i="63"/>
  <c r="M32" i="59" s="1"/>
  <c r="O27" i="63"/>
  <c r="M11" i="59" s="1"/>
  <c r="P24" i="63"/>
  <c r="P26" i="63"/>
  <c r="P25" i="63"/>
  <c r="P23" i="63"/>
  <c r="N15" i="70"/>
  <c r="N11" i="70" s="1"/>
  <c r="M19" i="61"/>
  <c r="M29" i="61" s="1"/>
  <c r="K9" i="59" s="1"/>
  <c r="M7" i="71"/>
  <c r="L9" i="71"/>
  <c r="L13" i="71" s="1"/>
  <c r="N30" i="68"/>
  <c r="M6" i="96" l="1"/>
  <c r="M29" i="96"/>
  <c r="K5" i="73"/>
  <c r="K25" i="73"/>
  <c r="L72" i="61"/>
  <c r="J30" i="59"/>
  <c r="J36" i="59" s="1"/>
  <c r="L44" i="71"/>
  <c r="M37" i="71"/>
  <c r="M42" i="71" s="1"/>
  <c r="M65" i="61" s="1"/>
  <c r="M68" i="61" s="1"/>
  <c r="K30" i="59" s="1"/>
  <c r="K36" i="59" s="1"/>
  <c r="P20" i="61"/>
  <c r="P24" i="69"/>
  <c r="O23" i="68"/>
  <c r="Q10" i="69"/>
  <c r="Q23" i="69" s="1"/>
  <c r="N34" i="66"/>
  <c r="M45" i="61"/>
  <c r="K21" i="62"/>
  <c r="K26" i="59"/>
  <c r="M32" i="66"/>
  <c r="O31" i="70"/>
  <c r="O58" i="61" s="1"/>
  <c r="I44" i="65"/>
  <c r="M52" i="63"/>
  <c r="M38" i="63"/>
  <c r="M6" i="61"/>
  <c r="K5" i="62"/>
  <c r="K5" i="59"/>
  <c r="I18" i="65"/>
  <c r="M6" i="66"/>
  <c r="M6" i="63"/>
  <c r="M22" i="63"/>
  <c r="N5" i="60"/>
  <c r="O24" i="71"/>
  <c r="N26" i="71"/>
  <c r="P55" i="63"/>
  <c r="N32" i="59" s="1"/>
  <c r="P27" i="63"/>
  <c r="N11" i="59" s="1"/>
  <c r="Q23" i="63"/>
  <c r="Q26" i="63"/>
  <c r="Q25" i="63"/>
  <c r="Q24" i="63"/>
  <c r="M9" i="71"/>
  <c r="M13" i="71" s="1"/>
  <c r="N7" i="71"/>
  <c r="O15" i="70"/>
  <c r="O11" i="70" s="1"/>
  <c r="N19" i="61"/>
  <c r="N29" i="61" s="1"/>
  <c r="L9" i="59" s="1"/>
  <c r="O30" i="68"/>
  <c r="I8" i="59"/>
  <c r="H8" i="59"/>
  <c r="G8" i="59"/>
  <c r="F8" i="59"/>
  <c r="E8" i="59"/>
  <c r="D8" i="59"/>
  <c r="N6" i="96" l="1"/>
  <c r="N29" i="96"/>
  <c r="L25" i="73"/>
  <c r="L5" i="73"/>
  <c r="M72" i="61"/>
  <c r="M33" i="66"/>
  <c r="M41" i="66" s="1"/>
  <c r="N37" i="71"/>
  <c r="N42" i="71" s="1"/>
  <c r="N65" i="61" s="1"/>
  <c r="N68" i="61" s="1"/>
  <c r="N33" i="66" s="1"/>
  <c r="N41" i="66" s="1"/>
  <c r="M44" i="71"/>
  <c r="Q20" i="61"/>
  <c r="Q24" i="69"/>
  <c r="R10" i="69"/>
  <c r="R23" i="69" s="1"/>
  <c r="P23" i="68"/>
  <c r="O34" i="66"/>
  <c r="N45" i="61"/>
  <c r="L26" i="59"/>
  <c r="N32" i="66"/>
  <c r="L21" i="62"/>
  <c r="O26" i="71"/>
  <c r="P24" i="71"/>
  <c r="J44" i="65"/>
  <c r="N52" i="63"/>
  <c r="N38" i="63"/>
  <c r="N22" i="63"/>
  <c r="O5" i="60"/>
  <c r="N6" i="61"/>
  <c r="N6" i="66"/>
  <c r="L5" i="59"/>
  <c r="J18" i="65"/>
  <c r="L5" i="62"/>
  <c r="N6" i="63"/>
  <c r="P31" i="70"/>
  <c r="P58" i="61" s="1"/>
  <c r="Q27" i="63"/>
  <c r="O11" i="59" s="1"/>
  <c r="Q55" i="63"/>
  <c r="O32" i="59" s="1"/>
  <c r="R26" i="63"/>
  <c r="R24" i="63"/>
  <c r="R25" i="63"/>
  <c r="R23" i="63"/>
  <c r="P15" i="70"/>
  <c r="P11" i="70" s="1"/>
  <c r="O19" i="61"/>
  <c r="O29" i="61" s="1"/>
  <c r="M9" i="59" s="1"/>
  <c r="N9" i="71"/>
  <c r="N13" i="71" s="1"/>
  <c r="O7" i="71"/>
  <c r="P30" i="68"/>
  <c r="O6" i="96" l="1"/>
  <c r="O29" i="96"/>
  <c r="M5" i="73"/>
  <c r="M25" i="73"/>
  <c r="L30" i="59"/>
  <c r="L36" i="59" s="1"/>
  <c r="N72" i="61"/>
  <c r="N44" i="71"/>
  <c r="O37" i="71"/>
  <c r="O42" i="71" s="1"/>
  <c r="O65" i="61" s="1"/>
  <c r="O68" i="61" s="1"/>
  <c r="O33" i="66" s="1"/>
  <c r="O41" i="66" s="1"/>
  <c r="S10" i="69"/>
  <c r="Q23" i="68"/>
  <c r="R24" i="69"/>
  <c r="R20" i="61"/>
  <c r="P34" i="66"/>
  <c r="O45" i="61"/>
  <c r="M26" i="59"/>
  <c r="O32" i="66"/>
  <c r="M21" i="62"/>
  <c r="K44" i="65"/>
  <c r="O52" i="63"/>
  <c r="O38" i="63"/>
  <c r="P5" i="60"/>
  <c r="M5" i="59"/>
  <c r="O6" i="61"/>
  <c r="O6" i="66"/>
  <c r="K18" i="65"/>
  <c r="M5" i="62"/>
  <c r="O6" i="63"/>
  <c r="O22" i="63"/>
  <c r="Q31" i="70"/>
  <c r="Q58" i="61" s="1"/>
  <c r="Q24" i="71"/>
  <c r="P26" i="71"/>
  <c r="R55" i="63"/>
  <c r="P32" i="59" s="1"/>
  <c r="S25" i="63"/>
  <c r="S24" i="63"/>
  <c r="S23" i="63"/>
  <c r="S26" i="63"/>
  <c r="R27" i="63"/>
  <c r="P11" i="59" s="1"/>
  <c r="O9" i="71"/>
  <c r="O13" i="71" s="1"/>
  <c r="P7" i="71"/>
  <c r="Q15" i="70"/>
  <c r="Q11" i="70" s="1"/>
  <c r="P19" i="61"/>
  <c r="P29" i="61" s="1"/>
  <c r="N9" i="59" s="1"/>
  <c r="Q30" i="68"/>
  <c r="A22" i="65"/>
  <c r="A21" i="65"/>
  <c r="A26" i="63"/>
  <c r="A25" i="63"/>
  <c r="P29" i="96" l="1"/>
  <c r="P6" i="96"/>
  <c r="N25" i="73"/>
  <c r="N5" i="73"/>
  <c r="O72" i="61"/>
  <c r="M30" i="59"/>
  <c r="M36" i="59" s="1"/>
  <c r="O44" i="71"/>
  <c r="P37" i="71"/>
  <c r="P42" i="71" s="1"/>
  <c r="P65" i="61" s="1"/>
  <c r="P68" i="61" s="1"/>
  <c r="P33" i="66" s="1"/>
  <c r="P41" i="66" s="1"/>
  <c r="T10" i="69"/>
  <c r="R23" i="68"/>
  <c r="Q34" i="66"/>
  <c r="P45" i="61"/>
  <c r="P32" i="66"/>
  <c r="N21" i="62"/>
  <c r="N26" i="59"/>
  <c r="R24" i="71"/>
  <c r="Q26" i="71"/>
  <c r="P52" i="63"/>
  <c r="L44" i="65"/>
  <c r="P38" i="63"/>
  <c r="Q5" i="60"/>
  <c r="N5" i="59"/>
  <c r="P6" i="66"/>
  <c r="L18" i="65"/>
  <c r="P6" i="61"/>
  <c r="N5" i="62"/>
  <c r="P22" i="63"/>
  <c r="P6" i="63"/>
  <c r="R31" i="70"/>
  <c r="R58" i="61" s="1"/>
  <c r="S27" i="63"/>
  <c r="Q11" i="59" s="1"/>
  <c r="S55" i="63"/>
  <c r="Q32" i="59" s="1"/>
  <c r="T25" i="63"/>
  <c r="T24" i="63"/>
  <c r="T23" i="63"/>
  <c r="T26" i="63"/>
  <c r="R15" i="70"/>
  <c r="R11" i="70" s="1"/>
  <c r="Q19" i="61"/>
  <c r="Q29" i="61" s="1"/>
  <c r="O9" i="59" s="1"/>
  <c r="Q7" i="71"/>
  <c r="P9" i="71"/>
  <c r="P13" i="71" s="1"/>
  <c r="R30" i="68"/>
  <c r="E21" i="65"/>
  <c r="F21" i="65" s="1"/>
  <c r="G21" i="65" s="1"/>
  <c r="H21" i="65" s="1"/>
  <c r="I21" i="65" s="1"/>
  <c r="J21" i="65" s="1"/>
  <c r="K21" i="65" s="1"/>
  <c r="L21" i="65" s="1"/>
  <c r="M21" i="65" s="1"/>
  <c r="N21" i="65" s="1"/>
  <c r="O21" i="65" s="1"/>
  <c r="E22" i="65"/>
  <c r="F22" i="65" s="1"/>
  <c r="G22" i="65" s="1"/>
  <c r="H22" i="65" s="1"/>
  <c r="I22" i="65" s="1"/>
  <c r="J22" i="65" s="1"/>
  <c r="K22" i="65" s="1"/>
  <c r="L22" i="65" s="1"/>
  <c r="M22" i="65" s="1"/>
  <c r="N22" i="65" s="1"/>
  <c r="O22" i="65" s="1"/>
  <c r="D6" i="59"/>
  <c r="F11" i="63"/>
  <c r="G11" i="63"/>
  <c r="H11" i="63"/>
  <c r="I11" i="63"/>
  <c r="J11" i="63"/>
  <c r="K11" i="63"/>
  <c r="Q6" i="96" l="1"/>
  <c r="Q29" i="96"/>
  <c r="O5" i="73"/>
  <c r="O25" i="73"/>
  <c r="N30" i="59"/>
  <c r="N36" i="59" s="1"/>
  <c r="P72" i="61"/>
  <c r="Q37" i="71"/>
  <c r="Q42" i="71" s="1"/>
  <c r="Q65" i="61" s="1"/>
  <c r="Q68" i="61" s="1"/>
  <c r="Q72" i="61" s="1"/>
  <c r="P44" i="71"/>
  <c r="S23" i="68"/>
  <c r="U10" i="69"/>
  <c r="U23" i="69" s="1"/>
  <c r="R34" i="66"/>
  <c r="Q45" i="61"/>
  <c r="Q32" i="66"/>
  <c r="O21" i="62"/>
  <c r="O26" i="59"/>
  <c r="AT11" i="63"/>
  <c r="P21" i="65"/>
  <c r="M44" i="65"/>
  <c r="Q52" i="63"/>
  <c r="Q38" i="63"/>
  <c r="O5" i="59"/>
  <c r="O5" i="62"/>
  <c r="Q22" i="63"/>
  <c r="Q6" i="63"/>
  <c r="R5" i="60"/>
  <c r="Q6" i="66"/>
  <c r="M18" i="65"/>
  <c r="Q6" i="61"/>
  <c r="S31" i="70"/>
  <c r="S58" i="61" s="1"/>
  <c r="S24" i="71"/>
  <c r="R26" i="71"/>
  <c r="T27" i="63"/>
  <c r="R11" i="59" s="1"/>
  <c r="P22" i="65"/>
  <c r="T55" i="63"/>
  <c r="R32" i="59" s="1"/>
  <c r="U26" i="63"/>
  <c r="U25" i="63"/>
  <c r="U24" i="63"/>
  <c r="U23" i="63"/>
  <c r="R7" i="71"/>
  <c r="Q9" i="71"/>
  <c r="Q13" i="71" s="1"/>
  <c r="S15" i="70"/>
  <c r="R19" i="61"/>
  <c r="R29" i="61" s="1"/>
  <c r="P9" i="59" s="1"/>
  <c r="S30" i="68"/>
  <c r="G6" i="66"/>
  <c r="F9" i="66"/>
  <c r="F7" i="66"/>
  <c r="Q44" i="71" l="1"/>
  <c r="R29" i="96"/>
  <c r="R6" i="96"/>
  <c r="P5" i="73"/>
  <c r="P25" i="73"/>
  <c r="Q33" i="66"/>
  <c r="Q41" i="66" s="1"/>
  <c r="O30" i="59"/>
  <c r="O36" i="59" s="1"/>
  <c r="R37" i="71"/>
  <c r="R42" i="71" s="1"/>
  <c r="R65" i="61" s="1"/>
  <c r="R68" i="61" s="1"/>
  <c r="P30" i="59" s="1"/>
  <c r="P36" i="59" s="1"/>
  <c r="U20" i="61"/>
  <c r="U24" i="69"/>
  <c r="T23" i="68"/>
  <c r="V10" i="69"/>
  <c r="V23" i="69" s="1"/>
  <c r="S34" i="66"/>
  <c r="Q21" i="65"/>
  <c r="R45" i="61"/>
  <c r="P21" i="62"/>
  <c r="R32" i="66"/>
  <c r="P26" i="59"/>
  <c r="N44" i="65"/>
  <c r="R52" i="63"/>
  <c r="R38" i="63"/>
  <c r="P5" i="59"/>
  <c r="R6" i="61"/>
  <c r="R6" i="63"/>
  <c r="R22" i="63"/>
  <c r="S5" i="60"/>
  <c r="R6" i="66"/>
  <c r="N18" i="65"/>
  <c r="P5" i="62"/>
  <c r="T24" i="71"/>
  <c r="S26" i="71"/>
  <c r="T31" i="70"/>
  <c r="T58" i="61" s="1"/>
  <c r="Q22" i="65"/>
  <c r="U55" i="63"/>
  <c r="S32" i="59" s="1"/>
  <c r="V25" i="63"/>
  <c r="V26" i="63"/>
  <c r="V24" i="63"/>
  <c r="V23" i="63"/>
  <c r="U27" i="63"/>
  <c r="S11" i="59" s="1"/>
  <c r="T15" i="70"/>
  <c r="S7" i="71"/>
  <c r="R9" i="71"/>
  <c r="R13" i="71" s="1"/>
  <c r="T30" i="68"/>
  <c r="H6" i="66"/>
  <c r="D7" i="62"/>
  <c r="G30" i="61"/>
  <c r="H30" i="61" s="1"/>
  <c r="I30" i="61" s="1"/>
  <c r="J30" i="61" s="1"/>
  <c r="K30" i="61" s="1"/>
  <c r="L30" i="61" s="1"/>
  <c r="M30" i="61" s="1"/>
  <c r="N30" i="61" s="1"/>
  <c r="O30" i="61" s="1"/>
  <c r="P30" i="61" s="1"/>
  <c r="Q30" i="61" s="1"/>
  <c r="R30" i="61" s="1"/>
  <c r="S30" i="61" s="1"/>
  <c r="T30" i="61" s="1"/>
  <c r="U30" i="61" s="1"/>
  <c r="V30" i="61" s="1"/>
  <c r="W30" i="61" s="1"/>
  <c r="X30" i="61" s="1"/>
  <c r="Y30" i="61" s="1"/>
  <c r="Z30" i="61" s="1"/>
  <c r="AA30" i="61" s="1"/>
  <c r="AB30" i="61" s="1"/>
  <c r="AC30" i="61" s="1"/>
  <c r="AD30" i="61" s="1"/>
  <c r="AE30" i="61" s="1"/>
  <c r="AF30" i="61" s="1"/>
  <c r="AG30" i="61" s="1"/>
  <c r="AH30" i="61" s="1"/>
  <c r="AI30" i="61" s="1"/>
  <c r="AJ30" i="61" s="1"/>
  <c r="AK30" i="61" s="1"/>
  <c r="AL30" i="61" s="1"/>
  <c r="AM30" i="61" s="1"/>
  <c r="AN30" i="61" s="1"/>
  <c r="AO30" i="61" s="1"/>
  <c r="AP30" i="61" s="1"/>
  <c r="AQ30" i="61" s="1"/>
  <c r="AR30" i="61" s="1"/>
  <c r="AS30" i="61" s="1"/>
  <c r="R72" i="61" l="1"/>
  <c r="R33" i="66"/>
  <c r="R41" i="66" s="1"/>
  <c r="S29" i="96"/>
  <c r="S6" i="96"/>
  <c r="Q5" i="73"/>
  <c r="Q25" i="73"/>
  <c r="R44" i="71"/>
  <c r="S37" i="71"/>
  <c r="S42" i="71" s="1"/>
  <c r="S65" i="61" s="1"/>
  <c r="V24" i="69"/>
  <c r="V20" i="61"/>
  <c r="U23" i="68"/>
  <c r="W10" i="69"/>
  <c r="T34" i="66"/>
  <c r="R21" i="65"/>
  <c r="S45" i="61"/>
  <c r="S32" i="66"/>
  <c r="Q21" i="62"/>
  <c r="Q26" i="59"/>
  <c r="S52" i="63"/>
  <c r="O44" i="65"/>
  <c r="S38" i="63"/>
  <c r="O18" i="65"/>
  <c r="S6" i="66"/>
  <c r="S6" i="63"/>
  <c r="S22" i="63"/>
  <c r="T5" i="60"/>
  <c r="S6" i="61"/>
  <c r="Q5" i="62"/>
  <c r="Q5" i="59"/>
  <c r="U31" i="70"/>
  <c r="U58" i="61" s="1"/>
  <c r="U24" i="71"/>
  <c r="T26" i="71"/>
  <c r="R22" i="65"/>
  <c r="V55" i="63"/>
  <c r="T32" i="59" s="1"/>
  <c r="W26" i="63"/>
  <c r="W23" i="63"/>
  <c r="W24" i="63"/>
  <c r="W25" i="63"/>
  <c r="V27" i="63"/>
  <c r="T11" i="59" s="1"/>
  <c r="T7" i="71"/>
  <c r="S9" i="71"/>
  <c r="S13" i="71" s="1"/>
  <c r="U15" i="70"/>
  <c r="U11" i="70" s="1"/>
  <c r="U30" i="68"/>
  <c r="I6" i="66"/>
  <c r="H9" i="66"/>
  <c r="G9" i="66"/>
  <c r="E7" i="62"/>
  <c r="A20" i="65"/>
  <c r="A19" i="65"/>
  <c r="A15" i="65"/>
  <c r="F18" i="65"/>
  <c r="E18" i="65"/>
  <c r="D18" i="65"/>
  <c r="C18" i="65"/>
  <c r="B18" i="65"/>
  <c r="A8" i="65"/>
  <c r="A7" i="65"/>
  <c r="A2" i="65"/>
  <c r="T29" i="96" l="1"/>
  <c r="T6" i="96"/>
  <c r="R5" i="73"/>
  <c r="R25" i="73"/>
  <c r="S21" i="65"/>
  <c r="T37" i="71"/>
  <c r="T42" i="71" s="1"/>
  <c r="T65" i="61" s="1"/>
  <c r="S44" i="71"/>
  <c r="V23" i="68"/>
  <c r="X10" i="69"/>
  <c r="U34" i="66"/>
  <c r="T45" i="61"/>
  <c r="T32" i="66"/>
  <c r="R26" i="59"/>
  <c r="R21" i="62"/>
  <c r="P44" i="65"/>
  <c r="T52" i="63"/>
  <c r="T38" i="63"/>
  <c r="P18" i="65"/>
  <c r="T6" i="66"/>
  <c r="T6" i="63"/>
  <c r="T22" i="63"/>
  <c r="U5" i="60"/>
  <c r="T6" i="61"/>
  <c r="R5" i="62"/>
  <c r="R5" i="59"/>
  <c r="V24" i="71"/>
  <c r="U26" i="71"/>
  <c r="V31" i="70"/>
  <c r="V58" i="61" s="1"/>
  <c r="S22" i="65"/>
  <c r="W27" i="63"/>
  <c r="U11" i="59" s="1"/>
  <c r="W55" i="63"/>
  <c r="U32" i="59" s="1"/>
  <c r="X24" i="63"/>
  <c r="X23" i="63"/>
  <c r="X25" i="63"/>
  <c r="T21" i="65" s="1"/>
  <c r="X26" i="63"/>
  <c r="V15" i="70"/>
  <c r="V11" i="70" s="1"/>
  <c r="U19" i="61"/>
  <c r="U29" i="61" s="1"/>
  <c r="S9" i="59" s="1"/>
  <c r="U7" i="71"/>
  <c r="T9" i="71"/>
  <c r="T13" i="71" s="1"/>
  <c r="V30" i="68"/>
  <c r="F7" i="62"/>
  <c r="I9" i="66"/>
  <c r="J6" i="66"/>
  <c r="K22" i="63"/>
  <c r="J22" i="63"/>
  <c r="I22" i="63"/>
  <c r="H22" i="63"/>
  <c r="G22" i="63"/>
  <c r="F22" i="63"/>
  <c r="A18" i="63"/>
  <c r="K6" i="63"/>
  <c r="J6" i="63"/>
  <c r="I6" i="63"/>
  <c r="H6" i="63"/>
  <c r="G6" i="63"/>
  <c r="F6" i="63"/>
  <c r="I5" i="62"/>
  <c r="H5" i="62"/>
  <c r="G5" i="62"/>
  <c r="F5" i="62"/>
  <c r="E5" i="62"/>
  <c r="D5" i="62"/>
  <c r="A2" i="62"/>
  <c r="J6" i="61"/>
  <c r="I6" i="61"/>
  <c r="H6" i="61"/>
  <c r="G6" i="61"/>
  <c r="F6" i="61"/>
  <c r="A2" i="59"/>
  <c r="I5" i="59"/>
  <c r="H5" i="59"/>
  <c r="G5" i="59"/>
  <c r="F5" i="59"/>
  <c r="E5" i="59"/>
  <c r="D5" i="59"/>
  <c r="A24" i="63"/>
  <c r="A23" i="63"/>
  <c r="A6" i="62"/>
  <c r="G7" i="66"/>
  <c r="U29" i="96" l="1"/>
  <c r="U6" i="96"/>
  <c r="S5" i="73"/>
  <c r="S25" i="73"/>
  <c r="T44" i="71"/>
  <c r="U37" i="71"/>
  <c r="U42" i="71" s="1"/>
  <c r="U65" i="61" s="1"/>
  <c r="U68" i="61" s="1"/>
  <c r="S30" i="59" s="1"/>
  <c r="S36" i="59" s="1"/>
  <c r="W23" i="68"/>
  <c r="Y10" i="69"/>
  <c r="Y23" i="69" s="1"/>
  <c r="V34" i="66"/>
  <c r="U45" i="61"/>
  <c r="S26" i="59"/>
  <c r="U32" i="66"/>
  <c r="S21" i="62"/>
  <c r="H8" i="66"/>
  <c r="G8" i="66"/>
  <c r="U52" i="63"/>
  <c r="Q44" i="65"/>
  <c r="U38" i="63"/>
  <c r="U6" i="66"/>
  <c r="U6" i="61"/>
  <c r="U6" i="63"/>
  <c r="U22" i="63"/>
  <c r="V5" i="60"/>
  <c r="S5" i="62"/>
  <c r="S5" i="59"/>
  <c r="Q18" i="65"/>
  <c r="W31" i="70"/>
  <c r="W58" i="61" s="1"/>
  <c r="W24" i="71"/>
  <c r="V26" i="71"/>
  <c r="T22" i="65"/>
  <c r="X55" i="63"/>
  <c r="V32" i="59" s="1"/>
  <c r="X27" i="63"/>
  <c r="V11" i="59" s="1"/>
  <c r="Y23" i="63"/>
  <c r="Y25" i="63"/>
  <c r="U21" i="65" s="1"/>
  <c r="Y24" i="63"/>
  <c r="Y26" i="63"/>
  <c r="V7" i="71"/>
  <c r="U9" i="71"/>
  <c r="U13" i="71" s="1"/>
  <c r="W15" i="70"/>
  <c r="V19" i="61"/>
  <c r="V29" i="61" s="1"/>
  <c r="T9" i="59" s="1"/>
  <c r="W30" i="68"/>
  <c r="G7" i="62"/>
  <c r="K6" i="66"/>
  <c r="K6" i="61"/>
  <c r="G18" i="65"/>
  <c r="U72" i="61" l="1"/>
  <c r="U33" i="66"/>
  <c r="U41" i="66" s="1"/>
  <c r="V29" i="96"/>
  <c r="V6" i="96"/>
  <c r="T25" i="73"/>
  <c r="T5" i="73"/>
  <c r="U44" i="71"/>
  <c r="V37" i="71"/>
  <c r="V42" i="71" s="1"/>
  <c r="V65" i="61" s="1"/>
  <c r="V68" i="61" s="1"/>
  <c r="V72" i="61" s="1"/>
  <c r="Y24" i="69"/>
  <c r="Y20" i="61"/>
  <c r="X23" i="68"/>
  <c r="Z10" i="69"/>
  <c r="W34" i="66"/>
  <c r="V45" i="61"/>
  <c r="T21" i="62"/>
  <c r="T26" i="59"/>
  <c r="V32" i="66"/>
  <c r="V52" i="63"/>
  <c r="R44" i="65"/>
  <c r="V38" i="63"/>
  <c r="R18" i="65"/>
  <c r="T5" i="59"/>
  <c r="V6" i="66"/>
  <c r="V6" i="61"/>
  <c r="V6" i="63"/>
  <c r="V22" i="63"/>
  <c r="W5" i="60"/>
  <c r="T5" i="62"/>
  <c r="W26" i="71"/>
  <c r="X24" i="71"/>
  <c r="U22" i="65"/>
  <c r="X31" i="70"/>
  <c r="X58" i="61" s="1"/>
  <c r="Y55" i="63"/>
  <c r="W32" i="59" s="1"/>
  <c r="Y27" i="63"/>
  <c r="W11" i="59" s="1"/>
  <c r="Z26" i="63"/>
  <c r="Z23" i="63"/>
  <c r="Z25" i="63"/>
  <c r="V21" i="65" s="1"/>
  <c r="Z24" i="63"/>
  <c r="X15" i="70"/>
  <c r="W7" i="71"/>
  <c r="V9" i="71"/>
  <c r="V13" i="71" s="1"/>
  <c r="X30" i="68"/>
  <c r="H7" i="62"/>
  <c r="J9" i="66"/>
  <c r="K9" i="66"/>
  <c r="J7" i="62"/>
  <c r="I7" i="62"/>
  <c r="W6" i="96" l="1"/>
  <c r="W29" i="96"/>
  <c r="U25" i="73"/>
  <c r="U5" i="73"/>
  <c r="T30" i="59"/>
  <c r="T36" i="59" s="1"/>
  <c r="V44" i="71"/>
  <c r="V33" i="66"/>
  <c r="V41" i="66" s="1"/>
  <c r="W37" i="71"/>
  <c r="W42" i="71" s="1"/>
  <c r="W65" i="61" s="1"/>
  <c r="Y23" i="68"/>
  <c r="AA10" i="69"/>
  <c r="AA23" i="69" s="1"/>
  <c r="X34" i="66"/>
  <c r="W45" i="61"/>
  <c r="U26" i="59"/>
  <c r="U21" i="62"/>
  <c r="W32" i="66"/>
  <c r="I8" i="66"/>
  <c r="V22" i="65"/>
  <c r="S44" i="65"/>
  <c r="W52" i="63"/>
  <c r="W38" i="63"/>
  <c r="S18" i="65"/>
  <c r="W6" i="66"/>
  <c r="W6" i="61"/>
  <c r="W6" i="63"/>
  <c r="W22" i="63"/>
  <c r="X5" i="60"/>
  <c r="U5" i="59"/>
  <c r="U5" i="62"/>
  <c r="Y31" i="70"/>
  <c r="Y58" i="61" s="1"/>
  <c r="Y24" i="71"/>
  <c r="X26" i="71"/>
  <c r="Z27" i="63"/>
  <c r="X11" i="59" s="1"/>
  <c r="Z55" i="63"/>
  <c r="X32" i="59" s="1"/>
  <c r="AA25" i="63"/>
  <c r="W21" i="65" s="1"/>
  <c r="AA26" i="63"/>
  <c r="AA24" i="63"/>
  <c r="AA23" i="63"/>
  <c r="W9" i="71"/>
  <c r="W13" i="71" s="1"/>
  <c r="X7" i="71"/>
  <c r="Y15" i="70"/>
  <c r="Y11" i="70" s="1"/>
  <c r="Y30" i="68"/>
  <c r="L9" i="66"/>
  <c r="K7" i="62"/>
  <c r="X29" i="96" l="1"/>
  <c r="X6" i="96"/>
  <c r="V25" i="73"/>
  <c r="V5" i="73"/>
  <c r="W44" i="71"/>
  <c r="W22" i="65"/>
  <c r="X37" i="71"/>
  <c r="X42" i="71" s="1"/>
  <c r="X65" i="61" s="1"/>
  <c r="AA20" i="61"/>
  <c r="AA24" i="69"/>
  <c r="Z23" i="68"/>
  <c r="AB10" i="69"/>
  <c r="AB23" i="69" s="1"/>
  <c r="Y34" i="66"/>
  <c r="X45" i="61"/>
  <c r="V21" i="62"/>
  <c r="V26" i="59"/>
  <c r="X32" i="66"/>
  <c r="J8" i="66"/>
  <c r="T44" i="65"/>
  <c r="X52" i="63"/>
  <c r="X38" i="63"/>
  <c r="X6" i="66"/>
  <c r="V5" i="62"/>
  <c r="T18" i="65"/>
  <c r="X6" i="63"/>
  <c r="X22" i="63"/>
  <c r="Y5" i="60"/>
  <c r="X6" i="61"/>
  <c r="V5" i="59"/>
  <c r="Y26" i="71"/>
  <c r="Z24" i="71"/>
  <c r="Z31" i="70"/>
  <c r="Z58" i="61" s="1"/>
  <c r="AA27" i="63"/>
  <c r="Y11" i="59" s="1"/>
  <c r="AA55" i="63"/>
  <c r="Y32" i="59" s="1"/>
  <c r="AB24" i="63"/>
  <c r="AB25" i="63"/>
  <c r="X21" i="65" s="1"/>
  <c r="AB23" i="63"/>
  <c r="AB26" i="63"/>
  <c r="Z15" i="70"/>
  <c r="Y19" i="61"/>
  <c r="Y29" i="61" s="1"/>
  <c r="W9" i="59" s="1"/>
  <c r="X9" i="71"/>
  <c r="X13" i="71" s="1"/>
  <c r="Y7" i="71"/>
  <c r="Z30" i="68"/>
  <c r="L7" i="62"/>
  <c r="M9" i="66"/>
  <c r="Y6" i="96" l="1"/>
  <c r="Y29" i="96"/>
  <c r="W5" i="73"/>
  <c r="W25" i="73"/>
  <c r="X22" i="65"/>
  <c r="X44" i="71"/>
  <c r="Y37" i="71"/>
  <c r="Y42" i="71" s="1"/>
  <c r="Y65" i="61" s="1"/>
  <c r="Y68" i="61" s="1"/>
  <c r="Y72" i="61" s="1"/>
  <c r="AB24" i="69"/>
  <c r="AB20" i="61"/>
  <c r="AC10" i="69"/>
  <c r="AC23" i="69" s="1"/>
  <c r="AA23" i="68"/>
  <c r="Z34" i="66"/>
  <c r="Y45" i="61"/>
  <c r="W26" i="59"/>
  <c r="Y32" i="66"/>
  <c r="W21" i="62"/>
  <c r="K8" i="66"/>
  <c r="U44" i="65"/>
  <c r="Y52" i="63"/>
  <c r="Y38" i="63"/>
  <c r="Y6" i="61"/>
  <c r="Y6" i="66"/>
  <c r="W5" i="62"/>
  <c r="U18" i="65"/>
  <c r="Y22" i="63"/>
  <c r="Z5" i="60"/>
  <c r="W5" i="59"/>
  <c r="Y6" i="63"/>
  <c r="AA31" i="70"/>
  <c r="AA58" i="61" s="1"/>
  <c r="Z26" i="71"/>
  <c r="AA24" i="71"/>
  <c r="AB55" i="63"/>
  <c r="Z32" i="59" s="1"/>
  <c r="AC23" i="63"/>
  <c r="AC26" i="63"/>
  <c r="Y22" i="65" s="1"/>
  <c r="AC25" i="63"/>
  <c r="Y21" i="65" s="1"/>
  <c r="AC24" i="63"/>
  <c r="AB27" i="63"/>
  <c r="Z11" i="59" s="1"/>
  <c r="Y9" i="71"/>
  <c r="Y13" i="71" s="1"/>
  <c r="Z7" i="71"/>
  <c r="AA15" i="70"/>
  <c r="AA11" i="70" s="1"/>
  <c r="AA30" i="68"/>
  <c r="M7" i="62"/>
  <c r="N9" i="66"/>
  <c r="E20" i="65"/>
  <c r="F20" i="65" s="1"/>
  <c r="G20" i="65" s="1"/>
  <c r="H20" i="65" s="1"/>
  <c r="I20" i="65" s="1"/>
  <c r="J20" i="65" s="1"/>
  <c r="K20" i="65" s="1"/>
  <c r="L20" i="65" s="1"/>
  <c r="M20" i="65" s="1"/>
  <c r="N20" i="65" s="1"/>
  <c r="O20" i="65" s="1"/>
  <c r="P20" i="65" s="1"/>
  <c r="Q20" i="65" s="1"/>
  <c r="R20" i="65" s="1"/>
  <c r="S20" i="65" s="1"/>
  <c r="T20" i="65" s="1"/>
  <c r="U20" i="65" s="1"/>
  <c r="V20" i="65" s="1"/>
  <c r="W20" i="65" s="1"/>
  <c r="X20" i="65" s="1"/>
  <c r="D13" i="59"/>
  <c r="E13" i="59"/>
  <c r="F13" i="59"/>
  <c r="H13" i="59"/>
  <c r="Y44" i="71" l="1"/>
  <c r="W30" i="59"/>
  <c r="W36" i="59" s="1"/>
  <c r="Z6" i="96"/>
  <c r="Z29" i="96"/>
  <c r="X5" i="73"/>
  <c r="X25" i="73"/>
  <c r="Y33" i="66"/>
  <c r="Y41" i="66" s="1"/>
  <c r="Z37" i="71"/>
  <c r="Z42" i="71" s="1"/>
  <c r="Z65" i="61" s="1"/>
  <c r="AB23" i="68"/>
  <c r="AD10" i="69"/>
  <c r="AD23" i="69" s="1"/>
  <c r="AC24" i="69"/>
  <c r="AC20" i="61"/>
  <c r="AA34" i="66"/>
  <c r="Z45" i="61"/>
  <c r="X26" i="59"/>
  <c r="Z32" i="66"/>
  <c r="X21" i="62"/>
  <c r="L8" i="66"/>
  <c r="V44" i="65"/>
  <c r="Z52" i="63"/>
  <c r="Z38" i="63"/>
  <c r="Z6" i="66"/>
  <c r="V18" i="65"/>
  <c r="X5" i="62"/>
  <c r="Z22" i="63"/>
  <c r="Z6" i="63"/>
  <c r="AA5" i="60"/>
  <c r="X5" i="59"/>
  <c r="Z6" i="61"/>
  <c r="AB24" i="71"/>
  <c r="AA26" i="71"/>
  <c r="AB31" i="70"/>
  <c r="AB58" i="61" s="1"/>
  <c r="Y20" i="65"/>
  <c r="AC27" i="63"/>
  <c r="AA11" i="59" s="1"/>
  <c r="AC55" i="63"/>
  <c r="AA32" i="59" s="1"/>
  <c r="AD26" i="63"/>
  <c r="Z22" i="65" s="1"/>
  <c r="AD25" i="63"/>
  <c r="Z21" i="65" s="1"/>
  <c r="AD24" i="63"/>
  <c r="AD23" i="63"/>
  <c r="AB15" i="70"/>
  <c r="AB11" i="70" s="1"/>
  <c r="AA19" i="61"/>
  <c r="AA29" i="61" s="1"/>
  <c r="Y9" i="59" s="1"/>
  <c r="AA7" i="71"/>
  <c r="Z9" i="71"/>
  <c r="Z13" i="71" s="1"/>
  <c r="AB30" i="68"/>
  <c r="L7" i="66"/>
  <c r="N7" i="62"/>
  <c r="O9" i="66"/>
  <c r="K27" i="63"/>
  <c r="I11" i="59" s="1"/>
  <c r="F27" i="63"/>
  <c r="G27" i="63"/>
  <c r="H27" i="63"/>
  <c r="F11" i="59" s="1"/>
  <c r="I27" i="63"/>
  <c r="G11" i="59" s="1"/>
  <c r="J27" i="63"/>
  <c r="H11" i="59" s="1"/>
  <c r="Z44" i="71" l="1"/>
  <c r="AA6" i="96"/>
  <c r="AA29" i="96"/>
  <c r="Y5" i="73"/>
  <c r="Y25" i="73"/>
  <c r="AA37" i="71"/>
  <c r="AA42" i="71" s="1"/>
  <c r="AA65" i="61" s="1"/>
  <c r="AA68" i="61" s="1"/>
  <c r="AA33" i="66" s="1"/>
  <c r="AA41" i="66" s="1"/>
  <c r="AD20" i="61"/>
  <c r="AD24" i="69"/>
  <c r="AC23" i="68"/>
  <c r="AE10" i="69"/>
  <c r="AB34" i="66"/>
  <c r="AA45" i="61"/>
  <c r="Y26" i="59"/>
  <c r="AA32" i="66"/>
  <c r="Y21" i="62"/>
  <c r="M8" i="66"/>
  <c r="W44" i="65"/>
  <c r="AA52" i="63"/>
  <c r="AA38" i="63"/>
  <c r="AA6" i="61"/>
  <c r="AA6" i="66"/>
  <c r="W18" i="65"/>
  <c r="Y5" i="62"/>
  <c r="Y5" i="59"/>
  <c r="AA22" i="63"/>
  <c r="AA6" i="63"/>
  <c r="AB5" i="60"/>
  <c r="AC31" i="70"/>
  <c r="AC58" i="61" s="1"/>
  <c r="AB26" i="71"/>
  <c r="AC24" i="71"/>
  <c r="Z20" i="65"/>
  <c r="AD55" i="63"/>
  <c r="AB32" i="59" s="1"/>
  <c r="AE26" i="63"/>
  <c r="AA22" i="65" s="1"/>
  <c r="AE25" i="63"/>
  <c r="AA21" i="65" s="1"/>
  <c r="AE24" i="63"/>
  <c r="AE23" i="63"/>
  <c r="AD27" i="63"/>
  <c r="AB11" i="59" s="1"/>
  <c r="AB7" i="71"/>
  <c r="AA9" i="71"/>
  <c r="AA13" i="71" s="1"/>
  <c r="AC15" i="70"/>
  <c r="AC11" i="70" s="1"/>
  <c r="AB19" i="61"/>
  <c r="AB29" i="61" s="1"/>
  <c r="Z9" i="59" s="1"/>
  <c r="AC30" i="68"/>
  <c r="E11" i="59"/>
  <c r="P9" i="66"/>
  <c r="O7" i="62"/>
  <c r="M7" i="66"/>
  <c r="D11" i="59"/>
  <c r="AA72" i="61" l="1"/>
  <c r="Y30" i="59"/>
  <c r="Y36" i="59" s="1"/>
  <c r="AB6" i="96"/>
  <c r="AB29" i="96"/>
  <c r="Z5" i="73"/>
  <c r="Z25" i="73"/>
  <c r="AA44" i="71"/>
  <c r="AB37" i="71"/>
  <c r="AB42" i="71" s="1"/>
  <c r="AB65" i="61" s="1"/>
  <c r="AB68" i="61" s="1"/>
  <c r="AB33" i="66" s="1"/>
  <c r="AB41" i="66" s="1"/>
  <c r="AD23" i="68"/>
  <c r="AF10" i="69"/>
  <c r="AF23" i="69" s="1"/>
  <c r="AC34" i="66"/>
  <c r="AB45" i="61"/>
  <c r="Z21" i="62"/>
  <c r="Z26" i="59"/>
  <c r="AB32" i="66"/>
  <c r="N8" i="66"/>
  <c r="AD24" i="71"/>
  <c r="AC26" i="71"/>
  <c r="AD31" i="70"/>
  <c r="AD58" i="61" s="1"/>
  <c r="AB52" i="63"/>
  <c r="X44" i="65"/>
  <c r="AB38" i="63"/>
  <c r="AB6" i="61"/>
  <c r="Z5" i="59"/>
  <c r="AB6" i="63"/>
  <c r="AB22" i="63"/>
  <c r="AC5" i="60"/>
  <c r="AB6" i="66"/>
  <c r="X18" i="65"/>
  <c r="Z5" i="62"/>
  <c r="AA20" i="65"/>
  <c r="AE27" i="63"/>
  <c r="AC11" i="59" s="1"/>
  <c r="AE55" i="63"/>
  <c r="AC32" i="59" s="1"/>
  <c r="AF26" i="63"/>
  <c r="AB22" i="65" s="1"/>
  <c r="AF25" i="63"/>
  <c r="AB21" i="65" s="1"/>
  <c r="AF24" i="63"/>
  <c r="AF23" i="63"/>
  <c r="AD15" i="70"/>
  <c r="AD11" i="70" s="1"/>
  <c r="AC19" i="61"/>
  <c r="AC29" i="61" s="1"/>
  <c r="AA9" i="59" s="1"/>
  <c r="AC7" i="71"/>
  <c r="AB9" i="71"/>
  <c r="AB13" i="71" s="1"/>
  <c r="AD30" i="68"/>
  <c r="N7" i="66"/>
  <c r="P7" i="62"/>
  <c r="Q9" i="66"/>
  <c r="F10" i="66"/>
  <c r="F15" i="66" s="1"/>
  <c r="G31" i="61"/>
  <c r="E8" i="62" s="1"/>
  <c r="E19" i="65"/>
  <c r="D23" i="65"/>
  <c r="H31" i="61" s="1"/>
  <c r="Z30" i="59" l="1"/>
  <c r="Z36" i="59" s="1"/>
  <c r="AB72" i="61"/>
  <c r="AC6" i="96"/>
  <c r="AC29" i="96"/>
  <c r="AA5" i="73"/>
  <c r="AA25" i="73"/>
  <c r="AB44" i="71"/>
  <c r="AC37" i="71"/>
  <c r="AC42" i="71" s="1"/>
  <c r="AC65" i="61" s="1"/>
  <c r="AC68" i="61" s="1"/>
  <c r="AA30" i="59" s="1"/>
  <c r="AA36" i="59" s="1"/>
  <c r="AF20" i="61"/>
  <c r="AF24" i="69"/>
  <c r="AE23" i="68"/>
  <c r="AG10" i="69"/>
  <c r="AG23" i="69" s="1"/>
  <c r="AD34" i="66"/>
  <c r="AC45" i="61"/>
  <c r="AC32" i="66"/>
  <c r="AA26" i="59"/>
  <c r="AA21" i="62"/>
  <c r="F8" i="62"/>
  <c r="O8" i="66"/>
  <c r="AE31" i="70"/>
  <c r="AE58" i="61" s="1"/>
  <c r="Y44" i="65"/>
  <c r="AC52" i="63"/>
  <c r="AC38" i="63"/>
  <c r="AA5" i="62"/>
  <c r="AA5" i="59"/>
  <c r="AC6" i="63"/>
  <c r="AC22" i="63"/>
  <c r="AD5" i="60"/>
  <c r="AC6" i="61"/>
  <c r="AC6" i="66"/>
  <c r="Y18" i="65"/>
  <c r="AD26" i="71"/>
  <c r="AE24" i="71"/>
  <c r="AB20" i="65"/>
  <c r="AF55" i="63"/>
  <c r="AD32" i="59" s="1"/>
  <c r="AG55" i="63"/>
  <c r="AE32" i="59" s="1"/>
  <c r="AG23" i="63"/>
  <c r="AG26" i="63"/>
  <c r="AC22" i="65" s="1"/>
  <c r="AG25" i="63"/>
  <c r="AC21" i="65" s="1"/>
  <c r="AG24" i="63"/>
  <c r="AF27" i="63"/>
  <c r="AD7" i="71"/>
  <c r="AC9" i="71"/>
  <c r="AC13" i="71" s="1"/>
  <c r="AE15" i="70"/>
  <c r="AD19" i="61"/>
  <c r="AD29" i="61" s="1"/>
  <c r="AB9" i="59" s="1"/>
  <c r="AE30" i="68"/>
  <c r="R9" i="66"/>
  <c r="Q7" i="62"/>
  <c r="O7" i="66"/>
  <c r="G10" i="66"/>
  <c r="G15" i="66" s="1"/>
  <c r="G33" i="61"/>
  <c r="E15" i="59" s="1"/>
  <c r="D15" i="59"/>
  <c r="F19" i="65"/>
  <c r="E23" i="65"/>
  <c r="I31" i="61" s="1"/>
  <c r="AC72" i="61" l="1"/>
  <c r="AD29" i="96"/>
  <c r="AD6" i="96"/>
  <c r="AB5" i="73"/>
  <c r="AB25" i="73"/>
  <c r="AC33" i="66"/>
  <c r="AC41" i="66" s="1"/>
  <c r="AD37" i="71"/>
  <c r="AD42" i="71" s="1"/>
  <c r="AD65" i="61" s="1"/>
  <c r="AD68" i="61" s="1"/>
  <c r="AB30" i="59" s="1"/>
  <c r="AB36" i="59" s="1"/>
  <c r="AC44" i="71"/>
  <c r="AG20" i="61"/>
  <c r="AG24" i="69"/>
  <c r="AF23" i="68"/>
  <c r="AH10" i="69"/>
  <c r="AH23" i="69" s="1"/>
  <c r="AE34" i="66"/>
  <c r="AD45" i="61"/>
  <c r="AD32" i="66"/>
  <c r="AB21" i="62"/>
  <c r="AB26" i="59"/>
  <c r="G8" i="62"/>
  <c r="P8" i="66"/>
  <c r="AE26" i="71"/>
  <c r="AF24" i="71"/>
  <c r="AC20" i="65"/>
  <c r="Z44" i="65"/>
  <c r="AD52" i="63"/>
  <c r="AD38" i="63"/>
  <c r="Z18" i="65"/>
  <c r="AD6" i="66"/>
  <c r="AD6" i="63"/>
  <c r="AD22" i="63"/>
  <c r="AE5" i="60"/>
  <c r="AD6" i="61"/>
  <c r="AB5" i="62"/>
  <c r="AB5" i="59"/>
  <c r="AF31" i="70"/>
  <c r="AF58" i="61" s="1"/>
  <c r="AG27" i="63"/>
  <c r="AE11" i="59" s="1"/>
  <c r="AH24" i="63"/>
  <c r="AH23" i="63"/>
  <c r="AH25" i="63"/>
  <c r="AD21" i="65" s="1"/>
  <c r="AH26" i="63"/>
  <c r="AD22" i="65" s="1"/>
  <c r="AD11" i="59"/>
  <c r="AF15" i="70"/>
  <c r="AF11" i="70" s="1"/>
  <c r="AE7" i="71"/>
  <c r="AD9" i="71"/>
  <c r="AD13" i="71" s="1"/>
  <c r="AF30" i="68"/>
  <c r="P7" i="66"/>
  <c r="R7" i="62"/>
  <c r="S9" i="66"/>
  <c r="H10" i="66"/>
  <c r="G19" i="65"/>
  <c r="F23" i="65"/>
  <c r="J31" i="61" s="1"/>
  <c r="AD33" i="66" l="1"/>
  <c r="AD41" i="66" s="1"/>
  <c r="AE29" i="96"/>
  <c r="AE6" i="96"/>
  <c r="AC5" i="73"/>
  <c r="AC25" i="73"/>
  <c r="AD72" i="61"/>
  <c r="AD44" i="71"/>
  <c r="AE37" i="71"/>
  <c r="AE42" i="71" s="1"/>
  <c r="AE65" i="61" s="1"/>
  <c r="AH24" i="69"/>
  <c r="AH20" i="61"/>
  <c r="AG23" i="68"/>
  <c r="AI10" i="69"/>
  <c r="AI23" i="69" s="1"/>
  <c r="AF34" i="66"/>
  <c r="AE45" i="61"/>
  <c r="AC26" i="59"/>
  <c r="AE32" i="66"/>
  <c r="AC21" i="62"/>
  <c r="H8" i="62"/>
  <c r="Q8" i="66"/>
  <c r="AD20" i="65"/>
  <c r="AE20" i="65" s="1"/>
  <c r="AG31" i="70"/>
  <c r="AG58" i="61" s="1"/>
  <c r="AF26" i="71"/>
  <c r="AG24" i="71"/>
  <c r="AA44" i="65"/>
  <c r="AE52" i="63"/>
  <c r="AE38" i="63"/>
  <c r="AE6" i="61"/>
  <c r="AA18" i="65"/>
  <c r="AE6" i="66"/>
  <c r="AE6" i="63"/>
  <c r="AE22" i="63"/>
  <c r="AF5" i="60"/>
  <c r="AC5" i="62"/>
  <c r="AC5" i="59"/>
  <c r="AH55" i="63"/>
  <c r="AF32" i="59" s="1"/>
  <c r="AI24" i="63"/>
  <c r="AI23" i="63"/>
  <c r="AI25" i="63"/>
  <c r="AE21" i="65" s="1"/>
  <c r="AI26" i="63"/>
  <c r="AE22" i="65" s="1"/>
  <c r="AH27" i="63"/>
  <c r="AF7" i="71"/>
  <c r="AE9" i="71"/>
  <c r="AE13" i="71" s="1"/>
  <c r="AG15" i="70"/>
  <c r="AG11" i="70" s="1"/>
  <c r="AF19" i="61"/>
  <c r="AF29" i="61" s="1"/>
  <c r="AD9" i="59" s="1"/>
  <c r="AG30" i="68"/>
  <c r="T9" i="66"/>
  <c r="S7" i="62"/>
  <c r="Q7" i="66"/>
  <c r="G23" i="65"/>
  <c r="K31" i="61" s="1"/>
  <c r="H19" i="65"/>
  <c r="I10" i="66"/>
  <c r="AF29" i="96" l="1"/>
  <c r="AF6" i="96"/>
  <c r="AD5" i="73"/>
  <c r="AD25" i="73"/>
  <c r="AE44" i="71"/>
  <c r="AF37" i="71"/>
  <c r="AF42" i="71" s="1"/>
  <c r="AF65" i="61" s="1"/>
  <c r="AF68" i="61" s="1"/>
  <c r="AD30" i="59" s="1"/>
  <c r="AD36" i="59" s="1"/>
  <c r="AI20" i="61"/>
  <c r="AI24" i="69"/>
  <c r="AH23" i="68"/>
  <c r="AJ10" i="69"/>
  <c r="AJ23" i="69" s="1"/>
  <c r="AG34" i="66"/>
  <c r="AF45" i="61"/>
  <c r="AF32" i="66"/>
  <c r="AD26" i="59"/>
  <c r="AD21" i="62"/>
  <c r="I8" i="62"/>
  <c r="R8" i="66"/>
  <c r="AG26" i="71"/>
  <c r="AH24" i="71"/>
  <c r="AF52" i="63"/>
  <c r="AB44" i="65"/>
  <c r="AF38" i="63"/>
  <c r="AB18" i="65"/>
  <c r="AD5" i="59"/>
  <c r="AF6" i="61"/>
  <c r="AF6" i="66"/>
  <c r="AF6" i="63"/>
  <c r="AF22" i="63"/>
  <c r="AG5" i="60"/>
  <c r="AD5" i="62"/>
  <c r="AH31" i="70"/>
  <c r="AH58" i="61" s="1"/>
  <c r="AI55" i="63"/>
  <c r="AG32" i="59" s="1"/>
  <c r="AJ23" i="63"/>
  <c r="AJ26" i="63"/>
  <c r="AJ25" i="63"/>
  <c r="AF21" i="65" s="1"/>
  <c r="AJ24" i="63"/>
  <c r="AF11" i="59"/>
  <c r="AI27" i="63"/>
  <c r="AG11" i="59" s="1"/>
  <c r="AH15" i="70"/>
  <c r="AH11" i="70" s="1"/>
  <c r="AG19" i="61"/>
  <c r="AG29" i="61" s="1"/>
  <c r="AE9" i="59" s="1"/>
  <c r="AG7" i="71"/>
  <c r="AF9" i="71"/>
  <c r="AF13" i="71" s="1"/>
  <c r="AH30" i="68"/>
  <c r="R7" i="66"/>
  <c r="U9" i="66"/>
  <c r="T7" i="62"/>
  <c r="I19" i="65"/>
  <c r="H23" i="65"/>
  <c r="L31" i="61" s="1"/>
  <c r="J10" i="66"/>
  <c r="K10" i="66"/>
  <c r="AF72" i="61" l="1"/>
  <c r="AF33" i="66"/>
  <c r="AF41" i="66" s="1"/>
  <c r="AG29" i="96"/>
  <c r="AG6" i="96"/>
  <c r="AE5" i="73"/>
  <c r="AE25" i="73"/>
  <c r="AG37" i="71"/>
  <c r="AG42" i="71" s="1"/>
  <c r="AG65" i="61" s="1"/>
  <c r="AG68" i="61" s="1"/>
  <c r="AG72" i="61" s="1"/>
  <c r="AF44" i="71"/>
  <c r="AF22" i="65"/>
  <c r="AJ20" i="61"/>
  <c r="AJ24" i="69"/>
  <c r="AI23" i="68"/>
  <c r="AK10" i="69"/>
  <c r="AK23" i="69" s="1"/>
  <c r="AH34" i="66"/>
  <c r="AG45" i="61"/>
  <c r="AE26" i="59"/>
  <c r="AE21" i="62"/>
  <c r="AG32" i="66"/>
  <c r="L33" i="61"/>
  <c r="J8" i="62"/>
  <c r="S8" i="66"/>
  <c r="AI31" i="70"/>
  <c r="AI58" i="61" s="1"/>
  <c r="AG52" i="63"/>
  <c r="AC44" i="65"/>
  <c r="AG38" i="63"/>
  <c r="AG6" i="61"/>
  <c r="AC18" i="65"/>
  <c r="AG6" i="66"/>
  <c r="AG6" i="63"/>
  <c r="AG22" i="63"/>
  <c r="AH5" i="60"/>
  <c r="AE5" i="59"/>
  <c r="AE5" i="62"/>
  <c r="AH26" i="71"/>
  <c r="AI24" i="71"/>
  <c r="AJ55" i="63"/>
  <c r="AH32" i="59" s="1"/>
  <c r="AJ27" i="63"/>
  <c r="AH11" i="59" s="1"/>
  <c r="AK25" i="63"/>
  <c r="AG21" i="65" s="1"/>
  <c r="AK24" i="63"/>
  <c r="AK23" i="63"/>
  <c r="AK26" i="63"/>
  <c r="AG9" i="71"/>
  <c r="AG13" i="71" s="1"/>
  <c r="AH7" i="71"/>
  <c r="AI15" i="70"/>
  <c r="AI11" i="70" s="1"/>
  <c r="AH19" i="61"/>
  <c r="AH29" i="61" s="1"/>
  <c r="AF9" i="59" s="1"/>
  <c r="AI30" i="68"/>
  <c r="U7" i="62"/>
  <c r="V9" i="66"/>
  <c r="I23" i="65"/>
  <c r="M31" i="61" s="1"/>
  <c r="J19" i="65"/>
  <c r="F19" i="66"/>
  <c r="F35" i="61"/>
  <c r="D6" i="62" s="1"/>
  <c r="D11" i="62" s="1"/>
  <c r="D7" i="59" s="1"/>
  <c r="AG33" i="66" l="1"/>
  <c r="AG41" i="66" s="1"/>
  <c r="AH29" i="96"/>
  <c r="AH6" i="96"/>
  <c r="AF25" i="73"/>
  <c r="AF5" i="73"/>
  <c r="AE30" i="59"/>
  <c r="AE36" i="59" s="1"/>
  <c r="AH37" i="71"/>
  <c r="AH42" i="71" s="1"/>
  <c r="AH65" i="61" s="1"/>
  <c r="AH68" i="61" s="1"/>
  <c r="AH72" i="61" s="1"/>
  <c r="AG44" i="71"/>
  <c r="AG22" i="65"/>
  <c r="AK23" i="72"/>
  <c r="AK24" i="72" s="1"/>
  <c r="AJ24" i="72"/>
  <c r="AG20" i="65"/>
  <c r="D10" i="59"/>
  <c r="D12" i="59" s="1"/>
  <c r="D14" i="59" s="1"/>
  <c r="D16" i="59" s="1"/>
  <c r="F17" i="66" s="1"/>
  <c r="F18" i="66" s="1"/>
  <c r="AK20" i="61"/>
  <c r="AK24" i="69"/>
  <c r="AJ23" i="68"/>
  <c r="AL10" i="69"/>
  <c r="AL23" i="69" s="1"/>
  <c r="AI34" i="66"/>
  <c r="AH45" i="61"/>
  <c r="AF26" i="59"/>
  <c r="AF21" i="62"/>
  <c r="AH32" i="66"/>
  <c r="AH33" i="66"/>
  <c r="AH41" i="66" s="1"/>
  <c r="M33" i="61"/>
  <c r="K8" i="62"/>
  <c r="T8" i="66"/>
  <c r="AI26" i="71"/>
  <c r="AJ24" i="71"/>
  <c r="AJ31" i="70"/>
  <c r="AJ58" i="61" s="1"/>
  <c r="AD44" i="65"/>
  <c r="AH52" i="63"/>
  <c r="AH38" i="63"/>
  <c r="AF5" i="62"/>
  <c r="AH6" i="61"/>
  <c r="AD18" i="65"/>
  <c r="AH6" i="66"/>
  <c r="AH6" i="63"/>
  <c r="AH22" i="63"/>
  <c r="AI5" i="60"/>
  <c r="AF5" i="59"/>
  <c r="AL26" i="63"/>
  <c r="AL24" i="63"/>
  <c r="AL25" i="63"/>
  <c r="AH21" i="65" s="1"/>
  <c r="AL23" i="63"/>
  <c r="AK55" i="63"/>
  <c r="AI32" i="59" s="1"/>
  <c r="AK27" i="63"/>
  <c r="AJ15" i="70"/>
  <c r="AJ11" i="70" s="1"/>
  <c r="AI19" i="61"/>
  <c r="AI29" i="61" s="1"/>
  <c r="AG9" i="59" s="1"/>
  <c r="AH9" i="71"/>
  <c r="AH13" i="71" s="1"/>
  <c r="AI7" i="71"/>
  <c r="AJ30" i="68"/>
  <c r="L10" i="66"/>
  <c r="L15" i="66" s="1"/>
  <c r="J15" i="59"/>
  <c r="V7" i="62"/>
  <c r="W9" i="66"/>
  <c r="J23" i="65"/>
  <c r="N31" i="61" s="1"/>
  <c r="K19" i="65"/>
  <c r="AI29" i="96" l="1"/>
  <c r="AI6" i="96"/>
  <c r="AG25" i="73"/>
  <c r="AG5" i="73"/>
  <c r="AF30" i="59"/>
  <c r="AF36" i="59" s="1"/>
  <c r="AI37" i="71"/>
  <c r="AI42" i="71" s="1"/>
  <c r="AI65" i="61" s="1"/>
  <c r="AI68" i="61" s="1"/>
  <c r="AI72" i="61" s="1"/>
  <c r="AH22" i="65"/>
  <c r="AH44" i="71"/>
  <c r="F62" i="66"/>
  <c r="F14" i="96"/>
  <c r="F7" i="96"/>
  <c r="AL23" i="72"/>
  <c r="AM23" i="72" s="1"/>
  <c r="AJ13" i="66"/>
  <c r="AH10" i="62" s="1"/>
  <c r="AJ26" i="72"/>
  <c r="AJ14" i="66" s="1"/>
  <c r="AK13" i="66"/>
  <c r="AI10" i="62" s="1"/>
  <c r="AK26" i="72"/>
  <c r="AK14" i="66" s="1"/>
  <c r="F50" i="66"/>
  <c r="AH20" i="65"/>
  <c r="AL20" i="61"/>
  <c r="AL24" i="69"/>
  <c r="AK23" i="68"/>
  <c r="AM10" i="69"/>
  <c r="AM23" i="69" s="1"/>
  <c r="F20" i="66"/>
  <c r="F21" i="66" s="1"/>
  <c r="AJ34" i="66"/>
  <c r="AI45" i="61"/>
  <c r="AG21" i="62"/>
  <c r="AI32" i="66"/>
  <c r="AG26" i="59"/>
  <c r="N33" i="61"/>
  <c r="L8" i="62"/>
  <c r="E6" i="59"/>
  <c r="U8" i="66"/>
  <c r="G49" i="61"/>
  <c r="G74" i="61" s="1"/>
  <c r="E22" i="62" s="1"/>
  <c r="E27" i="62" s="1"/>
  <c r="E28" i="59" s="1"/>
  <c r="E31" i="59" s="1"/>
  <c r="E33" i="59" s="1"/>
  <c r="E35" i="59" s="1"/>
  <c r="E37" i="59" s="1"/>
  <c r="G43" i="66" s="1"/>
  <c r="G44" i="66" s="1"/>
  <c r="AK31" i="70"/>
  <c r="AK58" i="61" s="1"/>
  <c r="AE44" i="65"/>
  <c r="AI52" i="63"/>
  <c r="AI38" i="63"/>
  <c r="AI6" i="61"/>
  <c r="AE18" i="65"/>
  <c r="AI6" i="66"/>
  <c r="AI6" i="63"/>
  <c r="AI22" i="63"/>
  <c r="AJ5" i="60"/>
  <c r="AG5" i="59"/>
  <c r="AG5" i="62"/>
  <c r="AJ26" i="71"/>
  <c r="AK24" i="71"/>
  <c r="AL27" i="63"/>
  <c r="AJ11" i="59" s="1"/>
  <c r="AL55" i="63"/>
  <c r="AJ32" i="59" s="1"/>
  <c r="AI11" i="59"/>
  <c r="AM55" i="63"/>
  <c r="AK32" i="59" s="1"/>
  <c r="AM25" i="63"/>
  <c r="AI21" i="65" s="1"/>
  <c r="AM26" i="63"/>
  <c r="AM24" i="63"/>
  <c r="AM23" i="63"/>
  <c r="AI9" i="71"/>
  <c r="AI13" i="71" s="1"/>
  <c r="AJ7" i="71"/>
  <c r="AK15" i="70"/>
  <c r="AK11" i="70" s="1"/>
  <c r="AJ19" i="61"/>
  <c r="AJ29" i="61" s="1"/>
  <c r="AH9" i="59" s="1"/>
  <c r="AK30" i="68"/>
  <c r="M10" i="66"/>
  <c r="M15" i="66" s="1"/>
  <c r="K15" i="59"/>
  <c r="W7" i="62"/>
  <c r="X9" i="66"/>
  <c r="U7" i="66"/>
  <c r="K23" i="65"/>
  <c r="O31" i="61" s="1"/>
  <c r="L19" i="65"/>
  <c r="AI44" i="71" l="1"/>
  <c r="AI22" i="65"/>
  <c r="AG30" i="59"/>
  <c r="AG36" i="59" s="1"/>
  <c r="AI33" i="66"/>
  <c r="AI41" i="66" s="1"/>
  <c r="AJ29" i="96"/>
  <c r="AJ6" i="96"/>
  <c r="AH25" i="73"/>
  <c r="AH5" i="73"/>
  <c r="AJ37" i="71"/>
  <c r="AJ42" i="71" s="1"/>
  <c r="AJ65" i="61" s="1"/>
  <c r="AJ68" i="61" s="1"/>
  <c r="AH30" i="59" s="1"/>
  <c r="AH36" i="59" s="1"/>
  <c r="G68" i="66"/>
  <c r="G37" i="96"/>
  <c r="G30" i="96"/>
  <c r="AJ28" i="72"/>
  <c r="AL24" i="72"/>
  <c r="AL13" i="66" s="1"/>
  <c r="AJ10" i="62" s="1"/>
  <c r="AK28" i="72"/>
  <c r="AM24" i="72"/>
  <c r="AN23" i="72"/>
  <c r="G56" i="66"/>
  <c r="AI20" i="65"/>
  <c r="AM20" i="61"/>
  <c r="AM24" i="69"/>
  <c r="AL23" i="68"/>
  <c r="AN10" i="69"/>
  <c r="E11" i="73"/>
  <c r="E8" i="73"/>
  <c r="E7" i="73"/>
  <c r="E10" i="73"/>
  <c r="E9" i="73"/>
  <c r="AK34" i="66"/>
  <c r="G8" i="60"/>
  <c r="AJ45" i="61"/>
  <c r="AH21" i="62"/>
  <c r="AH26" i="59"/>
  <c r="AJ32" i="66"/>
  <c r="AJ33" i="66"/>
  <c r="AJ41" i="66" s="1"/>
  <c r="F27" i="59"/>
  <c r="O33" i="61"/>
  <c r="M8" i="62"/>
  <c r="V8" i="66"/>
  <c r="AL24" i="71"/>
  <c r="AK26" i="71"/>
  <c r="AF44" i="65"/>
  <c r="AJ52" i="63"/>
  <c r="AJ38" i="63"/>
  <c r="AF18" i="65"/>
  <c r="AH5" i="62"/>
  <c r="AJ22" i="63"/>
  <c r="AJ6" i="63"/>
  <c r="AK5" i="60"/>
  <c r="AH5" i="59"/>
  <c r="AJ6" i="61"/>
  <c r="AJ6" i="66"/>
  <c r="AL31" i="70"/>
  <c r="AL58" i="61" s="1"/>
  <c r="AM27" i="63"/>
  <c r="AK11" i="59" s="1"/>
  <c r="AN24" i="63"/>
  <c r="AN26" i="63"/>
  <c r="AJ22" i="65" s="1"/>
  <c r="AN25" i="63"/>
  <c r="AJ21" i="65" s="1"/>
  <c r="AN23" i="63"/>
  <c r="AK19" i="61"/>
  <c r="AK29" i="61" s="1"/>
  <c r="AI9" i="59" s="1"/>
  <c r="AL15" i="70"/>
  <c r="AL11" i="70" s="1"/>
  <c r="AK7" i="71"/>
  <c r="AJ9" i="71"/>
  <c r="AJ13" i="71" s="1"/>
  <c r="AL30" i="68"/>
  <c r="N10" i="66"/>
  <c r="N15" i="66" s="1"/>
  <c r="L15" i="59"/>
  <c r="V7" i="66"/>
  <c r="X7" i="62"/>
  <c r="Y9" i="66"/>
  <c r="M19" i="65"/>
  <c r="L23" i="65"/>
  <c r="P31" i="61" s="1"/>
  <c r="AJ72" i="61" l="1"/>
  <c r="AJ20" i="65"/>
  <c r="AJ44" i="71"/>
  <c r="AK6" i="96"/>
  <c r="AK29" i="96"/>
  <c r="AI5" i="73"/>
  <c r="AI25" i="73"/>
  <c r="AL26" i="72"/>
  <c r="AL14" i="66" s="1"/>
  <c r="AK37" i="71"/>
  <c r="AK42" i="71" s="1"/>
  <c r="AK65" i="61" s="1"/>
  <c r="AK68" i="61" s="1"/>
  <c r="AK72" i="61" s="1"/>
  <c r="AO23" i="72"/>
  <c r="AN24" i="72"/>
  <c r="AM26" i="72"/>
  <c r="AM14" i="66" s="1"/>
  <c r="AM13" i="66"/>
  <c r="AK10" i="62" s="1"/>
  <c r="AO10" i="69"/>
  <c r="AO23" i="69" s="1"/>
  <c r="AM23" i="68"/>
  <c r="G9" i="61"/>
  <c r="G16" i="66" s="1"/>
  <c r="G8" i="61"/>
  <c r="G46" i="66"/>
  <c r="G47" i="66" s="1"/>
  <c r="AL34" i="66"/>
  <c r="E15" i="73"/>
  <c r="E14" i="73"/>
  <c r="AI30" i="59"/>
  <c r="AI36" i="59" s="1"/>
  <c r="AK33" i="66"/>
  <c r="AK41" i="66" s="1"/>
  <c r="AK45" i="61"/>
  <c r="AI26" i="59"/>
  <c r="AK32" i="66"/>
  <c r="AI21" i="62"/>
  <c r="P33" i="61"/>
  <c r="N8" i="62"/>
  <c r="W8" i="66"/>
  <c r="AM31" i="70"/>
  <c r="AM58" i="61" s="1"/>
  <c r="AG44" i="65"/>
  <c r="AK52" i="63"/>
  <c r="AK38" i="63"/>
  <c r="AI5" i="59"/>
  <c r="AK6" i="61"/>
  <c r="AG18" i="65"/>
  <c r="AI5" i="62"/>
  <c r="AK22" i="63"/>
  <c r="AK6" i="63"/>
  <c r="AL5" i="60"/>
  <c r="AK6" i="66"/>
  <c r="AL26" i="71"/>
  <c r="AM24" i="71"/>
  <c r="AN55" i="63"/>
  <c r="AL32" i="59" s="1"/>
  <c r="AO26" i="63"/>
  <c r="AK22" i="65" s="1"/>
  <c r="AO25" i="63"/>
  <c r="AK21" i="65" s="1"/>
  <c r="AO24" i="63"/>
  <c r="AK20" i="65" s="1"/>
  <c r="AO23" i="63"/>
  <c r="AN27" i="63"/>
  <c r="AL7" i="71"/>
  <c r="AK9" i="71"/>
  <c r="AK13" i="71" s="1"/>
  <c r="AL19" i="61"/>
  <c r="AL29" i="61" s="1"/>
  <c r="AJ9" i="59" s="1"/>
  <c r="AM15" i="70"/>
  <c r="AM11" i="70" s="1"/>
  <c r="AM30" i="68"/>
  <c r="O10" i="66"/>
  <c r="O15" i="66" s="1"/>
  <c r="M15" i="59"/>
  <c r="Z9" i="66"/>
  <c r="Y7" i="62"/>
  <c r="M23" i="65"/>
  <c r="Q31" i="61" s="1"/>
  <c r="N19" i="65"/>
  <c r="AL28" i="72" l="1"/>
  <c r="AL6" i="96"/>
  <c r="AL29" i="96"/>
  <c r="AJ5" i="73"/>
  <c r="AJ25" i="73"/>
  <c r="AK44" i="71"/>
  <c r="AL37" i="71"/>
  <c r="AL42" i="71" s="1"/>
  <c r="AL65" i="61" s="1"/>
  <c r="AL68" i="61" s="1"/>
  <c r="AL72" i="61" s="1"/>
  <c r="AM28" i="72"/>
  <c r="AN26" i="72"/>
  <c r="AN14" i="66" s="1"/>
  <c r="AN13" i="66"/>
  <c r="AL10" i="62" s="1"/>
  <c r="AO24" i="72"/>
  <c r="AP23" i="72"/>
  <c r="AN23" i="68"/>
  <c r="AP10" i="69"/>
  <c r="AP23" i="69" s="1"/>
  <c r="AO20" i="61"/>
  <c r="AO24" i="69"/>
  <c r="H9" i="60"/>
  <c r="H48" i="61" s="1"/>
  <c r="F30" i="73"/>
  <c r="F29" i="73"/>
  <c r="F27" i="73"/>
  <c r="F28" i="73"/>
  <c r="F31" i="73"/>
  <c r="AM34" i="66"/>
  <c r="G19" i="66"/>
  <c r="G10" i="61"/>
  <c r="G35" i="61" s="1"/>
  <c r="E6" i="62" s="1"/>
  <c r="E11" i="62" s="1"/>
  <c r="E7" i="59" s="1"/>
  <c r="E10" i="59" s="1"/>
  <c r="E12" i="59" s="1"/>
  <c r="E14" i="59" s="1"/>
  <c r="E16" i="59" s="1"/>
  <c r="AL45" i="61"/>
  <c r="AJ21" i="62"/>
  <c r="AJ26" i="59"/>
  <c r="AL32" i="66"/>
  <c r="Q33" i="61"/>
  <c r="O8" i="62"/>
  <c r="X8" i="66"/>
  <c r="AM26" i="71"/>
  <c r="AN24" i="71"/>
  <c r="AH44" i="65"/>
  <c r="AL52" i="63"/>
  <c r="AL38" i="63"/>
  <c r="AL6" i="61"/>
  <c r="AL6" i="66"/>
  <c r="AH18" i="65"/>
  <c r="AJ5" i="59"/>
  <c r="AJ5" i="62"/>
  <c r="AL6" i="63"/>
  <c r="AM5" i="60"/>
  <c r="AL22" i="63"/>
  <c r="AN31" i="70"/>
  <c r="AN58" i="61" s="1"/>
  <c r="AP25" i="63"/>
  <c r="AL21" i="65" s="1"/>
  <c r="AP26" i="63"/>
  <c r="AL22" i="65" s="1"/>
  <c r="AP24" i="63"/>
  <c r="AL20" i="65" s="1"/>
  <c r="AP23" i="63"/>
  <c r="AL11" i="59"/>
  <c r="AO55" i="63"/>
  <c r="AM32" i="59" s="1"/>
  <c r="AO27" i="63"/>
  <c r="AM11" i="59" s="1"/>
  <c r="AN15" i="70"/>
  <c r="AM19" i="61"/>
  <c r="AM29" i="61" s="1"/>
  <c r="AK9" i="59" s="1"/>
  <c r="AM7" i="71"/>
  <c r="AL9" i="71"/>
  <c r="AL13" i="71" s="1"/>
  <c r="AN30" i="68"/>
  <c r="P10" i="66"/>
  <c r="P15" i="66" s="1"/>
  <c r="N15" i="59"/>
  <c r="AA9" i="66"/>
  <c r="Z7" i="62"/>
  <c r="N23" i="65"/>
  <c r="R31" i="61" s="1"/>
  <c r="O19" i="65"/>
  <c r="AL44" i="71" l="1"/>
  <c r="AL33" i="66"/>
  <c r="AL41" i="66" s="1"/>
  <c r="AJ30" i="59"/>
  <c r="AJ36" i="59" s="1"/>
  <c r="AM6" i="96"/>
  <c r="AM29" i="96"/>
  <c r="AK5" i="73"/>
  <c r="AK25" i="73"/>
  <c r="AM37" i="71"/>
  <c r="AM42" i="71" s="1"/>
  <c r="AM65" i="61" s="1"/>
  <c r="AM68" i="61" s="1"/>
  <c r="AM33" i="66" s="1"/>
  <c r="AM41" i="66" s="1"/>
  <c r="AM44" i="71"/>
  <c r="AQ23" i="72"/>
  <c r="AP24" i="72"/>
  <c r="AN28" i="72"/>
  <c r="AO13" i="66"/>
  <c r="AM10" i="62" s="1"/>
  <c r="AO26" i="72"/>
  <c r="AO14" i="66" s="1"/>
  <c r="AP20" i="61"/>
  <c r="AP24" i="69"/>
  <c r="AQ10" i="69"/>
  <c r="AO23" i="68"/>
  <c r="H47" i="61"/>
  <c r="H42" i="66"/>
  <c r="F35" i="73"/>
  <c r="F34" i="73"/>
  <c r="AN34" i="66"/>
  <c r="F6" i="59"/>
  <c r="G17" i="66"/>
  <c r="AM45" i="61"/>
  <c r="AK26" i="59"/>
  <c r="AM32" i="66"/>
  <c r="AK21" i="62"/>
  <c r="R33" i="61"/>
  <c r="P8" i="62"/>
  <c r="Y8" i="66"/>
  <c r="AO31" i="70"/>
  <c r="AO58" i="61" s="1"/>
  <c r="AM52" i="63"/>
  <c r="AI44" i="65"/>
  <c r="AM38" i="63"/>
  <c r="AK5" i="59"/>
  <c r="AM6" i="66"/>
  <c r="AK5" i="62"/>
  <c r="AM22" i="63"/>
  <c r="AN5" i="60"/>
  <c r="AI18" i="65"/>
  <c r="AM6" i="63"/>
  <c r="AM6" i="61"/>
  <c r="AN26" i="71"/>
  <c r="AO24" i="71"/>
  <c r="AP55" i="63"/>
  <c r="AN32" i="59" s="1"/>
  <c r="AQ23" i="63"/>
  <c r="AQ26" i="63"/>
  <c r="AM22" i="65" s="1"/>
  <c r="AQ25" i="63"/>
  <c r="AM21" i="65" s="1"/>
  <c r="AQ24" i="63"/>
  <c r="AM20" i="65" s="1"/>
  <c r="AP27" i="63"/>
  <c r="AN11" i="59" s="1"/>
  <c r="AN7" i="71"/>
  <c r="AM9" i="71"/>
  <c r="AM13" i="71" s="1"/>
  <c r="AO15" i="70"/>
  <c r="AO11" i="70" s="1"/>
  <c r="AP30" i="68"/>
  <c r="AO30" i="68"/>
  <c r="Q10" i="66"/>
  <c r="Q15" i="66" s="1"/>
  <c r="O15" i="59"/>
  <c r="AA7" i="62"/>
  <c r="AB9" i="66"/>
  <c r="Y7" i="66"/>
  <c r="P19" i="65"/>
  <c r="O23" i="65"/>
  <c r="S31" i="61" s="1"/>
  <c r="AK30" i="59" l="1"/>
  <c r="AK36" i="59" s="1"/>
  <c r="AN6" i="96"/>
  <c r="AN29" i="96"/>
  <c r="AL5" i="73"/>
  <c r="AL25" i="73"/>
  <c r="AM72" i="61"/>
  <c r="AN37" i="71"/>
  <c r="AN42" i="71" s="1"/>
  <c r="AN65" i="61" s="1"/>
  <c r="AO28" i="72"/>
  <c r="AP26" i="72"/>
  <c r="AP14" i="66" s="1"/>
  <c r="AP13" i="66"/>
  <c r="AN10" i="62" s="1"/>
  <c r="AR23" i="72"/>
  <c r="AQ24" i="72"/>
  <c r="AP23" i="68"/>
  <c r="AS10" i="69" s="1"/>
  <c r="AR10" i="69"/>
  <c r="AR23" i="69" s="1"/>
  <c r="H45" i="66"/>
  <c r="H49" i="61"/>
  <c r="G18" i="66"/>
  <c r="AO34" i="66"/>
  <c r="AN45" i="61"/>
  <c r="AN32" i="66"/>
  <c r="AL26" i="59"/>
  <c r="AL21" i="62"/>
  <c r="Q8" i="62"/>
  <c r="Z8" i="66"/>
  <c r="AJ44" i="65"/>
  <c r="AN52" i="63"/>
  <c r="AN38" i="63"/>
  <c r="AO5" i="60"/>
  <c r="AN6" i="66"/>
  <c r="AN6" i="63"/>
  <c r="AN6" i="61"/>
  <c r="AL5" i="59"/>
  <c r="AJ18" i="65"/>
  <c r="AL5" i="62"/>
  <c r="AN22" i="63"/>
  <c r="AP24" i="71"/>
  <c r="AO26" i="71"/>
  <c r="AP31" i="70"/>
  <c r="AP58" i="61" s="1"/>
  <c r="AQ27" i="63"/>
  <c r="AO11" i="59" s="1"/>
  <c r="AR55" i="63"/>
  <c r="AP32" i="59" s="1"/>
  <c r="AR24" i="63"/>
  <c r="AN20" i="65" s="1"/>
  <c r="AR23" i="63"/>
  <c r="AR26" i="63"/>
  <c r="AN22" i="65" s="1"/>
  <c r="AR25" i="63"/>
  <c r="AN21" i="65" s="1"/>
  <c r="AQ55" i="63"/>
  <c r="AO32" i="59" s="1"/>
  <c r="AP15" i="70"/>
  <c r="AP11" i="70" s="1"/>
  <c r="AO19" i="61"/>
  <c r="AO29" i="61" s="1"/>
  <c r="AM9" i="59" s="1"/>
  <c r="AO7" i="71"/>
  <c r="AN9" i="71"/>
  <c r="AN13" i="71" s="1"/>
  <c r="R10" i="66"/>
  <c r="R15" i="66" s="1"/>
  <c r="P15" i="59"/>
  <c r="AB7" i="62"/>
  <c r="AC9" i="66"/>
  <c r="Q19" i="65"/>
  <c r="P23" i="65"/>
  <c r="T31" i="61" s="1"/>
  <c r="AO6" i="96" l="1"/>
  <c r="AO29" i="96"/>
  <c r="AM5" i="73"/>
  <c r="AM25" i="73"/>
  <c r="AN44" i="71"/>
  <c r="AO37" i="71"/>
  <c r="AO42" i="71" s="1"/>
  <c r="AO65" i="61" s="1"/>
  <c r="AO68" i="61" s="1"/>
  <c r="AO72" i="61" s="1"/>
  <c r="G62" i="66"/>
  <c r="G14" i="96"/>
  <c r="G7" i="96"/>
  <c r="AQ26" i="72"/>
  <c r="AQ14" i="66" s="1"/>
  <c r="AQ13" i="66"/>
  <c r="AO10" i="62" s="1"/>
  <c r="AS23" i="72"/>
  <c r="AS24" i="72" s="1"/>
  <c r="AR24" i="72"/>
  <c r="AP28" i="72"/>
  <c r="G20" i="66"/>
  <c r="G21" i="66" s="1"/>
  <c r="H8" i="60" s="1"/>
  <c r="G50" i="66"/>
  <c r="AR20" i="61"/>
  <c r="AR24" i="69"/>
  <c r="AP34" i="66"/>
  <c r="AO45" i="61"/>
  <c r="AM26" i="59"/>
  <c r="AO32" i="66"/>
  <c r="AM21" i="62"/>
  <c r="R8" i="62"/>
  <c r="AA8" i="66"/>
  <c r="AQ31" i="70"/>
  <c r="AQ58" i="61" s="1"/>
  <c r="AO52" i="63"/>
  <c r="AK44" i="65"/>
  <c r="AO38" i="63"/>
  <c r="AO6" i="66"/>
  <c r="AK18" i="65"/>
  <c r="AO22" i="63"/>
  <c r="AM5" i="62"/>
  <c r="AO6" i="61"/>
  <c r="AM5" i="59"/>
  <c r="AO6" i="63"/>
  <c r="AP5" i="60"/>
  <c r="AP26" i="71"/>
  <c r="AQ24" i="71"/>
  <c r="AR27" i="63"/>
  <c r="AP11" i="59" s="1"/>
  <c r="AS26" i="63"/>
  <c r="AS24" i="63"/>
  <c r="AS25" i="63"/>
  <c r="AS23" i="63"/>
  <c r="AT23" i="63" s="1"/>
  <c r="AP7" i="71"/>
  <c r="AO9" i="71"/>
  <c r="AO13" i="71" s="1"/>
  <c r="AP19" i="61"/>
  <c r="AP29" i="61" s="1"/>
  <c r="AN9" i="59" s="1"/>
  <c r="AQ15" i="70"/>
  <c r="S10" i="66"/>
  <c r="AA7" i="66"/>
  <c r="AD9" i="66"/>
  <c r="AC7" i="62"/>
  <c r="R19" i="65"/>
  <c r="Q23" i="65"/>
  <c r="U31" i="61" s="1"/>
  <c r="AO44" i="71" l="1"/>
  <c r="AM30" i="59"/>
  <c r="AM36" i="59" s="1"/>
  <c r="AP29" i="96"/>
  <c r="AP6" i="96"/>
  <c r="AN5" i="73"/>
  <c r="AN25" i="73"/>
  <c r="AO33" i="66"/>
  <c r="AO41" i="66" s="1"/>
  <c r="AP37" i="71"/>
  <c r="AP42" i="71" s="1"/>
  <c r="AP65" i="61" s="1"/>
  <c r="AP68" i="61" s="1"/>
  <c r="AP72" i="61" s="1"/>
  <c r="AR26" i="72"/>
  <c r="AR14" i="66" s="1"/>
  <c r="AR13" i="66"/>
  <c r="AP10" i="62" s="1"/>
  <c r="AS26" i="72"/>
  <c r="AS14" i="66" s="1"/>
  <c r="AS13" i="66"/>
  <c r="AQ10" i="62" s="1"/>
  <c r="AQ28" i="72"/>
  <c r="F8" i="73"/>
  <c r="F11" i="73"/>
  <c r="F7" i="73"/>
  <c r="F14" i="73" s="1"/>
  <c r="F9" i="73"/>
  <c r="F10" i="73"/>
  <c r="H8" i="61"/>
  <c r="H19" i="66" s="1"/>
  <c r="H9" i="61"/>
  <c r="H16" i="66" s="1"/>
  <c r="AQ34" i="66"/>
  <c r="AP45" i="61"/>
  <c r="AP32" i="66"/>
  <c r="AN26" i="59"/>
  <c r="AN21" i="62"/>
  <c r="U33" i="61"/>
  <c r="S8" i="62"/>
  <c r="AB8" i="66"/>
  <c r="AO22" i="65"/>
  <c r="AT26" i="63"/>
  <c r="AO21" i="65"/>
  <c r="AT25" i="63"/>
  <c r="AO20" i="65"/>
  <c r="AT24" i="63"/>
  <c r="AR24" i="71"/>
  <c r="AQ26" i="71"/>
  <c r="AP52" i="63"/>
  <c r="AL44" i="65"/>
  <c r="AP38" i="63"/>
  <c r="AL18" i="65"/>
  <c r="AN5" i="59"/>
  <c r="AP6" i="63"/>
  <c r="AQ5" i="60"/>
  <c r="AN5" i="62"/>
  <c r="AP6" i="66"/>
  <c r="AP6" i="61"/>
  <c r="AP22" i="63"/>
  <c r="AS31" i="70"/>
  <c r="AS58" i="61" s="1"/>
  <c r="AR31" i="70"/>
  <c r="AR58" i="61" s="1"/>
  <c r="AS27" i="63"/>
  <c r="AT27" i="63" s="1"/>
  <c r="AS55" i="63"/>
  <c r="AQ32" i="59" s="1"/>
  <c r="AR15" i="70"/>
  <c r="AR11" i="70" s="1"/>
  <c r="AP9" i="71"/>
  <c r="AP13" i="71" s="1"/>
  <c r="AQ7" i="71"/>
  <c r="T10" i="66"/>
  <c r="AD7" i="62"/>
  <c r="AE9" i="66"/>
  <c r="AB7" i="66"/>
  <c r="S19" i="65"/>
  <c r="R23" i="65"/>
  <c r="V31" i="61" s="1"/>
  <c r="AQ29" i="96" l="1"/>
  <c r="AQ6" i="96"/>
  <c r="AO5" i="73"/>
  <c r="AO25" i="73"/>
  <c r="AP33" i="66"/>
  <c r="AP41" i="66" s="1"/>
  <c r="AN30" i="59"/>
  <c r="AN36" i="59" s="1"/>
  <c r="AP44" i="71"/>
  <c r="AQ37" i="71"/>
  <c r="AQ42" i="71" s="1"/>
  <c r="AQ65" i="61" s="1"/>
  <c r="AS28" i="72"/>
  <c r="AR28" i="72"/>
  <c r="F15" i="73"/>
  <c r="H10" i="61"/>
  <c r="AS34" i="66"/>
  <c r="AR34" i="66"/>
  <c r="AQ45" i="61"/>
  <c r="AQ32" i="66"/>
  <c r="AO26" i="59"/>
  <c r="AO21" i="62"/>
  <c r="V33" i="61"/>
  <c r="T8" i="62"/>
  <c r="AC8" i="66"/>
  <c r="AQ11" i="59"/>
  <c r="AR26" i="71"/>
  <c r="AS24" i="71"/>
  <c r="AS26" i="71" s="1"/>
  <c r="AM44" i="65"/>
  <c r="AQ52" i="63"/>
  <c r="AQ38" i="63"/>
  <c r="AO5" i="59"/>
  <c r="AQ6" i="63"/>
  <c r="AM18" i="65"/>
  <c r="AQ6" i="61"/>
  <c r="AR5" i="60"/>
  <c r="AQ6" i="66"/>
  <c r="AO5" i="62"/>
  <c r="AQ22" i="63"/>
  <c r="AQ9" i="71"/>
  <c r="AQ13" i="71" s="1"/>
  <c r="AR7" i="71"/>
  <c r="AS15" i="70"/>
  <c r="AR19" i="61"/>
  <c r="AR29" i="61" s="1"/>
  <c r="AP9" i="59" s="1"/>
  <c r="U10" i="66"/>
  <c r="U15" i="66" s="1"/>
  <c r="S15" i="59"/>
  <c r="AC7" i="66"/>
  <c r="AF9" i="66"/>
  <c r="AE7" i="62"/>
  <c r="S23" i="65"/>
  <c r="W31" i="61" s="1"/>
  <c r="T19" i="65"/>
  <c r="AQ44" i="71" l="1"/>
  <c r="AR29" i="96"/>
  <c r="AR6" i="96"/>
  <c r="AP5" i="73"/>
  <c r="AP25" i="73"/>
  <c r="AS37" i="71"/>
  <c r="AS42" i="71" s="1"/>
  <c r="AS65" i="61" s="1"/>
  <c r="AR37" i="71"/>
  <c r="AR42" i="71" s="1"/>
  <c r="AR65" i="61" s="1"/>
  <c r="AR68" i="61" s="1"/>
  <c r="AR72" i="61" s="1"/>
  <c r="AR44" i="71"/>
  <c r="AU40" i="66"/>
  <c r="AR45" i="61"/>
  <c r="AP21" i="62"/>
  <c r="AP26" i="59"/>
  <c r="AR32" i="66"/>
  <c r="U8" i="62"/>
  <c r="AD8" i="66"/>
  <c r="AN44" i="65"/>
  <c r="AR52" i="63"/>
  <c r="AR38" i="63"/>
  <c r="AN18" i="65"/>
  <c r="AR22" i="63"/>
  <c r="AS5" i="60"/>
  <c r="AR6" i="61"/>
  <c r="AP5" i="59"/>
  <c r="AP5" i="62"/>
  <c r="AR6" i="66"/>
  <c r="AR6" i="63"/>
  <c r="AR9" i="71"/>
  <c r="AR13" i="71" s="1"/>
  <c r="AS7" i="71"/>
  <c r="AS9" i="71" s="1"/>
  <c r="AS13" i="71" s="1"/>
  <c r="V10" i="66"/>
  <c r="V15" i="66" s="1"/>
  <c r="T15" i="59"/>
  <c r="AD7" i="66"/>
  <c r="AF7" i="62"/>
  <c r="AG9" i="66"/>
  <c r="T23" i="65"/>
  <c r="X31" i="61" s="1"/>
  <c r="U19" i="65"/>
  <c r="AS29" i="96" l="1"/>
  <c r="AS6" i="96"/>
  <c r="AQ5" i="73"/>
  <c r="AQ25" i="73"/>
  <c r="AP30" i="59"/>
  <c r="AP36" i="59" s="1"/>
  <c r="AR33" i="66"/>
  <c r="AR41" i="66" s="1"/>
  <c r="AS44" i="71"/>
  <c r="AS45" i="61"/>
  <c r="AQ26" i="59"/>
  <c r="AQ21" i="62"/>
  <c r="AS32" i="66"/>
  <c r="V8" i="62"/>
  <c r="AE8" i="66"/>
  <c r="AO44" i="65"/>
  <c r="AS52" i="63"/>
  <c r="AS38" i="63"/>
  <c r="AO18" i="65"/>
  <c r="AS6" i="63"/>
  <c r="AQ5" i="62"/>
  <c r="AS6" i="66"/>
  <c r="AQ5" i="59"/>
  <c r="AS6" i="61"/>
  <c r="AS22" i="63"/>
  <c r="W10" i="66"/>
  <c r="AG7" i="62"/>
  <c r="AH9" i="66"/>
  <c r="U23" i="65"/>
  <c r="Y31" i="61" s="1"/>
  <c r="V19" i="65"/>
  <c r="Y33" i="61" l="1"/>
  <c r="W8" i="62"/>
  <c r="AF8" i="66"/>
  <c r="X10" i="66"/>
  <c r="AF7" i="66"/>
  <c r="AI9" i="66"/>
  <c r="AH7" i="62"/>
  <c r="V23" i="65"/>
  <c r="Z31" i="61" s="1"/>
  <c r="W19" i="65"/>
  <c r="AU14" i="66" l="1"/>
  <c r="AU13" i="66"/>
  <c r="X8" i="62"/>
  <c r="AG8" i="66"/>
  <c r="Y10" i="66"/>
  <c r="Y15" i="66" s="1"/>
  <c r="W15" i="59"/>
  <c r="AG7" i="66"/>
  <c r="AJ9" i="66"/>
  <c r="AI7" i="62"/>
  <c r="W23" i="65"/>
  <c r="AA31" i="61" s="1"/>
  <c r="X19" i="65"/>
  <c r="AA33" i="61" l="1"/>
  <c r="Y8" i="62"/>
  <c r="AH8" i="66"/>
  <c r="Z10" i="66"/>
  <c r="AJ7" i="62"/>
  <c r="AK9" i="66"/>
  <c r="AH7" i="66"/>
  <c r="X23" i="65"/>
  <c r="AB31" i="61" s="1"/>
  <c r="Y19" i="65"/>
  <c r="AB33" i="61" l="1"/>
  <c r="Z8" i="62"/>
  <c r="AI8" i="66"/>
  <c r="AA10" i="66"/>
  <c r="AA15" i="66" s="1"/>
  <c r="Y15" i="59"/>
  <c r="AI7" i="66"/>
  <c r="AK7" i="62"/>
  <c r="AL9" i="66"/>
  <c r="Y23" i="65"/>
  <c r="AC31" i="61" s="1"/>
  <c r="Z19" i="65"/>
  <c r="AC33" i="61" l="1"/>
  <c r="AA8" i="62"/>
  <c r="AJ8" i="66"/>
  <c r="AB10" i="66"/>
  <c r="AB15" i="66" s="1"/>
  <c r="Z15" i="59"/>
  <c r="AJ7" i="66"/>
  <c r="AM9" i="66"/>
  <c r="AL7" i="62"/>
  <c r="AA19" i="65"/>
  <c r="Z23" i="65"/>
  <c r="AD31" i="61" s="1"/>
  <c r="AD33" i="61" l="1"/>
  <c r="AB8" i="62"/>
  <c r="AK8" i="66"/>
  <c r="AC10" i="66"/>
  <c r="AC15" i="66" s="1"/>
  <c r="AA15" i="59"/>
  <c r="AN9" i="66"/>
  <c r="AM7" i="62"/>
  <c r="AK7" i="66"/>
  <c r="AB19" i="65"/>
  <c r="AA23" i="65"/>
  <c r="AE31" i="61" s="1"/>
  <c r="AC8" i="62" l="1"/>
  <c r="AL8" i="66"/>
  <c r="AD10" i="66"/>
  <c r="AD15" i="66" s="1"/>
  <c r="AB15" i="59"/>
  <c r="AL7" i="66"/>
  <c r="AO9" i="66"/>
  <c r="AN7" i="62"/>
  <c r="AC19" i="65"/>
  <c r="AB23" i="65"/>
  <c r="AF31" i="61" s="1"/>
  <c r="AF33" i="61" l="1"/>
  <c r="AD8" i="62"/>
  <c r="AM8" i="66"/>
  <c r="AE10" i="66"/>
  <c r="AP9" i="66"/>
  <c r="AO7" i="62"/>
  <c r="AM7" i="66"/>
  <c r="AD19" i="65"/>
  <c r="AC23" i="65"/>
  <c r="AG31" i="61" s="1"/>
  <c r="AG33" i="61" l="1"/>
  <c r="AE8" i="62"/>
  <c r="AN8" i="66"/>
  <c r="AF10" i="66"/>
  <c r="AF15" i="66" s="1"/>
  <c r="AD15" i="59"/>
  <c r="AP7" i="62"/>
  <c r="AQ9" i="66"/>
  <c r="AD23" i="65"/>
  <c r="AH31" i="61" s="1"/>
  <c r="AE19" i="65"/>
  <c r="AH33" i="61" l="1"/>
  <c r="AF8" i="62"/>
  <c r="AO8" i="66"/>
  <c r="AG10" i="66"/>
  <c r="AG15" i="66" s="1"/>
  <c r="AE15" i="59"/>
  <c r="AR9" i="66"/>
  <c r="AO7" i="66"/>
  <c r="AE23" i="65"/>
  <c r="AI31" i="61" s="1"/>
  <c r="AF19" i="65"/>
  <c r="AI33" i="61" l="1"/>
  <c r="AG8" i="62"/>
  <c r="AP8" i="66"/>
  <c r="AS9" i="66"/>
  <c r="AU9" i="66" s="1"/>
  <c r="AQ7" i="62"/>
  <c r="AH10" i="66"/>
  <c r="AH15" i="66" s="1"/>
  <c r="AF15" i="59"/>
  <c r="AP7" i="66"/>
  <c r="AF23" i="65"/>
  <c r="AJ31" i="61" s="1"/>
  <c r="AG19" i="65"/>
  <c r="AJ33" i="61" l="1"/>
  <c r="AH8" i="62"/>
  <c r="AQ8" i="66"/>
  <c r="AI10" i="66"/>
  <c r="AI15" i="66" s="1"/>
  <c r="AG15" i="59"/>
  <c r="AG23" i="65"/>
  <c r="AK31" i="61" s="1"/>
  <c r="AH19" i="65"/>
  <c r="AK33" i="61" l="1"/>
  <c r="AI8" i="62"/>
  <c r="AS8" i="66"/>
  <c r="AR8" i="66"/>
  <c r="AJ10" i="66"/>
  <c r="AJ15" i="66" s="1"/>
  <c r="AH15" i="59"/>
  <c r="AR7" i="66"/>
  <c r="AH23" i="65"/>
  <c r="AL31" i="61" s="1"/>
  <c r="AI19" i="65"/>
  <c r="AU8" i="66" l="1"/>
  <c r="AL33" i="61"/>
  <c r="AJ8" i="62"/>
  <c r="AK10" i="66"/>
  <c r="AK15" i="66" s="1"/>
  <c r="AI15" i="59"/>
  <c r="AI23" i="65"/>
  <c r="AM31" i="61" s="1"/>
  <c r="AJ19" i="65"/>
  <c r="AM33" i="61" l="1"/>
  <c r="AK8" i="62"/>
  <c r="AL10" i="66"/>
  <c r="AL15" i="66" s="1"/>
  <c r="AJ15" i="59"/>
  <c r="AJ23" i="65"/>
  <c r="AN31" i="61" s="1"/>
  <c r="AK19" i="65"/>
  <c r="AL8" i="62" l="1"/>
  <c r="AM10" i="66"/>
  <c r="AM15" i="66" s="1"/>
  <c r="AK15" i="59"/>
  <c r="AK23" i="65"/>
  <c r="AO31" i="61" s="1"/>
  <c r="AL19" i="65"/>
  <c r="AO33" i="61" l="1"/>
  <c r="AM8" i="62"/>
  <c r="AN10" i="66"/>
  <c r="AM19" i="65"/>
  <c r="AL23" i="65"/>
  <c r="AP31" i="61" s="1"/>
  <c r="AP33" i="61" l="1"/>
  <c r="AN8" i="62"/>
  <c r="AO10" i="66"/>
  <c r="AO15" i="66" s="1"/>
  <c r="AM15" i="59"/>
  <c r="AN19" i="65"/>
  <c r="AO19" i="65" s="1"/>
  <c r="AM23" i="65"/>
  <c r="AQ31" i="61" s="1"/>
  <c r="AO8" i="62" l="1"/>
  <c r="AP10" i="66"/>
  <c r="AP15" i="66" s="1"/>
  <c r="AN15" i="59"/>
  <c r="AO23" i="65"/>
  <c r="AS31" i="61" s="1"/>
  <c r="AN23" i="65"/>
  <c r="AR31" i="61" s="1"/>
  <c r="AR33" i="61" l="1"/>
  <c r="AP8" i="62"/>
  <c r="AQ8" i="62"/>
  <c r="AQ10" i="66"/>
  <c r="AS10" i="66" l="1"/>
  <c r="AR10" i="66"/>
  <c r="AR15" i="66" s="1"/>
  <c r="AP15" i="59"/>
  <c r="AU10" i="66" l="1"/>
  <c r="E55" i="68"/>
  <c r="AP54" i="68"/>
  <c r="AP55" i="68" s="1"/>
  <c r="AN54" i="68"/>
  <c r="AN55" i="68" s="1"/>
  <c r="AK54" i="68"/>
  <c r="AK55" i="68" s="1"/>
  <c r="AK57" i="68" s="1"/>
  <c r="AK58" i="68" s="1"/>
  <c r="AB54" i="68"/>
  <c r="AB55" i="68" s="1"/>
  <c r="W54" i="68"/>
  <c r="W55" i="68" s="1"/>
  <c r="U54" i="68"/>
  <c r="U55" i="68" s="1"/>
  <c r="T54" i="68"/>
  <c r="T55" i="68" s="1"/>
  <c r="Q54" i="68"/>
  <c r="Q55" i="68" s="1"/>
  <c r="P54" i="68"/>
  <c r="P55" i="68" s="1"/>
  <c r="H54" i="68"/>
  <c r="H55" i="68" s="1"/>
  <c r="G54" i="68"/>
  <c r="G55" i="68" s="1"/>
  <c r="F54" i="68"/>
  <c r="F55" i="68" s="1"/>
  <c r="AP57" i="68" l="1"/>
  <c r="AP58" i="68" s="1"/>
  <c r="AP56" i="68"/>
  <c r="AK56" i="68"/>
  <c r="H56" i="68"/>
  <c r="H57" i="68"/>
  <c r="H58" i="68" s="1"/>
  <c r="AN56" i="68"/>
  <c r="AN57" i="68"/>
  <c r="AN58" i="68" s="1"/>
  <c r="P56" i="68"/>
  <c r="P57" i="68"/>
  <c r="P58" i="68" s="1"/>
  <c r="F56" i="68"/>
  <c r="F57" i="68"/>
  <c r="F58" i="68" s="1"/>
  <c r="W56" i="68"/>
  <c r="W57" i="68"/>
  <c r="W58" i="68" s="1"/>
  <c r="AB56" i="68"/>
  <c r="AB57" i="68"/>
  <c r="AB58" i="68" s="1"/>
  <c r="Q56" i="68"/>
  <c r="Q57" i="68"/>
  <c r="Q58" i="68" s="1"/>
  <c r="T56" i="68"/>
  <c r="T57" i="68"/>
  <c r="T58" i="68" s="1"/>
  <c r="E56" i="68"/>
  <c r="E57" i="68"/>
  <c r="E58" i="68" s="1"/>
  <c r="G56" i="68"/>
  <c r="G57" i="68"/>
  <c r="G58" i="68" s="1"/>
  <c r="U56" i="68"/>
  <c r="U57" i="68"/>
  <c r="U58" i="68" s="1"/>
  <c r="E63" i="68" l="1"/>
  <c r="E64" i="68" s="1"/>
  <c r="E65" i="68" s="1"/>
  <c r="F63" i="68"/>
  <c r="F64" i="68" s="1"/>
  <c r="F65" i="68" s="1"/>
  <c r="AK63" i="68"/>
  <c r="AK64" i="68" s="1"/>
  <c r="AK65" i="68" s="1"/>
  <c r="AK67" i="68" s="1"/>
  <c r="AK68" i="68" s="1"/>
  <c r="AK72" i="68" s="1"/>
  <c r="AP63" i="68"/>
  <c r="AP64" i="68" s="1"/>
  <c r="AP65" i="68" s="1"/>
  <c r="T63" i="68"/>
  <c r="T64" i="68" s="1"/>
  <c r="T65" i="68" s="1"/>
  <c r="P63" i="68"/>
  <c r="P64" i="68" s="1"/>
  <c r="P65" i="68" s="1"/>
  <c r="AN63" i="68"/>
  <c r="AN64" i="68" s="1"/>
  <c r="AN65" i="68" s="1"/>
  <c r="U63" i="68"/>
  <c r="U64" i="68" s="1"/>
  <c r="U65" i="68" s="1"/>
  <c r="AB63" i="68"/>
  <c r="AB64" i="68" s="1"/>
  <c r="AB65" i="68" s="1"/>
  <c r="G63" i="68"/>
  <c r="G64" i="68" s="1"/>
  <c r="G65" i="68" s="1"/>
  <c r="W63" i="68"/>
  <c r="W64" i="68" s="1"/>
  <c r="W65" i="68" s="1"/>
  <c r="Q63" i="68"/>
  <c r="Q64" i="68" s="1"/>
  <c r="Q65" i="68" s="1"/>
  <c r="H63" i="68"/>
  <c r="H64" i="68" s="1"/>
  <c r="H65" i="68" s="1"/>
  <c r="AK66" i="68" l="1"/>
  <c r="AK71" i="68" s="1"/>
  <c r="AK73" i="68" s="1"/>
  <c r="AK78" i="68"/>
  <c r="AK80" i="68" s="1"/>
  <c r="AK81" i="68" s="1"/>
  <c r="AK77" i="68"/>
  <c r="AB66" i="68"/>
  <c r="AB71" i="68" s="1"/>
  <c r="AB67" i="68"/>
  <c r="AB68" i="68" s="1"/>
  <c r="AB72" i="68" s="1"/>
  <c r="U67" i="68"/>
  <c r="U68" i="68" s="1"/>
  <c r="U72" i="68" s="1"/>
  <c r="U66" i="68"/>
  <c r="U71" i="68" s="1"/>
  <c r="AN66" i="68"/>
  <c r="AN71" i="68" s="1"/>
  <c r="AN67" i="68"/>
  <c r="AN68" i="68" s="1"/>
  <c r="AN72" i="68" s="1"/>
  <c r="P66" i="68"/>
  <c r="P71" i="68" s="1"/>
  <c r="P67" i="68"/>
  <c r="P68" i="68" s="1"/>
  <c r="P72" i="68" s="1"/>
  <c r="T66" i="68"/>
  <c r="T71" i="68" s="1"/>
  <c r="T67" i="68"/>
  <c r="T68" i="68" s="1"/>
  <c r="T72" i="68" s="1"/>
  <c r="AP66" i="68"/>
  <c r="AP71" i="68" s="1"/>
  <c r="AP67" i="68"/>
  <c r="AP68" i="68" s="1"/>
  <c r="AP72" i="68" s="1"/>
  <c r="H66" i="68"/>
  <c r="H71" i="68" s="1"/>
  <c r="H67" i="68"/>
  <c r="H68" i="68" s="1"/>
  <c r="H72" i="68" s="1"/>
  <c r="F66" i="68"/>
  <c r="F71" i="68" s="1"/>
  <c r="F67" i="68"/>
  <c r="F68" i="68" s="1"/>
  <c r="F72" i="68" s="1"/>
  <c r="Q67" i="68"/>
  <c r="Q68" i="68" s="1"/>
  <c r="Q72" i="68" s="1"/>
  <c r="Q66" i="68"/>
  <c r="Q71" i="68" s="1"/>
  <c r="E66" i="68"/>
  <c r="E71" i="68" s="1"/>
  <c r="E67" i="68"/>
  <c r="E68" i="68" s="1"/>
  <c r="E72" i="68" s="1"/>
  <c r="E78" i="68" s="1"/>
  <c r="W67" i="68"/>
  <c r="W68" i="68" s="1"/>
  <c r="W72" i="68" s="1"/>
  <c r="W66" i="68"/>
  <c r="W71" i="68" s="1"/>
  <c r="G67" i="68"/>
  <c r="G68" i="68" s="1"/>
  <c r="G72" i="68" s="1"/>
  <c r="G66" i="68"/>
  <c r="G71" i="68" s="1"/>
  <c r="AK86" i="68" l="1"/>
  <c r="AK82" i="68"/>
  <c r="AK85" i="68"/>
  <c r="AK96" i="68" s="1"/>
  <c r="AK98" i="68" s="1"/>
  <c r="AN16" i="69" s="1"/>
  <c r="G73" i="68"/>
  <c r="U73" i="68"/>
  <c r="W73" i="68"/>
  <c r="F77" i="68"/>
  <c r="F78" i="68"/>
  <c r="F80" i="68" s="1"/>
  <c r="F81" i="68" s="1"/>
  <c r="F85" i="68" s="1"/>
  <c r="H77" i="68"/>
  <c r="H78" i="68"/>
  <c r="H80" i="68" s="1"/>
  <c r="H81" i="68" s="1"/>
  <c r="H85" i="68" s="1"/>
  <c r="G78" i="68"/>
  <c r="G80" i="68" s="1"/>
  <c r="G81" i="68" s="1"/>
  <c r="G85" i="68" s="1"/>
  <c r="G77" i="68"/>
  <c r="U78" i="68"/>
  <c r="U80" i="68" s="1"/>
  <c r="U81" i="68" s="1"/>
  <c r="U85" i="68" s="1"/>
  <c r="U77" i="68"/>
  <c r="AP78" i="68"/>
  <c r="AP80" i="68" s="1"/>
  <c r="AP81" i="68" s="1"/>
  <c r="AP85" i="68" s="1"/>
  <c r="AP77" i="68"/>
  <c r="AB77" i="68"/>
  <c r="AB78" i="68"/>
  <c r="AB80" i="68" s="1"/>
  <c r="AB81" i="68" s="1"/>
  <c r="AB85" i="68" s="1"/>
  <c r="W77" i="68"/>
  <c r="W78" i="68"/>
  <c r="W80" i="68" s="1"/>
  <c r="W81" i="68" s="1"/>
  <c r="W85" i="68" s="1"/>
  <c r="E77" i="68"/>
  <c r="E80" i="68"/>
  <c r="T77" i="68"/>
  <c r="T78" i="68"/>
  <c r="T80" i="68" s="1"/>
  <c r="T81" i="68" s="1"/>
  <c r="T85" i="68" s="1"/>
  <c r="Q73" i="68"/>
  <c r="P78" i="68"/>
  <c r="P80" i="68" s="1"/>
  <c r="P81" i="68" s="1"/>
  <c r="P85" i="68" s="1"/>
  <c r="P77" i="68"/>
  <c r="AN78" i="68"/>
  <c r="AN80" i="68" s="1"/>
  <c r="AN81" i="68" s="1"/>
  <c r="AN85" i="68" s="1"/>
  <c r="AN77" i="68"/>
  <c r="E73" i="68"/>
  <c r="T73" i="68"/>
  <c r="Q78" i="68"/>
  <c r="Q80" i="68" s="1"/>
  <c r="Q81" i="68" s="1"/>
  <c r="Q85" i="68" s="1"/>
  <c r="Q77" i="68"/>
  <c r="AN73" i="68"/>
  <c r="H73" i="68"/>
  <c r="AP73" i="68"/>
  <c r="AB73" i="68"/>
  <c r="P73" i="68"/>
  <c r="F73" i="68"/>
  <c r="E81" i="68" l="1"/>
  <c r="E85" i="68" s="1"/>
  <c r="AN17" i="69"/>
  <c r="AN23" i="69"/>
  <c r="AK92" i="68"/>
  <c r="AN13" i="70"/>
  <c r="W91" i="68"/>
  <c r="W96" i="68"/>
  <c r="W98" i="68" s="1"/>
  <c r="Z16" i="69" s="1"/>
  <c r="H91" i="68"/>
  <c r="H96" i="68"/>
  <c r="H98" i="68" s="1"/>
  <c r="K16" i="69" s="1"/>
  <c r="AN91" i="68"/>
  <c r="AN96" i="68"/>
  <c r="AN98" i="68" s="1"/>
  <c r="AQ16" i="69" s="1"/>
  <c r="AB91" i="68"/>
  <c r="AB96" i="68"/>
  <c r="AB98" i="68" s="1"/>
  <c r="AE16" i="69" s="1"/>
  <c r="F91" i="68"/>
  <c r="F96" i="68"/>
  <c r="F98" i="68" s="1"/>
  <c r="I16" i="69" s="1"/>
  <c r="P91" i="68"/>
  <c r="P96" i="68"/>
  <c r="P98" i="68" s="1"/>
  <c r="S16" i="69" s="1"/>
  <c r="AP91" i="68"/>
  <c r="AP96" i="68"/>
  <c r="AP98" i="68" s="1"/>
  <c r="AS16" i="69" s="1"/>
  <c r="T91" i="68"/>
  <c r="T96" i="68"/>
  <c r="T98" i="68" s="1"/>
  <c r="W16" i="69" s="1"/>
  <c r="U91" i="68"/>
  <c r="U96" i="68"/>
  <c r="U98" i="68" s="1"/>
  <c r="X16" i="69" s="1"/>
  <c r="Q91" i="68"/>
  <c r="Q96" i="68"/>
  <c r="Q98" i="68" s="1"/>
  <c r="T16" i="69" s="1"/>
  <c r="G91" i="68"/>
  <c r="G96" i="68"/>
  <c r="G98" i="68" s="1"/>
  <c r="J16" i="69" s="1"/>
  <c r="AK87" i="68"/>
  <c r="AK101" i="68" s="1"/>
  <c r="AK112" i="68" s="1"/>
  <c r="AK114" i="68" s="1"/>
  <c r="AN45" i="69" s="1"/>
  <c r="AK91" i="68"/>
  <c r="P86" i="68"/>
  <c r="P82" i="68"/>
  <c r="AB82" i="68"/>
  <c r="F82" i="68"/>
  <c r="AP86" i="68"/>
  <c r="AS13" i="70" s="1"/>
  <c r="AP82" i="68"/>
  <c r="U86" i="68"/>
  <c r="U82" i="68"/>
  <c r="Q86" i="68"/>
  <c r="T13" i="70" s="1"/>
  <c r="Q82" i="68"/>
  <c r="G86" i="68"/>
  <c r="G82" i="68"/>
  <c r="T82" i="68"/>
  <c r="AN82" i="68"/>
  <c r="W82" i="68"/>
  <c r="H82" i="68"/>
  <c r="AB86" i="68"/>
  <c r="F86" i="68"/>
  <c r="T86" i="68"/>
  <c r="AN86" i="68"/>
  <c r="W86" i="68"/>
  <c r="H86" i="68"/>
  <c r="E86" i="68" l="1"/>
  <c r="H13" i="70" s="1"/>
  <c r="H11" i="70" s="1"/>
  <c r="H19" i="61" s="1"/>
  <c r="E82" i="68"/>
  <c r="E91" i="68"/>
  <c r="E96" i="68"/>
  <c r="E98" i="68" s="1"/>
  <c r="H16" i="69" s="1"/>
  <c r="H23" i="69" s="1"/>
  <c r="T11" i="70"/>
  <c r="T19" i="61" s="1"/>
  <c r="AS11" i="70"/>
  <c r="AS19" i="61" s="1"/>
  <c r="AN11" i="70"/>
  <c r="AN19" i="61" s="1"/>
  <c r="AP92" i="68"/>
  <c r="AN24" i="69"/>
  <c r="AN20" i="61"/>
  <c r="S17" i="69"/>
  <c r="S23" i="69"/>
  <c r="AP87" i="68"/>
  <c r="AP101" i="68" s="1"/>
  <c r="AP112" i="68" s="1"/>
  <c r="AP114" i="68" s="1"/>
  <c r="AS45" i="69" s="1"/>
  <c r="AN87" i="68"/>
  <c r="AN101" i="68" s="1"/>
  <c r="AN112" i="68" s="1"/>
  <c r="AN114" i="68" s="1"/>
  <c r="AQ45" i="69" s="1"/>
  <c r="AQ13" i="70"/>
  <c r="Z17" i="69"/>
  <c r="Z23" i="69"/>
  <c r="T17" i="69"/>
  <c r="T23" i="69"/>
  <c r="P87" i="68"/>
  <c r="P101" i="68" s="1"/>
  <c r="P112" i="68" s="1"/>
  <c r="P114" i="68" s="1"/>
  <c r="S45" i="69" s="1"/>
  <c r="S13" i="70"/>
  <c r="AN46" i="69"/>
  <c r="AN52" i="69"/>
  <c r="I17" i="69"/>
  <c r="I23" i="69"/>
  <c r="H87" i="68"/>
  <c r="H101" i="68" s="1"/>
  <c r="H112" i="68" s="1"/>
  <c r="H114" i="68" s="1"/>
  <c r="K45" i="69" s="1"/>
  <c r="K13" i="70"/>
  <c r="W87" i="68"/>
  <c r="W93" i="68" s="1"/>
  <c r="Z13" i="70"/>
  <c r="X17" i="69"/>
  <c r="X23" i="69"/>
  <c r="AE17" i="69"/>
  <c r="AE23" i="69"/>
  <c r="G92" i="68"/>
  <c r="J13" i="70"/>
  <c r="T87" i="68"/>
  <c r="T101" i="68" s="1"/>
  <c r="T112" i="68" s="1"/>
  <c r="T114" i="68" s="1"/>
  <c r="W45" i="69" s="1"/>
  <c r="W13" i="70"/>
  <c r="W17" i="69"/>
  <c r="W23" i="69"/>
  <c r="AQ17" i="69"/>
  <c r="AQ23" i="69"/>
  <c r="F87" i="68"/>
  <c r="F101" i="68" s="1"/>
  <c r="F112" i="68" s="1"/>
  <c r="F114" i="68" s="1"/>
  <c r="I45" i="69" s="1"/>
  <c r="I13" i="70"/>
  <c r="AB87" i="68"/>
  <c r="AB94" i="68" s="1"/>
  <c r="AE13" i="70"/>
  <c r="J17" i="69"/>
  <c r="J23" i="69"/>
  <c r="AS17" i="69"/>
  <c r="AS23" i="69"/>
  <c r="K17" i="69"/>
  <c r="K23" i="69"/>
  <c r="U92" i="68"/>
  <c r="X13" i="70"/>
  <c r="AK94" i="68"/>
  <c r="AK93" i="68"/>
  <c r="G87" i="68"/>
  <c r="G89" i="68" s="1"/>
  <c r="AK89" i="68"/>
  <c r="AB92" i="68"/>
  <c r="P92" i="68"/>
  <c r="AK103" i="68"/>
  <c r="AK109" i="68" s="1"/>
  <c r="AK107" i="68"/>
  <c r="T92" i="68"/>
  <c r="U87" i="68"/>
  <c r="Q87" i="68"/>
  <c r="Q101" i="68" s="1"/>
  <c r="Q112" i="68" s="1"/>
  <c r="Q114" i="68" s="1"/>
  <c r="T45" i="69" s="1"/>
  <c r="Q92" i="68"/>
  <c r="F92" i="68"/>
  <c r="H92" i="68"/>
  <c r="W92" i="68"/>
  <c r="AN92" i="68"/>
  <c r="AP94" i="68" l="1"/>
  <c r="H17" i="69"/>
  <c r="AN89" i="68"/>
  <c r="E87" i="68"/>
  <c r="E89" i="68" s="1"/>
  <c r="AP107" i="68"/>
  <c r="E92" i="68"/>
  <c r="AP103" i="68"/>
  <c r="AP109" i="68" s="1"/>
  <c r="AN103" i="68"/>
  <c r="AN109" i="68" s="1"/>
  <c r="P103" i="68"/>
  <c r="P109" i="68" s="1"/>
  <c r="P107" i="68"/>
  <c r="AN93" i="68"/>
  <c r="AE11" i="70"/>
  <c r="AE19" i="61" s="1"/>
  <c r="J11" i="70"/>
  <c r="J19" i="61" s="1"/>
  <c r="AQ11" i="70"/>
  <c r="AQ19" i="61" s="1"/>
  <c r="I11" i="70"/>
  <c r="I19" i="61" s="1"/>
  <c r="AB93" i="68"/>
  <c r="S11" i="70"/>
  <c r="S19" i="61" s="1"/>
  <c r="AP93" i="68"/>
  <c r="AN94" i="68"/>
  <c r="P93" i="68"/>
  <c r="AB101" i="68"/>
  <c r="AB112" i="68" s="1"/>
  <c r="AB114" i="68" s="1"/>
  <c r="AE45" i="69" s="1"/>
  <c r="AE52" i="69" s="1"/>
  <c r="W11" i="70"/>
  <c r="W19" i="61" s="1"/>
  <c r="K11" i="70"/>
  <c r="K19" i="61" s="1"/>
  <c r="X11" i="70"/>
  <c r="X19" i="61" s="1"/>
  <c r="AB89" i="68"/>
  <c r="AP89" i="68"/>
  <c r="Z11" i="70"/>
  <c r="Z19" i="61" s="1"/>
  <c r="F89" i="68"/>
  <c r="P89" i="68"/>
  <c r="AN107" i="68"/>
  <c r="W24" i="69"/>
  <c r="W20" i="61"/>
  <c r="T24" i="69"/>
  <c r="T20" i="61"/>
  <c r="F103" i="68"/>
  <c r="F109" i="68" s="1"/>
  <c r="I24" i="69"/>
  <c r="I20" i="61"/>
  <c r="K24" i="69"/>
  <c r="K20" i="61"/>
  <c r="AQ24" i="69"/>
  <c r="AQ20" i="61"/>
  <c r="X24" i="69"/>
  <c r="X20" i="61"/>
  <c r="H24" i="69"/>
  <c r="H20" i="61"/>
  <c r="S24" i="69"/>
  <c r="S20" i="61"/>
  <c r="AS24" i="69"/>
  <c r="AS20" i="61"/>
  <c r="F94" i="68"/>
  <c r="J24" i="69"/>
  <c r="J20" i="61"/>
  <c r="Z24" i="69"/>
  <c r="Z20" i="61"/>
  <c r="F93" i="68"/>
  <c r="G94" i="68"/>
  <c r="AE24" i="69"/>
  <c r="AE20" i="61"/>
  <c r="W101" i="68"/>
  <c r="W112" i="68" s="1"/>
  <c r="W114" i="68" s="1"/>
  <c r="Z45" i="69" s="1"/>
  <c r="H94" i="68"/>
  <c r="AQ46" i="69"/>
  <c r="AQ52" i="69"/>
  <c r="K46" i="69"/>
  <c r="K52" i="69"/>
  <c r="T94" i="68"/>
  <c r="P94" i="68"/>
  <c r="F107" i="68"/>
  <c r="AN59" i="61"/>
  <c r="AN68" i="61" s="1"/>
  <c r="AN29" i="61"/>
  <c r="AN53" i="69"/>
  <c r="AS46" i="69"/>
  <c r="AS52" i="69"/>
  <c r="W46" i="69"/>
  <c r="W52" i="69"/>
  <c r="W89" i="68"/>
  <c r="T93" i="68"/>
  <c r="H93" i="68"/>
  <c r="T107" i="68"/>
  <c r="H103" i="68"/>
  <c r="H109" i="68" s="1"/>
  <c r="I46" i="69"/>
  <c r="I52" i="69"/>
  <c r="T89" i="68"/>
  <c r="H89" i="68"/>
  <c r="T103" i="68"/>
  <c r="T109" i="68" s="1"/>
  <c r="H107" i="68"/>
  <c r="W94" i="68"/>
  <c r="S46" i="69"/>
  <c r="S52" i="69"/>
  <c r="T46" i="69"/>
  <c r="T52" i="69"/>
  <c r="G101" i="68"/>
  <c r="G112" i="68" s="1"/>
  <c r="G114" i="68" s="1"/>
  <c r="J45" i="69" s="1"/>
  <c r="G93" i="68"/>
  <c r="U89" i="68"/>
  <c r="U101" i="68"/>
  <c r="U112" i="68" s="1"/>
  <c r="U114" i="68" s="1"/>
  <c r="X45" i="69" s="1"/>
  <c r="U93" i="68"/>
  <c r="U94" i="68"/>
  <c r="AK105" i="68"/>
  <c r="AK110" i="68"/>
  <c r="Q103" i="68"/>
  <c r="Q109" i="68" s="1"/>
  <c r="Q107" i="68"/>
  <c r="Q89" i="68"/>
  <c r="Q93" i="68"/>
  <c r="Q94" i="68"/>
  <c r="E93" i="68" l="1"/>
  <c r="AN110" i="68"/>
  <c r="AN105" i="68"/>
  <c r="E101" i="68"/>
  <c r="E112" i="68" s="1"/>
  <c r="E114" i="68" s="1"/>
  <c r="H45" i="69" s="1"/>
  <c r="H52" i="69" s="1"/>
  <c r="H105" i="68"/>
  <c r="AB103" i="68"/>
  <c r="AB109" i="68" s="1"/>
  <c r="AB107" i="68"/>
  <c r="AP110" i="68"/>
  <c r="E94" i="68"/>
  <c r="AP105" i="68"/>
  <c r="P110" i="68"/>
  <c r="AE46" i="69"/>
  <c r="P105" i="68"/>
  <c r="W107" i="68"/>
  <c r="H110" i="68"/>
  <c r="G107" i="68"/>
  <c r="F110" i="68"/>
  <c r="G103" i="68"/>
  <c r="G105" i="68" s="1"/>
  <c r="F105" i="68"/>
  <c r="W103" i="68"/>
  <c r="W109" i="68" s="1"/>
  <c r="T110" i="68"/>
  <c r="T105" i="68"/>
  <c r="W59" i="61"/>
  <c r="W68" i="61" s="1"/>
  <c r="W29" i="61"/>
  <c r="W53" i="69"/>
  <c r="K29" i="61"/>
  <c r="K59" i="61"/>
  <c r="K68" i="61" s="1"/>
  <c r="K53" i="69"/>
  <c r="X46" i="69"/>
  <c r="X52" i="69"/>
  <c r="T59" i="61"/>
  <c r="T68" i="61" s="1"/>
  <c r="T29" i="61"/>
  <c r="T53" i="69"/>
  <c r="AS29" i="61"/>
  <c r="AS59" i="61"/>
  <c r="AS68" i="61" s="1"/>
  <c r="AS53" i="69"/>
  <c r="AQ29" i="61"/>
  <c r="AQ59" i="61"/>
  <c r="AQ68" i="61" s="1"/>
  <c r="AQ53" i="69"/>
  <c r="AE59" i="61"/>
  <c r="AE68" i="61" s="1"/>
  <c r="AE29" i="61"/>
  <c r="AE53" i="69"/>
  <c r="AL30" i="59"/>
  <c r="AL36" i="59" s="1"/>
  <c r="AN72" i="61"/>
  <c r="AN33" i="66"/>
  <c r="AN41" i="66" s="1"/>
  <c r="I59" i="61"/>
  <c r="I68" i="61" s="1"/>
  <c r="I29" i="61"/>
  <c r="I53" i="69"/>
  <c r="J46" i="69"/>
  <c r="J52" i="69"/>
  <c r="S59" i="61"/>
  <c r="S68" i="61" s="1"/>
  <c r="S29" i="61"/>
  <c r="S53" i="69"/>
  <c r="AL9" i="59"/>
  <c r="AL15" i="59" s="1"/>
  <c r="AN7" i="66"/>
  <c r="AN15" i="66" s="1"/>
  <c r="AN33" i="61"/>
  <c r="Z46" i="69"/>
  <c r="Z52" i="69"/>
  <c r="U103" i="68"/>
  <c r="U107" i="68"/>
  <c r="Q105" i="68"/>
  <c r="Q110" i="68"/>
  <c r="E107" i="68" l="1"/>
  <c r="H46" i="69"/>
  <c r="E103" i="68"/>
  <c r="E109" i="68" s="1"/>
  <c r="AB105" i="68"/>
  <c r="G110" i="68"/>
  <c r="AB110" i="68"/>
  <c r="G109" i="68"/>
  <c r="W110" i="68"/>
  <c r="W105" i="68"/>
  <c r="R9" i="59"/>
  <c r="R15" i="59" s="1"/>
  <c r="T7" i="66"/>
  <c r="T15" i="66" s="1"/>
  <c r="T33" i="61"/>
  <c r="Z29" i="61"/>
  <c r="Z59" i="61"/>
  <c r="Z68" i="61" s="1"/>
  <c r="Z53" i="69"/>
  <c r="J59" i="61"/>
  <c r="J68" i="61" s="1"/>
  <c r="J29" i="61"/>
  <c r="J53" i="69"/>
  <c r="X29" i="61"/>
  <c r="X59" i="61"/>
  <c r="X68" i="61" s="1"/>
  <c r="X53" i="69"/>
  <c r="AQ72" i="61"/>
  <c r="AQ33" i="66"/>
  <c r="AQ41" i="66" s="1"/>
  <c r="AO30" i="59"/>
  <c r="AO36" i="59" s="1"/>
  <c r="G9" i="59"/>
  <c r="G15" i="59" s="1"/>
  <c r="I7" i="66"/>
  <c r="I15" i="66" s="1"/>
  <c r="I33" i="61"/>
  <c r="AO9" i="59"/>
  <c r="AO15" i="59" s="1"/>
  <c r="AQ7" i="66"/>
  <c r="AQ15" i="66" s="1"/>
  <c r="AQ33" i="61"/>
  <c r="K72" i="61"/>
  <c r="K33" i="66"/>
  <c r="K41" i="66" s="1"/>
  <c r="I30" i="59"/>
  <c r="I36" i="59" s="1"/>
  <c r="H59" i="61"/>
  <c r="H29" i="61"/>
  <c r="H53" i="69"/>
  <c r="AS72" i="61"/>
  <c r="AQ30" i="59"/>
  <c r="AQ36" i="59" s="1"/>
  <c r="AS33" i="66"/>
  <c r="AS41" i="66" s="1"/>
  <c r="Q9" i="59"/>
  <c r="Q15" i="59" s="1"/>
  <c r="S7" i="66"/>
  <c r="S15" i="66" s="1"/>
  <c r="S33" i="61"/>
  <c r="S72" i="61"/>
  <c r="S33" i="66"/>
  <c r="S41" i="66" s="1"/>
  <c r="Q30" i="59"/>
  <c r="Q36" i="59" s="1"/>
  <c r="AC9" i="59"/>
  <c r="AC15" i="59" s="1"/>
  <c r="AE7" i="66"/>
  <c r="AE15" i="66" s="1"/>
  <c r="AE33" i="61"/>
  <c r="T33" i="66"/>
  <c r="T41" i="66" s="1"/>
  <c r="T72" i="61"/>
  <c r="R30" i="59"/>
  <c r="R36" i="59" s="1"/>
  <c r="AE72" i="61"/>
  <c r="AC30" i="59"/>
  <c r="AC36" i="59" s="1"/>
  <c r="AE33" i="66"/>
  <c r="AE41" i="66" s="1"/>
  <c r="I72" i="61"/>
  <c r="I33" i="66"/>
  <c r="I41" i="66" s="1"/>
  <c r="G30" i="59"/>
  <c r="G36" i="59" s="1"/>
  <c r="I9" i="59"/>
  <c r="I15" i="59" s="1"/>
  <c r="K7" i="66"/>
  <c r="K15" i="66" s="1"/>
  <c r="K33" i="61"/>
  <c r="AQ9" i="59"/>
  <c r="AQ15" i="59" s="1"/>
  <c r="AS7" i="66"/>
  <c r="AS15" i="66" s="1"/>
  <c r="AS33" i="61"/>
  <c r="U9" i="59"/>
  <c r="U15" i="59" s="1"/>
  <c r="W7" i="66"/>
  <c r="W15" i="66" s="1"/>
  <c r="W33" i="61"/>
  <c r="W33" i="66"/>
  <c r="W41" i="66" s="1"/>
  <c r="W72" i="61"/>
  <c r="U30" i="59"/>
  <c r="U36" i="59" s="1"/>
  <c r="U105" i="68"/>
  <c r="U110" i="68"/>
  <c r="U109" i="68"/>
  <c r="E110" i="68" l="1"/>
  <c r="E105" i="68"/>
  <c r="H68" i="61"/>
  <c r="H72" i="61" s="1"/>
  <c r="H74" i="61" s="1"/>
  <c r="F22" i="62" s="1"/>
  <c r="F27" i="62" s="1"/>
  <c r="F28" i="59" s="1"/>
  <c r="J33" i="66"/>
  <c r="J41" i="66" s="1"/>
  <c r="H30" i="59"/>
  <c r="H36" i="59" s="1"/>
  <c r="J72" i="61"/>
  <c r="H9" i="59"/>
  <c r="H15" i="59" s="1"/>
  <c r="J7" i="66"/>
  <c r="J15" i="66" s="1"/>
  <c r="J33" i="61"/>
  <c r="F9" i="59"/>
  <c r="F15" i="59" s="1"/>
  <c r="H7" i="66"/>
  <c r="H15" i="66" s="1"/>
  <c r="H33" i="61"/>
  <c r="H35" i="61" s="1"/>
  <c r="F6" i="62" s="1"/>
  <c r="F11" i="62" s="1"/>
  <c r="F7" i="59" s="1"/>
  <c r="X9" i="59"/>
  <c r="X15" i="59" s="1"/>
  <c r="Z7" i="66"/>
  <c r="Z15" i="66" s="1"/>
  <c r="Z33" i="61"/>
  <c r="V9" i="59"/>
  <c r="V15" i="59" s="1"/>
  <c r="X7" i="66"/>
  <c r="X15" i="66" s="1"/>
  <c r="X33" i="61"/>
  <c r="Z72" i="61"/>
  <c r="Z33" i="66"/>
  <c r="Z41" i="66" s="1"/>
  <c r="X30" i="59"/>
  <c r="X36" i="59" s="1"/>
  <c r="X33" i="66"/>
  <c r="X41" i="66" s="1"/>
  <c r="X72" i="61"/>
  <c r="V30" i="59"/>
  <c r="V36" i="59" s="1"/>
  <c r="H33" i="66" l="1"/>
  <c r="H41" i="66" s="1"/>
  <c r="AU47" i="66" s="1"/>
  <c r="F30" i="59"/>
  <c r="F36" i="59" s="1"/>
  <c r="AU15" i="66"/>
  <c r="AU7" i="66"/>
  <c r="F10" i="59"/>
  <c r="F12" i="59" s="1"/>
  <c r="F14" i="59" s="1"/>
  <c r="F16" i="59" s="1"/>
  <c r="H17" i="66" s="1"/>
  <c r="F31" i="59" l="1"/>
  <c r="F33" i="59" s="1"/>
  <c r="F35" i="59" s="1"/>
  <c r="F37" i="59" s="1"/>
  <c r="H43" i="66" s="1"/>
  <c r="H44" i="66" s="1"/>
  <c r="AU39" i="66"/>
  <c r="H18" i="66"/>
  <c r="G6" i="59"/>
  <c r="H68" i="66" l="1"/>
  <c r="H37" i="96"/>
  <c r="H30" i="96"/>
  <c r="H62" i="66"/>
  <c r="H14" i="96"/>
  <c r="H7" i="96"/>
  <c r="G27" i="59"/>
  <c r="H46" i="66"/>
  <c r="H47" i="66" s="1"/>
  <c r="G29" i="73" s="1"/>
  <c r="H56" i="66"/>
  <c r="H20" i="66"/>
  <c r="H21" i="66" s="1"/>
  <c r="I8" i="60" s="1"/>
  <c r="H50" i="66"/>
  <c r="G8" i="73" l="1"/>
  <c r="G31" i="73"/>
  <c r="G7" i="73"/>
  <c r="G14" i="73" s="1"/>
  <c r="G10" i="73"/>
  <c r="G11" i="73"/>
  <c r="G30" i="73"/>
  <c r="G9" i="73"/>
  <c r="G28" i="73"/>
  <c r="I9" i="60"/>
  <c r="I48" i="61" s="1"/>
  <c r="I42" i="66" s="1"/>
  <c r="G27" i="73"/>
  <c r="G34" i="73" s="1"/>
  <c r="I9" i="61"/>
  <c r="I16" i="66" s="1"/>
  <c r="I8" i="61"/>
  <c r="I19" i="66" s="1"/>
  <c r="G15" i="73" l="1"/>
  <c r="G35" i="73"/>
  <c r="I47" i="61"/>
  <c r="I49" i="61" s="1"/>
  <c r="I74" i="61" s="1"/>
  <c r="G22" i="62" s="1"/>
  <c r="G27" i="62" s="1"/>
  <c r="G28" i="59" s="1"/>
  <c r="G31" i="59" s="1"/>
  <c r="G33" i="59" s="1"/>
  <c r="G35" i="59" s="1"/>
  <c r="G37" i="59" s="1"/>
  <c r="H27" i="59" s="1"/>
  <c r="I10" i="61"/>
  <c r="I35" i="61" s="1"/>
  <c r="G6" i="62" s="1"/>
  <c r="G11" i="62" s="1"/>
  <c r="G7" i="59" s="1"/>
  <c r="G10" i="59" s="1"/>
  <c r="G12" i="59" s="1"/>
  <c r="G14" i="59" s="1"/>
  <c r="G16" i="59" s="1"/>
  <c r="H6" i="59" s="1"/>
  <c r="I45" i="66" l="1"/>
  <c r="I43" i="66"/>
  <c r="I44" i="66" s="1"/>
  <c r="I17" i="66"/>
  <c r="I18" i="66" s="1"/>
  <c r="I68" i="66" l="1"/>
  <c r="I37" i="96"/>
  <c r="I30" i="96"/>
  <c r="I62" i="66"/>
  <c r="I14" i="96"/>
  <c r="I7" i="96"/>
  <c r="I56" i="66"/>
  <c r="I46" i="66"/>
  <c r="I47" i="66" s="1"/>
  <c r="J9" i="60" s="1"/>
  <c r="J48" i="61" s="1"/>
  <c r="I20" i="66"/>
  <c r="I21" i="66" s="1"/>
  <c r="J8" i="60" s="1"/>
  <c r="I50" i="66"/>
  <c r="H11" i="73" l="1"/>
  <c r="H8" i="73"/>
  <c r="H10" i="73"/>
  <c r="H9" i="73"/>
  <c r="H7" i="73"/>
  <c r="H14" i="73" s="1"/>
  <c r="H31" i="73"/>
  <c r="J47" i="61"/>
  <c r="J8" i="61"/>
  <c r="J9" i="61"/>
  <c r="J16" i="66" s="1"/>
  <c r="H30" i="73"/>
  <c r="H27" i="73"/>
  <c r="H28" i="73"/>
  <c r="H29" i="73"/>
  <c r="J42" i="66"/>
  <c r="H15" i="73" l="1"/>
  <c r="J45" i="66"/>
  <c r="J49" i="61"/>
  <c r="J74" i="61" s="1"/>
  <c r="H22" i="62" s="1"/>
  <c r="H27" i="62" s="1"/>
  <c r="H28" i="59" s="1"/>
  <c r="H31" i="59" s="1"/>
  <c r="H33" i="59" s="1"/>
  <c r="H35" i="59" s="1"/>
  <c r="H37" i="59" s="1"/>
  <c r="H35" i="73"/>
  <c r="H34" i="73"/>
  <c r="J19" i="66"/>
  <c r="J10" i="61"/>
  <c r="J35" i="61" s="1"/>
  <c r="H6" i="62" s="1"/>
  <c r="H11" i="62" s="1"/>
  <c r="H7" i="59" s="1"/>
  <c r="H10" i="59" s="1"/>
  <c r="H12" i="59" s="1"/>
  <c r="H14" i="59" s="1"/>
  <c r="H16" i="59" s="1"/>
  <c r="I27" i="59" l="1"/>
  <c r="J43" i="66"/>
  <c r="J44" i="66" s="1"/>
  <c r="J17" i="66"/>
  <c r="J18" i="66" s="1"/>
  <c r="I6" i="59"/>
  <c r="J68" i="66" l="1"/>
  <c r="J37" i="96"/>
  <c r="J30" i="96"/>
  <c r="J62" i="66"/>
  <c r="J14" i="96"/>
  <c r="J7" i="96"/>
  <c r="J20" i="66"/>
  <c r="J21" i="66" s="1"/>
  <c r="I9" i="73" s="1"/>
  <c r="J50" i="66"/>
  <c r="J46" i="66"/>
  <c r="J47" i="66" s="1"/>
  <c r="I28" i="73" s="1"/>
  <c r="J56" i="66"/>
  <c r="I7" i="73" l="1"/>
  <c r="I14" i="73" s="1"/>
  <c r="K8" i="60"/>
  <c r="K8" i="61" s="1"/>
  <c r="I30" i="73"/>
  <c r="I10" i="73"/>
  <c r="I8" i="73"/>
  <c r="I11" i="73"/>
  <c r="I29" i="73"/>
  <c r="I31" i="73"/>
  <c r="I27" i="73"/>
  <c r="I34" i="73" s="1"/>
  <c r="K9" i="60"/>
  <c r="K48" i="61" s="1"/>
  <c r="K42" i="66" s="1"/>
  <c r="I15" i="73" l="1"/>
  <c r="K9" i="61"/>
  <c r="K10" i="61" s="1"/>
  <c r="K35" i="61" s="1"/>
  <c r="I6" i="62" s="1"/>
  <c r="I11" i="62" s="1"/>
  <c r="I7" i="59" s="1"/>
  <c r="I10" i="59" s="1"/>
  <c r="I12" i="59" s="1"/>
  <c r="I14" i="59" s="1"/>
  <c r="I16" i="59" s="1"/>
  <c r="I35" i="73"/>
  <c r="K47" i="61"/>
  <c r="K49" i="61" s="1"/>
  <c r="K74" i="61" s="1"/>
  <c r="I22" i="62" s="1"/>
  <c r="I27" i="62" s="1"/>
  <c r="I28" i="59" s="1"/>
  <c r="I31" i="59" s="1"/>
  <c r="I33" i="59" s="1"/>
  <c r="I35" i="59" s="1"/>
  <c r="I37" i="59" s="1"/>
  <c r="K43" i="66" s="1"/>
  <c r="K44" i="66" s="1"/>
  <c r="K19" i="66"/>
  <c r="K37" i="96" l="1"/>
  <c r="K30" i="96"/>
  <c r="K16" i="66"/>
  <c r="K56" i="66"/>
  <c r="K68" i="66"/>
  <c r="J27" i="59"/>
  <c r="K45" i="66"/>
  <c r="K46" i="66" s="1"/>
  <c r="K47" i="66" s="1"/>
  <c r="L9" i="60" s="1"/>
  <c r="L48" i="61" s="1"/>
  <c r="J6" i="59"/>
  <c r="K17" i="66"/>
  <c r="K18" i="66" l="1"/>
  <c r="J28" i="73"/>
  <c r="J29" i="73"/>
  <c r="J27" i="73"/>
  <c r="J30" i="73"/>
  <c r="J31" i="73"/>
  <c r="L42" i="66"/>
  <c r="L47" i="61"/>
  <c r="K62" i="66" l="1"/>
  <c r="K14" i="96"/>
  <c r="K7" i="96"/>
  <c r="K50" i="66"/>
  <c r="K20" i="66"/>
  <c r="K21" i="66" s="1"/>
  <c r="J9" i="73" s="1"/>
  <c r="J35" i="73"/>
  <c r="J34" i="73"/>
  <c r="L45" i="66"/>
  <c r="L49" i="61"/>
  <c r="L74" i="61" s="1"/>
  <c r="J22" i="62" s="1"/>
  <c r="J27" i="62" s="1"/>
  <c r="J28" i="59" s="1"/>
  <c r="J31" i="59" s="1"/>
  <c r="J33" i="59" s="1"/>
  <c r="J35" i="59" s="1"/>
  <c r="J37" i="59" s="1"/>
  <c r="L43" i="66" s="1"/>
  <c r="J11" i="73" l="1"/>
  <c r="J7" i="73"/>
  <c r="J14" i="73" s="1"/>
  <c r="L8" i="60"/>
  <c r="L8" i="61" s="1"/>
  <c r="L19" i="66" s="1"/>
  <c r="J10" i="73"/>
  <c r="J8" i="73"/>
  <c r="K27" i="59"/>
  <c r="L44" i="66"/>
  <c r="L68" i="66" l="1"/>
  <c r="L37" i="96"/>
  <c r="L30" i="96"/>
  <c r="J15" i="73"/>
  <c r="L9" i="61"/>
  <c r="L46" i="66"/>
  <c r="L47" i="66" s="1"/>
  <c r="K31" i="73" s="1"/>
  <c r="L56" i="66"/>
  <c r="L10" i="61" l="1"/>
  <c r="L35" i="61" s="1"/>
  <c r="J6" i="62" s="1"/>
  <c r="J11" i="62" s="1"/>
  <c r="J7" i="59" s="1"/>
  <c r="J10" i="59" s="1"/>
  <c r="J12" i="59" s="1"/>
  <c r="J14" i="59" s="1"/>
  <c r="J16" i="59" s="1"/>
  <c r="L16" i="66"/>
  <c r="M9" i="60"/>
  <c r="M48" i="61" s="1"/>
  <c r="M42" i="66" s="1"/>
  <c r="K27" i="73"/>
  <c r="K30" i="73"/>
  <c r="K29" i="73"/>
  <c r="K28" i="73"/>
  <c r="L17" i="66" l="1"/>
  <c r="L18" i="66" s="1"/>
  <c r="K6" i="59"/>
  <c r="K35" i="73"/>
  <c r="K34" i="73"/>
  <c r="M47" i="61"/>
  <c r="M45" i="66" s="1"/>
  <c r="L14" i="96" l="1"/>
  <c r="L7" i="96"/>
  <c r="L62" i="66"/>
  <c r="L50" i="66"/>
  <c r="L20" i="66"/>
  <c r="L21" i="66" s="1"/>
  <c r="M49" i="61"/>
  <c r="M74" i="61" s="1"/>
  <c r="K22" i="62" s="1"/>
  <c r="K27" i="62" s="1"/>
  <c r="K28" i="59" s="1"/>
  <c r="K31" i="59" s="1"/>
  <c r="K33" i="59" s="1"/>
  <c r="K35" i="59" s="1"/>
  <c r="K37" i="59" s="1"/>
  <c r="M43" i="66" s="1"/>
  <c r="M44" i="66" s="1"/>
  <c r="M68" i="66" l="1"/>
  <c r="M37" i="96"/>
  <c r="M30" i="96"/>
  <c r="K8" i="73"/>
  <c r="K9" i="73"/>
  <c r="K11" i="73"/>
  <c r="K7" i="73"/>
  <c r="K10" i="73"/>
  <c r="M8" i="60"/>
  <c r="L27" i="59"/>
  <c r="M46" i="66"/>
  <c r="M47" i="66" s="1"/>
  <c r="L30" i="73" s="1"/>
  <c r="M56" i="66"/>
  <c r="M8" i="61" l="1"/>
  <c r="M9" i="61"/>
  <c r="M16" i="66" s="1"/>
  <c r="K15" i="73"/>
  <c r="K14" i="73"/>
  <c r="N9" i="60"/>
  <c r="N48" i="61" s="1"/>
  <c r="N42" i="66" s="1"/>
  <c r="L27" i="73"/>
  <c r="L34" i="73" s="1"/>
  <c r="L31" i="73"/>
  <c r="L29" i="73"/>
  <c r="L28" i="73"/>
  <c r="M19" i="66" l="1"/>
  <c r="M10" i="61"/>
  <c r="M35" i="61" s="1"/>
  <c r="K6" i="62" s="1"/>
  <c r="K11" i="62" s="1"/>
  <c r="K7" i="59" s="1"/>
  <c r="K10" i="59" s="1"/>
  <c r="K12" i="59" s="1"/>
  <c r="K14" i="59" s="1"/>
  <c r="K16" i="59" s="1"/>
  <c r="N47" i="61"/>
  <c r="N49" i="61" s="1"/>
  <c r="N74" i="61" s="1"/>
  <c r="L22" i="62" s="1"/>
  <c r="L27" i="62" s="1"/>
  <c r="L28" i="59" s="1"/>
  <c r="L31" i="59" s="1"/>
  <c r="L33" i="59" s="1"/>
  <c r="L35" i="59" s="1"/>
  <c r="L37" i="59" s="1"/>
  <c r="N43" i="66" s="1"/>
  <c r="L35" i="73"/>
  <c r="M17" i="66" l="1"/>
  <c r="M18" i="66" s="1"/>
  <c r="L6" i="59"/>
  <c r="N45" i="66"/>
  <c r="M27" i="59"/>
  <c r="N44" i="66"/>
  <c r="N68" i="66" l="1"/>
  <c r="N37" i="96"/>
  <c r="N30" i="96"/>
  <c r="M14" i="96"/>
  <c r="M7" i="96"/>
  <c r="M62" i="66"/>
  <c r="M50" i="66"/>
  <c r="M20" i="66"/>
  <c r="M21" i="66" s="1"/>
  <c r="N46" i="66"/>
  <c r="N47" i="66" s="1"/>
  <c r="M28" i="73" s="1"/>
  <c r="N56" i="66"/>
  <c r="L9" i="73" l="1"/>
  <c r="L11" i="73"/>
  <c r="L8" i="73"/>
  <c r="L10" i="73"/>
  <c r="L7" i="73"/>
  <c r="N8" i="60"/>
  <c r="M27" i="73"/>
  <c r="M35" i="73" s="1"/>
  <c r="O9" i="60"/>
  <c r="O48" i="61" s="1"/>
  <c r="O42" i="66" s="1"/>
  <c r="M29" i="73"/>
  <c r="M31" i="73"/>
  <c r="M30" i="73"/>
  <c r="L15" i="73" l="1"/>
  <c r="L14" i="73"/>
  <c r="N9" i="61"/>
  <c r="N16" i="66" s="1"/>
  <c r="N8" i="61"/>
  <c r="O47" i="61"/>
  <c r="O45" i="66" s="1"/>
  <c r="M34" i="73"/>
  <c r="N19" i="66" l="1"/>
  <c r="N10" i="61"/>
  <c r="N35" i="61" s="1"/>
  <c r="L6" i="62" s="1"/>
  <c r="L11" i="62" s="1"/>
  <c r="L7" i="59" s="1"/>
  <c r="L10" i="59" s="1"/>
  <c r="L12" i="59" s="1"/>
  <c r="L14" i="59" s="1"/>
  <c r="L16" i="59" s="1"/>
  <c r="O49" i="61"/>
  <c r="O74" i="61" s="1"/>
  <c r="M22" i="62" s="1"/>
  <c r="M27" i="62" s="1"/>
  <c r="M28" i="59" s="1"/>
  <c r="M31" i="59" s="1"/>
  <c r="M33" i="59" s="1"/>
  <c r="M35" i="59" s="1"/>
  <c r="M37" i="59" s="1"/>
  <c r="O43" i="66" s="1"/>
  <c r="O44" i="66" s="1"/>
  <c r="O68" i="66" l="1"/>
  <c r="O37" i="96"/>
  <c r="O30" i="96"/>
  <c r="M6" i="59"/>
  <c r="N17" i="66"/>
  <c r="N18" i="66" s="1"/>
  <c r="N27" i="59"/>
  <c r="O46" i="66"/>
  <c r="O47" i="66" s="1"/>
  <c r="N30" i="73" s="1"/>
  <c r="O56" i="66"/>
  <c r="N14" i="96" l="1"/>
  <c r="N7" i="96"/>
  <c r="N20" i="66"/>
  <c r="N21" i="66" s="1"/>
  <c r="N62" i="66"/>
  <c r="N50" i="66"/>
  <c r="N28" i="73"/>
  <c r="P9" i="60"/>
  <c r="P48" i="61" s="1"/>
  <c r="P42" i="66" s="1"/>
  <c r="N31" i="73"/>
  <c r="N27" i="73"/>
  <c r="N34" i="73" s="1"/>
  <c r="N29" i="73"/>
  <c r="M11" i="73" l="1"/>
  <c r="M10" i="73"/>
  <c r="O8" i="60"/>
  <c r="M7" i="73"/>
  <c r="M8" i="73"/>
  <c r="M9" i="73"/>
  <c r="P47" i="61"/>
  <c r="P45" i="66" s="1"/>
  <c r="N35" i="73"/>
  <c r="M14" i="73" l="1"/>
  <c r="M15" i="73"/>
  <c r="O8" i="61"/>
  <c r="O9" i="61"/>
  <c r="O16" i="66" s="1"/>
  <c r="P49" i="61"/>
  <c r="P74" i="61" s="1"/>
  <c r="N22" i="62" s="1"/>
  <c r="N27" i="62" s="1"/>
  <c r="N28" i="59" s="1"/>
  <c r="N31" i="59" s="1"/>
  <c r="N33" i="59" s="1"/>
  <c r="N35" i="59" s="1"/>
  <c r="N37" i="59" s="1"/>
  <c r="P43" i="66" s="1"/>
  <c r="P44" i="66" s="1"/>
  <c r="P68" i="66" l="1"/>
  <c r="P37" i="96"/>
  <c r="P30" i="96"/>
  <c r="O19" i="66"/>
  <c r="O10" i="61"/>
  <c r="O35" i="61" s="1"/>
  <c r="M6" i="62" s="1"/>
  <c r="M11" i="62" s="1"/>
  <c r="M7" i="59" s="1"/>
  <c r="M10" i="59" s="1"/>
  <c r="M12" i="59" s="1"/>
  <c r="M14" i="59" s="1"/>
  <c r="M16" i="59" s="1"/>
  <c r="O27" i="59"/>
  <c r="P46" i="66"/>
  <c r="P47" i="66" s="1"/>
  <c r="O30" i="73" s="1"/>
  <c r="P56" i="66"/>
  <c r="N6" i="59" l="1"/>
  <c r="O17" i="66"/>
  <c r="O18" i="66" s="1"/>
  <c r="O28" i="73"/>
  <c r="O27" i="73"/>
  <c r="O34" i="73" s="1"/>
  <c r="O29" i="73"/>
  <c r="Q9" i="60"/>
  <c r="Q48" i="61" s="1"/>
  <c r="Q42" i="66" s="1"/>
  <c r="O31" i="73"/>
  <c r="O14" i="96" l="1"/>
  <c r="O7" i="96"/>
  <c r="O62" i="66"/>
  <c r="O50" i="66"/>
  <c r="O20" i="66"/>
  <c r="O21" i="66" s="1"/>
  <c r="Q47" i="61"/>
  <c r="Q49" i="61" s="1"/>
  <c r="Q74" i="61" s="1"/>
  <c r="O22" i="62" s="1"/>
  <c r="O27" i="62" s="1"/>
  <c r="O28" i="59" s="1"/>
  <c r="O31" i="59" s="1"/>
  <c r="O33" i="59" s="1"/>
  <c r="O35" i="59" s="1"/>
  <c r="O37" i="59" s="1"/>
  <c r="Q43" i="66" s="1"/>
  <c r="O35" i="73"/>
  <c r="N7" i="73" l="1"/>
  <c r="N14" i="73" s="1"/>
  <c r="N9" i="73"/>
  <c r="N8" i="73"/>
  <c r="P8" i="60"/>
  <c r="N11" i="73"/>
  <c r="N10" i="73"/>
  <c r="Q45" i="66"/>
  <c r="P27" i="59"/>
  <c r="Q44" i="66"/>
  <c r="Q68" i="66" l="1"/>
  <c r="Q37" i="96"/>
  <c r="Q30" i="96"/>
  <c r="N15" i="73"/>
  <c r="P8" i="61"/>
  <c r="P9" i="61"/>
  <c r="P16" i="66" s="1"/>
  <c r="Q46" i="66"/>
  <c r="Q47" i="66" s="1"/>
  <c r="P29" i="73" s="1"/>
  <c r="Q56" i="66"/>
  <c r="P19" i="66" l="1"/>
  <c r="P10" i="61"/>
  <c r="P35" i="61" s="1"/>
  <c r="N6" i="62" s="1"/>
  <c r="N11" i="62" s="1"/>
  <c r="N7" i="59" s="1"/>
  <c r="N10" i="59" s="1"/>
  <c r="N12" i="59" s="1"/>
  <c r="N14" i="59" s="1"/>
  <c r="N16" i="59" s="1"/>
  <c r="P27" i="73"/>
  <c r="P34" i="73" s="1"/>
  <c r="P31" i="73"/>
  <c r="R9" i="60"/>
  <c r="R48" i="61" s="1"/>
  <c r="R42" i="66" s="1"/>
  <c r="P30" i="73"/>
  <c r="P28" i="73"/>
  <c r="R47" i="61" l="1"/>
  <c r="R45" i="66" s="1"/>
  <c r="O6" i="59"/>
  <c r="P17" i="66"/>
  <c r="P18" i="66" s="1"/>
  <c r="P35" i="73"/>
  <c r="P14" i="96" l="1"/>
  <c r="P7" i="96"/>
  <c r="R49" i="61"/>
  <c r="R74" i="61" s="1"/>
  <c r="P22" i="62" s="1"/>
  <c r="P27" i="62" s="1"/>
  <c r="P28" i="59" s="1"/>
  <c r="P31" i="59" s="1"/>
  <c r="P33" i="59" s="1"/>
  <c r="P35" i="59" s="1"/>
  <c r="P37" i="59" s="1"/>
  <c r="R43" i="66" s="1"/>
  <c r="R44" i="66" s="1"/>
  <c r="P62" i="66"/>
  <c r="P50" i="66"/>
  <c r="P20" i="66"/>
  <c r="P21" i="66" s="1"/>
  <c r="R68" i="66" l="1"/>
  <c r="R37" i="96"/>
  <c r="R30" i="96"/>
  <c r="Q27" i="59"/>
  <c r="O10" i="73"/>
  <c r="O7" i="73"/>
  <c r="Q8" i="60"/>
  <c r="O11" i="73"/>
  <c r="O9" i="73"/>
  <c r="O8" i="73"/>
  <c r="R46" i="66"/>
  <c r="R47" i="66" s="1"/>
  <c r="Q29" i="73" s="1"/>
  <c r="R56" i="66"/>
  <c r="O14" i="73" l="1"/>
  <c r="O15" i="73"/>
  <c r="Q8" i="61"/>
  <c r="Q9" i="61"/>
  <c r="Q30" i="73"/>
  <c r="Q27" i="73"/>
  <c r="Q34" i="73" s="1"/>
  <c r="Q31" i="73"/>
  <c r="Q28" i="73"/>
  <c r="S9" i="60"/>
  <c r="S48" i="61" s="1"/>
  <c r="S42" i="66" s="1"/>
  <c r="Q16" i="66" l="1"/>
  <c r="Q19" i="66"/>
  <c r="Q10" i="61"/>
  <c r="Q35" i="61" s="1"/>
  <c r="O6" i="62" s="1"/>
  <c r="O11" i="62" s="1"/>
  <c r="O7" i="59" s="1"/>
  <c r="O10" i="59" s="1"/>
  <c r="O12" i="59" s="1"/>
  <c r="O14" i="59" s="1"/>
  <c r="O16" i="59" s="1"/>
  <c r="S47" i="61"/>
  <c r="S45" i="66" s="1"/>
  <c r="Q35" i="73"/>
  <c r="P6" i="59" l="1"/>
  <c r="Q17" i="66"/>
  <c r="Q18" i="66" s="1"/>
  <c r="S49" i="61"/>
  <c r="S74" i="61" s="1"/>
  <c r="Q22" i="62" s="1"/>
  <c r="Q27" i="62" s="1"/>
  <c r="Q28" i="59" s="1"/>
  <c r="Q31" i="59" s="1"/>
  <c r="Q33" i="59" s="1"/>
  <c r="Q35" i="59" s="1"/>
  <c r="Q37" i="59" s="1"/>
  <c r="S43" i="66" s="1"/>
  <c r="S44" i="66" s="1"/>
  <c r="S68" i="66" l="1"/>
  <c r="S37" i="96"/>
  <c r="S30" i="96"/>
  <c r="Q14" i="96"/>
  <c r="Q7" i="96"/>
  <c r="Q20" i="66"/>
  <c r="Q21" i="66" s="1"/>
  <c r="Q50" i="66"/>
  <c r="Q62" i="66"/>
  <c r="R27" i="59"/>
  <c r="S46" i="66"/>
  <c r="S47" i="66" s="1"/>
  <c r="R29" i="73" s="1"/>
  <c r="S56" i="66"/>
  <c r="P9" i="73" l="1"/>
  <c r="R8" i="60"/>
  <c r="P11" i="73"/>
  <c r="P10" i="73"/>
  <c r="P8" i="73"/>
  <c r="P7" i="73"/>
  <c r="R31" i="73"/>
  <c r="R30" i="73"/>
  <c r="R28" i="73"/>
  <c r="T9" i="60"/>
  <c r="T48" i="61" s="1"/>
  <c r="T42" i="66" s="1"/>
  <c r="R27" i="73"/>
  <c r="R34" i="73" s="1"/>
  <c r="T47" i="61" l="1"/>
  <c r="T45" i="66" s="1"/>
  <c r="R8" i="61"/>
  <c r="R9" i="61"/>
  <c r="P14" i="73"/>
  <c r="P15" i="73"/>
  <c r="R35" i="73"/>
  <c r="T49" i="61" l="1"/>
  <c r="T74" i="61" s="1"/>
  <c r="R22" i="62" s="1"/>
  <c r="R27" i="62" s="1"/>
  <c r="R28" i="59" s="1"/>
  <c r="R31" i="59" s="1"/>
  <c r="R33" i="59" s="1"/>
  <c r="R35" i="59" s="1"/>
  <c r="R37" i="59" s="1"/>
  <c r="T43" i="66" s="1"/>
  <c r="T44" i="66" s="1"/>
  <c r="R10" i="61"/>
  <c r="R35" i="61" s="1"/>
  <c r="P6" i="62" s="1"/>
  <c r="P11" i="62" s="1"/>
  <c r="P7" i="59" s="1"/>
  <c r="P10" i="59" s="1"/>
  <c r="P12" i="59" s="1"/>
  <c r="P14" i="59" s="1"/>
  <c r="P16" i="59" s="1"/>
  <c r="R16" i="66"/>
  <c r="R19" i="66"/>
  <c r="T68" i="66" l="1"/>
  <c r="T37" i="96"/>
  <c r="T30" i="96"/>
  <c r="S27" i="59"/>
  <c r="Q6" i="59"/>
  <c r="R17" i="66"/>
  <c r="R18" i="66" s="1"/>
  <c r="T46" i="66"/>
  <c r="T47" i="66" s="1"/>
  <c r="S27" i="73" s="1"/>
  <c r="T56" i="66"/>
  <c r="R14" i="96" l="1"/>
  <c r="R7" i="96"/>
  <c r="R62" i="66"/>
  <c r="R20" i="66"/>
  <c r="R21" i="66" s="1"/>
  <c r="R50" i="66"/>
  <c r="S29" i="73"/>
  <c r="S31" i="73"/>
  <c r="S30" i="73"/>
  <c r="U9" i="60"/>
  <c r="U48" i="61" s="1"/>
  <c r="U42" i="66" s="1"/>
  <c r="S28" i="73"/>
  <c r="S35" i="73" s="1"/>
  <c r="S34" i="73"/>
  <c r="Q7" i="73" l="1"/>
  <c r="S8" i="60"/>
  <c r="Q11" i="73"/>
  <c r="Q8" i="73"/>
  <c r="Q10" i="73"/>
  <c r="Q9" i="73"/>
  <c r="U47" i="61"/>
  <c r="U49" i="61" s="1"/>
  <c r="U74" i="61" s="1"/>
  <c r="S22" i="62" s="1"/>
  <c r="S27" i="62" s="1"/>
  <c r="S28" i="59" s="1"/>
  <c r="S31" i="59" s="1"/>
  <c r="S33" i="59" s="1"/>
  <c r="S35" i="59" s="1"/>
  <c r="S37" i="59" s="1"/>
  <c r="U43" i="66" s="1"/>
  <c r="Q15" i="73" l="1"/>
  <c r="S9" i="61"/>
  <c r="S8" i="61"/>
  <c r="Q14" i="73"/>
  <c r="U45" i="66"/>
  <c r="U44" i="66"/>
  <c r="T27" i="59"/>
  <c r="U68" i="66" l="1"/>
  <c r="U37" i="96"/>
  <c r="U30" i="96"/>
  <c r="S10" i="61"/>
  <c r="S35" i="61" s="1"/>
  <c r="Q6" i="62" s="1"/>
  <c r="Q11" i="62" s="1"/>
  <c r="Q7" i="59" s="1"/>
  <c r="Q10" i="59" s="1"/>
  <c r="Q12" i="59" s="1"/>
  <c r="Q14" i="59" s="1"/>
  <c r="Q16" i="59" s="1"/>
  <c r="S19" i="66"/>
  <c r="S16" i="66"/>
  <c r="U46" i="66"/>
  <c r="U47" i="66" s="1"/>
  <c r="T27" i="73" s="1"/>
  <c r="U56" i="66"/>
  <c r="R6" i="59" l="1"/>
  <c r="S17" i="66"/>
  <c r="S18" i="66" s="1"/>
  <c r="T31" i="73"/>
  <c r="V9" i="60"/>
  <c r="V48" i="61" s="1"/>
  <c r="V42" i="66" s="1"/>
  <c r="T28" i="73"/>
  <c r="T35" i="73" s="1"/>
  <c r="T29" i="73"/>
  <c r="T30" i="73"/>
  <c r="T34" i="73"/>
  <c r="S14" i="96" l="1"/>
  <c r="S7" i="96"/>
  <c r="S20" i="66"/>
  <c r="S21" i="66" s="1"/>
  <c r="S62" i="66"/>
  <c r="S50" i="66"/>
  <c r="V47" i="61"/>
  <c r="V45" i="66" s="1"/>
  <c r="T8" i="60" l="1"/>
  <c r="R10" i="73"/>
  <c r="R8" i="73"/>
  <c r="R11" i="73"/>
  <c r="R9" i="73"/>
  <c r="R7" i="73"/>
  <c r="V49" i="61"/>
  <c r="V74" i="61" s="1"/>
  <c r="T22" i="62" s="1"/>
  <c r="T27" i="62" s="1"/>
  <c r="T28" i="59" s="1"/>
  <c r="T31" i="59" s="1"/>
  <c r="T33" i="59" s="1"/>
  <c r="T35" i="59" s="1"/>
  <c r="T37" i="59" s="1"/>
  <c r="V43" i="66" s="1"/>
  <c r="V44" i="66" s="1"/>
  <c r="V68" i="66" l="1"/>
  <c r="V37" i="96"/>
  <c r="V30" i="96"/>
  <c r="R14" i="73"/>
  <c r="R15" i="73"/>
  <c r="T8" i="61"/>
  <c r="T9" i="61"/>
  <c r="U27" i="59"/>
  <c r="V46" i="66"/>
  <c r="V47" i="66" s="1"/>
  <c r="U30" i="73" s="1"/>
  <c r="V56" i="66"/>
  <c r="T16" i="66" l="1"/>
  <c r="T10" i="61"/>
  <c r="T35" i="61" s="1"/>
  <c r="R6" i="62" s="1"/>
  <c r="R11" i="62" s="1"/>
  <c r="R7" i="59" s="1"/>
  <c r="R10" i="59" s="1"/>
  <c r="R12" i="59" s="1"/>
  <c r="R14" i="59" s="1"/>
  <c r="R16" i="59" s="1"/>
  <c r="T19" i="66"/>
  <c r="W9" i="60"/>
  <c r="W48" i="61" s="1"/>
  <c r="W42" i="66" s="1"/>
  <c r="U28" i="73"/>
  <c r="U27" i="73"/>
  <c r="U34" i="73" s="1"/>
  <c r="U29" i="73"/>
  <c r="U31" i="73"/>
  <c r="S6" i="59" l="1"/>
  <c r="T17" i="66"/>
  <c r="T18" i="66" s="1"/>
  <c r="W47" i="61"/>
  <c r="W45" i="66" s="1"/>
  <c r="U35" i="73"/>
  <c r="T14" i="96" l="1"/>
  <c r="T7" i="96"/>
  <c r="T62" i="66"/>
  <c r="T20" i="66"/>
  <c r="T21" i="66" s="1"/>
  <c r="T50" i="66"/>
  <c r="W49" i="61"/>
  <c r="W74" i="61" s="1"/>
  <c r="U22" i="62" s="1"/>
  <c r="U27" i="62" s="1"/>
  <c r="U28" i="59" s="1"/>
  <c r="U31" i="59" s="1"/>
  <c r="U33" i="59" s="1"/>
  <c r="U35" i="59" s="1"/>
  <c r="U37" i="59" s="1"/>
  <c r="W43" i="66" s="1"/>
  <c r="W44" i="66" s="1"/>
  <c r="W68" i="66" l="1"/>
  <c r="W37" i="96"/>
  <c r="W30" i="96"/>
  <c r="U8" i="60"/>
  <c r="S9" i="73"/>
  <c r="S10" i="73"/>
  <c r="S8" i="73"/>
  <c r="S7" i="73"/>
  <c r="S11" i="73"/>
  <c r="V27" i="59"/>
  <c r="W46" i="66"/>
  <c r="W47" i="66" s="1"/>
  <c r="V31" i="73" s="1"/>
  <c r="W56" i="66"/>
  <c r="S14" i="73" l="1"/>
  <c r="S15" i="73"/>
  <c r="U9" i="61"/>
  <c r="U8" i="61"/>
  <c r="V29" i="73"/>
  <c r="V30" i="73"/>
  <c r="V28" i="73"/>
  <c r="X9" i="60"/>
  <c r="X48" i="61" s="1"/>
  <c r="X42" i="66" s="1"/>
  <c r="V27" i="73"/>
  <c r="U19" i="66" l="1"/>
  <c r="U10" i="61"/>
  <c r="U35" i="61" s="1"/>
  <c r="S6" i="62" s="1"/>
  <c r="S11" i="62" s="1"/>
  <c r="S7" i="59" s="1"/>
  <c r="S10" i="59" s="1"/>
  <c r="S12" i="59" s="1"/>
  <c r="S14" i="59" s="1"/>
  <c r="S16" i="59" s="1"/>
  <c r="U16" i="66"/>
  <c r="X47" i="61"/>
  <c r="X49" i="61" s="1"/>
  <c r="X74" i="61" s="1"/>
  <c r="V22" i="62" s="1"/>
  <c r="V27" i="62" s="1"/>
  <c r="V28" i="59" s="1"/>
  <c r="V31" i="59" s="1"/>
  <c r="V33" i="59" s="1"/>
  <c r="V35" i="59" s="1"/>
  <c r="V37" i="59" s="1"/>
  <c r="X43" i="66" s="1"/>
  <c r="V35" i="73"/>
  <c r="V34" i="73"/>
  <c r="T6" i="59" l="1"/>
  <c r="U17" i="66"/>
  <c r="U18" i="66" s="1"/>
  <c r="X45" i="66"/>
  <c r="W27" i="59"/>
  <c r="X44" i="66"/>
  <c r="X68" i="66" l="1"/>
  <c r="X37" i="96"/>
  <c r="X30" i="96"/>
  <c r="U14" i="96"/>
  <c r="U7" i="96"/>
  <c r="U20" i="66"/>
  <c r="U21" i="66" s="1"/>
  <c r="U62" i="66"/>
  <c r="U50" i="66"/>
  <c r="X46" i="66"/>
  <c r="X47" i="66" s="1"/>
  <c r="W27" i="73" s="1"/>
  <c r="X56" i="66"/>
  <c r="V8" i="60" l="1"/>
  <c r="T8" i="73"/>
  <c r="T9" i="73"/>
  <c r="T10" i="73"/>
  <c r="T11" i="73"/>
  <c r="T7" i="73"/>
  <c r="W29" i="73"/>
  <c r="W31" i="73"/>
  <c r="Y9" i="60"/>
  <c r="Y48" i="61" s="1"/>
  <c r="Y42" i="66" s="1"/>
  <c r="W30" i="73"/>
  <c r="W28" i="73"/>
  <c r="W35" i="73" s="1"/>
  <c r="W34" i="73"/>
  <c r="T14" i="73" l="1"/>
  <c r="T15" i="73"/>
  <c r="V9" i="61"/>
  <c r="V8" i="61"/>
  <c r="Y47" i="61"/>
  <c r="Y45" i="66" s="1"/>
  <c r="V10" i="61" l="1"/>
  <c r="V35" i="61" s="1"/>
  <c r="T6" i="62" s="1"/>
  <c r="T11" i="62" s="1"/>
  <c r="T7" i="59" s="1"/>
  <c r="T10" i="59" s="1"/>
  <c r="T12" i="59" s="1"/>
  <c r="T14" i="59" s="1"/>
  <c r="T16" i="59" s="1"/>
  <c r="V19" i="66"/>
  <c r="V16" i="66"/>
  <c r="Y49" i="61"/>
  <c r="Y74" i="61" s="1"/>
  <c r="W22" i="62" s="1"/>
  <c r="W27" i="62" s="1"/>
  <c r="W28" i="59" s="1"/>
  <c r="W31" i="59" s="1"/>
  <c r="W33" i="59" s="1"/>
  <c r="W35" i="59" s="1"/>
  <c r="W37" i="59" s="1"/>
  <c r="Y43" i="66" s="1"/>
  <c r="Y44" i="66" s="1"/>
  <c r="Y68" i="66" l="1"/>
  <c r="Y37" i="96"/>
  <c r="Y30" i="96"/>
  <c r="U6" i="59"/>
  <c r="V17" i="66"/>
  <c r="V18" i="66" s="1"/>
  <c r="X27" i="59"/>
  <c r="Y46" i="66"/>
  <c r="Y47" i="66" s="1"/>
  <c r="X29" i="73" s="1"/>
  <c r="Y56" i="66"/>
  <c r="V14" i="96" l="1"/>
  <c r="V7" i="96"/>
  <c r="V62" i="66"/>
  <c r="V20" i="66"/>
  <c r="V21" i="66" s="1"/>
  <c r="V50" i="66"/>
  <c r="X28" i="73"/>
  <c r="X31" i="73"/>
  <c r="Z9" i="60"/>
  <c r="Z48" i="61" s="1"/>
  <c r="Z42" i="66" s="1"/>
  <c r="X30" i="73"/>
  <c r="X27" i="73"/>
  <c r="W8" i="60" l="1"/>
  <c r="U11" i="73"/>
  <c r="U7" i="73"/>
  <c r="U8" i="73"/>
  <c r="U10" i="73"/>
  <c r="U9" i="73"/>
  <c r="Z47" i="61"/>
  <c r="Z49" i="61" s="1"/>
  <c r="Z74" i="61" s="1"/>
  <c r="X22" i="62" s="1"/>
  <c r="X27" i="62" s="1"/>
  <c r="X28" i="59" s="1"/>
  <c r="X31" i="59" s="1"/>
  <c r="X33" i="59" s="1"/>
  <c r="X35" i="59" s="1"/>
  <c r="X37" i="59" s="1"/>
  <c r="Z43" i="66" s="1"/>
  <c r="X35" i="73"/>
  <c r="X34" i="73"/>
  <c r="U15" i="73" l="1"/>
  <c r="U14" i="73"/>
  <c r="W8" i="61"/>
  <c r="W9" i="61"/>
  <c r="Z45" i="66"/>
  <c r="Y27" i="59"/>
  <c r="Z44" i="66"/>
  <c r="Z68" i="66" l="1"/>
  <c r="Z37" i="96"/>
  <c r="Z30" i="96"/>
  <c r="W10" i="61"/>
  <c r="W35" i="61" s="1"/>
  <c r="U6" i="62" s="1"/>
  <c r="U11" i="62" s="1"/>
  <c r="U7" i="59" s="1"/>
  <c r="U10" i="59" s="1"/>
  <c r="U12" i="59" s="1"/>
  <c r="U14" i="59" s="1"/>
  <c r="U16" i="59" s="1"/>
  <c r="W19" i="66"/>
  <c r="W16" i="66"/>
  <c r="Z46" i="66"/>
  <c r="Z47" i="66" s="1"/>
  <c r="Y27" i="73" s="1"/>
  <c r="Z56" i="66"/>
  <c r="V6" i="59" l="1"/>
  <c r="W17" i="66"/>
  <c r="W18" i="66" s="1"/>
  <c r="Y31" i="73"/>
  <c r="Y30" i="73"/>
  <c r="AA9" i="60"/>
  <c r="AA48" i="61" s="1"/>
  <c r="AA42" i="66" s="1"/>
  <c r="Y28" i="73"/>
  <c r="Y35" i="73" s="1"/>
  <c r="Y29" i="73"/>
  <c r="Y34" i="73"/>
  <c r="W14" i="96" l="1"/>
  <c r="W7" i="96"/>
  <c r="W62" i="66"/>
  <c r="W20" i="66"/>
  <c r="W21" i="66" s="1"/>
  <c r="W50" i="66"/>
  <c r="AA47" i="61"/>
  <c r="AA45" i="66" s="1"/>
  <c r="X8" i="60" l="1"/>
  <c r="V9" i="73"/>
  <c r="V8" i="73"/>
  <c r="V7" i="73"/>
  <c r="V10" i="73"/>
  <c r="V11" i="73"/>
  <c r="AA49" i="61"/>
  <c r="AA74" i="61" s="1"/>
  <c r="Y22" i="62" s="1"/>
  <c r="Y27" i="62" s="1"/>
  <c r="Y28" i="59" s="1"/>
  <c r="Y31" i="59" s="1"/>
  <c r="Y33" i="59" s="1"/>
  <c r="Y35" i="59" s="1"/>
  <c r="Y37" i="59" s="1"/>
  <c r="AA43" i="66" s="1"/>
  <c r="AA44" i="66" s="1"/>
  <c r="AA68" i="66" l="1"/>
  <c r="AA37" i="96"/>
  <c r="AA30" i="96"/>
  <c r="X8" i="61"/>
  <c r="X9" i="61"/>
  <c r="V14" i="73"/>
  <c r="V15" i="73"/>
  <c r="Z27" i="59"/>
  <c r="AA46" i="66"/>
  <c r="AA47" i="66" s="1"/>
  <c r="Z27" i="73" s="1"/>
  <c r="AA56" i="66"/>
  <c r="X16" i="66" l="1"/>
  <c r="X19" i="66"/>
  <c r="X10" i="61"/>
  <c r="X35" i="61" s="1"/>
  <c r="V6" i="62" s="1"/>
  <c r="V11" i="62" s="1"/>
  <c r="V7" i="59" s="1"/>
  <c r="V10" i="59" s="1"/>
  <c r="V12" i="59" s="1"/>
  <c r="V14" i="59" s="1"/>
  <c r="V16" i="59" s="1"/>
  <c r="AB9" i="60"/>
  <c r="AB48" i="61" s="1"/>
  <c r="AB42" i="66" s="1"/>
  <c r="Z30" i="73"/>
  <c r="Z29" i="73"/>
  <c r="Z31" i="73"/>
  <c r="Z28" i="73"/>
  <c r="Z35" i="73" s="1"/>
  <c r="Z34" i="73"/>
  <c r="W6" i="59" l="1"/>
  <c r="X17" i="66"/>
  <c r="X18" i="66" s="1"/>
  <c r="AB47" i="61"/>
  <c r="AB49" i="61" s="1"/>
  <c r="AB74" i="61" s="1"/>
  <c r="Z22" i="62" s="1"/>
  <c r="Z27" i="62" s="1"/>
  <c r="Z28" i="59" s="1"/>
  <c r="Z31" i="59" s="1"/>
  <c r="Z33" i="59" s="1"/>
  <c r="Z35" i="59" s="1"/>
  <c r="Z37" i="59" s="1"/>
  <c r="AB43" i="66" s="1"/>
  <c r="X14" i="96" l="1"/>
  <c r="X7" i="96"/>
  <c r="X62" i="66"/>
  <c r="X20" i="66"/>
  <c r="X21" i="66" s="1"/>
  <c r="X50" i="66"/>
  <c r="AB45" i="66"/>
  <c r="AB44" i="66"/>
  <c r="AA27" i="59"/>
  <c r="AB68" i="66" l="1"/>
  <c r="AB37" i="96"/>
  <c r="AB30" i="96"/>
  <c r="Y8" i="60"/>
  <c r="W11" i="73"/>
  <c r="W8" i="73"/>
  <c r="W7" i="73"/>
  <c r="W9" i="73"/>
  <c r="W10" i="73"/>
  <c r="AB46" i="66"/>
  <c r="AB47" i="66" s="1"/>
  <c r="AA28" i="73" s="1"/>
  <c r="AB56" i="66"/>
  <c r="W15" i="73" l="1"/>
  <c r="W14" i="73"/>
  <c r="Y9" i="61"/>
  <c r="Y8" i="61"/>
  <c r="AC9" i="60"/>
  <c r="AC48" i="61" s="1"/>
  <c r="AC42" i="66" s="1"/>
  <c r="AA30" i="73"/>
  <c r="AA29" i="73"/>
  <c r="AA27" i="73"/>
  <c r="AA34" i="73" s="1"/>
  <c r="AA31" i="73"/>
  <c r="Y19" i="66" l="1"/>
  <c r="Y10" i="61"/>
  <c r="Y35" i="61" s="1"/>
  <c r="W6" i="62" s="1"/>
  <c r="W11" i="62" s="1"/>
  <c r="W7" i="59" s="1"/>
  <c r="W10" i="59" s="1"/>
  <c r="W12" i="59" s="1"/>
  <c r="W14" i="59" s="1"/>
  <c r="W16" i="59" s="1"/>
  <c r="Y16" i="66"/>
  <c r="AC47" i="61"/>
  <c r="AC49" i="61" s="1"/>
  <c r="AC74" i="61" s="1"/>
  <c r="AA22" i="62" s="1"/>
  <c r="AA27" i="62" s="1"/>
  <c r="AA28" i="59" s="1"/>
  <c r="AA31" i="59" s="1"/>
  <c r="AA33" i="59" s="1"/>
  <c r="AA35" i="59" s="1"/>
  <c r="AA37" i="59" s="1"/>
  <c r="AC43" i="66" s="1"/>
  <c r="AA35" i="73"/>
  <c r="X6" i="59" l="1"/>
  <c r="Y17" i="66"/>
  <c r="Y18" i="66" s="1"/>
  <c r="AC45" i="66"/>
  <c r="AB27" i="59"/>
  <c r="AC44" i="66"/>
  <c r="AC68" i="66" l="1"/>
  <c r="AC37" i="96"/>
  <c r="AC30" i="96"/>
  <c r="Y14" i="96"/>
  <c r="Y7" i="96"/>
  <c r="Y62" i="66"/>
  <c r="Y20" i="66"/>
  <c r="Y21" i="66" s="1"/>
  <c r="Y50" i="66"/>
  <c r="AC46" i="66"/>
  <c r="AC47" i="66" s="1"/>
  <c r="AB28" i="73" s="1"/>
  <c r="AC56" i="66"/>
  <c r="Z8" i="60" l="1"/>
  <c r="X9" i="73"/>
  <c r="X10" i="73"/>
  <c r="X7" i="73"/>
  <c r="X11" i="73"/>
  <c r="X8" i="73"/>
  <c r="AB31" i="73"/>
  <c r="AB30" i="73"/>
  <c r="AB27" i="73"/>
  <c r="AB34" i="73" s="1"/>
  <c r="AD9" i="60"/>
  <c r="AD48" i="61" s="1"/>
  <c r="AD42" i="66" s="1"/>
  <c r="AB29" i="73"/>
  <c r="AB35" i="73" l="1"/>
  <c r="X15" i="73"/>
  <c r="X14" i="73"/>
  <c r="Z9" i="61"/>
  <c r="Z8" i="61"/>
  <c r="AD47" i="61"/>
  <c r="AD49" i="61" s="1"/>
  <c r="AD74" i="61" s="1"/>
  <c r="AB22" i="62" s="1"/>
  <c r="AB27" i="62" s="1"/>
  <c r="AB28" i="59" s="1"/>
  <c r="AB31" i="59" s="1"/>
  <c r="AB33" i="59" s="1"/>
  <c r="AB35" i="59" s="1"/>
  <c r="AB37" i="59" s="1"/>
  <c r="AD43" i="66" s="1"/>
  <c r="Z10" i="61" l="1"/>
  <c r="Z35" i="61" s="1"/>
  <c r="X6" i="62" s="1"/>
  <c r="X11" i="62" s="1"/>
  <c r="X7" i="59" s="1"/>
  <c r="X10" i="59" s="1"/>
  <c r="X12" i="59" s="1"/>
  <c r="X14" i="59" s="1"/>
  <c r="X16" i="59" s="1"/>
  <c r="Z19" i="66"/>
  <c r="Z16" i="66"/>
  <c r="AD45" i="66"/>
  <c r="AC27" i="59"/>
  <c r="AD44" i="66"/>
  <c r="AD68" i="66" l="1"/>
  <c r="AD37" i="96"/>
  <c r="AD30" i="96"/>
  <c r="Y6" i="59"/>
  <c r="Z17" i="66"/>
  <c r="Z18" i="66" s="1"/>
  <c r="AD46" i="66"/>
  <c r="AD47" i="66" s="1"/>
  <c r="AC31" i="73" s="1"/>
  <c r="AD56" i="66"/>
  <c r="Z14" i="96" l="1"/>
  <c r="Z7" i="96"/>
  <c r="Z62" i="66"/>
  <c r="Z20" i="66"/>
  <c r="Z21" i="66" s="1"/>
  <c r="Z50" i="66"/>
  <c r="AC28" i="73"/>
  <c r="AC27" i="73"/>
  <c r="AC34" i="73" s="1"/>
  <c r="AC29" i="73"/>
  <c r="AE9" i="60"/>
  <c r="AE48" i="61" s="1"/>
  <c r="AE42" i="66" s="1"/>
  <c r="AC30" i="73"/>
  <c r="AA8" i="60" l="1"/>
  <c r="Y10" i="73"/>
  <c r="Y11" i="73"/>
  <c r="Y9" i="73"/>
  <c r="Y7" i="73"/>
  <c r="Y8" i="73"/>
  <c r="AE47" i="61"/>
  <c r="AE49" i="61" s="1"/>
  <c r="AE74" i="61" s="1"/>
  <c r="AC22" i="62" s="1"/>
  <c r="AC27" i="62" s="1"/>
  <c r="AC28" i="59" s="1"/>
  <c r="AC31" i="59" s="1"/>
  <c r="AC33" i="59" s="1"/>
  <c r="AC35" i="59" s="1"/>
  <c r="AC37" i="59" s="1"/>
  <c r="AE43" i="66" s="1"/>
  <c r="AC35" i="73"/>
  <c r="Y14" i="73" l="1"/>
  <c r="Y15" i="73"/>
  <c r="AA8" i="61"/>
  <c r="AA9" i="61"/>
  <c r="AE45" i="66"/>
  <c r="AD27" i="59"/>
  <c r="AE44" i="66"/>
  <c r="AE68" i="66" l="1"/>
  <c r="AE37" i="96"/>
  <c r="AE30" i="96"/>
  <c r="AA19" i="66"/>
  <c r="AA10" i="61"/>
  <c r="AA35" i="61" s="1"/>
  <c r="Y6" i="62" s="1"/>
  <c r="Y11" i="62" s="1"/>
  <c r="Y7" i="59" s="1"/>
  <c r="Y10" i="59" s="1"/>
  <c r="Y12" i="59" s="1"/>
  <c r="Y14" i="59" s="1"/>
  <c r="Y16" i="59" s="1"/>
  <c r="AA16" i="66"/>
  <c r="AE46" i="66"/>
  <c r="AE47" i="66" s="1"/>
  <c r="AD31" i="73" s="1"/>
  <c r="AE56" i="66"/>
  <c r="Z6" i="59" l="1"/>
  <c r="AA17" i="66"/>
  <c r="AA18" i="66" s="1"/>
  <c r="AD30" i="73"/>
  <c r="AF9" i="60"/>
  <c r="AF48" i="61" s="1"/>
  <c r="AF42" i="66" s="1"/>
  <c r="AD29" i="73"/>
  <c r="AD28" i="73"/>
  <c r="AD27" i="73"/>
  <c r="AD34" i="73" s="1"/>
  <c r="AA14" i="96" l="1"/>
  <c r="AA7" i="96"/>
  <c r="AA62" i="66"/>
  <c r="AA20" i="66"/>
  <c r="AA21" i="66" s="1"/>
  <c r="AA50" i="66"/>
  <c r="AD35" i="73"/>
  <c r="AF47" i="61"/>
  <c r="AF45" i="66" s="1"/>
  <c r="AB8" i="60" l="1"/>
  <c r="Z10" i="73"/>
  <c r="Z8" i="73"/>
  <c r="Z7" i="73"/>
  <c r="Z11" i="73"/>
  <c r="Z9" i="73"/>
  <c r="AF49" i="61"/>
  <c r="AF74" i="61" s="1"/>
  <c r="AD22" i="62" s="1"/>
  <c r="AD27" i="62" s="1"/>
  <c r="AD28" i="59" s="1"/>
  <c r="AD31" i="59" s="1"/>
  <c r="AD33" i="59" s="1"/>
  <c r="AD35" i="59" s="1"/>
  <c r="AD37" i="59" s="1"/>
  <c r="AF43" i="66" s="1"/>
  <c r="AF44" i="66" s="1"/>
  <c r="AF68" i="66" l="1"/>
  <c r="AF37" i="96"/>
  <c r="AF30" i="96"/>
  <c r="AB8" i="61"/>
  <c r="AB9" i="61"/>
  <c r="Z14" i="73"/>
  <c r="Z15" i="73"/>
  <c r="AE27" i="59"/>
  <c r="AF46" i="66"/>
  <c r="AF47" i="66" s="1"/>
  <c r="AE31" i="73" s="1"/>
  <c r="AF56" i="66"/>
  <c r="AB16" i="66" l="1"/>
  <c r="AB10" i="61"/>
  <c r="AB35" i="61" s="1"/>
  <c r="Z6" i="62" s="1"/>
  <c r="Z11" i="62" s="1"/>
  <c r="Z7" i="59" s="1"/>
  <c r="Z10" i="59" s="1"/>
  <c r="Z12" i="59" s="1"/>
  <c r="Z14" i="59" s="1"/>
  <c r="Z16" i="59" s="1"/>
  <c r="AB19" i="66"/>
  <c r="AE28" i="73"/>
  <c r="AG9" i="60"/>
  <c r="AG48" i="61" s="1"/>
  <c r="AG42" i="66" s="1"/>
  <c r="AE29" i="73"/>
  <c r="AE27" i="73"/>
  <c r="AE30" i="73"/>
  <c r="AA6" i="59" l="1"/>
  <c r="AB17" i="66"/>
  <c r="AB18" i="66" s="1"/>
  <c r="AE35" i="73"/>
  <c r="AG47" i="61"/>
  <c r="AG49" i="61" s="1"/>
  <c r="AG74" i="61" s="1"/>
  <c r="AE22" i="62" s="1"/>
  <c r="AE27" i="62" s="1"/>
  <c r="AE28" i="59" s="1"/>
  <c r="AE31" i="59" s="1"/>
  <c r="AE33" i="59" s="1"/>
  <c r="AE35" i="59" s="1"/>
  <c r="AE37" i="59" s="1"/>
  <c r="AG43" i="66" s="1"/>
  <c r="AE34" i="73"/>
  <c r="AB14" i="96" l="1"/>
  <c r="AB7" i="96"/>
  <c r="AB62" i="66"/>
  <c r="AB20" i="66"/>
  <c r="AB21" i="66" s="1"/>
  <c r="AB50" i="66"/>
  <c r="AG45" i="66"/>
  <c r="AG44" i="66"/>
  <c r="AF27" i="59"/>
  <c r="AG68" i="66" l="1"/>
  <c r="AG37" i="96"/>
  <c r="AG30" i="96"/>
  <c r="AC8" i="60"/>
  <c r="AA11" i="73"/>
  <c r="AA8" i="73"/>
  <c r="AA7" i="73"/>
  <c r="AA10" i="73"/>
  <c r="AA9" i="73"/>
  <c r="AG46" i="66"/>
  <c r="AG47" i="66" s="1"/>
  <c r="AF27" i="73" s="1"/>
  <c r="AG56" i="66"/>
  <c r="AC9" i="61" l="1"/>
  <c r="AC8" i="61"/>
  <c r="AA14" i="73"/>
  <c r="AA15" i="73"/>
  <c r="AH9" i="60"/>
  <c r="AH48" i="61" s="1"/>
  <c r="AH42" i="66" s="1"/>
  <c r="AF29" i="73"/>
  <c r="AF28" i="73"/>
  <c r="AF35" i="73" s="1"/>
  <c r="AF31" i="73"/>
  <c r="AF30" i="73"/>
  <c r="AF34" i="73"/>
  <c r="AC10" i="61" l="1"/>
  <c r="AC35" i="61" s="1"/>
  <c r="AA6" i="62" s="1"/>
  <c r="AA11" i="62" s="1"/>
  <c r="AA7" i="59" s="1"/>
  <c r="AA10" i="59" s="1"/>
  <c r="AA12" i="59" s="1"/>
  <c r="AA14" i="59" s="1"/>
  <c r="AA16" i="59" s="1"/>
  <c r="AC19" i="66"/>
  <c r="AC16" i="66"/>
  <c r="AH47" i="61"/>
  <c r="AH45" i="66" s="1"/>
  <c r="AB6" i="59" l="1"/>
  <c r="AC17" i="66"/>
  <c r="AC18" i="66" s="1"/>
  <c r="AH49" i="61"/>
  <c r="AH74" i="61" s="1"/>
  <c r="AF22" i="62" s="1"/>
  <c r="AF27" i="62" s="1"/>
  <c r="AF28" i="59" s="1"/>
  <c r="AF31" i="59" s="1"/>
  <c r="AF33" i="59" s="1"/>
  <c r="AF35" i="59" s="1"/>
  <c r="AF37" i="59" s="1"/>
  <c r="AH43" i="66" s="1"/>
  <c r="AH44" i="66" s="1"/>
  <c r="AH68" i="66" l="1"/>
  <c r="AH37" i="96"/>
  <c r="AH30" i="96"/>
  <c r="AC14" i="96"/>
  <c r="AC7" i="96"/>
  <c r="AC62" i="66"/>
  <c r="AC20" i="66"/>
  <c r="AC21" i="66" s="1"/>
  <c r="AC50" i="66"/>
  <c r="AG27" i="59"/>
  <c r="AH46" i="66"/>
  <c r="AH47" i="66" s="1"/>
  <c r="AG27" i="73" s="1"/>
  <c r="AH56" i="66"/>
  <c r="AD8" i="60" l="1"/>
  <c r="AB8" i="73"/>
  <c r="AB7" i="73"/>
  <c r="AB9" i="73"/>
  <c r="AB11" i="73"/>
  <c r="AB10" i="73"/>
  <c r="AI9" i="60"/>
  <c r="AI48" i="61" s="1"/>
  <c r="AI42" i="66" s="1"/>
  <c r="AG28" i="73"/>
  <c r="AG35" i="73" s="1"/>
  <c r="AG30" i="73"/>
  <c r="AG31" i="73"/>
  <c r="AG29" i="73"/>
  <c r="AG34" i="73"/>
  <c r="AB15" i="73" l="1"/>
  <c r="AB14" i="73"/>
  <c r="AD8" i="61"/>
  <c r="AD9" i="61"/>
  <c r="AI47" i="61"/>
  <c r="AI45" i="66" s="1"/>
  <c r="AD16" i="66" l="1"/>
  <c r="AD10" i="61"/>
  <c r="AD35" i="61" s="1"/>
  <c r="AB6" i="62" s="1"/>
  <c r="AB11" i="62" s="1"/>
  <c r="AB7" i="59" s="1"/>
  <c r="AB10" i="59" s="1"/>
  <c r="AB12" i="59" s="1"/>
  <c r="AB14" i="59" s="1"/>
  <c r="AB16" i="59" s="1"/>
  <c r="AD19" i="66"/>
  <c r="AI49" i="61"/>
  <c r="AI74" i="61" s="1"/>
  <c r="AG22" i="62" s="1"/>
  <c r="AG27" i="62" s="1"/>
  <c r="AG28" i="59" s="1"/>
  <c r="AG31" i="59" s="1"/>
  <c r="AG33" i="59" s="1"/>
  <c r="AG35" i="59" s="1"/>
  <c r="AG37" i="59" s="1"/>
  <c r="AI43" i="66" s="1"/>
  <c r="AI44" i="66" s="1"/>
  <c r="AI68" i="66" l="1"/>
  <c r="AI37" i="96"/>
  <c r="AI30" i="96"/>
  <c r="AC6" i="59"/>
  <c r="AD17" i="66"/>
  <c r="AD18" i="66" s="1"/>
  <c r="AH27" i="59"/>
  <c r="AI46" i="66"/>
  <c r="AI47" i="66" s="1"/>
  <c r="AH28" i="73" s="1"/>
  <c r="AI56" i="66"/>
  <c r="AD14" i="96" l="1"/>
  <c r="AD7" i="96"/>
  <c r="AD62" i="66"/>
  <c r="AD20" i="66"/>
  <c r="AD21" i="66" s="1"/>
  <c r="AD50" i="66"/>
  <c r="AH30" i="73"/>
  <c r="AH27" i="73"/>
  <c r="AH35" i="73" s="1"/>
  <c r="AJ9" i="60"/>
  <c r="AJ48" i="61" s="1"/>
  <c r="AJ42" i="66" s="1"/>
  <c r="AH29" i="73"/>
  <c r="AH31" i="73"/>
  <c r="AE8" i="60" l="1"/>
  <c r="AC10" i="73"/>
  <c r="AC8" i="73"/>
  <c r="AC9" i="73"/>
  <c r="AC7" i="73"/>
  <c r="AC11" i="73"/>
  <c r="AH34" i="73"/>
  <c r="AJ47" i="61"/>
  <c r="AJ49" i="61" s="1"/>
  <c r="AJ74" i="61" s="1"/>
  <c r="AH22" i="62" s="1"/>
  <c r="AH27" i="62" s="1"/>
  <c r="AH28" i="59" s="1"/>
  <c r="AH31" i="59" s="1"/>
  <c r="AH33" i="59" s="1"/>
  <c r="AH35" i="59" s="1"/>
  <c r="AH37" i="59" s="1"/>
  <c r="AJ43" i="66" s="1"/>
  <c r="AC15" i="73" l="1"/>
  <c r="AC14" i="73"/>
  <c r="AE9" i="61"/>
  <c r="AE8" i="61"/>
  <c r="AJ45" i="66"/>
  <c r="AI27" i="59"/>
  <c r="AJ44" i="66"/>
  <c r="AJ68" i="66" l="1"/>
  <c r="AJ37" i="96"/>
  <c r="AJ30" i="96"/>
  <c r="AE19" i="66"/>
  <c r="AE10" i="61"/>
  <c r="AE35" i="61" s="1"/>
  <c r="AC6" i="62" s="1"/>
  <c r="AC11" i="62" s="1"/>
  <c r="AC7" i="59" s="1"/>
  <c r="AC10" i="59" s="1"/>
  <c r="AC12" i="59" s="1"/>
  <c r="AC14" i="59" s="1"/>
  <c r="AC16" i="59" s="1"/>
  <c r="AE16" i="66"/>
  <c r="AJ46" i="66"/>
  <c r="AJ47" i="66" s="1"/>
  <c r="AI28" i="73" s="1"/>
  <c r="AJ56" i="66"/>
  <c r="AD6" i="59" l="1"/>
  <c r="AE17" i="66"/>
  <c r="AE18" i="66" s="1"/>
  <c r="AK9" i="60"/>
  <c r="AK48" i="61" s="1"/>
  <c r="AK42" i="66" s="1"/>
  <c r="AI29" i="73"/>
  <c r="AI31" i="73"/>
  <c r="AI30" i="73"/>
  <c r="AI27" i="73"/>
  <c r="AI34" i="73" s="1"/>
  <c r="AE14" i="96" l="1"/>
  <c r="AE7" i="96"/>
  <c r="AE62" i="66"/>
  <c r="AE20" i="66"/>
  <c r="AE21" i="66" s="1"/>
  <c r="AE50" i="66"/>
  <c r="AI35" i="73"/>
  <c r="AK47" i="61"/>
  <c r="AK45" i="66" s="1"/>
  <c r="AF8" i="60" l="1"/>
  <c r="AD11" i="73"/>
  <c r="AD8" i="73"/>
  <c r="AD7" i="73"/>
  <c r="AD9" i="73"/>
  <c r="AD10" i="73"/>
  <c r="AK49" i="61"/>
  <c r="AK74" i="61" s="1"/>
  <c r="AI22" i="62" s="1"/>
  <c r="AI27" i="62" s="1"/>
  <c r="AI28" i="59" s="1"/>
  <c r="AI31" i="59" s="1"/>
  <c r="AI33" i="59" s="1"/>
  <c r="AI35" i="59" s="1"/>
  <c r="AI37" i="59" s="1"/>
  <c r="AK43" i="66" s="1"/>
  <c r="AK44" i="66" s="1"/>
  <c r="AK68" i="66" l="1"/>
  <c r="AK37" i="96"/>
  <c r="AK30" i="96"/>
  <c r="AD15" i="73"/>
  <c r="AD14" i="73"/>
  <c r="AF8" i="61"/>
  <c r="AF9" i="61"/>
  <c r="AJ27" i="59"/>
  <c r="AK46" i="66"/>
  <c r="AK47" i="66" s="1"/>
  <c r="AL9" i="60" s="1"/>
  <c r="AL48" i="61" s="1"/>
  <c r="AK56" i="66"/>
  <c r="AF16" i="66" l="1"/>
  <c r="AF19" i="66"/>
  <c r="AF10" i="61"/>
  <c r="AF35" i="61" s="1"/>
  <c r="AD6" i="62" s="1"/>
  <c r="AD11" i="62" s="1"/>
  <c r="AD7" i="59" s="1"/>
  <c r="AD10" i="59" s="1"/>
  <c r="AD12" i="59" s="1"/>
  <c r="AD14" i="59" s="1"/>
  <c r="AD16" i="59" s="1"/>
  <c r="AJ27" i="73"/>
  <c r="AJ34" i="73" s="1"/>
  <c r="AJ30" i="73"/>
  <c r="AJ31" i="73"/>
  <c r="AJ28" i="73"/>
  <c r="AL47" i="61"/>
  <c r="AL45" i="66" s="1"/>
  <c r="AJ29" i="73"/>
  <c r="AL42" i="66"/>
  <c r="AE6" i="59" l="1"/>
  <c r="AF17" i="66"/>
  <c r="AF18" i="66" s="1"/>
  <c r="AL49" i="61"/>
  <c r="AL74" i="61" s="1"/>
  <c r="AJ22" i="62" s="1"/>
  <c r="AJ27" i="62" s="1"/>
  <c r="AJ28" i="59" s="1"/>
  <c r="AJ31" i="59" s="1"/>
  <c r="AJ33" i="59" s="1"/>
  <c r="AJ35" i="59" s="1"/>
  <c r="AJ37" i="59" s="1"/>
  <c r="AL43" i="66" s="1"/>
  <c r="AJ35" i="73"/>
  <c r="AF14" i="96" l="1"/>
  <c r="AF7" i="96"/>
  <c r="AF62" i="66"/>
  <c r="AF20" i="66"/>
  <c r="AF21" i="66" s="1"/>
  <c r="AF50" i="66"/>
  <c r="AK27" i="59"/>
  <c r="AL44" i="66"/>
  <c r="AL68" i="66" l="1"/>
  <c r="AL37" i="96"/>
  <c r="AL30" i="96"/>
  <c r="AG8" i="60"/>
  <c r="AE10" i="73"/>
  <c r="AE9" i="73"/>
  <c r="AE11" i="73"/>
  <c r="AE7" i="73"/>
  <c r="AE8" i="73"/>
  <c r="AL46" i="66"/>
  <c r="AL47" i="66" s="1"/>
  <c r="AK27" i="73" s="1"/>
  <c r="AL56" i="66"/>
  <c r="AE14" i="73" l="1"/>
  <c r="AE15" i="73"/>
  <c r="AG9" i="61"/>
  <c r="AG8" i="61"/>
  <c r="AM9" i="60"/>
  <c r="AM48" i="61" s="1"/>
  <c r="AK28" i="73"/>
  <c r="AK35" i="73" s="1"/>
  <c r="AK31" i="73"/>
  <c r="AK30" i="73"/>
  <c r="AK29" i="73"/>
  <c r="AK34" i="73"/>
  <c r="AG19" i="66" l="1"/>
  <c r="AG10" i="61"/>
  <c r="AG35" i="61" s="1"/>
  <c r="AE6" i="62" s="1"/>
  <c r="AE11" i="62" s="1"/>
  <c r="AE7" i="59" s="1"/>
  <c r="AE10" i="59" s="1"/>
  <c r="AE12" i="59" s="1"/>
  <c r="AE14" i="59" s="1"/>
  <c r="AE16" i="59" s="1"/>
  <c r="AG16" i="66"/>
  <c r="AM47" i="61"/>
  <c r="AM49" i="61" s="1"/>
  <c r="AM74" i="61" s="1"/>
  <c r="AK22" i="62" s="1"/>
  <c r="AK27" i="62" s="1"/>
  <c r="AK28" i="59" s="1"/>
  <c r="AK31" i="59" s="1"/>
  <c r="AK33" i="59" s="1"/>
  <c r="AK35" i="59" s="1"/>
  <c r="AK37" i="59" s="1"/>
  <c r="AM43" i="66" s="1"/>
  <c r="AM42" i="66"/>
  <c r="AF6" i="59" l="1"/>
  <c r="AG17" i="66"/>
  <c r="AG18" i="66" s="1"/>
  <c r="AM45" i="66"/>
  <c r="AL27" i="59"/>
  <c r="AG14" i="96" l="1"/>
  <c r="AG7" i="96"/>
  <c r="AG62" i="66"/>
  <c r="AG20" i="66"/>
  <c r="AG21" i="66" s="1"/>
  <c r="AG50" i="66"/>
  <c r="AM44" i="66"/>
  <c r="AM68" i="66" l="1"/>
  <c r="AM37" i="96"/>
  <c r="AM30" i="96"/>
  <c r="AH8" i="60"/>
  <c r="AF9" i="73"/>
  <c r="AF8" i="73"/>
  <c r="AF11" i="73"/>
  <c r="AF7" i="73"/>
  <c r="AF10" i="73"/>
  <c r="AM46" i="66"/>
  <c r="AM47" i="66" s="1"/>
  <c r="AL29" i="73" s="1"/>
  <c r="AM56" i="66"/>
  <c r="AF14" i="73" l="1"/>
  <c r="AF15" i="73"/>
  <c r="AH8" i="61"/>
  <c r="AH9" i="61"/>
  <c r="AL30" i="73"/>
  <c r="AL28" i="73"/>
  <c r="AL27" i="73"/>
  <c r="AL34" i="73" s="1"/>
  <c r="AN9" i="60"/>
  <c r="AN48" i="61" s="1"/>
  <c r="AL31" i="73"/>
  <c r="AH16" i="66" l="1"/>
  <c r="AH19" i="66"/>
  <c r="AH10" i="61"/>
  <c r="AH35" i="61" s="1"/>
  <c r="AF6" i="62" s="1"/>
  <c r="AF11" i="62" s="1"/>
  <c r="AF7" i="59" s="1"/>
  <c r="AF10" i="59" s="1"/>
  <c r="AF12" i="59" s="1"/>
  <c r="AF14" i="59" s="1"/>
  <c r="AF16" i="59" s="1"/>
  <c r="AL35" i="73"/>
  <c r="AN47" i="61"/>
  <c r="AN49" i="61" s="1"/>
  <c r="AN74" i="61" s="1"/>
  <c r="AL22" i="62" s="1"/>
  <c r="AL27" i="62" s="1"/>
  <c r="AL28" i="59" s="1"/>
  <c r="AL31" i="59" s="1"/>
  <c r="AL33" i="59" s="1"/>
  <c r="AL35" i="59" s="1"/>
  <c r="AL37" i="59" s="1"/>
  <c r="AN43" i="66" s="1"/>
  <c r="AN42" i="66"/>
  <c r="AG6" i="59" l="1"/>
  <c r="AH17" i="66"/>
  <c r="AH18" i="66" s="1"/>
  <c r="AN45" i="66"/>
  <c r="AM27" i="59"/>
  <c r="AH14" i="96" l="1"/>
  <c r="AH7" i="96"/>
  <c r="AH62" i="66"/>
  <c r="AH20" i="66"/>
  <c r="AH21" i="66" s="1"/>
  <c r="AH50" i="66"/>
  <c r="AN44" i="66"/>
  <c r="AN68" i="66" l="1"/>
  <c r="AN37" i="96"/>
  <c r="AN30" i="96"/>
  <c r="AI8" i="60"/>
  <c r="AG10" i="73"/>
  <c r="AG11" i="73"/>
  <c r="AG8" i="73"/>
  <c r="AG7" i="73"/>
  <c r="AG9" i="73"/>
  <c r="AN46" i="66"/>
  <c r="AN47" i="66" s="1"/>
  <c r="AM28" i="73" s="1"/>
  <c r="AN56" i="66"/>
  <c r="AI9" i="61" l="1"/>
  <c r="AI8" i="61"/>
  <c r="AG15" i="73"/>
  <c r="AG14" i="73"/>
  <c r="AM31" i="73"/>
  <c r="AM30" i="73"/>
  <c r="AM27" i="73"/>
  <c r="AM34" i="73" s="1"/>
  <c r="AM29" i="73"/>
  <c r="AO9" i="60"/>
  <c r="AO48" i="61" s="1"/>
  <c r="AI19" i="66" l="1"/>
  <c r="AI10" i="61"/>
  <c r="AI35" i="61" s="1"/>
  <c r="AG6" i="62" s="1"/>
  <c r="AG11" i="62" s="1"/>
  <c r="AG7" i="59" s="1"/>
  <c r="AG10" i="59" s="1"/>
  <c r="AG12" i="59" s="1"/>
  <c r="AG14" i="59" s="1"/>
  <c r="AG16" i="59" s="1"/>
  <c r="AI16" i="66"/>
  <c r="AM35" i="73"/>
  <c r="AO47" i="61"/>
  <c r="AO45" i="66" s="1"/>
  <c r="AO42" i="66"/>
  <c r="AH6" i="59" l="1"/>
  <c r="AI17" i="66"/>
  <c r="AI18" i="66" s="1"/>
  <c r="AO49" i="61"/>
  <c r="AO74" i="61" s="1"/>
  <c r="AM22" i="62" s="1"/>
  <c r="AM27" i="62" s="1"/>
  <c r="AM28" i="59" s="1"/>
  <c r="AM31" i="59" s="1"/>
  <c r="AM33" i="59" s="1"/>
  <c r="AM35" i="59" s="1"/>
  <c r="AM37" i="59" s="1"/>
  <c r="AO43" i="66" s="1"/>
  <c r="AI14" i="96" l="1"/>
  <c r="AI7" i="96"/>
  <c r="AI62" i="66"/>
  <c r="AI20" i="66"/>
  <c r="AI21" i="66" s="1"/>
  <c r="AI50" i="66"/>
  <c r="AN27" i="59"/>
  <c r="AO44" i="66"/>
  <c r="AO68" i="66" l="1"/>
  <c r="AO37" i="96"/>
  <c r="AO30" i="96"/>
  <c r="AJ8" i="60"/>
  <c r="AH11" i="73"/>
  <c r="AH7" i="73"/>
  <c r="AH8" i="73"/>
  <c r="AH9" i="73"/>
  <c r="AH10" i="73"/>
  <c r="AO46" i="66"/>
  <c r="AO47" i="66" s="1"/>
  <c r="AN28" i="73" s="1"/>
  <c r="AO56" i="66"/>
  <c r="AH14" i="73" l="1"/>
  <c r="AH15" i="73"/>
  <c r="AJ9" i="61"/>
  <c r="AJ8" i="61"/>
  <c r="AN31" i="73"/>
  <c r="AN29" i="73"/>
  <c r="AN27" i="73"/>
  <c r="AN35" i="73" s="1"/>
  <c r="AN30" i="73"/>
  <c r="AP9" i="60"/>
  <c r="AP48" i="61" s="1"/>
  <c r="AJ10" i="61" l="1"/>
  <c r="AJ35" i="61" s="1"/>
  <c r="AH6" i="62" s="1"/>
  <c r="AH11" i="62" s="1"/>
  <c r="AH7" i="59" s="1"/>
  <c r="AH10" i="59" s="1"/>
  <c r="AH12" i="59" s="1"/>
  <c r="AH14" i="59" s="1"/>
  <c r="AH16" i="59" s="1"/>
  <c r="AJ19" i="66"/>
  <c r="AJ16" i="66"/>
  <c r="AN34" i="73"/>
  <c r="AP47" i="61"/>
  <c r="AP49" i="61" s="1"/>
  <c r="AP74" i="61" s="1"/>
  <c r="AN22" i="62" s="1"/>
  <c r="AN27" i="62" s="1"/>
  <c r="AN28" i="59" s="1"/>
  <c r="AN31" i="59" s="1"/>
  <c r="AN33" i="59" s="1"/>
  <c r="AN35" i="59" s="1"/>
  <c r="AN37" i="59" s="1"/>
  <c r="AP43" i="66" s="1"/>
  <c r="AP42" i="66"/>
  <c r="AI6" i="59" l="1"/>
  <c r="AJ17" i="66"/>
  <c r="AJ18" i="66" s="1"/>
  <c r="AP45" i="66"/>
  <c r="AO27" i="59"/>
  <c r="AP44" i="66"/>
  <c r="AP68" i="66" l="1"/>
  <c r="AP37" i="96"/>
  <c r="AP30" i="96"/>
  <c r="AJ14" i="96"/>
  <c r="AJ7" i="96"/>
  <c r="AJ62" i="66"/>
  <c r="AJ20" i="66"/>
  <c r="AJ21" i="66" s="1"/>
  <c r="AJ50" i="66"/>
  <c r="AP46" i="66"/>
  <c r="AP47" i="66" s="1"/>
  <c r="AO29" i="73" s="1"/>
  <c r="AP56" i="66"/>
  <c r="AK8" i="60" l="1"/>
  <c r="AI10" i="73"/>
  <c r="AI11" i="73"/>
  <c r="AI8" i="73"/>
  <c r="AI7" i="73"/>
  <c r="AI9" i="73"/>
  <c r="AQ9" i="60"/>
  <c r="AQ48" i="61" s="1"/>
  <c r="AO27" i="73"/>
  <c r="AO34" i="73" s="1"/>
  <c r="AO28" i="73"/>
  <c r="AO31" i="73"/>
  <c r="AO30" i="73"/>
  <c r="AK8" i="61" l="1"/>
  <c r="AK9" i="61"/>
  <c r="AI14" i="73"/>
  <c r="AI15" i="73"/>
  <c r="AO35" i="73"/>
  <c r="AQ47" i="61"/>
  <c r="AQ49" i="61" s="1"/>
  <c r="AQ74" i="61" s="1"/>
  <c r="AO22" i="62" s="1"/>
  <c r="AO27" i="62" s="1"/>
  <c r="AO28" i="59" s="1"/>
  <c r="AO31" i="59" s="1"/>
  <c r="AO33" i="59" s="1"/>
  <c r="AO35" i="59" s="1"/>
  <c r="AO37" i="59" s="1"/>
  <c r="AQ43" i="66" s="1"/>
  <c r="AQ42" i="66"/>
  <c r="AK16" i="66" l="1"/>
  <c r="AK10" i="61"/>
  <c r="AK35" i="61" s="1"/>
  <c r="AI6" i="62" s="1"/>
  <c r="AI11" i="62" s="1"/>
  <c r="AI7" i="59" s="1"/>
  <c r="AI10" i="59" s="1"/>
  <c r="AI12" i="59" s="1"/>
  <c r="AI14" i="59" s="1"/>
  <c r="AI16" i="59" s="1"/>
  <c r="AK19" i="66"/>
  <c r="AQ45" i="66"/>
  <c r="AP27" i="59"/>
  <c r="AQ44" i="66"/>
  <c r="AQ68" i="66" l="1"/>
  <c r="AQ37" i="96"/>
  <c r="AQ30" i="96"/>
  <c r="AJ6" i="59"/>
  <c r="AK17" i="66"/>
  <c r="AK18" i="66" s="1"/>
  <c r="AQ46" i="66"/>
  <c r="AQ47" i="66" s="1"/>
  <c r="AR9" i="60" s="1"/>
  <c r="AR48" i="61" s="1"/>
  <c r="AQ56" i="66"/>
  <c r="AK14" i="96" l="1"/>
  <c r="AK7" i="96"/>
  <c r="AK62" i="66"/>
  <c r="AK20" i="66"/>
  <c r="AK21" i="66" s="1"/>
  <c r="AK50" i="66"/>
  <c r="AP29" i="73"/>
  <c r="AP28" i="73"/>
  <c r="AP31" i="73"/>
  <c r="AP30" i="73"/>
  <c r="AP27" i="73"/>
  <c r="AP34" i="73" s="1"/>
  <c r="AR47" i="61"/>
  <c r="AL8" i="60" l="1"/>
  <c r="AJ8" i="73"/>
  <c r="AJ9" i="73"/>
  <c r="AJ11" i="73"/>
  <c r="AJ10" i="73"/>
  <c r="AJ7" i="73"/>
  <c r="AP35" i="73"/>
  <c r="AR45" i="66"/>
  <c r="AR49" i="61"/>
  <c r="AR74" i="61" s="1"/>
  <c r="AP22" i="62" s="1"/>
  <c r="AP27" i="62" s="1"/>
  <c r="AP28" i="59" s="1"/>
  <c r="AP31" i="59" s="1"/>
  <c r="AP33" i="59" s="1"/>
  <c r="AP35" i="59" s="1"/>
  <c r="AP37" i="59" s="1"/>
  <c r="AR43" i="66" s="1"/>
  <c r="AR42" i="66"/>
  <c r="AL9" i="61" l="1"/>
  <c r="AL8" i="61"/>
  <c r="AJ14" i="73"/>
  <c r="AJ15" i="73"/>
  <c r="AQ27" i="59"/>
  <c r="AR44" i="66"/>
  <c r="AR68" i="66" l="1"/>
  <c r="AR37" i="96"/>
  <c r="AR30" i="96"/>
  <c r="AL10" i="61"/>
  <c r="AL35" i="61" s="1"/>
  <c r="AJ6" i="62" s="1"/>
  <c r="AJ11" i="62" s="1"/>
  <c r="AJ7" i="59" s="1"/>
  <c r="AJ10" i="59" s="1"/>
  <c r="AJ12" i="59" s="1"/>
  <c r="AJ14" i="59" s="1"/>
  <c r="AJ16" i="59" s="1"/>
  <c r="AL19" i="66"/>
  <c r="AL16" i="66"/>
  <c r="AR46" i="66"/>
  <c r="AR47" i="66" s="1"/>
  <c r="AQ31" i="73" s="1"/>
  <c r="AR56" i="66"/>
  <c r="AK6" i="59" l="1"/>
  <c r="AL17" i="66"/>
  <c r="AL18" i="66" s="1"/>
  <c r="AS9" i="60"/>
  <c r="AS48" i="61" s="1"/>
  <c r="AS42" i="66" s="1"/>
  <c r="AQ30" i="73"/>
  <c r="AQ28" i="73"/>
  <c r="AQ27" i="73"/>
  <c r="AQ34" i="73" s="1"/>
  <c r="AQ29" i="73"/>
  <c r="AL7" i="96" l="1"/>
  <c r="AL14" i="96"/>
  <c r="AL62" i="66"/>
  <c r="AL20" i="66"/>
  <c r="AL21" i="66" s="1"/>
  <c r="AL50" i="66"/>
  <c r="AQ35" i="73"/>
  <c r="AS47" i="61"/>
  <c r="AS45" i="66" s="1"/>
  <c r="AU48" i="66"/>
  <c r="AM8" i="60" l="1"/>
  <c r="AK9" i="73"/>
  <c r="AK10" i="73"/>
  <c r="AK11" i="73"/>
  <c r="AK8" i="73"/>
  <c r="AK7" i="73"/>
  <c r="AS49" i="61"/>
  <c r="AS74" i="61" s="1"/>
  <c r="AQ22" i="62" s="1"/>
  <c r="AQ27" i="62" s="1"/>
  <c r="AQ28" i="59" s="1"/>
  <c r="AQ31" i="59" s="1"/>
  <c r="AQ33" i="59" s="1"/>
  <c r="AQ35" i="59" s="1"/>
  <c r="AQ37" i="59" s="1"/>
  <c r="AS43" i="66" s="1"/>
  <c r="AU49" i="66" s="1"/>
  <c r="AK15" i="73" l="1"/>
  <c r="AK14" i="73"/>
  <c r="AM8" i="61"/>
  <c r="AM9" i="61"/>
  <c r="AS44" i="66"/>
  <c r="AS37" i="96" l="1"/>
  <c r="AS30" i="96"/>
  <c r="AM16" i="66"/>
  <c r="AM10" i="61"/>
  <c r="AM35" i="61" s="1"/>
  <c r="AK6" i="62" s="1"/>
  <c r="AK11" i="62" s="1"/>
  <c r="AK7" i="59" s="1"/>
  <c r="AK10" i="59" s="1"/>
  <c r="AK12" i="59" s="1"/>
  <c r="AK14" i="59" s="1"/>
  <c r="AK16" i="59" s="1"/>
  <c r="AM19" i="66"/>
  <c r="E58" i="66"/>
  <c r="AS68" i="66"/>
  <c r="E57" i="66"/>
  <c r="E61" i="66"/>
  <c r="E60" i="66"/>
  <c r="E59" i="66"/>
  <c r="AU50" i="66"/>
  <c r="AS46" i="66"/>
  <c r="AS47" i="66" s="1"/>
  <c r="AS56" i="66"/>
  <c r="E35" i="96" l="1"/>
  <c r="E31" i="96"/>
  <c r="E34" i="96"/>
  <c r="E32" i="96"/>
  <c r="E33" i="96"/>
  <c r="E41" i="96"/>
  <c r="E39" i="96"/>
  <c r="E38" i="96"/>
  <c r="E40" i="96"/>
  <c r="E42" i="96"/>
  <c r="AL6" i="59"/>
  <c r="AM17" i="66"/>
  <c r="AM18" i="66" s="1"/>
  <c r="E71" i="66"/>
  <c r="E69" i="66"/>
  <c r="E72" i="66"/>
  <c r="E70" i="66"/>
  <c r="E73" i="66"/>
  <c r="AM7" i="96" l="1"/>
  <c r="AM14" i="96"/>
  <c r="AM62" i="66"/>
  <c r="AM20" i="66"/>
  <c r="AM21" i="66" s="1"/>
  <c r="AM50" i="66"/>
  <c r="AN8" i="60" l="1"/>
  <c r="AL10" i="73"/>
  <c r="AL11" i="73"/>
  <c r="AL8" i="73"/>
  <c r="AL7" i="73"/>
  <c r="AL9" i="73"/>
  <c r="AN9" i="61" l="1"/>
  <c r="AN8" i="61"/>
  <c r="AL15" i="73"/>
  <c r="AL14" i="73"/>
  <c r="AN10" i="61" l="1"/>
  <c r="AN35" i="61" s="1"/>
  <c r="AL6" i="62" s="1"/>
  <c r="AL11" i="62" s="1"/>
  <c r="AL7" i="59" s="1"/>
  <c r="AL10" i="59" s="1"/>
  <c r="AL12" i="59" s="1"/>
  <c r="AL14" i="59" s="1"/>
  <c r="AL16" i="59" s="1"/>
  <c r="AN19" i="66"/>
  <c r="AN16" i="66"/>
  <c r="AM6" i="59" l="1"/>
  <c r="AN17" i="66"/>
  <c r="AN18" i="66" s="1"/>
  <c r="AN7" i="96" l="1"/>
  <c r="AN14" i="96"/>
  <c r="AN62" i="66"/>
  <c r="AN20" i="66"/>
  <c r="AN21" i="66" s="1"/>
  <c r="AN50" i="66"/>
  <c r="AO8" i="60" l="1"/>
  <c r="AM8" i="73"/>
  <c r="AM10" i="73"/>
  <c r="AM11" i="73"/>
  <c r="AM9" i="73"/>
  <c r="AM7" i="73"/>
  <c r="AM15" i="73" l="1"/>
  <c r="AM14" i="73"/>
  <c r="AO8" i="61"/>
  <c r="AO9" i="61"/>
  <c r="AO16" i="66" l="1"/>
  <c r="AO19" i="66"/>
  <c r="AO10" i="61"/>
  <c r="AO35" i="61" s="1"/>
  <c r="AM6" i="62" s="1"/>
  <c r="AM11" i="62" s="1"/>
  <c r="AM7" i="59" s="1"/>
  <c r="AM10" i="59" s="1"/>
  <c r="AM12" i="59" s="1"/>
  <c r="AM14" i="59" s="1"/>
  <c r="AM16" i="59" s="1"/>
  <c r="AN6" i="59" l="1"/>
  <c r="AO17" i="66"/>
  <c r="AO18" i="66" s="1"/>
  <c r="AO7" i="96" l="1"/>
  <c r="AO14" i="96"/>
  <c r="AO20" i="66"/>
  <c r="AO21" i="66" s="1"/>
  <c r="AO62" i="66"/>
  <c r="AO50" i="66"/>
  <c r="AP8" i="60" l="1"/>
  <c r="AN9" i="73"/>
  <c r="AN8" i="73"/>
  <c r="AN10" i="73"/>
  <c r="AN11" i="73"/>
  <c r="AN7" i="73"/>
  <c r="AN15" i="73" l="1"/>
  <c r="AN14" i="73"/>
  <c r="AP9" i="61"/>
  <c r="AP8" i="61"/>
  <c r="AP10" i="61" l="1"/>
  <c r="AP35" i="61" s="1"/>
  <c r="AN6" i="62" s="1"/>
  <c r="AN11" i="62" s="1"/>
  <c r="AN7" i="59" s="1"/>
  <c r="AN10" i="59" s="1"/>
  <c r="AN12" i="59" s="1"/>
  <c r="AN14" i="59" s="1"/>
  <c r="AN16" i="59" s="1"/>
  <c r="AP19" i="66"/>
  <c r="AP16" i="66"/>
  <c r="AO6" i="59" l="1"/>
  <c r="AP17" i="66"/>
  <c r="AP18" i="66" s="1"/>
  <c r="AP7" i="96" l="1"/>
  <c r="AP14" i="96"/>
  <c r="AP62" i="66"/>
  <c r="AP20" i="66"/>
  <c r="AP21" i="66" s="1"/>
  <c r="AP50" i="66"/>
  <c r="AQ8" i="60" l="1"/>
  <c r="AO10" i="73"/>
  <c r="AO8" i="73"/>
  <c r="AO11" i="73"/>
  <c r="AO7" i="73"/>
  <c r="AO9" i="73"/>
  <c r="AQ8" i="61" l="1"/>
  <c r="AQ9" i="61"/>
  <c r="AO14" i="73"/>
  <c r="AO15" i="73"/>
  <c r="AQ16" i="66" l="1"/>
  <c r="AQ10" i="61"/>
  <c r="AQ35" i="61" s="1"/>
  <c r="AO6" i="62" s="1"/>
  <c r="AO11" i="62" s="1"/>
  <c r="AO7" i="59" s="1"/>
  <c r="AO10" i="59" s="1"/>
  <c r="AO12" i="59" s="1"/>
  <c r="AO14" i="59" s="1"/>
  <c r="AO16" i="59" s="1"/>
  <c r="AQ19" i="66"/>
  <c r="AP6" i="59" l="1"/>
  <c r="AQ17" i="66"/>
  <c r="AQ18" i="66" s="1"/>
  <c r="AQ7" i="96" l="1"/>
  <c r="AQ14" i="96"/>
  <c r="AQ20" i="66"/>
  <c r="AQ21" i="66" s="1"/>
  <c r="AQ62" i="66"/>
  <c r="AQ50" i="66"/>
  <c r="AR8" i="60" l="1"/>
  <c r="AP8" i="73"/>
  <c r="AP11" i="73"/>
  <c r="AP7" i="73"/>
  <c r="AP10" i="73"/>
  <c r="AP9" i="73"/>
  <c r="AP15" i="73" l="1"/>
  <c r="AP14" i="73"/>
  <c r="AR9" i="61"/>
  <c r="AR8" i="61"/>
  <c r="AR19" i="66" l="1"/>
  <c r="AR10" i="61"/>
  <c r="AR35" i="61" s="1"/>
  <c r="AP6" i="62" s="1"/>
  <c r="AP11" i="62" s="1"/>
  <c r="AP7" i="59" s="1"/>
  <c r="AP10" i="59" s="1"/>
  <c r="AP12" i="59" s="1"/>
  <c r="AP14" i="59" s="1"/>
  <c r="AP16" i="59" s="1"/>
  <c r="AR16" i="66"/>
  <c r="AQ6" i="59" l="1"/>
  <c r="AR17" i="66"/>
  <c r="AR18" i="66" s="1"/>
  <c r="AR14" i="96" l="1"/>
  <c r="AR7" i="96"/>
  <c r="AR62" i="66"/>
  <c r="AR20" i="66"/>
  <c r="AR21" i="66" s="1"/>
  <c r="AR50" i="66"/>
  <c r="AS8" i="60" l="1"/>
  <c r="AQ11" i="73"/>
  <c r="AQ8" i="73"/>
  <c r="AQ9" i="73"/>
  <c r="AQ10" i="73"/>
  <c r="AQ7" i="73"/>
  <c r="AQ15" i="73" l="1"/>
  <c r="AQ14" i="73"/>
  <c r="AS9" i="61"/>
  <c r="AS16" i="66" s="1"/>
  <c r="AS8" i="61"/>
  <c r="AS19" i="66" l="1"/>
  <c r="AS10" i="61"/>
  <c r="AS35" i="61" s="1"/>
  <c r="AQ6" i="62" s="1"/>
  <c r="AQ11" i="62" s="1"/>
  <c r="AQ7" i="59" s="1"/>
  <c r="AQ10" i="59" s="1"/>
  <c r="AQ12" i="59" s="1"/>
  <c r="AQ14" i="59" s="1"/>
  <c r="AQ16" i="59" s="1"/>
  <c r="AS17" i="66" s="1"/>
  <c r="AU17" i="66" s="1"/>
  <c r="AU16" i="66"/>
  <c r="AS18" i="66" l="1"/>
  <c r="AS20" i="66" l="1"/>
  <c r="AS21" i="66" s="1"/>
  <c r="AS14" i="96"/>
  <c r="AS7" i="96"/>
  <c r="AS50" i="66"/>
  <c r="E55" i="66"/>
  <c r="E51" i="66"/>
  <c r="E54" i="66"/>
  <c r="AU18" i="66"/>
  <c r="E52" i="66"/>
  <c r="E53" i="66"/>
  <c r="AS62" i="66"/>
  <c r="E63" i="66" s="1"/>
  <c r="E67" i="66" l="1"/>
  <c r="E8" i="96"/>
  <c r="E9" i="96"/>
  <c r="E10" i="96"/>
  <c r="E12" i="96"/>
  <c r="E11" i="96"/>
  <c r="E18" i="96"/>
  <c r="E19" i="96"/>
  <c r="E15" i="96"/>
  <c r="E16" i="96"/>
  <c r="E17" i="96"/>
  <c r="E66" i="66"/>
  <c r="E64" i="66"/>
  <c r="E65" i="66"/>
</calcChain>
</file>

<file path=xl/sharedStrings.xml><?xml version="1.0" encoding="utf-8"?>
<sst xmlns="http://schemas.openxmlformats.org/spreadsheetml/2006/main" count="680" uniqueCount="284">
  <si>
    <t>2026-2065</t>
  </si>
  <si>
    <t>Bullock Pen Water District</t>
  </si>
  <si>
    <t>Base</t>
  </si>
  <si>
    <t>Step 1: Set Model Water Demand and Supply Parameters</t>
  </si>
  <si>
    <t>Initial Water Sales Demand from 2024 Annual Report</t>
  </si>
  <si>
    <t>Initial Water Loss Demand from 2024 Annual Report</t>
  </si>
  <si>
    <t>Initial Annual Water Demand</t>
  </si>
  <si>
    <t>Water Supplier Rate Increase</t>
  </si>
  <si>
    <t>Water Sales Demand Growth Rate</t>
  </si>
  <si>
    <t>Water Loss Demand Growth Rate</t>
  </si>
  <si>
    <t>Peak Day Above Average Day</t>
  </si>
  <si>
    <t>Number of Weeks Peak Demand</t>
  </si>
  <si>
    <t>Percent of Year with Peak Demand</t>
  </si>
  <si>
    <t>Percent of Year with Non-Peak Demand</t>
  </si>
  <si>
    <t>Normal Withdrawal Daily Limit</t>
  </si>
  <si>
    <t>Curtailed Withdrawal Daily Limit</t>
  </si>
  <si>
    <t>Number of Weeks with Curtailed Withdrawal</t>
  </si>
  <si>
    <t>Percent of Year with Curtailed Withdrawal</t>
  </si>
  <si>
    <t>Percent of Year with Uncurtailed Withdrawal</t>
  </si>
  <si>
    <t>City of Williamstown Rate</t>
  </si>
  <si>
    <t>Boone County Water District Rate</t>
  </si>
  <si>
    <t>City of Walton Rate</t>
  </si>
  <si>
    <t>Northern Kentucky Water District Rate</t>
  </si>
  <si>
    <t>New Pipeline Project Water Purchase Rate - Boone-Florence Water Commission</t>
  </si>
  <si>
    <t>New Plant Project Water Purchase Rate - Weighted Average of Existing Suppliers</t>
  </si>
  <si>
    <t>Step 2: Identify Projected Water Demand</t>
  </si>
  <si>
    <t>Projected  Water Sales Demand</t>
  </si>
  <si>
    <t>Projected Water Loss Demand</t>
  </si>
  <si>
    <t>Projected Annual Water Demand</t>
  </si>
  <si>
    <t>Projected Demand Increase Percent</t>
  </si>
  <si>
    <t>Projected Daily Demand</t>
  </si>
  <si>
    <t xml:space="preserve">Step 3: Identify Water Purchased and Produced Until New Project is in Service </t>
  </si>
  <si>
    <t>City of Williamstown Gallons</t>
  </si>
  <si>
    <t>Boone County Water District Gallons</t>
  </si>
  <si>
    <t>City of Walton Gallons</t>
  </si>
  <si>
    <t>Northern Kentucky Water District Gallons</t>
  </si>
  <si>
    <t>Total Initial Water Gallons Purchased</t>
  </si>
  <si>
    <t>Total Initial Water Gallons Produced</t>
  </si>
  <si>
    <t>Total Initial Water Gallons Purchased and Produced</t>
  </si>
  <si>
    <t>Step 4: Identify Minimum Water Purchased After New Project</t>
  </si>
  <si>
    <t>Per Day</t>
  </si>
  <si>
    <t xml:space="preserve">City of Walton Gallons </t>
  </si>
  <si>
    <t xml:space="preserve">Northern Kentucky Water District Gallons </t>
  </si>
  <si>
    <t>* Minimum Purchases</t>
  </si>
  <si>
    <t>Projected Net Demand</t>
  </si>
  <si>
    <t>Step 5: Identify Peak Season Demand Subject to Normal Daily Withdrawal Limit</t>
  </si>
  <si>
    <t>Number of Peak Days Each Year</t>
  </si>
  <si>
    <t>Projected Net Demand for Full Year</t>
  </si>
  <si>
    <t>Projected Net Demand During Peak Season</t>
  </si>
  <si>
    <t xml:space="preserve">Average Daily Net Demand </t>
  </si>
  <si>
    <t xml:space="preserve">Peak Day Demand </t>
  </si>
  <si>
    <t>Peak Daily Purchases</t>
  </si>
  <si>
    <t>* Peak Season Purchases</t>
  </si>
  <si>
    <t>Peak Daily Production</t>
  </si>
  <si>
    <t>** Peak Season Production</t>
  </si>
  <si>
    <t>Step 6: Identify Nonpeak Season Demand Subject to Normal Daily Withdrawal Limit</t>
  </si>
  <si>
    <t>Number of Nonpeak Days Each Year</t>
  </si>
  <si>
    <t>Projected Net Demand  During Nonpeak Season</t>
  </si>
  <si>
    <t>Nonpeak Day Demand</t>
  </si>
  <si>
    <t>Nonpeak Day Purchases</t>
  </si>
  <si>
    <t>* Nonpeak Season Purchases</t>
  </si>
  <si>
    <t>Nonpeak Daily Production</t>
  </si>
  <si>
    <t>** Nonpeak Season Production</t>
  </si>
  <si>
    <t>Step 7: Add Up Purchases and Production Subject to Curtailed Withdrawal Limit</t>
  </si>
  <si>
    <t>* Purchases Prior to Curtailed Withdrawal Limit</t>
  </si>
  <si>
    <t>** Production Prior to Curtailed Withdrawal Limit</t>
  </si>
  <si>
    <t>Total Prior to Curtailed Production</t>
  </si>
  <si>
    <t>Step 8: Identify Production Subject to Curtailed Daily Withdrawal Limit</t>
  </si>
  <si>
    <t>Days of Curtailed Production</t>
  </si>
  <si>
    <t>Production Prior to Curtailed Withdrawal Limit</t>
  </si>
  <si>
    <t>Average Daily Production Prior to Curtailed Daily Withdrawal Limit</t>
  </si>
  <si>
    <t>Curtailed Daily Production</t>
  </si>
  <si>
    <t>Curtailed Daily Purchases</t>
  </si>
  <si>
    <t>* Curtailed Purchases</t>
  </si>
  <si>
    <t>Production Net of Curtailed Purchases</t>
  </si>
  <si>
    <t>Step 9: Compute Final Totals for Build Plant Alternative</t>
  </si>
  <si>
    <t>Purchases</t>
  </si>
  <si>
    <t>Production</t>
  </si>
  <si>
    <t>Total Purchases + Production</t>
  </si>
  <si>
    <t>Total Demand</t>
  </si>
  <si>
    <t>Difference</t>
  </si>
  <si>
    <t>Average Daily Purchases</t>
  </si>
  <si>
    <t>Average Daily Production</t>
  </si>
  <si>
    <t>Percent Purchases</t>
  </si>
  <si>
    <t>Percent Production</t>
  </si>
  <si>
    <t>Total Purchases</t>
  </si>
  <si>
    <t>Minimum Purchases</t>
  </si>
  <si>
    <t>New Purchases</t>
  </si>
  <si>
    <t>Step 10: Compute Final Total for Build Pipeline Alternative</t>
  </si>
  <si>
    <t>TABLE B: FINANCIAL PLAN BASE</t>
  </si>
  <si>
    <t>2024-2025</t>
  </si>
  <si>
    <t>Bullock Pen Water District - Build Plant Alternative</t>
  </si>
  <si>
    <t>2024 Actual *</t>
  </si>
  <si>
    <t>Adjustments</t>
  </si>
  <si>
    <t>2025 Estimated</t>
  </si>
  <si>
    <t>Revenues</t>
  </si>
  <si>
    <t>Sale of Water Revenues</t>
  </si>
  <si>
    <t>Additional Demand</t>
  </si>
  <si>
    <t>Remove Unverified Water Purchase</t>
  </si>
  <si>
    <t>Other Revenues - Penalties &amp; Misc Serv Revenues</t>
  </si>
  <si>
    <t>No Adjustment</t>
  </si>
  <si>
    <t>Total Revenues</t>
  </si>
  <si>
    <t>Expenses</t>
  </si>
  <si>
    <t>Operation and Maintenance Expenses</t>
  </si>
  <si>
    <t>Soure of Supply Operations (excl Purchases)</t>
  </si>
  <si>
    <t>Inflation</t>
  </si>
  <si>
    <t>Water Purchased from Williamstown</t>
  </si>
  <si>
    <t>Water Purchased from Boone County</t>
  </si>
  <si>
    <t>Water Purchased from Walton</t>
  </si>
  <si>
    <t>Water Purchased from Northern Kentucky</t>
  </si>
  <si>
    <t>Water Purchased Balance</t>
  </si>
  <si>
    <t>Source of Supply Maintenance</t>
  </si>
  <si>
    <t>Water Treatment Operations</t>
  </si>
  <si>
    <t>Water Treatment Maintenance</t>
  </si>
  <si>
    <t>Transmission and Distribution Operations</t>
  </si>
  <si>
    <t>Transmission and Distribution Maintenance</t>
  </si>
  <si>
    <t>Customer Accounts</t>
  </si>
  <si>
    <t>Administrative and General</t>
  </si>
  <si>
    <t>Total Operations and Maintenance Expenses</t>
  </si>
  <si>
    <t>Depreciation Expense</t>
  </si>
  <si>
    <t>Amortization and Payroll Taxes</t>
  </si>
  <si>
    <t>Total Expenses</t>
  </si>
  <si>
    <t>Net Operating Income</t>
  </si>
  <si>
    <t xml:space="preserve">* Source: 2024 Annual Report pages 20-21 and 50-52 </t>
  </si>
  <si>
    <t>Check Total</t>
  </si>
  <si>
    <t>Net Income</t>
  </si>
  <si>
    <t>Less Gain from Disposition of Property</t>
  </si>
  <si>
    <t>Less Extraordinary Income</t>
  </si>
  <si>
    <t>Less Interest Income</t>
  </si>
  <si>
    <t>Plus Interest Expense and Amortizaiton</t>
  </si>
  <si>
    <t>TABLE C:  FINANCIAL PLAN INPUTS</t>
  </si>
  <si>
    <t>Model Inputs</t>
  </si>
  <si>
    <t>Beginning Cash Balance YE 2024</t>
  </si>
  <si>
    <t>Rate Case Threshold</t>
  </si>
  <si>
    <t>Rate Increase - New Plant Alternative</t>
  </si>
  <si>
    <t>Rate Increase - New Pipeline Alternative</t>
  </si>
  <si>
    <t>O&amp;M Inflation Factor</t>
  </si>
  <si>
    <t>Capital Inflation Factor (https://fred.stlouisfed.org/series/WPU801104)</t>
  </si>
  <si>
    <t>Operating Reserve Requirement as Percent of O&amp;M</t>
  </si>
  <si>
    <t>Grant Funds</t>
  </si>
  <si>
    <t>Debt Service Years</t>
  </si>
  <si>
    <t>Debt Service Interest Rate</t>
  </si>
  <si>
    <t>Debt Service Coverage</t>
  </si>
  <si>
    <t>Investment Interest Rate</t>
  </si>
  <si>
    <t>Borrowed Funds New Plant</t>
  </si>
  <si>
    <t>New Plant Cost</t>
  </si>
  <si>
    <t>Structures and Improvements as a Percent of New Plant</t>
  </si>
  <si>
    <t>Equipment as a Percent of New Plant</t>
  </si>
  <si>
    <t>Borrowed Funds New Pipeline</t>
  </si>
  <si>
    <t>New Pipeline Cost</t>
  </si>
  <si>
    <t>New Pipeline Size in Inches</t>
  </si>
  <si>
    <t>New Pipeline Length in Feet</t>
  </si>
  <si>
    <t>TABLE D1:  CAPITAL IMPROVEMENT PROGRAM</t>
  </si>
  <si>
    <t>Index Year for Replacement</t>
  </si>
  <si>
    <t>Total</t>
  </si>
  <si>
    <t>New Water Treatment Plant Structures</t>
  </si>
  <si>
    <t>New Water Treatment Plant Equipment</t>
  </si>
  <si>
    <t>Replacement Plant Structures after 37.5 years</t>
  </si>
  <si>
    <t>Replacement Plant Equipment after 27.5 years</t>
  </si>
  <si>
    <t>Assumptions: Construction estimate based upon 2026 costs.  Project costs composed of 50% Structures and 50% Equipment.  Construction begins 1/1/2026.  Production begins 1/1/2028. Replacement after end of depreciable life.</t>
  </si>
  <si>
    <t>TABLE E1:  CAPITAL IMPROVEMENT PROGRAM INDEXED FOR INFLATION</t>
  </si>
  <si>
    <t>Index Year for Inflation</t>
  </si>
  <si>
    <t>TABLE D2:  CAPITAL IMPROVEMENT PROGRAM</t>
  </si>
  <si>
    <t>Bullock Pen Water District - Build Pipeline Alternative</t>
  </si>
  <si>
    <t>New Pipleline</t>
  </si>
  <si>
    <t>Replacement Pipeline after 62.5 years</t>
  </si>
  <si>
    <t>Assumptions: Construction estimate based upon 2026 costs.  Construction begins 1/1/2026.  Production begins 1/1/2028. Replacement after end of depreciable life.</t>
  </si>
  <si>
    <t>TABLE E2:  CAPITAL IMPROVEMENT PROGRAM INDEXED FOR INFLATION</t>
  </si>
  <si>
    <t xml:space="preserve">TABLE F1: USEFUL LIVES FOR CAPITAL IMPROVEMENT PROGRAM  </t>
  </si>
  <si>
    <t>USEFUL</t>
  </si>
  <si>
    <t>LIFE</t>
  </si>
  <si>
    <t xml:space="preserve">TABLE G1:  NEW DEPRECIATION FROM CAPITAL IMPROVEMENT PROGRAM INDEXED FOR INFLATION </t>
  </si>
  <si>
    <t>Year for Depreciation</t>
  </si>
  <si>
    <t>New Depreciation</t>
  </si>
  <si>
    <t xml:space="preserve">TABLE F2: USEFUL LIVES FOR CAPITAL IMPROVEMENT PROGRAM  </t>
  </si>
  <si>
    <t xml:space="preserve">TABLE G2:  NEW DEPRECIATION FROM CAPITAL IMPROVEMENT PROGRAM INDEXED FOR INFLATION </t>
  </si>
  <si>
    <t>TABLE H1: Water Purchase Costs</t>
  </si>
  <si>
    <t>New Purchase Gallons</t>
  </si>
  <si>
    <t>Total Purchase Gallons</t>
  </si>
  <si>
    <t>City of Williamstown Dollars</t>
  </si>
  <si>
    <t>Boone County Water District Dollars</t>
  </si>
  <si>
    <t>City of Walton Dollars</t>
  </si>
  <si>
    <t>Northern Kentucky Water District Dollars</t>
  </si>
  <si>
    <t>New Purchase Dollars</t>
  </si>
  <si>
    <t>Total Purchase Dollars</t>
  </si>
  <si>
    <t>TABLE H2: Water Purchase Costs</t>
  </si>
  <si>
    <t>x</t>
  </si>
  <si>
    <t>TABLE I1: Water Production Costs</t>
  </si>
  <si>
    <t>Water Production Costs</t>
  </si>
  <si>
    <t>Total Water Production Costs</t>
  </si>
  <si>
    <t>Total Water Produced Gallons</t>
  </si>
  <si>
    <t>Total Water Production Costs per Thousand Gallons</t>
  </si>
  <si>
    <t>TABLE I2: Water Production Costs</t>
  </si>
  <si>
    <t>TABLE J1: Transmission and Distribution Costs</t>
  </si>
  <si>
    <t>Existing Transmission and Distribution Costs</t>
  </si>
  <si>
    <t>Total Existing Transmission and Distribution Costs</t>
  </si>
  <si>
    <t>New Transmission and Distribution Operation and Maintenance Costs</t>
  </si>
  <si>
    <t>Total Transmission and Distribution Operation and Maintenance Costs</t>
  </si>
  <si>
    <t>TABLE J2: Transmission and Distribution Costs</t>
  </si>
  <si>
    <t>Existing Pipeline in Feet</t>
  </si>
  <si>
    <t>Feet</t>
  </si>
  <si>
    <t>Miles</t>
  </si>
  <si>
    <t>Inch Miles</t>
  </si>
  <si>
    <t>Inch</t>
  </si>
  <si>
    <t>Total Existing Pipeline in Feet</t>
  </si>
  <si>
    <t>Total Existing Transmission and Distribution Cost Per Inch Mile</t>
  </si>
  <si>
    <t>New Pipeline</t>
  </si>
  <si>
    <t>Table K: Current Debt Service</t>
  </si>
  <si>
    <t>KRW Series 2005B Phase 8</t>
  </si>
  <si>
    <t>KRW Series 2005B Phase 10</t>
  </si>
  <si>
    <t>KIA Loan #F07-09 DWSRF #3</t>
  </si>
  <si>
    <t>KIA Loan #F11-05 DWSRF #4</t>
  </si>
  <si>
    <t>KIA Loan #F14-08 DWSRF #5</t>
  </si>
  <si>
    <t>Total Debt Service</t>
  </si>
  <si>
    <t>Coverage</t>
  </si>
  <si>
    <t>Table K1: New Debt Service</t>
  </si>
  <si>
    <t>Initial Plant Construction - Part 1</t>
  </si>
  <si>
    <t>Initial Plant Construction - Part 2</t>
  </si>
  <si>
    <t>Replacement</t>
  </si>
  <si>
    <t>Total Debt Service and Coverage</t>
  </si>
  <si>
    <t>Table K2: New Debt Service</t>
  </si>
  <si>
    <t>TABLE L1: PROFORMA REVENUE REQUIREMENT AND RATE INCREASE</t>
  </si>
  <si>
    <t>Current Depreciation Expense</t>
  </si>
  <si>
    <t>New Depreciation Expense</t>
  </si>
  <si>
    <t>Current Debt Service</t>
  </si>
  <si>
    <t>Current Coverage</t>
  </si>
  <si>
    <t>New Debt Service</t>
  </si>
  <si>
    <t>New Coverage</t>
  </si>
  <si>
    <t>Total Revenue Requirement</t>
  </si>
  <si>
    <t>Other Operating Revenue</t>
  </si>
  <si>
    <t>Interest Income</t>
  </si>
  <si>
    <t>Revenue Requirement from Water Sales</t>
  </si>
  <si>
    <t>Current Water Sales</t>
  </si>
  <si>
    <t>Additional Revenue Requirement</t>
  </si>
  <si>
    <t>Rate Increase to be Implemented Following Year</t>
  </si>
  <si>
    <t>TABLE L2: PROFORMA REVENUE REQUIREMENT AND RATE INCREASE</t>
  </si>
  <si>
    <t>Cummulative Revenue Requirement from Water Sales</t>
  </si>
  <si>
    <t>Present Value Plant Alternative</t>
  </si>
  <si>
    <t>Present Value Pipeline Alternative</t>
  </si>
  <si>
    <t>Revenue Requirement Excluding Depreciation</t>
  </si>
  <si>
    <t>TABLE M1: PROFORMA INCOME STATEMENT</t>
  </si>
  <si>
    <t>Other Revenues</t>
  </si>
  <si>
    <t>New Source of Supply and Water Treatment Expenses</t>
  </si>
  <si>
    <t>New Water Purchased Expenses</t>
  </si>
  <si>
    <t>New Transmssion and Distribution O&amp;M</t>
  </si>
  <si>
    <t>Other Expenses</t>
  </si>
  <si>
    <t>TABLE M2: PROFORMA INCOME STATEMENT</t>
  </si>
  <si>
    <t>New Water Purchases</t>
  </si>
  <si>
    <t>TABLE N1: CASH GENERATED FROM OPERATIONS</t>
  </si>
  <si>
    <t>Plus Current Depreciation</t>
  </si>
  <si>
    <t>Plus New Depreciation</t>
  </si>
  <si>
    <t>Less Current Debt Service</t>
  </si>
  <si>
    <t>Less New Debt Service</t>
  </si>
  <si>
    <t>Cash Generated from Operations</t>
  </si>
  <si>
    <t>TABLE N2: CASH GENERATED FROM OPERATIONS</t>
  </si>
  <si>
    <t xml:space="preserve">Less New Debt Service </t>
  </si>
  <si>
    <t>TABLE O1: FINANCIAL PLAN FOR FUNDING CAPITAL IMPROVEMENTS</t>
  </si>
  <si>
    <t>Beginning Cash Balance</t>
  </si>
  <si>
    <t>Plus Cash Generated from Operations</t>
  </si>
  <si>
    <t>Plus Grant Funds</t>
  </si>
  <si>
    <t>Less Operating Reserve</t>
  </si>
  <si>
    <t>Cash Available for Capital Improvements</t>
  </si>
  <si>
    <t>Less Indexed Capital Improvements</t>
  </si>
  <si>
    <t>Ending Funds Prior to Borrowing</t>
  </si>
  <si>
    <t>Plus Borrowed Funds</t>
  </si>
  <si>
    <t>Ending Funds After Borrowing</t>
  </si>
  <si>
    <t>Plus Operating Reserve</t>
  </si>
  <si>
    <t>Ending Cash Balance</t>
  </si>
  <si>
    <t>TABLE O2: FINANCIAL PLAN FOR FUNDING CAPITAL IMPROVEMENTS</t>
  </si>
  <si>
    <t>TABLE P1: PROJECTED WATER RATES</t>
  </si>
  <si>
    <t>Monthly Water Rates - 5/8 X 3/4 Inch Meter</t>
  </si>
  <si>
    <t>First</t>
  </si>
  <si>
    <t>Gallons Minimum Bill</t>
  </si>
  <si>
    <t xml:space="preserve">Next </t>
  </si>
  <si>
    <t>Gallons Per Gallon</t>
  </si>
  <si>
    <t>Over</t>
  </si>
  <si>
    <t>Monthly Bill Examples</t>
  </si>
  <si>
    <t>Minimum Bill</t>
  </si>
  <si>
    <t>Typical Residential Using 3,500 Gallons per Month</t>
  </si>
  <si>
    <t xml:space="preserve">TABLE P2: PROJECTED WATER RATES </t>
  </si>
  <si>
    <t>TABLE Q1: PRESENT VALUE ANALYSIS</t>
  </si>
  <si>
    <t>Present Value</t>
  </si>
  <si>
    <t>TABLE Q2: PRESENT VALUE ANALYSIS</t>
  </si>
  <si>
    <t>Table A: Water Demand and Supply 2026-2065 Bullock Pen Water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</si>
</sst>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&quot;$&quot;* #,##0.00000_);_(&quot;$&quot;* \(#,##0.00000\);_(&quot;$&quot;* &quot;-&quot;??_);_(@_)"/>
  </numFmts>
  <fonts count="3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u val="singleAccounting"/>
      <sz val="11"/>
      <name val="Calibri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37">
    <xf numFmtId="0" fontId="0" fillId="0" borderId="0" xfId="0"/>
    <xf numFmtId="165" fontId="5" fillId="0" borderId="0" xfId="1" applyNumberFormat="1" applyFont="1"/>
    <xf numFmtId="165" fontId="9" fillId="0" borderId="0" xfId="1" applyNumberFormat="1" applyFont="1"/>
    <xf numFmtId="165" fontId="11" fillId="0" borderId="0" xfId="1" applyNumberFormat="1" applyFont="1"/>
    <xf numFmtId="165" fontId="5" fillId="0" borderId="0" xfId="1" applyNumberFormat="1" applyFont="1" applyAlignment="1">
      <alignment horizontal="centerContinuous" vertical="center"/>
    </xf>
    <xf numFmtId="165" fontId="5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1" applyNumberFormat="1" applyFont="1" applyFill="1"/>
    <xf numFmtId="165" fontId="7" fillId="0" borderId="0" xfId="1" applyNumberFormat="1" applyFont="1" applyAlignment="1">
      <alignment horizontal="right" vertical="center"/>
    </xf>
    <xf numFmtId="0" fontId="7" fillId="0" borderId="0" xfId="1" applyNumberFormat="1" applyFont="1" applyAlignment="1">
      <alignment horizontal="right" vertical="center"/>
    </xf>
    <xf numFmtId="165" fontId="2" fillId="0" borderId="0" xfId="1" applyNumberFormat="1" applyFont="1"/>
    <xf numFmtId="165" fontId="14" fillId="0" borderId="0" xfId="1" applyNumberFormat="1" applyFont="1" applyAlignment="1">
      <alignment vertical="center"/>
    </xf>
    <xf numFmtId="165" fontId="7" fillId="0" borderId="0" xfId="1" applyNumberFormat="1" applyFont="1"/>
    <xf numFmtId="165" fontId="15" fillId="0" borderId="0" xfId="1" applyNumberFormat="1" applyFont="1"/>
    <xf numFmtId="0" fontId="15" fillId="0" borderId="0" xfId="0" applyFont="1"/>
    <xf numFmtId="0" fontId="5" fillId="0" borderId="0" xfId="1" applyNumberFormat="1" applyFont="1" applyFill="1"/>
    <xf numFmtId="164" fontId="5" fillId="0" borderId="0" xfId="2" applyNumberFormat="1" applyFont="1" applyFill="1"/>
    <xf numFmtId="0" fontId="7" fillId="0" borderId="0" xfId="1" applyNumberFormat="1" applyFont="1" applyFill="1"/>
    <xf numFmtId="165" fontId="7" fillId="0" borderId="0" xfId="1" applyNumberFormat="1" applyFont="1" applyFill="1" applyAlignment="1">
      <alignment horizontal="right"/>
    </xf>
    <xf numFmtId="0" fontId="13" fillId="0" borderId="0" xfId="1" applyNumberFormat="1" applyFont="1" applyFill="1" applyAlignment="1">
      <alignment horizontal="right" vertical="center"/>
    </xf>
    <xf numFmtId="0" fontId="19" fillId="0" borderId="0" xfId="0" applyFont="1"/>
    <xf numFmtId="165" fontId="5" fillId="0" borderId="0" xfId="5" applyNumberFormat="1" applyFont="1" applyAlignment="1">
      <alignment vertical="center"/>
    </xf>
    <xf numFmtId="164" fontId="5" fillId="0" borderId="0" xfId="2" applyNumberFormat="1" applyFont="1"/>
    <xf numFmtId="165" fontId="9" fillId="0" borderId="0" xfId="1" applyNumberFormat="1" applyFont="1" applyAlignment="1">
      <alignment vertical="center"/>
    </xf>
    <xf numFmtId="0" fontId="3" fillId="0" borderId="0" xfId="0" applyFont="1"/>
    <xf numFmtId="0" fontId="5" fillId="0" borderId="0" xfId="0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5" fillId="0" borderId="0" xfId="5" applyNumberFormat="1" applyFont="1" applyAlignment="1">
      <alignment vertical="center"/>
    </xf>
    <xf numFmtId="0" fontId="5" fillId="0" borderId="0" xfId="1" applyNumberFormat="1" applyFont="1" applyAlignment="1">
      <alignment horizontal="left"/>
    </xf>
    <xf numFmtId="165" fontId="5" fillId="0" borderId="1" xfId="1" applyNumberFormat="1" applyFont="1" applyFill="1" applyBorder="1" applyAlignment="1">
      <alignment vertical="center"/>
    </xf>
    <xf numFmtId="0" fontId="7" fillId="0" borderId="0" xfId="0" applyFont="1"/>
    <xf numFmtId="166" fontId="5" fillId="0" borderId="0" xfId="3" applyNumberFormat="1" applyFont="1" applyFill="1"/>
    <xf numFmtId="164" fontId="15" fillId="0" borderId="0" xfId="2" applyNumberFormat="1" applyFont="1" applyFill="1"/>
    <xf numFmtId="165" fontId="13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right" vertical="center"/>
    </xf>
    <xf numFmtId="0" fontId="16" fillId="0" borderId="0" xfId="0" applyFont="1" applyAlignment="1">
      <alignment horizontal="left" vertical="top"/>
    </xf>
    <xf numFmtId="165" fontId="5" fillId="0" borderId="0" xfId="0" applyNumberFormat="1" applyFont="1"/>
    <xf numFmtId="0" fontId="17" fillId="0" borderId="0" xfId="0" applyFont="1"/>
    <xf numFmtId="0" fontId="19" fillId="0" borderId="0" xfId="0" applyFont="1" applyAlignment="1">
      <alignment horizontal="right"/>
    </xf>
    <xf numFmtId="165" fontId="15" fillId="0" borderId="0" xfId="1" applyNumberFormat="1" applyFont="1" applyFill="1" applyBorder="1"/>
    <xf numFmtId="164" fontId="5" fillId="2" borderId="0" xfId="2" applyNumberFormat="1" applyFont="1" applyFill="1"/>
    <xf numFmtId="166" fontId="5" fillId="2" borderId="0" xfId="3" applyNumberFormat="1" applyFont="1" applyFill="1"/>
    <xf numFmtId="165" fontId="16" fillId="2" borderId="0" xfId="1" applyNumberFormat="1" applyFont="1" applyFill="1" applyAlignment="1">
      <alignment horizontal="left" vertical="top"/>
    </xf>
    <xf numFmtId="164" fontId="15" fillId="2" borderId="0" xfId="2" applyNumberFormat="1" applyFont="1" applyFill="1"/>
    <xf numFmtId="0" fontId="5" fillId="2" borderId="0" xfId="0" applyFont="1" applyFill="1"/>
    <xf numFmtId="165" fontId="5" fillId="2" borderId="0" xfId="5" applyNumberFormat="1" applyFont="1" applyFill="1"/>
    <xf numFmtId="0" fontId="5" fillId="2" borderId="0" xfId="5" applyNumberFormat="1" applyFont="1" applyFill="1"/>
    <xf numFmtId="0" fontId="15" fillId="2" borderId="0" xfId="0" applyFont="1" applyFill="1"/>
    <xf numFmtId="165" fontId="5" fillId="2" borderId="0" xfId="1" applyNumberFormat="1" applyFont="1" applyFill="1"/>
    <xf numFmtId="165" fontId="9" fillId="2" borderId="0" xfId="1" applyNumberFormat="1" applyFont="1" applyFill="1"/>
    <xf numFmtId="165" fontId="14" fillId="2" borderId="0" xfId="1" applyNumberFormat="1" applyFont="1" applyFill="1"/>
    <xf numFmtId="166" fontId="15" fillId="2" borderId="0" xfId="3" applyNumberFormat="1" applyFont="1" applyFill="1"/>
    <xf numFmtId="166" fontId="15" fillId="0" borderId="0" xfId="3" applyNumberFormat="1" applyFont="1" applyFill="1"/>
    <xf numFmtId="165" fontId="16" fillId="0" borderId="0" xfId="1" applyNumberFormat="1" applyFont="1" applyFill="1" applyAlignment="1">
      <alignment horizontal="left" vertical="top"/>
    </xf>
    <xf numFmtId="9" fontId="16" fillId="0" borderId="0" xfId="3" applyFont="1" applyFill="1" applyAlignment="1">
      <alignment horizontal="right" vertical="top"/>
    </xf>
    <xf numFmtId="165" fontId="6" fillId="0" borderId="0" xfId="1" applyNumberFormat="1" applyFont="1" applyFill="1" applyAlignment="1">
      <alignment horizontal="left" vertical="center"/>
    </xf>
    <xf numFmtId="165" fontId="10" fillId="0" borderId="0" xfId="1" applyNumberFormat="1" applyFont="1" applyFill="1" applyAlignment="1">
      <alignment horizontal="left" vertical="center"/>
    </xf>
    <xf numFmtId="165" fontId="5" fillId="0" borderId="1" xfId="1" applyNumberFormat="1" applyFont="1" applyFill="1" applyBorder="1"/>
    <xf numFmtId="0" fontId="7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/>
    <xf numFmtId="0" fontId="5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/>
    <xf numFmtId="166" fontId="16" fillId="2" borderId="0" xfId="3" applyNumberFormat="1" applyFont="1" applyFill="1" applyAlignment="1">
      <alignment horizontal="right" vertical="top"/>
    </xf>
    <xf numFmtId="49" fontId="5" fillId="0" borderId="0" xfId="1" applyNumberFormat="1" applyFont="1" applyFill="1"/>
    <xf numFmtId="49" fontId="5" fillId="0" borderId="0" xfId="1" applyNumberFormat="1" applyFont="1" applyAlignment="1">
      <alignment vertical="center"/>
    </xf>
    <xf numFmtId="165" fontId="21" fillId="0" borderId="0" xfId="1" applyNumberFormat="1" applyFont="1"/>
    <xf numFmtId="49" fontId="15" fillId="0" borderId="0" xfId="0" applyNumberFormat="1" applyFont="1"/>
    <xf numFmtId="0" fontId="15" fillId="0" borderId="0" xfId="0" applyFont="1" applyAlignment="1">
      <alignment horizontal="left"/>
    </xf>
    <xf numFmtId="165" fontId="22" fillId="0" borderId="0" xfId="1" applyNumberFormat="1" applyFont="1" applyAlignment="1">
      <alignment horizontal="right"/>
    </xf>
    <xf numFmtId="165" fontId="15" fillId="0" borderId="0" xfId="1" applyNumberFormat="1" applyFont="1" applyFill="1"/>
    <xf numFmtId="165" fontId="23" fillId="0" borderId="0" xfId="1" applyNumberFormat="1" applyFont="1" applyFill="1" applyAlignment="1">
      <alignment horizontal="center" vertical="center"/>
    </xf>
    <xf numFmtId="0" fontId="23" fillId="0" borderId="0" xfId="1" applyNumberFormat="1" applyFont="1" applyFill="1" applyAlignment="1">
      <alignment horizontal="right" vertical="center"/>
    </xf>
    <xf numFmtId="0" fontId="19" fillId="0" borderId="0" xfId="1" applyNumberFormat="1" applyFont="1" applyFill="1" applyAlignment="1">
      <alignment horizontal="right" vertical="center"/>
    </xf>
    <xf numFmtId="49" fontId="15" fillId="0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166" fontId="24" fillId="0" borderId="0" xfId="3" applyNumberFormat="1" applyFont="1" applyFill="1"/>
    <xf numFmtId="49" fontId="15" fillId="0" borderId="0" xfId="1" applyNumberFormat="1" applyFont="1"/>
    <xf numFmtId="44" fontId="15" fillId="0" borderId="0" xfId="2" applyFont="1" applyBorder="1"/>
    <xf numFmtId="44" fontId="15" fillId="0" borderId="0" xfId="0" applyNumberFormat="1" applyFont="1"/>
    <xf numFmtId="165" fontId="19" fillId="0" borderId="0" xfId="1" applyNumberFormat="1" applyFont="1" applyFill="1" applyAlignment="1">
      <alignment horizontal="center" vertical="center"/>
    </xf>
    <xf numFmtId="49" fontId="19" fillId="0" borderId="0" xfId="1" applyNumberFormat="1" applyFont="1" applyFill="1" applyAlignment="1">
      <alignment horizontal="center" vertical="center"/>
    </xf>
    <xf numFmtId="167" fontId="15" fillId="0" borderId="0" xfId="1" applyNumberFormat="1" applyFont="1"/>
    <xf numFmtId="167" fontId="15" fillId="2" borderId="0" xfId="1" applyNumberFormat="1" applyFont="1" applyFill="1"/>
    <xf numFmtId="165" fontId="15" fillId="2" borderId="0" xfId="1" applyNumberFormat="1" applyFont="1" applyFill="1"/>
    <xf numFmtId="165" fontId="15" fillId="0" borderId="0" xfId="0" applyNumberFormat="1" applyFont="1"/>
    <xf numFmtId="166" fontId="15" fillId="0" borderId="0" xfId="3" applyNumberFormat="1" applyFont="1"/>
    <xf numFmtId="49" fontId="25" fillId="0" borderId="0" xfId="0" applyNumberFormat="1" applyFont="1"/>
    <xf numFmtId="49" fontId="25" fillId="0" borderId="0" xfId="1" applyNumberFormat="1" applyFont="1"/>
    <xf numFmtId="49" fontId="25" fillId="0" borderId="0" xfId="1" applyNumberFormat="1" applyFont="1" applyFill="1"/>
    <xf numFmtId="165" fontId="15" fillId="2" borderId="1" xfId="1" applyNumberFormat="1" applyFont="1" applyFill="1" applyBorder="1"/>
    <xf numFmtId="167" fontId="15" fillId="0" borderId="0" xfId="1" applyNumberFormat="1" applyFont="1" applyFill="1"/>
    <xf numFmtId="165" fontId="15" fillId="0" borderId="1" xfId="1" applyNumberFormat="1" applyFont="1" applyFill="1" applyBorder="1"/>
    <xf numFmtId="44" fontId="22" fillId="2" borderId="0" xfId="2" applyFont="1" applyFill="1" applyBorder="1" applyAlignment="1">
      <alignment horizontal="right"/>
    </xf>
    <xf numFmtId="44" fontId="15" fillId="2" borderId="0" xfId="2" applyFont="1" applyFill="1" applyBorder="1"/>
    <xf numFmtId="44" fontId="15" fillId="0" borderId="0" xfId="2" applyFont="1" applyFill="1" applyBorder="1"/>
    <xf numFmtId="0" fontId="25" fillId="0" borderId="0" xfId="0" applyFont="1" applyAlignment="1">
      <alignment horizontal="left"/>
    </xf>
    <xf numFmtId="10" fontId="15" fillId="0" borderId="0" xfId="3" applyNumberFormat="1" applyFont="1"/>
    <xf numFmtId="49" fontId="19" fillId="0" borderId="0" xfId="1" applyNumberFormat="1" applyFont="1"/>
    <xf numFmtId="165" fontId="19" fillId="0" borderId="0" xfId="1" applyNumberFormat="1" applyFont="1"/>
    <xf numFmtId="165" fontId="19" fillId="0" borderId="0" xfId="1" applyNumberFormat="1" applyFont="1" applyFill="1"/>
    <xf numFmtId="49" fontId="19" fillId="0" borderId="0" xfId="0" applyNumberFormat="1" applyFont="1"/>
    <xf numFmtId="165" fontId="19" fillId="0" borderId="0" xfId="1" applyNumberFormat="1" applyFont="1" applyFill="1" applyAlignment="1">
      <alignment horizontal="right"/>
    </xf>
    <xf numFmtId="49" fontId="15" fillId="0" borderId="0" xfId="0" applyNumberFormat="1" applyFont="1" applyAlignment="1">
      <alignment horizontal="left"/>
    </xf>
    <xf numFmtId="165" fontId="19" fillId="0" borderId="0" xfId="0" applyNumberFormat="1" applyFont="1"/>
    <xf numFmtId="165" fontId="15" fillId="0" borderId="1" xfId="0" applyNumberFormat="1" applyFont="1" applyBorder="1"/>
    <xf numFmtId="165" fontId="15" fillId="0" borderId="1" xfId="1" applyNumberFormat="1" applyFont="1" applyBorder="1"/>
    <xf numFmtId="165" fontId="15" fillId="0" borderId="0" xfId="1" applyNumberFormat="1" applyFont="1" applyBorder="1"/>
    <xf numFmtId="165" fontId="19" fillId="0" borderId="1" xfId="1" applyNumberFormat="1" applyFont="1" applyBorder="1"/>
    <xf numFmtId="165" fontId="22" fillId="0" borderId="1" xfId="1" applyNumberFormat="1" applyFont="1" applyBorder="1" applyAlignment="1">
      <alignment horizontal="right"/>
    </xf>
    <xf numFmtId="165" fontId="19" fillId="0" borderId="1" xfId="0" applyNumberFormat="1" applyFont="1" applyBorder="1"/>
    <xf numFmtId="165" fontId="22" fillId="2" borderId="0" xfId="1" applyNumberFormat="1" applyFont="1" applyFill="1" applyAlignment="1">
      <alignment horizontal="right"/>
    </xf>
    <xf numFmtId="165" fontId="22" fillId="2" borderId="1" xfId="1" applyNumberFormat="1" applyFont="1" applyFill="1" applyBorder="1" applyAlignment="1">
      <alignment horizontal="right"/>
    </xf>
    <xf numFmtId="165" fontId="22" fillId="0" borderId="0" xfId="1" applyNumberFormat="1" applyFont="1" applyBorder="1" applyAlignment="1">
      <alignment horizontal="right"/>
    </xf>
    <xf numFmtId="49" fontId="18" fillId="0" borderId="0" xfId="1" applyNumberFormat="1" applyFont="1" applyFill="1" applyAlignment="1">
      <alignment horizontal="center" vertical="center"/>
    </xf>
    <xf numFmtId="165" fontId="26" fillId="0" borderId="0" xfId="1" applyNumberFormat="1" applyFont="1"/>
    <xf numFmtId="165" fontId="26" fillId="0" borderId="0" xfId="1" applyNumberFormat="1" applyFont="1" applyFill="1"/>
    <xf numFmtId="165" fontId="17" fillId="0" borderId="0" xfId="1" applyNumberFormat="1" applyFont="1"/>
    <xf numFmtId="165" fontId="17" fillId="0" borderId="0" xfId="1" applyNumberFormat="1" applyFont="1" applyFill="1"/>
    <xf numFmtId="165" fontId="28" fillId="0" borderId="0" xfId="1" applyNumberFormat="1" applyFont="1"/>
    <xf numFmtId="165" fontId="16" fillId="0" borderId="0" xfId="1" applyNumberFormat="1" applyFont="1" applyAlignment="1">
      <alignment horizontal="left" vertical="top"/>
    </xf>
    <xf numFmtId="165" fontId="9" fillId="0" borderId="0" xfId="1" applyNumberFormat="1" applyFont="1" applyFill="1" applyAlignment="1">
      <alignment vertical="center"/>
    </xf>
    <xf numFmtId="0" fontId="7" fillId="0" borderId="0" xfId="5" applyNumberFormat="1" applyFont="1" applyAlignment="1">
      <alignment vertical="center"/>
    </xf>
    <xf numFmtId="44" fontId="22" fillId="0" borderId="0" xfId="2" applyFont="1" applyFill="1" applyBorder="1" applyAlignment="1">
      <alignment horizontal="right"/>
    </xf>
    <xf numFmtId="165" fontId="22" fillId="0" borderId="1" xfId="1" applyNumberFormat="1" applyFont="1" applyFill="1" applyBorder="1" applyAlignment="1">
      <alignment horizontal="right"/>
    </xf>
    <xf numFmtId="165" fontId="19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right"/>
    </xf>
    <xf numFmtId="10" fontId="15" fillId="0" borderId="0" xfId="3" applyNumberFormat="1" applyFont="1" applyFill="1" applyBorder="1"/>
    <xf numFmtId="165" fontId="19" fillId="0" borderId="0" xfId="1" applyNumberFormat="1" applyFont="1" applyBorder="1"/>
    <xf numFmtId="164" fontId="15" fillId="0" borderId="0" xfId="0" applyNumberFormat="1" applyFont="1"/>
    <xf numFmtId="164" fontId="15" fillId="0" borderId="1" xfId="0" applyNumberFormat="1" applyFont="1" applyBorder="1"/>
    <xf numFmtId="164" fontId="22" fillId="0" borderId="0" xfId="2" applyNumberFormat="1" applyFont="1" applyBorder="1" applyAlignment="1">
      <alignment horizontal="right"/>
    </xf>
    <xf numFmtId="165" fontId="15" fillId="0" borderId="0" xfId="1" quotePrefix="1" applyNumberFormat="1" applyFont="1"/>
    <xf numFmtId="43" fontId="15" fillId="0" borderId="0" xfId="1" applyFont="1" applyBorder="1"/>
    <xf numFmtId="0" fontId="25" fillId="0" borderId="0" xfId="0" applyFont="1" applyAlignment="1">
      <alignment horizontal="right"/>
    </xf>
    <xf numFmtId="10" fontId="15" fillId="0" borderId="0" xfId="3" applyNumberFormat="1" applyFont="1" applyBorder="1"/>
    <xf numFmtId="165" fontId="15" fillId="0" borderId="0" xfId="1" quotePrefix="1" applyNumberFormat="1" applyFont="1" applyBorder="1"/>
    <xf numFmtId="164" fontId="15" fillId="0" borderId="0" xfId="2" applyNumberFormat="1" applyFont="1" applyFill="1" applyBorder="1"/>
    <xf numFmtId="164" fontId="22" fillId="0" borderId="0" xfId="2" applyNumberFormat="1" applyFont="1" applyFill="1" applyBorder="1" applyAlignment="1">
      <alignment horizontal="right"/>
    </xf>
    <xf numFmtId="164" fontId="15" fillId="0" borderId="1" xfId="2" applyNumberFormat="1" applyFont="1" applyFill="1" applyBorder="1"/>
    <xf numFmtId="168" fontId="22" fillId="0" borderId="0" xfId="2" applyNumberFormat="1" applyFont="1" applyFill="1" applyBorder="1" applyAlignment="1">
      <alignment horizontal="right"/>
    </xf>
    <xf numFmtId="168" fontId="15" fillId="0" borderId="0" xfId="2" applyNumberFormat="1" applyFont="1" applyBorder="1"/>
    <xf numFmtId="164" fontId="15" fillId="0" borderId="0" xfId="2" applyNumberFormat="1" applyFont="1" applyBorder="1"/>
    <xf numFmtId="44" fontId="15" fillId="0" borderId="1" xfId="2" applyFont="1" applyBorder="1"/>
    <xf numFmtId="164" fontId="15" fillId="0" borderId="1" xfId="2" applyNumberFormat="1" applyFont="1" applyBorder="1"/>
    <xf numFmtId="0" fontId="15" fillId="0" borderId="0" xfId="0" applyFont="1" applyAlignment="1">
      <alignment horizontal="right"/>
    </xf>
    <xf numFmtId="43" fontId="15" fillId="0" borderId="1" xfId="1" applyFont="1" applyBorder="1"/>
    <xf numFmtId="165" fontId="7" fillId="0" borderId="0" xfId="0" applyNumberFormat="1" applyFont="1"/>
    <xf numFmtId="164" fontId="19" fillId="0" borderId="0" xfId="2" applyNumberFormat="1" applyFont="1" applyFill="1" applyBorder="1"/>
    <xf numFmtId="164" fontId="19" fillId="0" borderId="0" xfId="2" applyNumberFormat="1" applyFont="1" applyBorder="1"/>
    <xf numFmtId="0" fontId="5" fillId="0" borderId="0" xfId="1" applyNumberFormat="1" applyFont="1"/>
    <xf numFmtId="0" fontId="5" fillId="2" borderId="0" xfId="1" applyNumberFormat="1" applyFont="1" applyFill="1"/>
    <xf numFmtId="0" fontId="7" fillId="0" borderId="0" xfId="1" applyNumberFormat="1" applyFont="1"/>
    <xf numFmtId="0" fontId="16" fillId="0" borderId="0" xfId="1" applyNumberFormat="1" applyFont="1" applyAlignment="1">
      <alignment horizontal="left" vertical="top"/>
    </xf>
    <xf numFmtId="0" fontId="5" fillId="0" borderId="0" xfId="2" applyNumberFormat="1" applyFont="1" applyFill="1"/>
    <xf numFmtId="165" fontId="29" fillId="0" borderId="0" xfId="1" applyNumberFormat="1" applyFont="1"/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/>
    </xf>
    <xf numFmtId="165" fontId="9" fillId="0" borderId="0" xfId="1" applyNumberFormat="1" applyFont="1" applyFill="1"/>
    <xf numFmtId="0" fontId="5" fillId="0" borderId="0" xfId="1" applyNumberFormat="1" applyFont="1" applyFill="1" applyAlignment="1">
      <alignment horizontal="left"/>
    </xf>
    <xf numFmtId="166" fontId="16" fillId="0" borderId="0" xfId="3" applyNumberFormat="1" applyFont="1" applyFill="1" applyAlignment="1">
      <alignment horizontal="right" vertical="top"/>
    </xf>
    <xf numFmtId="0" fontId="5" fillId="2" borderId="0" xfId="1" applyNumberFormat="1" applyFont="1" applyFill="1" applyAlignment="1">
      <alignment vertical="center"/>
    </xf>
    <xf numFmtId="165" fontId="5" fillId="2" borderId="0" xfId="0" applyNumberFormat="1" applyFont="1" applyFill="1"/>
    <xf numFmtId="0" fontId="17" fillId="2" borderId="0" xfId="0" applyFont="1" applyFill="1"/>
    <xf numFmtId="49" fontId="15" fillId="2" borderId="0" xfId="0" applyNumberFormat="1" applyFont="1" applyFill="1"/>
    <xf numFmtId="44" fontId="15" fillId="2" borderId="0" xfId="0" applyNumberFormat="1" applyFont="1" applyFill="1"/>
    <xf numFmtId="165" fontId="15" fillId="2" borderId="0" xfId="1" applyNumberFormat="1" applyFont="1" applyFill="1" applyBorder="1"/>
    <xf numFmtId="0" fontId="15" fillId="2" borderId="0" xfId="0" applyFont="1" applyFill="1" applyAlignment="1">
      <alignment horizontal="right"/>
    </xf>
    <xf numFmtId="165" fontId="22" fillId="2" borderId="0" xfId="1" applyNumberFormat="1" applyFont="1" applyFill="1" applyBorder="1" applyAlignment="1">
      <alignment horizontal="right"/>
    </xf>
    <xf numFmtId="43" fontId="15" fillId="2" borderId="0" xfId="1" applyFont="1" applyFill="1" applyBorder="1"/>
    <xf numFmtId="165" fontId="15" fillId="2" borderId="0" xfId="1" quotePrefix="1" applyNumberFormat="1" applyFont="1" applyFill="1" applyBorder="1"/>
    <xf numFmtId="0" fontId="15" fillId="0" borderId="0" xfId="1" applyNumberFormat="1" applyFont="1" applyFill="1" applyAlignment="1">
      <alignment horizontal="left"/>
    </xf>
    <xf numFmtId="1" fontId="15" fillId="0" borderId="0" xfId="1" applyNumberFormat="1" applyFont="1" applyFill="1" applyAlignment="1">
      <alignment horizontal="left"/>
    </xf>
    <xf numFmtId="165" fontId="20" fillId="0" borderId="0" xfId="0" applyNumberFormat="1" applyFont="1"/>
    <xf numFmtId="0" fontId="3" fillId="3" borderId="0" xfId="0" applyFont="1" applyFill="1"/>
    <xf numFmtId="0" fontId="0" fillId="3" borderId="0" xfId="0" applyFill="1"/>
    <xf numFmtId="0" fontId="5" fillId="4" borderId="0" xfId="0" applyFont="1" applyFill="1"/>
    <xf numFmtId="165" fontId="7" fillId="2" borderId="0" xfId="1" applyNumberFormat="1" applyFont="1" applyFill="1"/>
    <xf numFmtId="164" fontId="1" fillId="0" borderId="0" xfId="2" applyNumberFormat="1" applyFont="1"/>
    <xf numFmtId="165" fontId="7" fillId="0" borderId="0" xfId="1" applyNumberFormat="1" applyFont="1" applyAlignment="1">
      <alignment horizontal="centerContinuous" vertical="center"/>
    </xf>
    <xf numFmtId="165" fontId="5" fillId="0" borderId="0" xfId="2" applyNumberFormat="1" applyFont="1"/>
    <xf numFmtId="165" fontId="5" fillId="2" borderId="0" xfId="2" applyNumberFormat="1" applyFont="1" applyFill="1"/>
    <xf numFmtId="44" fontId="5" fillId="0" borderId="0" xfId="2" applyFont="1"/>
    <xf numFmtId="168" fontId="5" fillId="0" borderId="0" xfId="2" applyNumberFormat="1" applyFont="1"/>
    <xf numFmtId="43" fontId="15" fillId="0" borderId="0" xfId="0" applyNumberFormat="1" applyFont="1"/>
    <xf numFmtId="49" fontId="7" fillId="0" borderId="0" xfId="1" applyNumberFormat="1" applyFont="1" applyFill="1"/>
    <xf numFmtId="165" fontId="7" fillId="0" borderId="0" xfId="1" applyNumberFormat="1" applyFont="1" applyFill="1"/>
    <xf numFmtId="0" fontId="30" fillId="0" borderId="0" xfId="0" applyFont="1"/>
    <xf numFmtId="164" fontId="5" fillId="0" borderId="1" xfId="2" applyNumberFormat="1" applyFont="1" applyBorder="1"/>
    <xf numFmtId="10" fontId="7" fillId="0" borderId="0" xfId="3" applyNumberFormat="1" applyFont="1"/>
    <xf numFmtId="10" fontId="5" fillId="0" borderId="0" xfId="3" applyNumberFormat="1" applyFont="1" applyFill="1"/>
    <xf numFmtId="165" fontId="5" fillId="0" borderId="0" xfId="1" applyNumberFormat="1" applyFont="1" applyBorder="1"/>
    <xf numFmtId="8" fontId="5" fillId="0" borderId="0" xfId="0" applyNumberFormat="1" applyFont="1"/>
    <xf numFmtId="0" fontId="5" fillId="0" borderId="0" xfId="0" applyFont="1" applyAlignment="1">
      <alignment horizontal="right"/>
    </xf>
    <xf numFmtId="8" fontId="15" fillId="0" borderId="0" xfId="0" applyNumberFormat="1" applyFont="1"/>
    <xf numFmtId="166" fontId="15" fillId="0" borderId="0" xfId="3" applyNumberFormat="1" applyFont="1" applyAlignment="1">
      <alignment horizontal="right"/>
    </xf>
    <xf numFmtId="6" fontId="15" fillId="0" borderId="0" xfId="0" applyNumberFormat="1" applyFont="1"/>
    <xf numFmtId="165" fontId="0" fillId="0" borderId="0" xfId="0" applyNumberFormat="1"/>
    <xf numFmtId="164" fontId="15" fillId="0" borderId="0" xfId="2" applyNumberFormat="1" applyFont="1"/>
    <xf numFmtId="49" fontId="15" fillId="0" borderId="0" xfId="2" applyNumberFormat="1" applyFont="1"/>
    <xf numFmtId="165" fontId="18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" fillId="0" borderId="0" xfId="1" applyNumberFormat="1" applyFont="1" applyFill="1"/>
    <xf numFmtId="165" fontId="1" fillId="2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0" fontId="1" fillId="0" borderId="0" xfId="3" applyNumberFormat="1" applyFont="1" applyFill="1"/>
    <xf numFmtId="166" fontId="1" fillId="0" borderId="0" xfId="3" applyNumberFormat="1" applyFont="1" applyFill="1"/>
    <xf numFmtId="165" fontId="1" fillId="0" borderId="0" xfId="1" applyNumberFormat="1" applyFont="1"/>
    <xf numFmtId="165" fontId="1" fillId="2" borderId="0" xfId="1" applyNumberFormat="1" applyFont="1" applyFill="1"/>
    <xf numFmtId="165" fontId="1" fillId="0" borderId="0" xfId="1" applyNumberFormat="1" applyFont="1" applyAlignment="1">
      <alignment vertical="center"/>
    </xf>
    <xf numFmtId="165" fontId="5" fillId="0" borderId="0" xfId="5" applyNumberFormat="1" applyFont="1"/>
    <xf numFmtId="165" fontId="10" fillId="0" borderId="0" xfId="5" applyNumberFormat="1" applyFont="1" applyAlignment="1">
      <alignment horizontal="center" vertical="center"/>
    </xf>
    <xf numFmtId="165" fontId="11" fillId="0" borderId="0" xfId="5" applyNumberFormat="1" applyFont="1"/>
    <xf numFmtId="165" fontId="5" fillId="0" borderId="0" xfId="5" applyNumberFormat="1" applyFont="1" applyAlignment="1">
      <alignment horizontal="centerContinuous" vertical="center"/>
    </xf>
    <xf numFmtId="0" fontId="13" fillId="0" borderId="0" xfId="5" applyNumberFormat="1" applyFont="1" applyFill="1" applyAlignment="1">
      <alignment horizontal="right" vertical="center"/>
    </xf>
    <xf numFmtId="49" fontId="5" fillId="0" borderId="0" xfId="5" applyNumberFormat="1" applyFont="1" applyAlignment="1">
      <alignment vertical="center"/>
    </xf>
    <xf numFmtId="166" fontId="15" fillId="0" borderId="0" xfId="7" applyNumberFormat="1" applyFont="1" applyAlignment="1">
      <alignment horizontal="right"/>
    </xf>
    <xf numFmtId="166" fontId="15" fillId="0" borderId="0" xfId="7" applyNumberFormat="1" applyFont="1"/>
    <xf numFmtId="0" fontId="6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0" xfId="5" applyNumberFormat="1" applyFont="1" applyAlignment="1">
      <alignment horizontal="center" vertical="center"/>
    </xf>
    <xf numFmtId="165" fontId="6" fillId="0" borderId="0" xfId="5" applyNumberFormat="1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0.xml"/><Relationship Id="rId26" Type="http://schemas.openxmlformats.org/officeDocument/2006/relationships/chartsheet" Target="chartsheets/sheet11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2.xml"/><Relationship Id="rId34" Type="http://schemas.microsoft.com/office/2017/10/relationships/person" Target="persons/person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7.xml"/><Relationship Id="rId17" Type="http://schemas.openxmlformats.org/officeDocument/2006/relationships/chartsheet" Target="chartsheets/sheet8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1.xml"/><Relationship Id="rId29" Type="http://schemas.openxmlformats.org/officeDocument/2006/relationships/chartsheet" Target="chartsheets/sheet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5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worksheet" Target="worksheets/sheet2.xml"/><Relationship Id="rId15" Type="http://schemas.openxmlformats.org/officeDocument/2006/relationships/chartsheet" Target="chartsheets/sheet7.xml"/><Relationship Id="rId23" Type="http://schemas.openxmlformats.org/officeDocument/2006/relationships/worksheet" Target="worksheets/sheet14.xml"/><Relationship Id="rId28" Type="http://schemas.openxmlformats.org/officeDocument/2006/relationships/chartsheet" Target="chartsheets/sheet13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9.xml"/><Relationship Id="rId31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chartsheet" Target="chartsheets/sheet12.xml"/><Relationship Id="rId30" Type="http://schemas.openxmlformats.org/officeDocument/2006/relationships/chartsheet" Target="chartsheets/sheet15.xml"/><Relationship Id="rId35" Type="http://schemas.openxmlformats.org/officeDocument/2006/relationships/calcChain" Target="calcChain.xml"/><Relationship Id="rId8" Type="http://schemas.openxmlformats.org/officeDocument/2006/relationships/worksheet" Target="worksheets/sheet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Demand Gallons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2081845019277"/>
          <c:y val="0.10032703900268868"/>
          <c:w val="0.84765489680400063"/>
          <c:h val="0.7380080392179339"/>
        </c:manualLayout>
      </c:layout>
      <c:barChart>
        <c:barDir val="col"/>
        <c:grouping val="stacked"/>
        <c:varyColors val="0"/>
        <c:ser>
          <c:idx val="1"/>
          <c:order val="0"/>
          <c:tx>
            <c:v>Water Loss Demand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Inputs'!$C$27:$AP$27</c:f>
              <c:numCache>
                <c:formatCode>_(* #,##0_);_(* \(#,##0\);_(* "-"??_);_(@_)</c:formatCode>
                <c:ptCount val="40"/>
                <c:pt idx="0">
                  <c:v>143474514</c:v>
                </c:pt>
                <c:pt idx="1">
                  <c:v>143474514</c:v>
                </c:pt>
                <c:pt idx="2">
                  <c:v>143474514</c:v>
                </c:pt>
                <c:pt idx="3">
                  <c:v>143474514</c:v>
                </c:pt>
                <c:pt idx="4">
                  <c:v>143474514</c:v>
                </c:pt>
                <c:pt idx="5">
                  <c:v>143474514</c:v>
                </c:pt>
                <c:pt idx="6">
                  <c:v>143474514</c:v>
                </c:pt>
                <c:pt idx="7">
                  <c:v>143474514</c:v>
                </c:pt>
                <c:pt idx="8">
                  <c:v>143474514</c:v>
                </c:pt>
                <c:pt idx="9">
                  <c:v>143474514</c:v>
                </c:pt>
                <c:pt idx="10">
                  <c:v>143474514</c:v>
                </c:pt>
                <c:pt idx="11">
                  <c:v>143474514</c:v>
                </c:pt>
                <c:pt idx="12">
                  <c:v>143474514</c:v>
                </c:pt>
                <c:pt idx="13">
                  <c:v>143474514</c:v>
                </c:pt>
                <c:pt idx="14">
                  <c:v>143474514</c:v>
                </c:pt>
                <c:pt idx="15">
                  <c:v>143474514</c:v>
                </c:pt>
                <c:pt idx="16">
                  <c:v>143474514</c:v>
                </c:pt>
                <c:pt idx="17">
                  <c:v>143474514</c:v>
                </c:pt>
                <c:pt idx="18">
                  <c:v>143474514</c:v>
                </c:pt>
                <c:pt idx="19">
                  <c:v>143474514</c:v>
                </c:pt>
                <c:pt idx="20">
                  <c:v>143474514</c:v>
                </c:pt>
                <c:pt idx="21">
                  <c:v>143474514</c:v>
                </c:pt>
                <c:pt idx="22">
                  <c:v>143474514</c:v>
                </c:pt>
                <c:pt idx="23">
                  <c:v>143474514</c:v>
                </c:pt>
                <c:pt idx="24">
                  <c:v>143474514</c:v>
                </c:pt>
                <c:pt idx="25">
                  <c:v>143474514</c:v>
                </c:pt>
                <c:pt idx="26">
                  <c:v>143474514</c:v>
                </c:pt>
                <c:pt idx="27">
                  <c:v>143474514</c:v>
                </c:pt>
                <c:pt idx="28">
                  <c:v>143474514</c:v>
                </c:pt>
                <c:pt idx="29">
                  <c:v>143474514</c:v>
                </c:pt>
                <c:pt idx="30">
                  <c:v>143474514</c:v>
                </c:pt>
                <c:pt idx="31">
                  <c:v>143474514</c:v>
                </c:pt>
                <c:pt idx="32">
                  <c:v>143474514</c:v>
                </c:pt>
                <c:pt idx="33">
                  <c:v>143474514</c:v>
                </c:pt>
                <c:pt idx="34">
                  <c:v>143474514</c:v>
                </c:pt>
                <c:pt idx="35">
                  <c:v>143474514</c:v>
                </c:pt>
                <c:pt idx="36">
                  <c:v>143474514</c:v>
                </c:pt>
                <c:pt idx="37">
                  <c:v>143474514</c:v>
                </c:pt>
                <c:pt idx="38">
                  <c:v>143474514</c:v>
                </c:pt>
                <c:pt idx="39">
                  <c:v>143474514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F-42B8-A5BA-30FAD4EDBF4F}"/>
            </c:ext>
          </c:extLst>
        </c:ser>
        <c:ser>
          <c:idx val="0"/>
          <c:order val="1"/>
          <c:tx>
            <c:v>Water Sales Demand</c:v>
          </c:tx>
          <c:spPr>
            <a:solidFill>
              <a:schemeClr val="accent4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val>
            <c:numRef>
              <c:f>'Demand Inputs'!$C$26:$AP$26</c:f>
              <c:numCache>
                <c:formatCode>_(* #,##0_);_(* \(#,##0\);_(* "-"??_);_(@_)</c:formatCode>
                <c:ptCount val="40"/>
                <c:pt idx="0">
                  <c:v>403007450</c:v>
                </c:pt>
                <c:pt idx="1">
                  <c:v>413082636</c:v>
                </c:pt>
                <c:pt idx="2">
                  <c:v>423409702</c:v>
                </c:pt>
                <c:pt idx="3">
                  <c:v>433994945</c:v>
                </c:pt>
                <c:pt idx="4">
                  <c:v>444844819</c:v>
                </c:pt>
                <c:pt idx="5">
                  <c:v>455965939</c:v>
                </c:pt>
                <c:pt idx="6">
                  <c:v>467365087</c:v>
                </c:pt>
                <c:pt idx="7">
                  <c:v>479049214</c:v>
                </c:pt>
                <c:pt idx="8">
                  <c:v>491025444</c:v>
                </c:pt>
                <c:pt idx="9">
                  <c:v>503301080</c:v>
                </c:pt>
                <c:pt idx="10">
                  <c:v>515883607</c:v>
                </c:pt>
                <c:pt idx="11">
                  <c:v>528780697</c:v>
                </c:pt>
                <c:pt idx="12">
                  <c:v>542000214</c:v>
                </c:pt>
                <c:pt idx="13">
                  <c:v>555550219</c:v>
                </c:pt>
                <c:pt idx="14">
                  <c:v>569438974</c:v>
                </c:pt>
                <c:pt idx="15">
                  <c:v>583674948</c:v>
                </c:pt>
                <c:pt idx="16">
                  <c:v>598266822</c:v>
                </c:pt>
                <c:pt idx="17">
                  <c:v>613223493</c:v>
                </c:pt>
                <c:pt idx="18">
                  <c:v>628554080</c:v>
                </c:pt>
                <c:pt idx="19">
                  <c:v>644267932</c:v>
                </c:pt>
                <c:pt idx="20">
                  <c:v>660374630</c:v>
                </c:pt>
                <c:pt idx="21">
                  <c:v>676883996</c:v>
                </c:pt>
                <c:pt idx="22">
                  <c:v>693806096</c:v>
                </c:pt>
                <c:pt idx="23">
                  <c:v>711151248</c:v>
                </c:pt>
                <c:pt idx="24">
                  <c:v>728930029</c:v>
                </c:pt>
                <c:pt idx="25">
                  <c:v>747153280</c:v>
                </c:pt>
                <c:pt idx="26">
                  <c:v>765832112</c:v>
                </c:pt>
                <c:pt idx="27">
                  <c:v>784977915</c:v>
                </c:pt>
                <c:pt idx="28">
                  <c:v>804602363</c:v>
                </c:pt>
                <c:pt idx="29">
                  <c:v>824717422</c:v>
                </c:pt>
                <c:pt idx="30">
                  <c:v>845335358</c:v>
                </c:pt>
                <c:pt idx="31">
                  <c:v>866468742</c:v>
                </c:pt>
                <c:pt idx="32">
                  <c:v>888130461</c:v>
                </c:pt>
                <c:pt idx="33">
                  <c:v>910333723</c:v>
                </c:pt>
                <c:pt idx="34">
                  <c:v>933092066</c:v>
                </c:pt>
                <c:pt idx="35">
                  <c:v>956419368</c:v>
                </c:pt>
                <c:pt idx="36">
                  <c:v>980329852</c:v>
                </c:pt>
                <c:pt idx="37">
                  <c:v>1004838098</c:v>
                </c:pt>
                <c:pt idx="38">
                  <c:v>1029959050</c:v>
                </c:pt>
                <c:pt idx="39">
                  <c:v>1055708026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F-42B8-A5BA-30FAD4EDB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408944"/>
        <c:axId val="1341409424"/>
      </c:barChart>
      <c:catAx>
        <c:axId val="134140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9424"/>
        <c:crosses val="autoZero"/>
        <c:auto val="1"/>
        <c:lblAlgn val="ctr"/>
        <c:lblOffset val="100"/>
        <c:noMultiLvlLbl val="0"/>
      </c:catAx>
      <c:valAx>
        <c:axId val="1341409424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Monthly Minimum Bills 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9125190568438427"/>
          <c:w val="0.88744031390407507"/>
          <c:h val="0.64471436067711818"/>
        </c:manualLayout>
      </c:layout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Rates'!$D$14:$AQ$14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31.24</c:v>
                </c:pt>
                <c:pt idx="2">
                  <c:v>35.119999999999997</c:v>
                </c:pt>
                <c:pt idx="3">
                  <c:v>37.119999999999997</c:v>
                </c:pt>
                <c:pt idx="4">
                  <c:v>37.119999999999997</c:v>
                </c:pt>
                <c:pt idx="5">
                  <c:v>37.119999999999997</c:v>
                </c:pt>
                <c:pt idx="6">
                  <c:v>37.119999999999997</c:v>
                </c:pt>
                <c:pt idx="7">
                  <c:v>37.119999999999997</c:v>
                </c:pt>
                <c:pt idx="8">
                  <c:v>37.119999999999997</c:v>
                </c:pt>
                <c:pt idx="9">
                  <c:v>37.119999999999997</c:v>
                </c:pt>
                <c:pt idx="10">
                  <c:v>37.119999999999997</c:v>
                </c:pt>
                <c:pt idx="11">
                  <c:v>37.119999999999997</c:v>
                </c:pt>
                <c:pt idx="12">
                  <c:v>37.119999999999997</c:v>
                </c:pt>
                <c:pt idx="13">
                  <c:v>37.119999999999997</c:v>
                </c:pt>
                <c:pt idx="14">
                  <c:v>37.119999999999997</c:v>
                </c:pt>
                <c:pt idx="15">
                  <c:v>37.119999999999997</c:v>
                </c:pt>
                <c:pt idx="16">
                  <c:v>37.119999999999997</c:v>
                </c:pt>
                <c:pt idx="17">
                  <c:v>37.119999999999997</c:v>
                </c:pt>
                <c:pt idx="18">
                  <c:v>37.119999999999997</c:v>
                </c:pt>
                <c:pt idx="19">
                  <c:v>37.119999999999997</c:v>
                </c:pt>
                <c:pt idx="20">
                  <c:v>37.119999999999997</c:v>
                </c:pt>
                <c:pt idx="21">
                  <c:v>37.119999999999997</c:v>
                </c:pt>
                <c:pt idx="22">
                  <c:v>37.119999999999997</c:v>
                </c:pt>
                <c:pt idx="23">
                  <c:v>37.119999999999997</c:v>
                </c:pt>
                <c:pt idx="24">
                  <c:v>37.119999999999997</c:v>
                </c:pt>
                <c:pt idx="25">
                  <c:v>37.56</c:v>
                </c:pt>
                <c:pt idx="26">
                  <c:v>38.06</c:v>
                </c:pt>
                <c:pt idx="27">
                  <c:v>38.58</c:v>
                </c:pt>
                <c:pt idx="28">
                  <c:v>39.130000000000003</c:v>
                </c:pt>
                <c:pt idx="29">
                  <c:v>39.71</c:v>
                </c:pt>
                <c:pt idx="30">
                  <c:v>40.01</c:v>
                </c:pt>
                <c:pt idx="31">
                  <c:v>42.54</c:v>
                </c:pt>
                <c:pt idx="32">
                  <c:v>42.54</c:v>
                </c:pt>
                <c:pt idx="33">
                  <c:v>42.54</c:v>
                </c:pt>
                <c:pt idx="34">
                  <c:v>42.82</c:v>
                </c:pt>
                <c:pt idx="35">
                  <c:v>43.53</c:v>
                </c:pt>
                <c:pt idx="36">
                  <c:v>44.27</c:v>
                </c:pt>
                <c:pt idx="37">
                  <c:v>45.04</c:v>
                </c:pt>
                <c:pt idx="38">
                  <c:v>45.84</c:v>
                </c:pt>
                <c:pt idx="39">
                  <c:v>46.68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6-483D-865A-7C9C7326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Rates'!$D$34:$AQ$34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30.98</c:v>
                </c:pt>
                <c:pt idx="2">
                  <c:v>34.57</c:v>
                </c:pt>
                <c:pt idx="3">
                  <c:v>37.17</c:v>
                </c:pt>
                <c:pt idx="4">
                  <c:v>37.17</c:v>
                </c:pt>
                <c:pt idx="5">
                  <c:v>37.17</c:v>
                </c:pt>
                <c:pt idx="6">
                  <c:v>37.17</c:v>
                </c:pt>
                <c:pt idx="7">
                  <c:v>37.17</c:v>
                </c:pt>
                <c:pt idx="8">
                  <c:v>37.17</c:v>
                </c:pt>
                <c:pt idx="9">
                  <c:v>37.17</c:v>
                </c:pt>
                <c:pt idx="10">
                  <c:v>37.17</c:v>
                </c:pt>
                <c:pt idx="11">
                  <c:v>37.17</c:v>
                </c:pt>
                <c:pt idx="12">
                  <c:v>37.17</c:v>
                </c:pt>
                <c:pt idx="13">
                  <c:v>37.17</c:v>
                </c:pt>
                <c:pt idx="14">
                  <c:v>37.17</c:v>
                </c:pt>
                <c:pt idx="15">
                  <c:v>37.17</c:v>
                </c:pt>
                <c:pt idx="16">
                  <c:v>37.17</c:v>
                </c:pt>
                <c:pt idx="17">
                  <c:v>37.17</c:v>
                </c:pt>
                <c:pt idx="18">
                  <c:v>37.17</c:v>
                </c:pt>
                <c:pt idx="19">
                  <c:v>37.17</c:v>
                </c:pt>
                <c:pt idx="20">
                  <c:v>37.17</c:v>
                </c:pt>
                <c:pt idx="21">
                  <c:v>37.409999999999997</c:v>
                </c:pt>
                <c:pt idx="22">
                  <c:v>37.79</c:v>
                </c:pt>
                <c:pt idx="23">
                  <c:v>38.159999999999997</c:v>
                </c:pt>
                <c:pt idx="24">
                  <c:v>38.56</c:v>
                </c:pt>
                <c:pt idx="25">
                  <c:v>38.97</c:v>
                </c:pt>
                <c:pt idx="26">
                  <c:v>39.409999999999997</c:v>
                </c:pt>
                <c:pt idx="27">
                  <c:v>39.880000000000003</c:v>
                </c:pt>
                <c:pt idx="28">
                  <c:v>40.369999999999997</c:v>
                </c:pt>
                <c:pt idx="29">
                  <c:v>40.869999999999997</c:v>
                </c:pt>
                <c:pt idx="30">
                  <c:v>41.39</c:v>
                </c:pt>
                <c:pt idx="31">
                  <c:v>41.39</c:v>
                </c:pt>
                <c:pt idx="32">
                  <c:v>41.39</c:v>
                </c:pt>
                <c:pt idx="33">
                  <c:v>41.39</c:v>
                </c:pt>
                <c:pt idx="34">
                  <c:v>41.39</c:v>
                </c:pt>
                <c:pt idx="35">
                  <c:v>41.39</c:v>
                </c:pt>
                <c:pt idx="36">
                  <c:v>41.99</c:v>
                </c:pt>
                <c:pt idx="37">
                  <c:v>42.78</c:v>
                </c:pt>
                <c:pt idx="38">
                  <c:v>43.58</c:v>
                </c:pt>
                <c:pt idx="39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6-483D-865A-7C9C7326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1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Typical Residential Monthly Bills Using 3,500 Gallons</a:t>
            </a:r>
          </a:p>
        </c:rich>
      </c:tx>
      <c:layout>
        <c:manualLayout>
          <c:xMode val="edge"/>
          <c:yMode val="edge"/>
          <c:x val="0.14177501716208085"/>
          <c:y val="6.06571220058307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8923000161752326"/>
          <c:w val="0.83212221734893177"/>
          <c:h val="0.63662674440967404"/>
        </c:manualLayout>
      </c:layout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Rates'!$D$15:$AQ$15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47.05</c:v>
                </c:pt>
                <c:pt idx="2">
                  <c:v>52.894999999999996</c:v>
                </c:pt>
                <c:pt idx="3">
                  <c:v>55.9</c:v>
                </c:pt>
                <c:pt idx="4">
                  <c:v>55.9</c:v>
                </c:pt>
                <c:pt idx="5">
                  <c:v>55.9</c:v>
                </c:pt>
                <c:pt idx="6">
                  <c:v>55.9</c:v>
                </c:pt>
                <c:pt idx="7">
                  <c:v>55.9</c:v>
                </c:pt>
                <c:pt idx="8">
                  <c:v>55.9</c:v>
                </c:pt>
                <c:pt idx="9">
                  <c:v>55.9</c:v>
                </c:pt>
                <c:pt idx="10">
                  <c:v>55.9</c:v>
                </c:pt>
                <c:pt idx="11">
                  <c:v>55.9</c:v>
                </c:pt>
                <c:pt idx="12">
                  <c:v>55.9</c:v>
                </c:pt>
                <c:pt idx="13">
                  <c:v>55.9</c:v>
                </c:pt>
                <c:pt idx="14">
                  <c:v>55.9</c:v>
                </c:pt>
                <c:pt idx="15">
                  <c:v>55.9</c:v>
                </c:pt>
                <c:pt idx="16">
                  <c:v>55.9</c:v>
                </c:pt>
                <c:pt idx="17">
                  <c:v>55.9</c:v>
                </c:pt>
                <c:pt idx="18">
                  <c:v>55.9</c:v>
                </c:pt>
                <c:pt idx="19">
                  <c:v>55.9</c:v>
                </c:pt>
                <c:pt idx="20">
                  <c:v>55.9</c:v>
                </c:pt>
                <c:pt idx="21">
                  <c:v>55.9</c:v>
                </c:pt>
                <c:pt idx="22">
                  <c:v>55.9</c:v>
                </c:pt>
                <c:pt idx="23">
                  <c:v>55.9</c:v>
                </c:pt>
                <c:pt idx="24">
                  <c:v>55.9</c:v>
                </c:pt>
                <c:pt idx="25">
                  <c:v>56.565000000000005</c:v>
                </c:pt>
                <c:pt idx="26">
                  <c:v>57.320000000000007</c:v>
                </c:pt>
                <c:pt idx="27">
                  <c:v>58.11</c:v>
                </c:pt>
                <c:pt idx="28">
                  <c:v>58.930000000000007</c:v>
                </c:pt>
                <c:pt idx="29">
                  <c:v>59.795000000000002</c:v>
                </c:pt>
                <c:pt idx="30">
                  <c:v>60.244999999999997</c:v>
                </c:pt>
                <c:pt idx="31">
                  <c:v>64.05</c:v>
                </c:pt>
                <c:pt idx="32">
                  <c:v>64.05</c:v>
                </c:pt>
                <c:pt idx="33">
                  <c:v>64.05</c:v>
                </c:pt>
                <c:pt idx="34">
                  <c:v>64.465000000000003</c:v>
                </c:pt>
                <c:pt idx="35">
                  <c:v>65.534999999999997</c:v>
                </c:pt>
                <c:pt idx="36">
                  <c:v>66.650000000000006</c:v>
                </c:pt>
                <c:pt idx="37">
                  <c:v>67.81</c:v>
                </c:pt>
                <c:pt idx="38">
                  <c:v>69.015000000000001</c:v>
                </c:pt>
                <c:pt idx="39">
                  <c:v>70.275000000000006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Rates'!$D$35:$AQ$35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46.655000000000001</c:v>
                </c:pt>
                <c:pt idx="2">
                  <c:v>52.06</c:v>
                </c:pt>
                <c:pt idx="3">
                  <c:v>55.980000000000004</c:v>
                </c:pt>
                <c:pt idx="4">
                  <c:v>55.980000000000004</c:v>
                </c:pt>
                <c:pt idx="5">
                  <c:v>55.980000000000004</c:v>
                </c:pt>
                <c:pt idx="6">
                  <c:v>55.980000000000004</c:v>
                </c:pt>
                <c:pt idx="7">
                  <c:v>55.980000000000004</c:v>
                </c:pt>
                <c:pt idx="8">
                  <c:v>55.980000000000004</c:v>
                </c:pt>
                <c:pt idx="9">
                  <c:v>55.980000000000004</c:v>
                </c:pt>
                <c:pt idx="10">
                  <c:v>55.980000000000004</c:v>
                </c:pt>
                <c:pt idx="11">
                  <c:v>55.980000000000004</c:v>
                </c:pt>
                <c:pt idx="12">
                  <c:v>55.980000000000004</c:v>
                </c:pt>
                <c:pt idx="13">
                  <c:v>55.980000000000004</c:v>
                </c:pt>
                <c:pt idx="14">
                  <c:v>55.980000000000004</c:v>
                </c:pt>
                <c:pt idx="15">
                  <c:v>55.980000000000004</c:v>
                </c:pt>
                <c:pt idx="16">
                  <c:v>55.980000000000004</c:v>
                </c:pt>
                <c:pt idx="17">
                  <c:v>55.980000000000004</c:v>
                </c:pt>
                <c:pt idx="18">
                  <c:v>55.980000000000004</c:v>
                </c:pt>
                <c:pt idx="19">
                  <c:v>55.980000000000004</c:v>
                </c:pt>
                <c:pt idx="20">
                  <c:v>55.980000000000004</c:v>
                </c:pt>
                <c:pt idx="21">
                  <c:v>56.339999999999996</c:v>
                </c:pt>
                <c:pt idx="22">
                  <c:v>56.914999999999999</c:v>
                </c:pt>
                <c:pt idx="23">
                  <c:v>57.48</c:v>
                </c:pt>
                <c:pt idx="24">
                  <c:v>58.09</c:v>
                </c:pt>
                <c:pt idx="25">
                  <c:v>58.709999999999994</c:v>
                </c:pt>
                <c:pt idx="26">
                  <c:v>59.375</c:v>
                </c:pt>
                <c:pt idx="27">
                  <c:v>60.085000000000001</c:v>
                </c:pt>
                <c:pt idx="28">
                  <c:v>60.83</c:v>
                </c:pt>
                <c:pt idx="29">
                  <c:v>61.584999999999994</c:v>
                </c:pt>
                <c:pt idx="30">
                  <c:v>62.375</c:v>
                </c:pt>
                <c:pt idx="31">
                  <c:v>62.375</c:v>
                </c:pt>
                <c:pt idx="32">
                  <c:v>62.375</c:v>
                </c:pt>
                <c:pt idx="33">
                  <c:v>62.375</c:v>
                </c:pt>
                <c:pt idx="34">
                  <c:v>62.375</c:v>
                </c:pt>
                <c:pt idx="35">
                  <c:v>62.375</c:v>
                </c:pt>
                <c:pt idx="36">
                  <c:v>63.275000000000006</c:v>
                </c:pt>
                <c:pt idx="37">
                  <c:v>64.47</c:v>
                </c:pt>
                <c:pt idx="38">
                  <c:v>65.674999999999997</c:v>
                </c:pt>
                <c:pt idx="39">
                  <c:v>66.914999999999992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1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35946147278895"/>
          <c:y val="0.92985346130871638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Annual Revenue Requirements </a:t>
            </a:r>
          </a:p>
          <a:p>
            <a:pPr>
              <a:defRPr sz="3600"/>
            </a:pPr>
            <a:r>
              <a:rPr lang="en-US" sz="3600" b="1" baseline="0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Requirement'!$F$18:$AS$18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6251040.1831999999</c:v>
                </c:pt>
                <c:pt idx="2">
                  <c:v>6772161.0018636361</c:v>
                </c:pt>
                <c:pt idx="3">
                  <c:v>6904265.0924636368</c:v>
                </c:pt>
                <c:pt idx="4">
                  <c:v>7035898.9030636363</c:v>
                </c:pt>
                <c:pt idx="5">
                  <c:v>7054947.2986636367</c:v>
                </c:pt>
                <c:pt idx="6">
                  <c:v>7137368.8694636365</c:v>
                </c:pt>
                <c:pt idx="7">
                  <c:v>7290744.5187636372</c:v>
                </c:pt>
                <c:pt idx="8">
                  <c:v>7385563.6013636375</c:v>
                </c:pt>
                <c:pt idx="9">
                  <c:v>7488611.1933636367</c:v>
                </c:pt>
                <c:pt idx="10">
                  <c:v>7666840.2685636356</c:v>
                </c:pt>
                <c:pt idx="11">
                  <c:v>7842537.4257636368</c:v>
                </c:pt>
                <c:pt idx="12">
                  <c:v>8046558.2457636371</c:v>
                </c:pt>
                <c:pt idx="13">
                  <c:v>8260734.6357636368</c:v>
                </c:pt>
                <c:pt idx="14">
                  <c:v>8487746.2257636376</c:v>
                </c:pt>
                <c:pt idx="15">
                  <c:v>8727207.5257636365</c:v>
                </c:pt>
                <c:pt idx="16">
                  <c:v>8980106.7557636369</c:v>
                </c:pt>
                <c:pt idx="17">
                  <c:v>9247578.8057636358</c:v>
                </c:pt>
                <c:pt idx="18">
                  <c:v>9548382.8157636374</c:v>
                </c:pt>
                <c:pt idx="19">
                  <c:v>9870849.545763636</c:v>
                </c:pt>
                <c:pt idx="20">
                  <c:v>10213314.885763636</c:v>
                </c:pt>
                <c:pt idx="21">
                  <c:v>10575092.345763637</c:v>
                </c:pt>
                <c:pt idx="22">
                  <c:v>10958249.555763636</c:v>
                </c:pt>
                <c:pt idx="23">
                  <c:v>11364829.095763637</c:v>
                </c:pt>
                <c:pt idx="24">
                  <c:v>11796203.865763636</c:v>
                </c:pt>
                <c:pt idx="25">
                  <c:v>12250153.155763637</c:v>
                </c:pt>
                <c:pt idx="26">
                  <c:v>12728705.715763636</c:v>
                </c:pt>
                <c:pt idx="27">
                  <c:v>13232624.115763636</c:v>
                </c:pt>
                <c:pt idx="28">
                  <c:v>13763176.685763637</c:v>
                </c:pt>
                <c:pt idx="29">
                  <c:v>14213040.567581818</c:v>
                </c:pt>
                <c:pt idx="30">
                  <c:v>15489746.764866803</c:v>
                </c:pt>
                <c:pt idx="31">
                  <c:v>15499431.433496896</c:v>
                </c:pt>
                <c:pt idx="32">
                  <c:v>16124658.203496896</c:v>
                </c:pt>
                <c:pt idx="33">
                  <c:v>16789531.113496896</c:v>
                </c:pt>
                <c:pt idx="34">
                  <c:v>17493905.813496895</c:v>
                </c:pt>
                <c:pt idx="35">
                  <c:v>18236618.523496896</c:v>
                </c:pt>
                <c:pt idx="36">
                  <c:v>19018136.403496895</c:v>
                </c:pt>
                <c:pt idx="37">
                  <c:v>19840210.373496898</c:v>
                </c:pt>
                <c:pt idx="38">
                  <c:v>20710166.283496898</c:v>
                </c:pt>
                <c:pt idx="39">
                  <c:v>21441847.343496896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Requirement'!$F$44:$AS$44</c:f>
              <c:numCache>
                <c:formatCode>_(* #,##0_);_(* \(#,##0\);_(* "-"??_);_(@_)</c:formatCode>
                <c:ptCount val="40"/>
                <c:pt idx="0">
                  <c:v>5379276.8200000003</c:v>
                </c:pt>
                <c:pt idx="1">
                  <c:v>6152892.6799999997</c:v>
                </c:pt>
                <c:pt idx="2">
                  <c:v>6781762.5499999998</c:v>
                </c:pt>
                <c:pt idx="3">
                  <c:v>6907977.5099999998</c:v>
                </c:pt>
                <c:pt idx="4">
                  <c:v>7063923.5499999998</c:v>
                </c:pt>
                <c:pt idx="5">
                  <c:v>7054020.0099999998</c:v>
                </c:pt>
                <c:pt idx="6">
                  <c:v>7161812.0700000003</c:v>
                </c:pt>
                <c:pt idx="7">
                  <c:v>7345114.8600000003</c:v>
                </c:pt>
                <c:pt idx="8">
                  <c:v>7469374.4000000004</c:v>
                </c:pt>
                <c:pt idx="9">
                  <c:v>7602042.8000000007</c:v>
                </c:pt>
                <c:pt idx="10">
                  <c:v>7813551.7199999988</c:v>
                </c:pt>
                <c:pt idx="11">
                  <c:v>8016896</c:v>
                </c:pt>
                <c:pt idx="12">
                  <c:v>8252189</c:v>
                </c:pt>
                <c:pt idx="13">
                  <c:v>8497277</c:v>
                </c:pt>
                <c:pt idx="14">
                  <c:v>8758973</c:v>
                </c:pt>
                <c:pt idx="15">
                  <c:v>9031594</c:v>
                </c:pt>
                <c:pt idx="16">
                  <c:v>9322649</c:v>
                </c:pt>
                <c:pt idx="17">
                  <c:v>9626599</c:v>
                </c:pt>
                <c:pt idx="18">
                  <c:v>9949478</c:v>
                </c:pt>
                <c:pt idx="19">
                  <c:v>10286966</c:v>
                </c:pt>
                <c:pt idx="20">
                  <c:v>10645834</c:v>
                </c:pt>
                <c:pt idx="21">
                  <c:v>11021796</c:v>
                </c:pt>
                <c:pt idx="22">
                  <c:v>11409217</c:v>
                </c:pt>
                <c:pt idx="23">
                  <c:v>11818315</c:v>
                </c:pt>
                <c:pt idx="24">
                  <c:v>12242568</c:v>
                </c:pt>
                <c:pt idx="25">
                  <c:v>12690147</c:v>
                </c:pt>
                <c:pt idx="26">
                  <c:v>13161767</c:v>
                </c:pt>
                <c:pt idx="27">
                  <c:v>13658178</c:v>
                </c:pt>
                <c:pt idx="28">
                  <c:v>14172616</c:v>
                </c:pt>
                <c:pt idx="29">
                  <c:v>14713249</c:v>
                </c:pt>
                <c:pt idx="30">
                  <c:v>14635280</c:v>
                </c:pt>
                <c:pt idx="31">
                  <c:v>14591734</c:v>
                </c:pt>
                <c:pt idx="32">
                  <c:v>15211798</c:v>
                </c:pt>
                <c:pt idx="33">
                  <c:v>15870649</c:v>
                </c:pt>
                <c:pt idx="34">
                  <c:v>16569075</c:v>
                </c:pt>
                <c:pt idx="35">
                  <c:v>17308664</c:v>
                </c:pt>
                <c:pt idx="36">
                  <c:v>18072396</c:v>
                </c:pt>
                <c:pt idx="37">
                  <c:v>18869158</c:v>
                </c:pt>
                <c:pt idx="38">
                  <c:v>19704756</c:v>
                </c:pt>
                <c:pt idx="39">
                  <c:v>20581976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300000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  <c:max val="30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solidFill>
                  <a:schemeClr val="tx1"/>
                </a:solidFill>
              </a:rPr>
              <a:t>Cumulative Revenue Requirements </a:t>
            </a:r>
          </a:p>
          <a:p>
            <a:pPr>
              <a:defRPr sz="2400"/>
            </a:pPr>
            <a:r>
              <a:rPr lang="en-US" sz="2400" b="1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Requirement'!$F$50:$AS$50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11676046.371400001</c:v>
                </c:pt>
                <c:pt idx="2">
                  <c:v>18448207.373263635</c:v>
                </c:pt>
                <c:pt idx="3">
                  <c:v>25352472.46572727</c:v>
                </c:pt>
                <c:pt idx="4">
                  <c:v>32388371.368790906</c:v>
                </c:pt>
                <c:pt idx="5">
                  <c:v>39443318.667454541</c:v>
                </c:pt>
                <c:pt idx="6">
                  <c:v>46580687.536918178</c:v>
                </c:pt>
                <c:pt idx="7">
                  <c:v>53871432.055681817</c:v>
                </c:pt>
                <c:pt idx="8">
                  <c:v>61256995.657045454</c:v>
                </c:pt>
                <c:pt idx="9">
                  <c:v>68745606.850409091</c:v>
                </c:pt>
                <c:pt idx="10">
                  <c:v>76412447.118972719</c:v>
                </c:pt>
                <c:pt idx="11">
                  <c:v>84254984.544736356</c:v>
                </c:pt>
                <c:pt idx="12">
                  <c:v>92301542.790499985</c:v>
                </c:pt>
                <c:pt idx="13">
                  <c:v>100562277.42626362</c:v>
                </c:pt>
                <c:pt idx="14">
                  <c:v>109050023.65202725</c:v>
                </c:pt>
                <c:pt idx="15">
                  <c:v>117777231.17779088</c:v>
                </c:pt>
                <c:pt idx="16">
                  <c:v>126757337.93355452</c:v>
                </c:pt>
                <c:pt idx="17">
                  <c:v>136004916.73931816</c:v>
                </c:pt>
                <c:pt idx="18">
                  <c:v>145553299.55508178</c:v>
                </c:pt>
                <c:pt idx="19">
                  <c:v>155424149.10084543</c:v>
                </c:pt>
                <c:pt idx="20">
                  <c:v>165637463.98660907</c:v>
                </c:pt>
                <c:pt idx="21">
                  <c:v>176212556.3323727</c:v>
                </c:pt>
                <c:pt idx="22">
                  <c:v>187170805.88813633</c:v>
                </c:pt>
                <c:pt idx="23">
                  <c:v>198535634.98389995</c:v>
                </c:pt>
                <c:pt idx="24">
                  <c:v>210331838.84966359</c:v>
                </c:pt>
                <c:pt idx="25">
                  <c:v>222581992.00542721</c:v>
                </c:pt>
                <c:pt idx="26">
                  <c:v>235310697.72119084</c:v>
                </c:pt>
                <c:pt idx="27">
                  <c:v>248543321.83695447</c:v>
                </c:pt>
                <c:pt idx="28">
                  <c:v>262306498.5227181</c:v>
                </c:pt>
                <c:pt idx="29">
                  <c:v>276519539.0902999</c:v>
                </c:pt>
                <c:pt idx="30">
                  <c:v>292009285.85516673</c:v>
                </c:pt>
                <c:pt idx="31">
                  <c:v>307508717.28866363</c:v>
                </c:pt>
                <c:pt idx="32">
                  <c:v>323633375.4921605</c:v>
                </c:pt>
                <c:pt idx="33">
                  <c:v>340422906.6056574</c:v>
                </c:pt>
                <c:pt idx="34">
                  <c:v>357916812.41915429</c:v>
                </c:pt>
                <c:pt idx="35">
                  <c:v>376153430.94265115</c:v>
                </c:pt>
                <c:pt idx="36">
                  <c:v>395171567.34614807</c:v>
                </c:pt>
                <c:pt idx="37">
                  <c:v>415011777.71964496</c:v>
                </c:pt>
                <c:pt idx="38">
                  <c:v>435721944.00314188</c:v>
                </c:pt>
                <c:pt idx="39">
                  <c:v>457163791.3466388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Requirement'!$F$56:$AS$56</c:f>
              <c:numCache>
                <c:formatCode>_(* #,##0_);_(* \(#,##0\);_(* "-"??_);_(@_)</c:formatCode>
                <c:ptCount val="40"/>
                <c:pt idx="0">
                  <c:v>5379276.8200000003</c:v>
                </c:pt>
                <c:pt idx="1">
                  <c:v>11532169.5</c:v>
                </c:pt>
                <c:pt idx="2">
                  <c:v>18313932.050000001</c:v>
                </c:pt>
                <c:pt idx="3">
                  <c:v>25221909.560000002</c:v>
                </c:pt>
                <c:pt idx="4">
                  <c:v>32285833.110000003</c:v>
                </c:pt>
                <c:pt idx="5">
                  <c:v>39339853.120000005</c:v>
                </c:pt>
                <c:pt idx="6">
                  <c:v>46501665.190000005</c:v>
                </c:pt>
                <c:pt idx="7">
                  <c:v>53846780.050000004</c:v>
                </c:pt>
                <c:pt idx="8">
                  <c:v>61316154.450000003</c:v>
                </c:pt>
                <c:pt idx="9">
                  <c:v>68918197.25</c:v>
                </c:pt>
                <c:pt idx="10">
                  <c:v>76731748.969999999</c:v>
                </c:pt>
                <c:pt idx="11">
                  <c:v>84748644.969999999</c:v>
                </c:pt>
                <c:pt idx="12">
                  <c:v>93000833.969999999</c:v>
                </c:pt>
                <c:pt idx="13">
                  <c:v>101498110.97</c:v>
                </c:pt>
                <c:pt idx="14">
                  <c:v>110257083.97</c:v>
                </c:pt>
                <c:pt idx="15">
                  <c:v>119288677.97</c:v>
                </c:pt>
                <c:pt idx="16">
                  <c:v>128611326.97</c:v>
                </c:pt>
                <c:pt idx="17">
                  <c:v>138237925.97</c:v>
                </c:pt>
                <c:pt idx="18">
                  <c:v>148187403.97</c:v>
                </c:pt>
                <c:pt idx="19">
                  <c:v>158474369.97</c:v>
                </c:pt>
                <c:pt idx="20">
                  <c:v>169120203.97</c:v>
                </c:pt>
                <c:pt idx="21">
                  <c:v>180141999.97</c:v>
                </c:pt>
                <c:pt idx="22">
                  <c:v>191551216.97</c:v>
                </c:pt>
                <c:pt idx="23">
                  <c:v>203369531.97</c:v>
                </c:pt>
                <c:pt idx="24">
                  <c:v>215612099.97</c:v>
                </c:pt>
                <c:pt idx="25">
                  <c:v>228302246.97</c:v>
                </c:pt>
                <c:pt idx="26">
                  <c:v>241464013.97</c:v>
                </c:pt>
                <c:pt idx="27">
                  <c:v>255122191.97</c:v>
                </c:pt>
                <c:pt idx="28">
                  <c:v>269294807.97000003</c:v>
                </c:pt>
                <c:pt idx="29">
                  <c:v>284008056.97000003</c:v>
                </c:pt>
                <c:pt idx="30">
                  <c:v>298643336.97000003</c:v>
                </c:pt>
                <c:pt idx="31">
                  <c:v>313235070.97000003</c:v>
                </c:pt>
                <c:pt idx="32">
                  <c:v>328446868.97000003</c:v>
                </c:pt>
                <c:pt idx="33">
                  <c:v>344317517.97000003</c:v>
                </c:pt>
                <c:pt idx="34">
                  <c:v>360886592.97000003</c:v>
                </c:pt>
                <c:pt idx="35">
                  <c:v>378195256.97000003</c:v>
                </c:pt>
                <c:pt idx="36">
                  <c:v>396267652.97000003</c:v>
                </c:pt>
                <c:pt idx="37">
                  <c:v>415136810.97000003</c:v>
                </c:pt>
                <c:pt idx="38">
                  <c:v>434841566.97000003</c:v>
                </c:pt>
                <c:pt idx="39">
                  <c:v>455423542.97000003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Present Value of Revenue Requirements </a:t>
            </a:r>
          </a:p>
        </c:rich>
      </c:tx>
      <c:layout>
        <c:manualLayout>
          <c:xMode val="edge"/>
          <c:yMode val="edge"/>
          <c:x val="0.20287895566759889"/>
          <c:y val="1.010952033430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582653424613386"/>
          <c:y val="0.19947102531869665"/>
          <c:w val="0.81656955445124257"/>
          <c:h val="0.68624809113151486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Requirement'!$E$51:$E$55</c:f>
              <c:numCache>
                <c:formatCode>"$"#,##0_);[Red]\("$"#,##0\)</c:formatCode>
                <c:ptCount val="5"/>
                <c:pt idx="0" formatCode="&quot;$&quot;#,##0.00_);[Red]\(&quot;$&quot;#,##0.00\)">
                  <c:v>457163791.3466388</c:v>
                </c:pt>
                <c:pt idx="1">
                  <c:v>191241577.08938977</c:v>
                </c:pt>
                <c:pt idx="2">
                  <c:v>174412302.92451593</c:v>
                </c:pt>
                <c:pt idx="3">
                  <c:v>159631239.73781854</c:v>
                </c:pt>
                <c:pt idx="4">
                  <c:v>146611478.36683345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8-4E37-9DE6-C3C262E91BE6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Requirement'!$E$57:$E$61</c:f>
              <c:numCache>
                <c:formatCode>"$"#,##0_);[Red]\("$"#,##0\)</c:formatCode>
                <c:ptCount val="5"/>
                <c:pt idx="0">
                  <c:v>455423542.97000003</c:v>
                </c:pt>
                <c:pt idx="1">
                  <c:v>192195107.13457423</c:v>
                </c:pt>
                <c:pt idx="2">
                  <c:v>175416164.72153738</c:v>
                </c:pt>
                <c:pt idx="3">
                  <c:v>160659895.89815882</c:v>
                </c:pt>
                <c:pt idx="4">
                  <c:v>147645240.24093002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08-4E37-9DE6-C3C262E9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Present Value Excluding Depreciation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958563811926"/>
          <c:y val="0.21677852413102702"/>
          <c:w val="0.85603154011006144"/>
          <c:h val="0.66742639313966357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Requirement'!$E$63:$E$67</c:f>
              <c:numCache>
                <c:formatCode>"$"#,##0_);[Red]\("$"#,##0\)</c:formatCode>
                <c:ptCount val="5"/>
                <c:pt idx="0">
                  <c:v>405585941.57827187</c:v>
                </c:pt>
                <c:pt idx="1">
                  <c:v>167356213.64167029</c:v>
                </c:pt>
                <c:pt idx="2">
                  <c:v>152372132.5308232</c:v>
                </c:pt>
                <c:pt idx="3">
                  <c:v>139228993.46513996</c:v>
                </c:pt>
                <c:pt idx="4">
                  <c:v>127667590.75230293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D-4A84-A57C-2330E861D405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Requirement'!$E$69:$E$73</c:f>
              <c:numCache>
                <c:formatCode>"$"#,##0_);[Red]\("$"#,##0\)</c:formatCode>
                <c:ptCount val="5"/>
                <c:pt idx="0">
                  <c:v>419394262.97000003</c:v>
                </c:pt>
                <c:pt idx="1">
                  <c:v>174632114.71680963</c:v>
                </c:pt>
                <c:pt idx="2">
                  <c:v>159122853.95274103</c:v>
                </c:pt>
                <c:pt idx="3">
                  <c:v>145500188.15539661</c:v>
                </c:pt>
                <c:pt idx="4">
                  <c:v>133500592.64552031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D-4A84-A57C-2330E861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  <c:max val="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Plant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Build Plant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Inputs'!$C$86:$AP$86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347879154</c:v>
                </c:pt>
                <c:pt idx="3">
                  <c:v>356550331</c:v>
                </c:pt>
                <c:pt idx="4">
                  <c:v>365438289</c:v>
                </c:pt>
                <c:pt idx="5">
                  <c:v>341548455</c:v>
                </c:pt>
                <c:pt idx="6">
                  <c:v>350886423</c:v>
                </c:pt>
                <c:pt idx="7">
                  <c:v>360457824</c:v>
                </c:pt>
                <c:pt idx="8">
                  <c:v>370268462</c:v>
                </c:pt>
                <c:pt idx="9">
                  <c:v>380324386</c:v>
                </c:pt>
                <c:pt idx="10">
                  <c:v>390450561</c:v>
                </c:pt>
                <c:pt idx="11">
                  <c:v>397986493</c:v>
                </c:pt>
                <c:pt idx="12">
                  <c:v>405710791</c:v>
                </c:pt>
                <c:pt idx="13">
                  <c:v>413628144</c:v>
                </c:pt>
                <c:pt idx="14">
                  <c:v>421743524</c:v>
                </c:pt>
                <c:pt idx="15">
                  <c:v>430061689</c:v>
                </c:pt>
                <c:pt idx="16">
                  <c:v>438587939</c:v>
                </c:pt>
                <c:pt idx="17">
                  <c:v>447327212</c:v>
                </c:pt>
                <c:pt idx="18">
                  <c:v>448500000</c:v>
                </c:pt>
                <c:pt idx="19">
                  <c:v>448500000</c:v>
                </c:pt>
                <c:pt idx="20">
                  <c:v>448500000</c:v>
                </c:pt>
                <c:pt idx="21">
                  <c:v>448500000</c:v>
                </c:pt>
                <c:pt idx="22">
                  <c:v>448500000</c:v>
                </c:pt>
                <c:pt idx="23">
                  <c:v>448500000</c:v>
                </c:pt>
                <c:pt idx="24">
                  <c:v>448500000</c:v>
                </c:pt>
                <c:pt idx="25">
                  <c:v>448500000</c:v>
                </c:pt>
                <c:pt idx="26">
                  <c:v>448500000</c:v>
                </c:pt>
                <c:pt idx="27">
                  <c:v>448500000</c:v>
                </c:pt>
                <c:pt idx="28">
                  <c:v>448500000</c:v>
                </c:pt>
                <c:pt idx="29">
                  <c:v>448500000</c:v>
                </c:pt>
                <c:pt idx="30">
                  <c:v>448500000</c:v>
                </c:pt>
                <c:pt idx="31">
                  <c:v>448500000</c:v>
                </c:pt>
                <c:pt idx="32">
                  <c:v>448500000</c:v>
                </c:pt>
                <c:pt idx="33">
                  <c:v>448500000</c:v>
                </c:pt>
                <c:pt idx="34">
                  <c:v>448500000</c:v>
                </c:pt>
                <c:pt idx="35">
                  <c:v>448500000</c:v>
                </c:pt>
                <c:pt idx="36">
                  <c:v>448500000</c:v>
                </c:pt>
                <c:pt idx="37">
                  <c:v>448500000</c:v>
                </c:pt>
                <c:pt idx="38">
                  <c:v>448500000</c:v>
                </c:pt>
                <c:pt idx="39">
                  <c:v>448500000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99-46CE-A477-3CCFF7BF435F}"/>
            </c:ext>
          </c:extLst>
        </c:ser>
        <c:ser>
          <c:idx val="1"/>
          <c:order val="1"/>
          <c:tx>
            <c:v>Build Plant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Inputs'!$C$85:$AP$85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219005062</c:v>
                </c:pt>
                <c:pt idx="3">
                  <c:v>220919128</c:v>
                </c:pt>
                <c:pt idx="4">
                  <c:v>222881044</c:v>
                </c:pt>
                <c:pt idx="5">
                  <c:v>257891998</c:v>
                </c:pt>
                <c:pt idx="6">
                  <c:v>259953178</c:v>
                </c:pt>
                <c:pt idx="7">
                  <c:v>262065904</c:v>
                </c:pt>
                <c:pt idx="8">
                  <c:v>264231496</c:v>
                </c:pt>
                <c:pt idx="9">
                  <c:v>266451208</c:v>
                </c:pt>
                <c:pt idx="10">
                  <c:v>268907560</c:v>
                </c:pt>
                <c:pt idx="11">
                  <c:v>274268718</c:v>
                </c:pt>
                <c:pt idx="12">
                  <c:v>279763937</c:v>
                </c:pt>
                <c:pt idx="13">
                  <c:v>285396589</c:v>
                </c:pt>
                <c:pt idx="14">
                  <c:v>291169964</c:v>
                </c:pt>
                <c:pt idx="15">
                  <c:v>297087773</c:v>
                </c:pt>
                <c:pt idx="16">
                  <c:v>303153397</c:v>
                </c:pt>
                <c:pt idx="17">
                  <c:v>309370795</c:v>
                </c:pt>
                <c:pt idx="18">
                  <c:v>323528594</c:v>
                </c:pt>
                <c:pt idx="19">
                  <c:v>339242446</c:v>
                </c:pt>
                <c:pt idx="20">
                  <c:v>355349144</c:v>
                </c:pt>
                <c:pt idx="21">
                  <c:v>371858510</c:v>
                </c:pt>
                <c:pt idx="22">
                  <c:v>388780610</c:v>
                </c:pt>
                <c:pt idx="23">
                  <c:v>406125762</c:v>
                </c:pt>
                <c:pt idx="24">
                  <c:v>423904543</c:v>
                </c:pt>
                <c:pt idx="25">
                  <c:v>442127794</c:v>
                </c:pt>
                <c:pt idx="26">
                  <c:v>460806626</c:v>
                </c:pt>
                <c:pt idx="27">
                  <c:v>479952429</c:v>
                </c:pt>
                <c:pt idx="28">
                  <c:v>499576877</c:v>
                </c:pt>
                <c:pt idx="29">
                  <c:v>519691936</c:v>
                </c:pt>
                <c:pt idx="30">
                  <c:v>540309872</c:v>
                </c:pt>
                <c:pt idx="31">
                  <c:v>561443256</c:v>
                </c:pt>
                <c:pt idx="32">
                  <c:v>583104975</c:v>
                </c:pt>
                <c:pt idx="33">
                  <c:v>605308237</c:v>
                </c:pt>
                <c:pt idx="34">
                  <c:v>628066580</c:v>
                </c:pt>
                <c:pt idx="35">
                  <c:v>651393882</c:v>
                </c:pt>
                <c:pt idx="36">
                  <c:v>675304366</c:v>
                </c:pt>
                <c:pt idx="37">
                  <c:v>699812612</c:v>
                </c:pt>
                <c:pt idx="38">
                  <c:v>724933564</c:v>
                </c:pt>
                <c:pt idx="39">
                  <c:v>750682540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99-46CE-A477-3CCFF7BF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Pipeline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45006339833805"/>
          <c:y val="0.22597818763524469"/>
          <c:w val="0.80541301790759035"/>
          <c:h val="0.61139736178136439"/>
        </c:manualLayout>
      </c:layout>
      <c:barChart>
        <c:barDir val="col"/>
        <c:grouping val="stacked"/>
        <c:varyColors val="0"/>
        <c:ser>
          <c:idx val="0"/>
          <c:order val="0"/>
          <c:tx>
            <c:v>Build Pipeline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Inputs'!$C$102:$AP$102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0-4B59-B17A-48B3158221C4}"/>
            </c:ext>
          </c:extLst>
        </c:ser>
        <c:ser>
          <c:idx val="1"/>
          <c:order val="1"/>
          <c:tx>
            <c:v>Build Pipeline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Inputs'!$C$101:$AP$101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566884216</c:v>
                </c:pt>
                <c:pt idx="3">
                  <c:v>577469459</c:v>
                </c:pt>
                <c:pt idx="4">
                  <c:v>588319333</c:v>
                </c:pt>
                <c:pt idx="5">
                  <c:v>599440453</c:v>
                </c:pt>
                <c:pt idx="6">
                  <c:v>610839601</c:v>
                </c:pt>
                <c:pt idx="7">
                  <c:v>622523728</c:v>
                </c:pt>
                <c:pt idx="8">
                  <c:v>634499958</c:v>
                </c:pt>
                <c:pt idx="9">
                  <c:v>646775594</c:v>
                </c:pt>
                <c:pt idx="10">
                  <c:v>659358121</c:v>
                </c:pt>
                <c:pt idx="11">
                  <c:v>672255211</c:v>
                </c:pt>
                <c:pt idx="12">
                  <c:v>685474728</c:v>
                </c:pt>
                <c:pt idx="13">
                  <c:v>699024733</c:v>
                </c:pt>
                <c:pt idx="14">
                  <c:v>712913488</c:v>
                </c:pt>
                <c:pt idx="15">
                  <c:v>727149462</c:v>
                </c:pt>
                <c:pt idx="16">
                  <c:v>741741336</c:v>
                </c:pt>
                <c:pt idx="17">
                  <c:v>756698007</c:v>
                </c:pt>
                <c:pt idx="18">
                  <c:v>772028594</c:v>
                </c:pt>
                <c:pt idx="19">
                  <c:v>787742446</c:v>
                </c:pt>
                <c:pt idx="20">
                  <c:v>803849144</c:v>
                </c:pt>
                <c:pt idx="21">
                  <c:v>820358510</c:v>
                </c:pt>
                <c:pt idx="22">
                  <c:v>837280610</c:v>
                </c:pt>
                <c:pt idx="23">
                  <c:v>854625762</c:v>
                </c:pt>
                <c:pt idx="24">
                  <c:v>872404543</c:v>
                </c:pt>
                <c:pt idx="25">
                  <c:v>890627794</c:v>
                </c:pt>
                <c:pt idx="26">
                  <c:v>909306626</c:v>
                </c:pt>
                <c:pt idx="27">
                  <c:v>928452429</c:v>
                </c:pt>
                <c:pt idx="28">
                  <c:v>948076877</c:v>
                </c:pt>
                <c:pt idx="29">
                  <c:v>968191936</c:v>
                </c:pt>
                <c:pt idx="30">
                  <c:v>988809872</c:v>
                </c:pt>
                <c:pt idx="31">
                  <c:v>1009943256</c:v>
                </c:pt>
                <c:pt idx="32">
                  <c:v>1031604975</c:v>
                </c:pt>
                <c:pt idx="33">
                  <c:v>1053808237</c:v>
                </c:pt>
                <c:pt idx="34">
                  <c:v>1076566580</c:v>
                </c:pt>
                <c:pt idx="35">
                  <c:v>1099893882</c:v>
                </c:pt>
                <c:pt idx="36">
                  <c:v>1123804366</c:v>
                </c:pt>
                <c:pt idx="37">
                  <c:v>1148312612</c:v>
                </c:pt>
                <c:pt idx="38">
                  <c:v>1173433564</c:v>
                </c:pt>
                <c:pt idx="39">
                  <c:v>1199182540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0-4B59-B17A-48B31582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New Depreciation</a:t>
            </a:r>
            <a:r>
              <a:rPr lang="en-US" sz="3600" b="1" baseline="0"/>
              <a:t> Expenses for Project Alternatives</a:t>
            </a:r>
            <a:endParaRPr lang="en-US" sz="3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32698387359286E-2"/>
          <c:y val="0.19410279041865833"/>
          <c:w val="0.90269541987580926"/>
          <c:h val="0.61373449183660211"/>
        </c:manualLayout>
      </c:layout>
      <c:lineChart>
        <c:grouping val="stacked"/>
        <c:varyColors val="0"/>
        <c:ser>
          <c:idx val="1"/>
          <c:order val="1"/>
          <c:tx>
            <c:v>Plant Alternative</c:v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Depreciation'!$B$23:$AO$23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585067.63636363647</c:v>
                </c:pt>
                <c:pt idx="3">
                  <c:v>585067.63636363647</c:v>
                </c:pt>
                <c:pt idx="4">
                  <c:v>585067.63636363647</c:v>
                </c:pt>
                <c:pt idx="5">
                  <c:v>585067.63636363647</c:v>
                </c:pt>
                <c:pt idx="6">
                  <c:v>585067.63636363647</c:v>
                </c:pt>
                <c:pt idx="7">
                  <c:v>585067.63636363647</c:v>
                </c:pt>
                <c:pt idx="8">
                  <c:v>585067.63636363647</c:v>
                </c:pt>
                <c:pt idx="9">
                  <c:v>585067.63636363647</c:v>
                </c:pt>
                <c:pt idx="10">
                  <c:v>585067.63636363647</c:v>
                </c:pt>
                <c:pt idx="11">
                  <c:v>585067.63636363647</c:v>
                </c:pt>
                <c:pt idx="12">
                  <c:v>585067.63636363647</c:v>
                </c:pt>
                <c:pt idx="13">
                  <c:v>585067.63636363647</c:v>
                </c:pt>
                <c:pt idx="14">
                  <c:v>585067.63636363647</c:v>
                </c:pt>
                <c:pt idx="15">
                  <c:v>585067.63636363647</c:v>
                </c:pt>
                <c:pt idx="16">
                  <c:v>585067.63636363647</c:v>
                </c:pt>
                <c:pt idx="17">
                  <c:v>585067.63636363647</c:v>
                </c:pt>
                <c:pt idx="18">
                  <c:v>585067.63636363647</c:v>
                </c:pt>
                <c:pt idx="19">
                  <c:v>585067.63636363647</c:v>
                </c:pt>
                <c:pt idx="20">
                  <c:v>585067.63636363647</c:v>
                </c:pt>
                <c:pt idx="21">
                  <c:v>585067.63636363647</c:v>
                </c:pt>
                <c:pt idx="22">
                  <c:v>585067.63636363647</c:v>
                </c:pt>
                <c:pt idx="23">
                  <c:v>585067.63636363647</c:v>
                </c:pt>
                <c:pt idx="24">
                  <c:v>585067.63636363647</c:v>
                </c:pt>
                <c:pt idx="25">
                  <c:v>585067.63636363647</c:v>
                </c:pt>
                <c:pt idx="26">
                  <c:v>585067.63636363647</c:v>
                </c:pt>
                <c:pt idx="27">
                  <c:v>585067.63636363647</c:v>
                </c:pt>
                <c:pt idx="28">
                  <c:v>585067.63636363647</c:v>
                </c:pt>
                <c:pt idx="29">
                  <c:v>477165.81818181823</c:v>
                </c:pt>
                <c:pt idx="30">
                  <c:v>1069200.9768367074</c:v>
                </c:pt>
                <c:pt idx="31">
                  <c:v>1069200.9768367074</c:v>
                </c:pt>
                <c:pt idx="32">
                  <c:v>1069200.9768367074</c:v>
                </c:pt>
                <c:pt idx="33">
                  <c:v>1069200.9768367074</c:v>
                </c:pt>
                <c:pt idx="34">
                  <c:v>1069200.9768367074</c:v>
                </c:pt>
                <c:pt idx="35">
                  <c:v>1069200.9768367074</c:v>
                </c:pt>
                <c:pt idx="36">
                  <c:v>1069200.9768367074</c:v>
                </c:pt>
                <c:pt idx="37">
                  <c:v>1069200.9768367074</c:v>
                </c:pt>
                <c:pt idx="38">
                  <c:v>1069200.9768367074</c:v>
                </c:pt>
                <c:pt idx="39">
                  <c:v>884568.97683670756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774015"/>
        <c:axId val="988771615"/>
      </c:lineChart>
      <c:lineChart>
        <c:grouping val="stacked"/>
        <c:varyColors val="0"/>
        <c:ser>
          <c:idx val="0"/>
          <c:order val="0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Depreciation'!$B$47:$AO$47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295600</c:v>
                </c:pt>
                <c:pt idx="3">
                  <c:v>295600</c:v>
                </c:pt>
                <c:pt idx="4">
                  <c:v>295600</c:v>
                </c:pt>
                <c:pt idx="5">
                  <c:v>295600</c:v>
                </c:pt>
                <c:pt idx="6">
                  <c:v>295600</c:v>
                </c:pt>
                <c:pt idx="7">
                  <c:v>295600</c:v>
                </c:pt>
                <c:pt idx="8">
                  <c:v>295600</c:v>
                </c:pt>
                <c:pt idx="9">
                  <c:v>295600</c:v>
                </c:pt>
                <c:pt idx="10">
                  <c:v>295600</c:v>
                </c:pt>
                <c:pt idx="11">
                  <c:v>295600</c:v>
                </c:pt>
                <c:pt idx="12">
                  <c:v>295600</c:v>
                </c:pt>
                <c:pt idx="13">
                  <c:v>295600</c:v>
                </c:pt>
                <c:pt idx="14">
                  <c:v>295600</c:v>
                </c:pt>
                <c:pt idx="15">
                  <c:v>295600</c:v>
                </c:pt>
                <c:pt idx="16">
                  <c:v>295600</c:v>
                </c:pt>
                <c:pt idx="17">
                  <c:v>295600</c:v>
                </c:pt>
                <c:pt idx="18">
                  <c:v>295600</c:v>
                </c:pt>
                <c:pt idx="19">
                  <c:v>295600</c:v>
                </c:pt>
                <c:pt idx="20">
                  <c:v>295600</c:v>
                </c:pt>
                <c:pt idx="21">
                  <c:v>295600</c:v>
                </c:pt>
                <c:pt idx="22">
                  <c:v>295600</c:v>
                </c:pt>
                <c:pt idx="23">
                  <c:v>295600</c:v>
                </c:pt>
                <c:pt idx="24">
                  <c:v>295600</c:v>
                </c:pt>
                <c:pt idx="25">
                  <c:v>295600</c:v>
                </c:pt>
                <c:pt idx="26">
                  <c:v>295600</c:v>
                </c:pt>
                <c:pt idx="27">
                  <c:v>295600</c:v>
                </c:pt>
                <c:pt idx="28">
                  <c:v>295600</c:v>
                </c:pt>
                <c:pt idx="29">
                  <c:v>295600</c:v>
                </c:pt>
                <c:pt idx="30">
                  <c:v>295600</c:v>
                </c:pt>
                <c:pt idx="31">
                  <c:v>295600</c:v>
                </c:pt>
                <c:pt idx="32">
                  <c:v>295600</c:v>
                </c:pt>
                <c:pt idx="33">
                  <c:v>295600</c:v>
                </c:pt>
                <c:pt idx="34">
                  <c:v>295600</c:v>
                </c:pt>
                <c:pt idx="35">
                  <c:v>295600</c:v>
                </c:pt>
                <c:pt idx="36">
                  <c:v>295600</c:v>
                </c:pt>
                <c:pt idx="37">
                  <c:v>295600</c:v>
                </c:pt>
                <c:pt idx="38">
                  <c:v>295600</c:v>
                </c:pt>
                <c:pt idx="39">
                  <c:v>295600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353759"/>
        <c:axId val="1312365759"/>
      </c:lineChart>
      <c:catAx>
        <c:axId val="98877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1615"/>
        <c:crosses val="autoZero"/>
        <c:auto val="1"/>
        <c:lblAlgn val="ctr"/>
        <c:lblOffset val="100"/>
        <c:noMultiLvlLbl val="0"/>
      </c:catAx>
      <c:valAx>
        <c:axId val="988771615"/>
        <c:scaling>
          <c:orientation val="minMax"/>
          <c:max val="6000000"/>
        </c:scaling>
        <c:delete val="0"/>
        <c:axPos val="l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4015"/>
        <c:crosses val="autoZero"/>
        <c:crossBetween val="between"/>
      </c:valAx>
      <c:valAx>
        <c:axId val="1312365759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353759"/>
        <c:crosses val="max"/>
        <c:crossBetween val="between"/>
      </c:valAx>
      <c:catAx>
        <c:axId val="131235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365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555261669319761"/>
          <c:y val="0.92401015855548807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Annual Water Purchase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Costs'!$F$24:$AS$24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1026403</c:v>
                </c:pt>
                <c:pt idx="3">
                  <c:v>1066079</c:v>
                </c:pt>
                <c:pt idx="4">
                  <c:v>1107983</c:v>
                </c:pt>
                <c:pt idx="5">
                  <c:v>1316470</c:v>
                </c:pt>
                <c:pt idx="6">
                  <c:v>1365769</c:v>
                </c:pt>
                <c:pt idx="7">
                  <c:v>1417784</c:v>
                </c:pt>
                <c:pt idx="8">
                  <c:v>1471539</c:v>
                </c:pt>
                <c:pt idx="9">
                  <c:v>1528116</c:v>
                </c:pt>
                <c:pt idx="10">
                  <c:v>1588730</c:v>
                </c:pt>
                <c:pt idx="11">
                  <c:v>1667857</c:v>
                </c:pt>
                <c:pt idx="12">
                  <c:v>1752061</c:v>
                </c:pt>
                <c:pt idx="13">
                  <c:v>1839476</c:v>
                </c:pt>
                <c:pt idx="14">
                  <c:v>1932381</c:v>
                </c:pt>
                <c:pt idx="15">
                  <c:v>2029959</c:v>
                </c:pt>
                <c:pt idx="16">
                  <c:v>2132750</c:v>
                </c:pt>
                <c:pt idx="17">
                  <c:v>2241410</c:v>
                </c:pt>
                <c:pt idx="18">
                  <c:v>2411615</c:v>
                </c:pt>
                <c:pt idx="19">
                  <c:v>2602525</c:v>
                </c:pt>
                <c:pt idx="20">
                  <c:v>2806591</c:v>
                </c:pt>
                <c:pt idx="21">
                  <c:v>3022752</c:v>
                </c:pt>
                <c:pt idx="22">
                  <c:v>3252700</c:v>
                </c:pt>
                <c:pt idx="23">
                  <c:v>3498059</c:v>
                </c:pt>
                <c:pt idx="24">
                  <c:v>3759759</c:v>
                </c:pt>
                <c:pt idx="25">
                  <c:v>4036538</c:v>
                </c:pt>
                <c:pt idx="26">
                  <c:v>4331629</c:v>
                </c:pt>
                <c:pt idx="27">
                  <c:v>4645705</c:v>
                </c:pt>
                <c:pt idx="28">
                  <c:v>4979848</c:v>
                </c:pt>
                <c:pt idx="29">
                  <c:v>5334455</c:v>
                </c:pt>
                <c:pt idx="30">
                  <c:v>5707851</c:v>
                </c:pt>
                <c:pt idx="31">
                  <c:v>6104779</c:v>
                </c:pt>
                <c:pt idx="32">
                  <c:v>6526494</c:v>
                </c:pt>
                <c:pt idx="33">
                  <c:v>6975400</c:v>
                </c:pt>
                <c:pt idx="34">
                  <c:v>7451763</c:v>
                </c:pt>
                <c:pt idx="35">
                  <c:v>7956635</c:v>
                </c:pt>
                <c:pt idx="36">
                  <c:v>8491855</c:v>
                </c:pt>
                <c:pt idx="37">
                  <c:v>9058959</c:v>
                </c:pt>
                <c:pt idx="38">
                  <c:v>9664966</c:v>
                </c:pt>
                <c:pt idx="39">
                  <c:v>10308088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Costs'!$F$53:$AS$53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2404800</c:v>
                </c:pt>
                <c:pt idx="3">
                  <c:v>2520299</c:v>
                </c:pt>
                <c:pt idx="4">
                  <c:v>2640925</c:v>
                </c:pt>
                <c:pt idx="5">
                  <c:v>2769879</c:v>
                </c:pt>
                <c:pt idx="6">
                  <c:v>2902980</c:v>
                </c:pt>
                <c:pt idx="7">
                  <c:v>3046596</c:v>
                </c:pt>
                <c:pt idx="8">
                  <c:v>3194885</c:v>
                </c:pt>
                <c:pt idx="9">
                  <c:v>3349831</c:v>
                </c:pt>
                <c:pt idx="10">
                  <c:v>3515638</c:v>
                </c:pt>
                <c:pt idx="11">
                  <c:v>3687232</c:v>
                </c:pt>
                <c:pt idx="12">
                  <c:v>3870924</c:v>
                </c:pt>
                <c:pt idx="13">
                  <c:v>4061048</c:v>
                </c:pt>
                <c:pt idx="14">
                  <c:v>4264209</c:v>
                </c:pt>
                <c:pt idx="15">
                  <c:v>4474507</c:v>
                </c:pt>
                <c:pt idx="16">
                  <c:v>4699222</c:v>
                </c:pt>
                <c:pt idx="17">
                  <c:v>4932570</c:v>
                </c:pt>
                <c:pt idx="18">
                  <c:v>5180334</c:v>
                </c:pt>
                <c:pt idx="19">
                  <c:v>5437930</c:v>
                </c:pt>
                <c:pt idx="20">
                  <c:v>5711853</c:v>
                </c:pt>
                <c:pt idx="21">
                  <c:v>6002892</c:v>
                </c:pt>
                <c:pt idx="22">
                  <c:v>6304592</c:v>
                </c:pt>
                <c:pt idx="23">
                  <c:v>6624741</c:v>
                </c:pt>
                <c:pt idx="24">
                  <c:v>6957320</c:v>
                </c:pt>
                <c:pt idx="25">
                  <c:v>7310148</c:v>
                </c:pt>
                <c:pt idx="26">
                  <c:v>7684170</c:v>
                </c:pt>
                <c:pt idx="27">
                  <c:v>8080004</c:v>
                </c:pt>
                <c:pt idx="28">
                  <c:v>8491022</c:v>
                </c:pt>
                <c:pt idx="29">
                  <c:v>8924814</c:v>
                </c:pt>
                <c:pt idx="30">
                  <c:v>9383211</c:v>
                </c:pt>
                <c:pt idx="31">
                  <c:v>9867722</c:v>
                </c:pt>
                <c:pt idx="32">
                  <c:v>10371050</c:v>
                </c:pt>
                <c:pt idx="33">
                  <c:v>10903578</c:v>
                </c:pt>
                <c:pt idx="34">
                  <c:v>11465489</c:v>
                </c:pt>
                <c:pt idx="35">
                  <c:v>12057749</c:v>
                </c:pt>
                <c:pt idx="36">
                  <c:v>12682107</c:v>
                </c:pt>
                <c:pt idx="37">
                  <c:v>13340006</c:v>
                </c:pt>
                <c:pt idx="38">
                  <c:v>14032946</c:v>
                </c:pt>
                <c:pt idx="39">
                  <c:v>14763950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Production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Costs'!$F$11:$AS$11</c:f>
              <c:numCache>
                <c:formatCode>_("$"* #,##0_);_("$"* \(#,##0\);_("$"* "-"??_);_(@_)</c:formatCode>
                <c:ptCount val="40"/>
                <c:pt idx="0">
                  <c:v>437500</c:v>
                </c:pt>
                <c:pt idx="1">
                  <c:v>458972</c:v>
                </c:pt>
                <c:pt idx="2">
                  <c:v>1047116</c:v>
                </c:pt>
                <c:pt idx="3">
                  <c:v>1105413</c:v>
                </c:pt>
                <c:pt idx="4">
                  <c:v>1166958</c:v>
                </c:pt>
                <c:pt idx="5">
                  <c:v>1123390</c:v>
                </c:pt>
                <c:pt idx="6">
                  <c:v>1188726</c:v>
                </c:pt>
                <c:pt idx="7">
                  <c:v>1257785</c:v>
                </c:pt>
                <c:pt idx="8">
                  <c:v>1330778</c:v>
                </c:pt>
                <c:pt idx="9">
                  <c:v>1407927</c:v>
                </c:pt>
                <c:pt idx="10">
                  <c:v>1488776</c:v>
                </c:pt>
                <c:pt idx="11">
                  <c:v>1563036</c:v>
                </c:pt>
                <c:pt idx="12">
                  <c:v>1641173</c:v>
                </c:pt>
                <c:pt idx="13">
                  <c:v>1723398</c:v>
                </c:pt>
                <c:pt idx="14">
                  <c:v>1809929</c:v>
                </c:pt>
                <c:pt idx="15">
                  <c:v>1900997</c:v>
                </c:pt>
                <c:pt idx="16">
                  <c:v>1996847</c:v>
                </c:pt>
                <c:pt idx="17">
                  <c:v>2097736</c:v>
                </c:pt>
                <c:pt idx="18">
                  <c:v>2166331</c:v>
                </c:pt>
                <c:pt idx="19">
                  <c:v>2231323</c:v>
                </c:pt>
                <c:pt idx="20">
                  <c:v>2298262</c:v>
                </c:pt>
                <c:pt idx="21">
                  <c:v>2367210</c:v>
                </c:pt>
                <c:pt idx="22">
                  <c:v>2438225</c:v>
                </c:pt>
                <c:pt idx="23">
                  <c:v>2511371</c:v>
                </c:pt>
                <c:pt idx="24">
                  <c:v>2586710</c:v>
                </c:pt>
                <c:pt idx="25">
                  <c:v>2664310</c:v>
                </c:pt>
                <c:pt idx="26">
                  <c:v>2744237</c:v>
                </c:pt>
                <c:pt idx="27">
                  <c:v>2826564</c:v>
                </c:pt>
                <c:pt idx="28">
                  <c:v>2911362</c:v>
                </c:pt>
                <c:pt idx="29">
                  <c:v>2998702</c:v>
                </c:pt>
                <c:pt idx="30">
                  <c:v>3088663</c:v>
                </c:pt>
                <c:pt idx="31">
                  <c:v>3181323</c:v>
                </c:pt>
                <c:pt idx="32">
                  <c:v>3276763</c:v>
                </c:pt>
                <c:pt idx="33">
                  <c:v>3375066</c:v>
                </c:pt>
                <c:pt idx="34">
                  <c:v>3476319</c:v>
                </c:pt>
                <c:pt idx="35">
                  <c:v>3580609</c:v>
                </c:pt>
                <c:pt idx="36">
                  <c:v>3688029</c:v>
                </c:pt>
                <c:pt idx="37">
                  <c:v>3798669</c:v>
                </c:pt>
                <c:pt idx="38">
                  <c:v>3912629</c:v>
                </c:pt>
                <c:pt idx="39">
                  <c:v>4030006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Costs'!$F$31:$AS$31</c:f>
              <c:numCache>
                <c:formatCode>_("$"* #,##0_);_("$"* \(#,##0\);_("$"* "-"??_);_(@_)</c:formatCode>
                <c:ptCount val="40"/>
                <c:pt idx="0">
                  <c:v>437500.45320530882</c:v>
                </c:pt>
                <c:pt idx="1">
                  <c:v>458972.09012537863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Transmission </a:t>
            </a:r>
          </a:p>
          <a:p>
            <a:pPr>
              <a:defRPr sz="3600" b="1"/>
            </a:pPr>
            <a:r>
              <a:rPr lang="en-US" sz="3600" b="1" baseline="0"/>
              <a:t>&amp; Distribution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9940033827887885"/>
          <c:w val="0.77204829247258366"/>
          <c:h val="0.64660778627295901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Costs'!$F$13:$AS$13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1230158</c:v>
                </c:pt>
                <c:pt idx="3">
                  <c:v>1267063</c:v>
                </c:pt>
                <c:pt idx="4">
                  <c:v>1305075</c:v>
                </c:pt>
                <c:pt idx="5">
                  <c:v>1344227</c:v>
                </c:pt>
                <c:pt idx="6">
                  <c:v>1384554</c:v>
                </c:pt>
                <c:pt idx="7">
                  <c:v>1426091</c:v>
                </c:pt>
                <c:pt idx="8">
                  <c:v>1468874</c:v>
                </c:pt>
                <c:pt idx="9">
                  <c:v>1512941</c:v>
                </c:pt>
                <c:pt idx="10">
                  <c:v>1558330</c:v>
                </c:pt>
                <c:pt idx="11">
                  <c:v>1605080</c:v>
                </c:pt>
                <c:pt idx="12">
                  <c:v>1653233</c:v>
                </c:pt>
                <c:pt idx="13">
                  <c:v>1702830</c:v>
                </c:pt>
                <c:pt idx="14">
                  <c:v>1753915</c:v>
                </c:pt>
                <c:pt idx="15">
                  <c:v>1806533</c:v>
                </c:pt>
                <c:pt idx="16">
                  <c:v>1860729</c:v>
                </c:pt>
                <c:pt idx="17">
                  <c:v>1916551</c:v>
                </c:pt>
                <c:pt idx="18">
                  <c:v>1974047</c:v>
                </c:pt>
                <c:pt idx="19">
                  <c:v>2033269</c:v>
                </c:pt>
                <c:pt idx="20">
                  <c:v>2094267</c:v>
                </c:pt>
                <c:pt idx="21">
                  <c:v>2157095</c:v>
                </c:pt>
                <c:pt idx="22">
                  <c:v>2221808</c:v>
                </c:pt>
                <c:pt idx="23">
                  <c:v>2288462</c:v>
                </c:pt>
                <c:pt idx="24">
                  <c:v>2357116</c:v>
                </c:pt>
                <c:pt idx="25">
                  <c:v>2427830</c:v>
                </c:pt>
                <c:pt idx="26">
                  <c:v>2500665</c:v>
                </c:pt>
                <c:pt idx="27">
                  <c:v>2575685</c:v>
                </c:pt>
                <c:pt idx="28">
                  <c:v>2652955</c:v>
                </c:pt>
                <c:pt idx="29">
                  <c:v>2732544</c:v>
                </c:pt>
                <c:pt idx="30">
                  <c:v>2814520</c:v>
                </c:pt>
                <c:pt idx="31">
                  <c:v>2898956</c:v>
                </c:pt>
                <c:pt idx="32">
                  <c:v>2985924</c:v>
                </c:pt>
                <c:pt idx="33">
                  <c:v>3075502</c:v>
                </c:pt>
                <c:pt idx="34">
                  <c:v>3167767</c:v>
                </c:pt>
                <c:pt idx="35">
                  <c:v>3262800</c:v>
                </c:pt>
                <c:pt idx="36">
                  <c:v>3360684</c:v>
                </c:pt>
                <c:pt idx="37">
                  <c:v>3461505</c:v>
                </c:pt>
                <c:pt idx="38">
                  <c:v>3565350</c:v>
                </c:pt>
                <c:pt idx="39">
                  <c:v>3672311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Costs'!$F$44:$AS$44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1336014</c:v>
                </c:pt>
                <c:pt idx="3">
                  <c:v>1376095</c:v>
                </c:pt>
                <c:pt idx="4">
                  <c:v>1417378</c:v>
                </c:pt>
                <c:pt idx="5">
                  <c:v>1459899</c:v>
                </c:pt>
                <c:pt idx="6">
                  <c:v>1503696</c:v>
                </c:pt>
                <c:pt idx="7">
                  <c:v>1548807</c:v>
                </c:pt>
                <c:pt idx="8">
                  <c:v>1595272</c:v>
                </c:pt>
                <c:pt idx="9">
                  <c:v>1643131</c:v>
                </c:pt>
                <c:pt idx="10">
                  <c:v>1692426</c:v>
                </c:pt>
                <c:pt idx="11">
                  <c:v>1743198</c:v>
                </c:pt>
                <c:pt idx="12">
                  <c:v>1795494</c:v>
                </c:pt>
                <c:pt idx="13">
                  <c:v>1849360</c:v>
                </c:pt>
                <c:pt idx="14">
                  <c:v>1904841</c:v>
                </c:pt>
                <c:pt idx="15">
                  <c:v>1961987</c:v>
                </c:pt>
                <c:pt idx="16">
                  <c:v>2020847</c:v>
                </c:pt>
                <c:pt idx="17">
                  <c:v>2081472</c:v>
                </c:pt>
                <c:pt idx="18">
                  <c:v>2143915</c:v>
                </c:pt>
                <c:pt idx="19">
                  <c:v>2208234</c:v>
                </c:pt>
                <c:pt idx="20">
                  <c:v>2274481</c:v>
                </c:pt>
                <c:pt idx="21">
                  <c:v>2342715</c:v>
                </c:pt>
                <c:pt idx="22">
                  <c:v>2412997</c:v>
                </c:pt>
                <c:pt idx="23">
                  <c:v>2485386</c:v>
                </c:pt>
                <c:pt idx="24">
                  <c:v>2559948</c:v>
                </c:pt>
                <c:pt idx="25">
                  <c:v>2636748</c:v>
                </c:pt>
                <c:pt idx="26">
                  <c:v>2715849</c:v>
                </c:pt>
                <c:pt idx="27">
                  <c:v>2797325</c:v>
                </c:pt>
                <c:pt idx="28">
                  <c:v>2881244</c:v>
                </c:pt>
                <c:pt idx="29">
                  <c:v>2967683</c:v>
                </c:pt>
                <c:pt idx="30">
                  <c:v>3056712</c:v>
                </c:pt>
                <c:pt idx="31">
                  <c:v>3148413</c:v>
                </c:pt>
                <c:pt idx="32">
                  <c:v>3242866</c:v>
                </c:pt>
                <c:pt idx="33">
                  <c:v>3340152</c:v>
                </c:pt>
                <c:pt idx="34">
                  <c:v>3440356</c:v>
                </c:pt>
                <c:pt idx="35">
                  <c:v>3543566</c:v>
                </c:pt>
                <c:pt idx="36">
                  <c:v>3649874</c:v>
                </c:pt>
                <c:pt idx="37">
                  <c:v>3759371</c:v>
                </c:pt>
                <c:pt idx="38">
                  <c:v>3872152</c:v>
                </c:pt>
                <c:pt idx="39">
                  <c:v>3988316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Debt Service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0639275120327173"/>
          <c:w val="0.77204829247258366"/>
          <c:h val="0.73961537334856609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Service'!$F$28:$AS$28</c:f>
              <c:numCache>
                <c:formatCode>_(* #,##0_);_(* \(#,##0\);_(* "-"??_);_(@_)</c:formatCode>
                <c:ptCount val="40"/>
                <c:pt idx="0">
                  <c:v>1078874.82</c:v>
                </c:pt>
                <c:pt idx="1">
                  <c:v>1764727.68</c:v>
                </c:pt>
                <c:pt idx="2">
                  <c:v>1762879.5499999998</c:v>
                </c:pt>
                <c:pt idx="3">
                  <c:v>1764472.51</c:v>
                </c:pt>
                <c:pt idx="4">
                  <c:v>1762274.55</c:v>
                </c:pt>
                <c:pt idx="5">
                  <c:v>1585347.01</c:v>
                </c:pt>
                <c:pt idx="6">
                  <c:v>1521795.07</c:v>
                </c:pt>
                <c:pt idx="7">
                  <c:v>1521440.8599999999</c:v>
                </c:pt>
                <c:pt idx="8">
                  <c:v>1455431.4</c:v>
                </c:pt>
                <c:pt idx="9">
                  <c:v>1389660.8</c:v>
                </c:pt>
                <c:pt idx="10">
                  <c:v>1389619.72</c:v>
                </c:pt>
                <c:pt idx="11">
                  <c:v>1372795</c:v>
                </c:pt>
                <c:pt idx="12">
                  <c:v>1372795</c:v>
                </c:pt>
                <c:pt idx="13">
                  <c:v>1372795</c:v>
                </c:pt>
                <c:pt idx="14">
                  <c:v>1372795</c:v>
                </c:pt>
                <c:pt idx="15">
                  <c:v>1372795</c:v>
                </c:pt>
                <c:pt idx="16">
                  <c:v>1372795</c:v>
                </c:pt>
                <c:pt idx="17">
                  <c:v>1372795</c:v>
                </c:pt>
                <c:pt idx="18">
                  <c:v>1372795</c:v>
                </c:pt>
                <c:pt idx="19">
                  <c:v>1372795</c:v>
                </c:pt>
                <c:pt idx="20">
                  <c:v>1372795</c:v>
                </c:pt>
                <c:pt idx="21">
                  <c:v>1372795</c:v>
                </c:pt>
                <c:pt idx="22">
                  <c:v>1372795</c:v>
                </c:pt>
                <c:pt idx="23">
                  <c:v>1372795</c:v>
                </c:pt>
                <c:pt idx="24">
                  <c:v>1372795</c:v>
                </c:pt>
                <c:pt idx="25">
                  <c:v>1372795</c:v>
                </c:pt>
                <c:pt idx="26">
                  <c:v>1372795</c:v>
                </c:pt>
                <c:pt idx="27">
                  <c:v>1372795</c:v>
                </c:pt>
                <c:pt idx="28">
                  <c:v>1372795</c:v>
                </c:pt>
                <c:pt idx="29">
                  <c:v>1372795</c:v>
                </c:pt>
                <c:pt idx="30">
                  <c:v>1380359</c:v>
                </c:pt>
                <c:pt idx="31">
                  <c:v>693961</c:v>
                </c:pt>
                <c:pt idx="32">
                  <c:v>693961</c:v>
                </c:pt>
                <c:pt idx="33">
                  <c:v>693961</c:v>
                </c:pt>
                <c:pt idx="34">
                  <c:v>693961</c:v>
                </c:pt>
                <c:pt idx="35">
                  <c:v>693961</c:v>
                </c:pt>
                <c:pt idx="36">
                  <c:v>693961</c:v>
                </c:pt>
                <c:pt idx="37">
                  <c:v>693961</c:v>
                </c:pt>
                <c:pt idx="38">
                  <c:v>693961</c:v>
                </c:pt>
                <c:pt idx="39">
                  <c:v>693961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Service'!$F$42:$AS$42</c:f>
              <c:numCache>
                <c:formatCode>_(* #,##0_);_(* \(#,##0\);_(* "-"??_);_(@_)</c:formatCode>
                <c:ptCount val="40"/>
                <c:pt idx="0">
                  <c:v>1033523.8200000001</c:v>
                </c:pt>
                <c:pt idx="1">
                  <c:v>1674026.68</c:v>
                </c:pt>
                <c:pt idx="2">
                  <c:v>1672178.5499999998</c:v>
                </c:pt>
                <c:pt idx="3">
                  <c:v>1673771.51</c:v>
                </c:pt>
                <c:pt idx="4">
                  <c:v>1671573.55</c:v>
                </c:pt>
                <c:pt idx="5">
                  <c:v>1494646.01</c:v>
                </c:pt>
                <c:pt idx="6">
                  <c:v>1431094.07</c:v>
                </c:pt>
                <c:pt idx="7">
                  <c:v>1430739.8599999999</c:v>
                </c:pt>
                <c:pt idx="8">
                  <c:v>1364730.4</c:v>
                </c:pt>
                <c:pt idx="9">
                  <c:v>1298959.8</c:v>
                </c:pt>
                <c:pt idx="10">
                  <c:v>1298918.72</c:v>
                </c:pt>
                <c:pt idx="11">
                  <c:v>1282094</c:v>
                </c:pt>
                <c:pt idx="12">
                  <c:v>1282094</c:v>
                </c:pt>
                <c:pt idx="13">
                  <c:v>1282094</c:v>
                </c:pt>
                <c:pt idx="14">
                  <c:v>1282094</c:v>
                </c:pt>
                <c:pt idx="15">
                  <c:v>1282094</c:v>
                </c:pt>
                <c:pt idx="16">
                  <c:v>1282094</c:v>
                </c:pt>
                <c:pt idx="17">
                  <c:v>1282094</c:v>
                </c:pt>
                <c:pt idx="18">
                  <c:v>1282094</c:v>
                </c:pt>
                <c:pt idx="19">
                  <c:v>1282094</c:v>
                </c:pt>
                <c:pt idx="20">
                  <c:v>1282094</c:v>
                </c:pt>
                <c:pt idx="21">
                  <c:v>1282094</c:v>
                </c:pt>
                <c:pt idx="22">
                  <c:v>1282094</c:v>
                </c:pt>
                <c:pt idx="23">
                  <c:v>1282094</c:v>
                </c:pt>
                <c:pt idx="24">
                  <c:v>1282094</c:v>
                </c:pt>
                <c:pt idx="25">
                  <c:v>1282094</c:v>
                </c:pt>
                <c:pt idx="26">
                  <c:v>1282094</c:v>
                </c:pt>
                <c:pt idx="27">
                  <c:v>1282094</c:v>
                </c:pt>
                <c:pt idx="28">
                  <c:v>1282094</c:v>
                </c:pt>
                <c:pt idx="29">
                  <c:v>1282094</c:v>
                </c:pt>
                <c:pt idx="30">
                  <c:v>641047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Rate Increases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'Revenue Requirement'!$F$6:$AS$6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Requirement'!$F$21:$AS$21</c:f>
              <c:numCache>
                <c:formatCode>0.00%</c:formatCode>
                <c:ptCount val="40"/>
                <c:pt idx="0">
                  <c:v>2.6200000000000001E-2</c:v>
                </c:pt>
                <c:pt idx="1">
                  <c:v>0.1242</c:v>
                </c:pt>
                <c:pt idx="2">
                  <c:v>5.6899999999999999E-2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1.18E-2</c:v>
                </c:pt>
                <c:pt idx="25">
                  <c:v>1.32E-2</c:v>
                </c:pt>
                <c:pt idx="26">
                  <c:v>1.37E-2</c:v>
                </c:pt>
                <c:pt idx="27">
                  <c:v>1.4200000000000001E-2</c:v>
                </c:pt>
                <c:pt idx="28">
                  <c:v>1.47E-2</c:v>
                </c:pt>
                <c:pt idx="29">
                  <c:v>7.4999999999999997E-3</c:v>
                </c:pt>
                <c:pt idx="30">
                  <c:v>6.3299999999999995E-2</c:v>
                </c:pt>
                <c:pt idx="31">
                  <c:v>0</c:v>
                </c:pt>
                <c:pt idx="32">
                  <c:v>0</c:v>
                </c:pt>
                <c:pt idx="33">
                  <c:v>6.4999999999999997E-3</c:v>
                </c:pt>
                <c:pt idx="34">
                  <c:v>1.6500000000000001E-2</c:v>
                </c:pt>
                <c:pt idx="35">
                  <c:v>1.7100000000000001E-2</c:v>
                </c:pt>
                <c:pt idx="36">
                  <c:v>1.7399999999999999E-2</c:v>
                </c:pt>
                <c:pt idx="37">
                  <c:v>1.78E-2</c:v>
                </c:pt>
                <c:pt idx="38">
                  <c:v>1.84E-2</c:v>
                </c:pt>
                <c:pt idx="3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8-4744-8E2E-58802C578E71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Requirement'!$F$47:$AS$47</c:f>
              <c:numCache>
                <c:formatCode>0.00%</c:formatCode>
                <c:ptCount val="40"/>
                <c:pt idx="0">
                  <c:v>1.7600000000000001E-2</c:v>
                </c:pt>
                <c:pt idx="1">
                  <c:v>0.1159</c:v>
                </c:pt>
                <c:pt idx="2">
                  <c:v>7.5300000000000006E-2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6.4999999999999997E-3</c:v>
                </c:pt>
                <c:pt idx="21">
                  <c:v>1.01E-2</c:v>
                </c:pt>
                <c:pt idx="22">
                  <c:v>9.9000000000000008E-3</c:v>
                </c:pt>
                <c:pt idx="23">
                  <c:v>1.0500000000000001E-2</c:v>
                </c:pt>
                <c:pt idx="24">
                  <c:v>1.0699999999999999E-2</c:v>
                </c:pt>
                <c:pt idx="25">
                  <c:v>1.1299999999999999E-2</c:v>
                </c:pt>
                <c:pt idx="26">
                  <c:v>1.18E-2</c:v>
                </c:pt>
                <c:pt idx="27">
                  <c:v>1.24E-2</c:v>
                </c:pt>
                <c:pt idx="28">
                  <c:v>1.24E-2</c:v>
                </c:pt>
                <c:pt idx="29">
                  <c:v>1.2800000000000001E-2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1.44E-2</c:v>
                </c:pt>
                <c:pt idx="36">
                  <c:v>1.8700000000000001E-2</c:v>
                </c:pt>
                <c:pt idx="37">
                  <c:v>1.8599999999999998E-2</c:v>
                </c:pt>
                <c:pt idx="38">
                  <c:v>1.8800000000000001E-2</c:v>
                </c:pt>
                <c:pt idx="39">
                  <c:v>1.9099999999999999E-2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8-4744-8E2E-58802C57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48063"/>
        <c:axId val="1074334623"/>
      </c:barChart>
      <c:catAx>
        <c:axId val="107434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34623"/>
        <c:crosses val="autoZero"/>
        <c:auto val="1"/>
        <c:lblAlgn val="ctr"/>
        <c:lblOffset val="100"/>
        <c:noMultiLvlLbl val="0"/>
      </c:catAx>
      <c:valAx>
        <c:axId val="1074334623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4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ABB13A-5255-4845-8F56-3C98688AF603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CD66F8-0454-4347-8A96-D74EC964B6A1}">
  <sheetPr/>
  <sheetViews>
    <sheetView zoomScale="203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267498-D380-4103-AC02-5FB3435CB5E4}">
  <sheetPr/>
  <sheetViews>
    <sheetView tabSelected="1" zoomScale="39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6978DF-7A4F-4268-8590-FFD4F898643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AD3E2D-9060-493B-98F0-83542DD9BA6F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E40A20-27B9-4F92-90CB-D581A993DE5C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0533F8-DB38-4189-A54F-4E84C0550B98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DCF159-4F44-4F22-91EB-410BD5079762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0306D3-27C7-4A5B-AF5C-A74A6485D173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0C089F-F37E-438A-831C-90D708EB9CE5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95C6FF-A121-4A9B-8D4E-F46A0A41F736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DA3674-E32E-4792-8601-BD6259A3471A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5D12BF-8E31-4717-B3F4-45C3FDCAB384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FB86CF-DDA1-477B-9134-238BA49CF9A8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B2195C-52A0-4370-9EE6-E4996DD030CC}">
  <sheetPr/>
  <sheetViews>
    <sheetView zoomScale="2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93CE2-9FC5-7375-EFF5-D3B25C782A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276" cy="62931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EEF50-FD45-30A0-9D98-00856DCF88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5142308" cy="1099038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796578-5B6E-0F8B-F3D0-CCED4CF9F0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C07F8-0D6B-32E1-42AD-4B3CDEC7E7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3D33CD-01DD-7636-6BCD-DC3FA438D0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DC853-4E37-B65C-A40F-49D969BF55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E7A16-9859-8581-0098-350E06E1B3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6F477D-1101-E42B-1CEB-6599CDC3F0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00657F-E0B0-7FEB-FBBE-D2C226CB8C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EC78D4-40B4-7ECC-B480-70522398F5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1ABF07-2014-0D00-7D05-5D2E3A133E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FD6EFF-730D-3992-F521-F5BE472662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23AB3-3A26-652F-73EC-B69E140474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75618-1CCA-F250-B19E-B335722A98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276" cy="62931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4FDED-A575-B148-92D8-808E061BF9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3566-FD33-46F7-9605-8BB6FD524F69}">
  <dimension ref="A1:CH114"/>
  <sheetViews>
    <sheetView zoomScaleNormal="100" workbookViewId="0">
      <pane xSplit="1" ySplit="1" topLeftCell="D44" activePane="bottomRight" state="frozen"/>
      <selection pane="topRight" activeCell="B1" sqref="B1"/>
      <selection pane="bottomLeft" activeCell="A2" sqref="A2"/>
      <selection pane="bottomRight" activeCell="B85" sqref="B85"/>
    </sheetView>
  </sheetViews>
  <sheetFormatPr defaultColWidth="8.875" defaultRowHeight="14.6" x14ac:dyDescent="0.4"/>
  <cols>
    <col min="1" max="1" width="58.6875" style="70" customWidth="1"/>
    <col min="2" max="42" width="12.5625" style="16" customWidth="1"/>
    <col min="43" max="16384" width="8.875" style="16"/>
  </cols>
  <sheetData>
    <row r="1" spans="1:86" s="15" customFormat="1" x14ac:dyDescent="0.4">
      <c r="A1" s="84" t="s">
        <v>283</v>
      </c>
      <c r="B1" s="105" t="s">
        <v>2</v>
      </c>
      <c r="C1" s="75">
        <v>2026</v>
      </c>
      <c r="D1" s="76">
        <f>C1+1</f>
        <v>2027</v>
      </c>
      <c r="E1" s="76">
        <f t="shared" ref="E1:AP1" si="0">D1+1</f>
        <v>2028</v>
      </c>
      <c r="F1" s="76">
        <f t="shared" si="0"/>
        <v>2029</v>
      </c>
      <c r="G1" s="76">
        <f t="shared" si="0"/>
        <v>2030</v>
      </c>
      <c r="H1" s="76">
        <f t="shared" si="0"/>
        <v>2031</v>
      </c>
      <c r="I1" s="76">
        <f t="shared" si="0"/>
        <v>2032</v>
      </c>
      <c r="J1" s="76">
        <f t="shared" si="0"/>
        <v>2033</v>
      </c>
      <c r="K1" s="76">
        <f t="shared" si="0"/>
        <v>2034</v>
      </c>
      <c r="L1" s="76">
        <f t="shared" si="0"/>
        <v>2035</v>
      </c>
      <c r="M1" s="76">
        <f t="shared" si="0"/>
        <v>2036</v>
      </c>
      <c r="N1" s="76">
        <f t="shared" si="0"/>
        <v>2037</v>
      </c>
      <c r="O1" s="76">
        <f t="shared" si="0"/>
        <v>2038</v>
      </c>
      <c r="P1" s="76">
        <f t="shared" si="0"/>
        <v>2039</v>
      </c>
      <c r="Q1" s="76">
        <f t="shared" si="0"/>
        <v>2040</v>
      </c>
      <c r="R1" s="76">
        <f t="shared" si="0"/>
        <v>2041</v>
      </c>
      <c r="S1" s="76">
        <f t="shared" si="0"/>
        <v>2042</v>
      </c>
      <c r="T1" s="76">
        <f t="shared" si="0"/>
        <v>2043</v>
      </c>
      <c r="U1" s="76">
        <f t="shared" si="0"/>
        <v>2044</v>
      </c>
      <c r="V1" s="76">
        <f t="shared" si="0"/>
        <v>2045</v>
      </c>
      <c r="W1" s="76">
        <f t="shared" si="0"/>
        <v>2046</v>
      </c>
      <c r="X1" s="76">
        <f t="shared" si="0"/>
        <v>2047</v>
      </c>
      <c r="Y1" s="76">
        <f t="shared" si="0"/>
        <v>2048</v>
      </c>
      <c r="Z1" s="76">
        <f t="shared" si="0"/>
        <v>2049</v>
      </c>
      <c r="AA1" s="76">
        <f t="shared" si="0"/>
        <v>2050</v>
      </c>
      <c r="AB1" s="76">
        <f t="shared" si="0"/>
        <v>2051</v>
      </c>
      <c r="AC1" s="76">
        <f t="shared" si="0"/>
        <v>2052</v>
      </c>
      <c r="AD1" s="76">
        <f t="shared" si="0"/>
        <v>2053</v>
      </c>
      <c r="AE1" s="76">
        <f t="shared" si="0"/>
        <v>2054</v>
      </c>
      <c r="AF1" s="76">
        <f t="shared" si="0"/>
        <v>2055</v>
      </c>
      <c r="AG1" s="76">
        <f t="shared" si="0"/>
        <v>2056</v>
      </c>
      <c r="AH1" s="76">
        <f t="shared" si="0"/>
        <v>2057</v>
      </c>
      <c r="AI1" s="76">
        <f t="shared" si="0"/>
        <v>2058</v>
      </c>
      <c r="AJ1" s="76">
        <f t="shared" si="0"/>
        <v>2059</v>
      </c>
      <c r="AK1" s="76">
        <f t="shared" si="0"/>
        <v>2060</v>
      </c>
      <c r="AL1" s="76">
        <f t="shared" si="0"/>
        <v>2061</v>
      </c>
      <c r="AM1" s="76">
        <f t="shared" si="0"/>
        <v>2062</v>
      </c>
      <c r="AN1" s="76">
        <f t="shared" si="0"/>
        <v>2063</v>
      </c>
      <c r="AO1" s="76">
        <f t="shared" si="0"/>
        <v>2064</v>
      </c>
      <c r="AP1" s="76">
        <f t="shared" si="0"/>
        <v>2065</v>
      </c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</row>
    <row r="2" spans="1:86" s="15" customFormat="1" x14ac:dyDescent="0.4">
      <c r="A2" s="92" t="s">
        <v>3</v>
      </c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</row>
    <row r="3" spans="1:86" s="15" customFormat="1" x14ac:dyDescent="0.4">
      <c r="A3" s="77" t="s">
        <v>4</v>
      </c>
      <c r="B3" s="87">
        <v>393178000</v>
      </c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</row>
    <row r="4" spans="1:86" s="15" customFormat="1" x14ac:dyDescent="0.4">
      <c r="A4" s="77" t="s">
        <v>5</v>
      </c>
      <c r="B4" s="93">
        <v>143474514</v>
      </c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</row>
    <row r="5" spans="1:86" s="15" customFormat="1" x14ac:dyDescent="0.4">
      <c r="A5" s="77" t="s">
        <v>6</v>
      </c>
      <c r="B5" s="78">
        <f>SUM(B3:B4)</f>
        <v>536652514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</row>
    <row r="6" spans="1:86" s="15" customFormat="1" x14ac:dyDescent="0.4">
      <c r="A6" s="77" t="s">
        <v>7</v>
      </c>
      <c r="B6" s="73"/>
      <c r="C6" s="55">
        <v>0.03</v>
      </c>
      <c r="D6" s="55">
        <v>0.03</v>
      </c>
      <c r="E6" s="55">
        <v>0.03</v>
      </c>
      <c r="F6" s="55">
        <v>0.03</v>
      </c>
      <c r="G6" s="55">
        <v>0.03</v>
      </c>
      <c r="H6" s="55">
        <v>0.03</v>
      </c>
      <c r="I6" s="55">
        <v>0.03</v>
      </c>
      <c r="J6" s="55">
        <v>0.03</v>
      </c>
      <c r="K6" s="55">
        <v>0.03</v>
      </c>
      <c r="L6" s="55">
        <v>0.03</v>
      </c>
      <c r="M6" s="55">
        <v>0.03</v>
      </c>
      <c r="N6" s="55">
        <v>0.03</v>
      </c>
      <c r="O6" s="55">
        <v>0.03</v>
      </c>
      <c r="P6" s="55">
        <v>0.03</v>
      </c>
      <c r="Q6" s="55">
        <v>0.03</v>
      </c>
      <c r="R6" s="55">
        <v>0.03</v>
      </c>
      <c r="S6" s="55">
        <v>0.03</v>
      </c>
      <c r="T6" s="55">
        <v>0.03</v>
      </c>
      <c r="U6" s="55">
        <v>0.03</v>
      </c>
      <c r="V6" s="55">
        <v>0.03</v>
      </c>
      <c r="W6" s="55">
        <v>0.03</v>
      </c>
      <c r="X6" s="55">
        <v>0.03</v>
      </c>
      <c r="Y6" s="55">
        <v>0.03</v>
      </c>
      <c r="Z6" s="55">
        <v>0.03</v>
      </c>
      <c r="AA6" s="55">
        <v>0.03</v>
      </c>
      <c r="AB6" s="55">
        <v>0.03</v>
      </c>
      <c r="AC6" s="55">
        <v>0.03</v>
      </c>
      <c r="AD6" s="55">
        <v>0.03</v>
      </c>
      <c r="AE6" s="55">
        <v>0.03</v>
      </c>
      <c r="AF6" s="55">
        <v>0.03</v>
      </c>
      <c r="AG6" s="55">
        <v>0.03</v>
      </c>
      <c r="AH6" s="55">
        <v>0.03</v>
      </c>
      <c r="AI6" s="55">
        <v>0.03</v>
      </c>
      <c r="AJ6" s="55">
        <v>0.03</v>
      </c>
      <c r="AK6" s="55">
        <v>0.03</v>
      </c>
      <c r="AL6" s="55">
        <v>0.03</v>
      </c>
      <c r="AM6" s="55">
        <v>0.03</v>
      </c>
      <c r="AN6" s="55">
        <v>0.03</v>
      </c>
      <c r="AO6" s="55">
        <v>0.03</v>
      </c>
      <c r="AP6" s="55">
        <v>0.03</v>
      </c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</row>
    <row r="7" spans="1:86" s="15" customFormat="1" x14ac:dyDescent="0.4">
      <c r="A7" s="77" t="s">
        <v>8</v>
      </c>
      <c r="B7" s="73"/>
      <c r="C7" s="55">
        <v>2.5000000000000001E-2</v>
      </c>
      <c r="D7" s="55">
        <v>2.5000000000000001E-2</v>
      </c>
      <c r="E7" s="55">
        <v>2.5000000000000001E-2</v>
      </c>
      <c r="F7" s="55">
        <v>2.5000000000000001E-2</v>
      </c>
      <c r="G7" s="55">
        <v>2.5000000000000001E-2</v>
      </c>
      <c r="H7" s="55">
        <v>2.5000000000000001E-2</v>
      </c>
      <c r="I7" s="55">
        <v>2.5000000000000001E-2</v>
      </c>
      <c r="J7" s="55">
        <v>2.5000000000000001E-2</v>
      </c>
      <c r="K7" s="55">
        <v>2.5000000000000001E-2</v>
      </c>
      <c r="L7" s="55">
        <v>2.5000000000000001E-2</v>
      </c>
      <c r="M7" s="55">
        <v>2.5000000000000001E-2</v>
      </c>
      <c r="N7" s="55">
        <v>2.5000000000000001E-2</v>
      </c>
      <c r="O7" s="55">
        <v>2.5000000000000001E-2</v>
      </c>
      <c r="P7" s="55">
        <v>2.5000000000000001E-2</v>
      </c>
      <c r="Q7" s="55">
        <v>2.5000000000000001E-2</v>
      </c>
      <c r="R7" s="55">
        <v>2.5000000000000001E-2</v>
      </c>
      <c r="S7" s="55">
        <v>2.5000000000000001E-2</v>
      </c>
      <c r="T7" s="55">
        <v>2.5000000000000001E-2</v>
      </c>
      <c r="U7" s="55">
        <v>2.5000000000000001E-2</v>
      </c>
      <c r="V7" s="55">
        <v>2.5000000000000001E-2</v>
      </c>
      <c r="W7" s="55">
        <v>2.5000000000000001E-2</v>
      </c>
      <c r="X7" s="55">
        <v>2.5000000000000001E-2</v>
      </c>
      <c r="Y7" s="55">
        <v>2.5000000000000001E-2</v>
      </c>
      <c r="Z7" s="55">
        <v>2.5000000000000001E-2</v>
      </c>
      <c r="AA7" s="55">
        <v>2.5000000000000001E-2</v>
      </c>
      <c r="AB7" s="55">
        <v>2.5000000000000001E-2</v>
      </c>
      <c r="AC7" s="55">
        <v>2.5000000000000001E-2</v>
      </c>
      <c r="AD7" s="55">
        <v>2.5000000000000001E-2</v>
      </c>
      <c r="AE7" s="55">
        <v>2.5000000000000001E-2</v>
      </c>
      <c r="AF7" s="55">
        <v>2.5000000000000001E-2</v>
      </c>
      <c r="AG7" s="55">
        <v>2.5000000000000001E-2</v>
      </c>
      <c r="AH7" s="55">
        <v>2.5000000000000001E-2</v>
      </c>
      <c r="AI7" s="55">
        <v>2.5000000000000001E-2</v>
      </c>
      <c r="AJ7" s="55">
        <v>2.5000000000000001E-2</v>
      </c>
      <c r="AK7" s="55">
        <v>2.5000000000000001E-2</v>
      </c>
      <c r="AL7" s="55">
        <v>2.5000000000000001E-2</v>
      </c>
      <c r="AM7" s="55">
        <v>2.5000000000000001E-2</v>
      </c>
      <c r="AN7" s="55">
        <v>2.5000000000000001E-2</v>
      </c>
      <c r="AO7" s="55">
        <v>2.5000000000000001E-2</v>
      </c>
      <c r="AP7" s="55">
        <v>2.5000000000000001E-2</v>
      </c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</row>
    <row r="8" spans="1:86" s="15" customFormat="1" x14ac:dyDescent="0.4">
      <c r="A8" s="77" t="s">
        <v>9</v>
      </c>
      <c r="B8" s="73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0</v>
      </c>
      <c r="AL8" s="55">
        <v>0</v>
      </c>
      <c r="AM8" s="55">
        <v>0</v>
      </c>
      <c r="AN8" s="55">
        <v>0</v>
      </c>
      <c r="AO8" s="55">
        <v>0</v>
      </c>
      <c r="AP8" s="55">
        <v>0</v>
      </c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</row>
    <row r="9" spans="1:86" s="15" customFormat="1" x14ac:dyDescent="0.4">
      <c r="A9" s="80" t="s">
        <v>10</v>
      </c>
      <c r="C9" s="55">
        <v>0.15</v>
      </c>
      <c r="D9" s="55">
        <v>0.15</v>
      </c>
      <c r="E9" s="55">
        <v>0.15</v>
      </c>
      <c r="F9" s="55">
        <v>0.15</v>
      </c>
      <c r="G9" s="55">
        <v>0.15</v>
      </c>
      <c r="H9" s="55">
        <v>0.15</v>
      </c>
      <c r="I9" s="55">
        <v>0.15</v>
      </c>
      <c r="J9" s="55">
        <v>0.15</v>
      </c>
      <c r="K9" s="55">
        <v>0.15</v>
      </c>
      <c r="L9" s="55">
        <v>0.15</v>
      </c>
      <c r="M9" s="55">
        <v>0.15</v>
      </c>
      <c r="N9" s="55">
        <v>0.15</v>
      </c>
      <c r="O9" s="55">
        <v>0.15</v>
      </c>
      <c r="P9" s="55">
        <v>0.15</v>
      </c>
      <c r="Q9" s="55">
        <v>0.15</v>
      </c>
      <c r="R9" s="55">
        <v>0.15</v>
      </c>
      <c r="S9" s="55">
        <v>0.15</v>
      </c>
      <c r="T9" s="55">
        <v>0.15</v>
      </c>
      <c r="U9" s="55">
        <v>0.15</v>
      </c>
      <c r="V9" s="55">
        <v>0.15</v>
      </c>
      <c r="W9" s="55">
        <v>0.15</v>
      </c>
      <c r="X9" s="55">
        <v>0.15</v>
      </c>
      <c r="Y9" s="55">
        <v>0.15</v>
      </c>
      <c r="Z9" s="55">
        <v>0.15</v>
      </c>
      <c r="AA9" s="55">
        <v>0.15</v>
      </c>
      <c r="AB9" s="55">
        <v>0.15</v>
      </c>
      <c r="AC9" s="55">
        <v>0.15</v>
      </c>
      <c r="AD9" s="55">
        <v>0.15</v>
      </c>
      <c r="AE9" s="55">
        <v>0.15</v>
      </c>
      <c r="AF9" s="55">
        <v>0.15</v>
      </c>
      <c r="AG9" s="55">
        <v>0.15</v>
      </c>
      <c r="AH9" s="55">
        <v>0.15</v>
      </c>
      <c r="AI9" s="55">
        <v>0.15</v>
      </c>
      <c r="AJ9" s="55">
        <v>0.15</v>
      </c>
      <c r="AK9" s="55">
        <v>0.15</v>
      </c>
      <c r="AL9" s="55">
        <v>0.15</v>
      </c>
      <c r="AM9" s="55">
        <v>0.15</v>
      </c>
      <c r="AN9" s="55">
        <v>0.15</v>
      </c>
      <c r="AO9" s="55">
        <v>0.15</v>
      </c>
      <c r="AP9" s="55">
        <v>0.15</v>
      </c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</row>
    <row r="10" spans="1:86" s="15" customFormat="1" x14ac:dyDescent="0.4">
      <c r="A10" s="80" t="s">
        <v>11</v>
      </c>
      <c r="C10" s="87">
        <v>13</v>
      </c>
      <c r="D10" s="87">
        <v>13</v>
      </c>
      <c r="E10" s="87">
        <v>13</v>
      </c>
      <c r="F10" s="87">
        <v>13</v>
      </c>
      <c r="G10" s="87">
        <v>13</v>
      </c>
      <c r="H10" s="87">
        <v>13</v>
      </c>
      <c r="I10" s="87">
        <v>13</v>
      </c>
      <c r="J10" s="87">
        <v>13</v>
      </c>
      <c r="K10" s="87">
        <v>13</v>
      </c>
      <c r="L10" s="87">
        <v>13</v>
      </c>
      <c r="M10" s="87">
        <v>13</v>
      </c>
      <c r="N10" s="87">
        <v>13</v>
      </c>
      <c r="O10" s="87">
        <v>13</v>
      </c>
      <c r="P10" s="87">
        <v>13</v>
      </c>
      <c r="Q10" s="87">
        <v>13</v>
      </c>
      <c r="R10" s="87">
        <v>13</v>
      </c>
      <c r="S10" s="87">
        <v>13</v>
      </c>
      <c r="T10" s="87">
        <v>13</v>
      </c>
      <c r="U10" s="87">
        <v>13</v>
      </c>
      <c r="V10" s="87">
        <v>13</v>
      </c>
      <c r="W10" s="87">
        <v>13</v>
      </c>
      <c r="X10" s="87">
        <v>13</v>
      </c>
      <c r="Y10" s="87">
        <v>13</v>
      </c>
      <c r="Z10" s="87">
        <v>13</v>
      </c>
      <c r="AA10" s="87">
        <v>13</v>
      </c>
      <c r="AB10" s="87">
        <v>13</v>
      </c>
      <c r="AC10" s="87">
        <v>13</v>
      </c>
      <c r="AD10" s="87">
        <v>13</v>
      </c>
      <c r="AE10" s="87">
        <v>13</v>
      </c>
      <c r="AF10" s="87">
        <v>13</v>
      </c>
      <c r="AG10" s="87">
        <v>13</v>
      </c>
      <c r="AH10" s="87">
        <v>13</v>
      </c>
      <c r="AI10" s="87">
        <v>13</v>
      </c>
      <c r="AJ10" s="87">
        <v>13</v>
      </c>
      <c r="AK10" s="87">
        <v>13</v>
      </c>
      <c r="AL10" s="87">
        <v>13</v>
      </c>
      <c r="AM10" s="87">
        <v>13</v>
      </c>
      <c r="AN10" s="87">
        <v>13</v>
      </c>
      <c r="AO10" s="87">
        <v>13</v>
      </c>
      <c r="AP10" s="87">
        <v>13</v>
      </c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</row>
    <row r="11" spans="1:86" s="73" customFormat="1" x14ac:dyDescent="0.4">
      <c r="A11" s="77" t="s">
        <v>12</v>
      </c>
      <c r="C11" s="56">
        <f>C10/52</f>
        <v>0.25</v>
      </c>
      <c r="D11" s="56">
        <f t="shared" ref="D11:AP11" si="1">D10/52</f>
        <v>0.25</v>
      </c>
      <c r="E11" s="56">
        <f t="shared" si="1"/>
        <v>0.25</v>
      </c>
      <c r="F11" s="56">
        <f t="shared" si="1"/>
        <v>0.25</v>
      </c>
      <c r="G11" s="56">
        <f t="shared" si="1"/>
        <v>0.25</v>
      </c>
      <c r="H11" s="56">
        <f t="shared" si="1"/>
        <v>0.25</v>
      </c>
      <c r="I11" s="56">
        <f t="shared" si="1"/>
        <v>0.25</v>
      </c>
      <c r="J11" s="56">
        <f t="shared" si="1"/>
        <v>0.25</v>
      </c>
      <c r="K11" s="56">
        <f t="shared" si="1"/>
        <v>0.25</v>
      </c>
      <c r="L11" s="56">
        <f t="shared" si="1"/>
        <v>0.25</v>
      </c>
      <c r="M11" s="56">
        <f t="shared" si="1"/>
        <v>0.25</v>
      </c>
      <c r="N11" s="56">
        <f t="shared" si="1"/>
        <v>0.25</v>
      </c>
      <c r="O11" s="56">
        <f t="shared" si="1"/>
        <v>0.25</v>
      </c>
      <c r="P11" s="56">
        <f t="shared" si="1"/>
        <v>0.25</v>
      </c>
      <c r="Q11" s="56">
        <f t="shared" si="1"/>
        <v>0.25</v>
      </c>
      <c r="R11" s="56">
        <f t="shared" si="1"/>
        <v>0.25</v>
      </c>
      <c r="S11" s="56">
        <f t="shared" si="1"/>
        <v>0.25</v>
      </c>
      <c r="T11" s="56">
        <f t="shared" si="1"/>
        <v>0.25</v>
      </c>
      <c r="U11" s="56">
        <f t="shared" si="1"/>
        <v>0.25</v>
      </c>
      <c r="V11" s="56">
        <f t="shared" si="1"/>
        <v>0.25</v>
      </c>
      <c r="W11" s="56">
        <f t="shared" si="1"/>
        <v>0.25</v>
      </c>
      <c r="X11" s="56">
        <f t="shared" si="1"/>
        <v>0.25</v>
      </c>
      <c r="Y11" s="56">
        <f t="shared" si="1"/>
        <v>0.25</v>
      </c>
      <c r="Z11" s="56">
        <f t="shared" si="1"/>
        <v>0.25</v>
      </c>
      <c r="AA11" s="56">
        <f t="shared" si="1"/>
        <v>0.25</v>
      </c>
      <c r="AB11" s="56">
        <f t="shared" si="1"/>
        <v>0.25</v>
      </c>
      <c r="AC11" s="56">
        <f t="shared" si="1"/>
        <v>0.25</v>
      </c>
      <c r="AD11" s="56">
        <f t="shared" si="1"/>
        <v>0.25</v>
      </c>
      <c r="AE11" s="56">
        <f t="shared" si="1"/>
        <v>0.25</v>
      </c>
      <c r="AF11" s="56">
        <f t="shared" si="1"/>
        <v>0.25</v>
      </c>
      <c r="AG11" s="56">
        <f t="shared" si="1"/>
        <v>0.25</v>
      </c>
      <c r="AH11" s="56">
        <f t="shared" si="1"/>
        <v>0.25</v>
      </c>
      <c r="AI11" s="56">
        <f t="shared" si="1"/>
        <v>0.25</v>
      </c>
      <c r="AJ11" s="56">
        <f t="shared" si="1"/>
        <v>0.25</v>
      </c>
      <c r="AK11" s="56">
        <f t="shared" si="1"/>
        <v>0.25</v>
      </c>
      <c r="AL11" s="56">
        <f t="shared" si="1"/>
        <v>0.25</v>
      </c>
      <c r="AM11" s="56">
        <f t="shared" si="1"/>
        <v>0.25</v>
      </c>
      <c r="AN11" s="56">
        <f t="shared" si="1"/>
        <v>0.25</v>
      </c>
      <c r="AO11" s="56">
        <f t="shared" si="1"/>
        <v>0.25</v>
      </c>
      <c r="AP11" s="56">
        <f t="shared" si="1"/>
        <v>0.25</v>
      </c>
    </row>
    <row r="12" spans="1:86" s="73" customFormat="1" x14ac:dyDescent="0.4">
      <c r="A12" s="77" t="s">
        <v>13</v>
      </c>
      <c r="C12" s="56">
        <f>1-C11</f>
        <v>0.75</v>
      </c>
      <c r="D12" s="56">
        <f t="shared" ref="D12:AP12" si="2">1-D11</f>
        <v>0.75</v>
      </c>
      <c r="E12" s="56">
        <f t="shared" si="2"/>
        <v>0.75</v>
      </c>
      <c r="F12" s="56">
        <f t="shared" si="2"/>
        <v>0.75</v>
      </c>
      <c r="G12" s="56">
        <f t="shared" si="2"/>
        <v>0.75</v>
      </c>
      <c r="H12" s="56">
        <f t="shared" si="2"/>
        <v>0.75</v>
      </c>
      <c r="I12" s="56">
        <f t="shared" si="2"/>
        <v>0.75</v>
      </c>
      <c r="J12" s="56">
        <f t="shared" si="2"/>
        <v>0.75</v>
      </c>
      <c r="K12" s="56">
        <f t="shared" si="2"/>
        <v>0.75</v>
      </c>
      <c r="L12" s="56">
        <f t="shared" si="2"/>
        <v>0.75</v>
      </c>
      <c r="M12" s="56">
        <f t="shared" si="2"/>
        <v>0.75</v>
      </c>
      <c r="N12" s="56">
        <f t="shared" si="2"/>
        <v>0.75</v>
      </c>
      <c r="O12" s="56">
        <f t="shared" si="2"/>
        <v>0.75</v>
      </c>
      <c r="P12" s="56">
        <f t="shared" si="2"/>
        <v>0.75</v>
      </c>
      <c r="Q12" s="56">
        <f t="shared" si="2"/>
        <v>0.75</v>
      </c>
      <c r="R12" s="56">
        <f t="shared" si="2"/>
        <v>0.75</v>
      </c>
      <c r="S12" s="56">
        <f t="shared" si="2"/>
        <v>0.75</v>
      </c>
      <c r="T12" s="56">
        <f t="shared" si="2"/>
        <v>0.75</v>
      </c>
      <c r="U12" s="56">
        <f t="shared" si="2"/>
        <v>0.75</v>
      </c>
      <c r="V12" s="56">
        <f t="shared" si="2"/>
        <v>0.75</v>
      </c>
      <c r="W12" s="56">
        <f t="shared" si="2"/>
        <v>0.75</v>
      </c>
      <c r="X12" s="56">
        <f t="shared" si="2"/>
        <v>0.75</v>
      </c>
      <c r="Y12" s="56">
        <f t="shared" si="2"/>
        <v>0.75</v>
      </c>
      <c r="Z12" s="56">
        <f t="shared" si="2"/>
        <v>0.75</v>
      </c>
      <c r="AA12" s="56">
        <f t="shared" si="2"/>
        <v>0.75</v>
      </c>
      <c r="AB12" s="56">
        <f t="shared" si="2"/>
        <v>0.75</v>
      </c>
      <c r="AC12" s="56">
        <f t="shared" si="2"/>
        <v>0.75</v>
      </c>
      <c r="AD12" s="56">
        <f t="shared" si="2"/>
        <v>0.75</v>
      </c>
      <c r="AE12" s="56">
        <f t="shared" si="2"/>
        <v>0.75</v>
      </c>
      <c r="AF12" s="56">
        <f t="shared" si="2"/>
        <v>0.75</v>
      </c>
      <c r="AG12" s="56">
        <f t="shared" si="2"/>
        <v>0.75</v>
      </c>
      <c r="AH12" s="56">
        <f t="shared" si="2"/>
        <v>0.75</v>
      </c>
      <c r="AI12" s="56">
        <f t="shared" si="2"/>
        <v>0.75</v>
      </c>
      <c r="AJ12" s="56">
        <f t="shared" si="2"/>
        <v>0.75</v>
      </c>
      <c r="AK12" s="56">
        <f t="shared" si="2"/>
        <v>0.75</v>
      </c>
      <c r="AL12" s="56">
        <f t="shared" si="2"/>
        <v>0.75</v>
      </c>
      <c r="AM12" s="56">
        <f t="shared" si="2"/>
        <v>0.75</v>
      </c>
      <c r="AN12" s="56">
        <f t="shared" si="2"/>
        <v>0.75</v>
      </c>
      <c r="AO12" s="56">
        <f t="shared" si="2"/>
        <v>0.75</v>
      </c>
      <c r="AP12" s="56">
        <f t="shared" si="2"/>
        <v>0.75</v>
      </c>
    </row>
    <row r="13" spans="1:86" s="15" customFormat="1" x14ac:dyDescent="0.4">
      <c r="A13" s="80" t="s">
        <v>14</v>
      </c>
      <c r="B13" s="73"/>
      <c r="C13" s="73"/>
      <c r="D13" s="73"/>
      <c r="E13" s="87">
        <v>1500000</v>
      </c>
      <c r="F13" s="87">
        <v>1500000</v>
      </c>
      <c r="G13" s="87">
        <v>1500000</v>
      </c>
      <c r="H13" s="87">
        <v>1500000</v>
      </c>
      <c r="I13" s="87">
        <v>1500000</v>
      </c>
      <c r="J13" s="87">
        <v>1500000</v>
      </c>
      <c r="K13" s="87">
        <v>1500000</v>
      </c>
      <c r="L13" s="87">
        <v>1500000</v>
      </c>
      <c r="M13" s="87">
        <v>1500000</v>
      </c>
      <c r="N13" s="87">
        <v>1500000</v>
      </c>
      <c r="O13" s="87">
        <v>1500000</v>
      </c>
      <c r="P13" s="87">
        <v>1500000</v>
      </c>
      <c r="Q13" s="87">
        <v>1500000</v>
      </c>
      <c r="R13" s="87">
        <v>1500000</v>
      </c>
      <c r="S13" s="87">
        <v>1500000</v>
      </c>
      <c r="T13" s="87">
        <v>1500000</v>
      </c>
      <c r="U13" s="87">
        <v>1500000</v>
      </c>
      <c r="V13" s="87">
        <v>1500000</v>
      </c>
      <c r="W13" s="87">
        <v>1500000</v>
      </c>
      <c r="X13" s="87">
        <v>1500000</v>
      </c>
      <c r="Y13" s="87">
        <v>1500000</v>
      </c>
      <c r="Z13" s="87">
        <v>1500000</v>
      </c>
      <c r="AA13" s="87">
        <v>1500000</v>
      </c>
      <c r="AB13" s="87">
        <v>1500000</v>
      </c>
      <c r="AC13" s="87">
        <v>1500000</v>
      </c>
      <c r="AD13" s="87">
        <v>1500000</v>
      </c>
      <c r="AE13" s="87">
        <v>1500000</v>
      </c>
      <c r="AF13" s="87">
        <v>1500000</v>
      </c>
      <c r="AG13" s="87">
        <v>1500000</v>
      </c>
      <c r="AH13" s="87">
        <v>1500000</v>
      </c>
      <c r="AI13" s="87">
        <v>1500000</v>
      </c>
      <c r="AJ13" s="87">
        <v>1500000</v>
      </c>
      <c r="AK13" s="87">
        <v>1500000</v>
      </c>
      <c r="AL13" s="87">
        <v>1500000</v>
      </c>
      <c r="AM13" s="87">
        <v>1500000</v>
      </c>
      <c r="AN13" s="87">
        <v>1500000</v>
      </c>
      <c r="AO13" s="87">
        <v>1500000</v>
      </c>
      <c r="AP13" s="87">
        <v>1500000</v>
      </c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</row>
    <row r="14" spans="1:86" s="15" customFormat="1" x14ac:dyDescent="0.4">
      <c r="A14" s="80" t="s">
        <v>15</v>
      </c>
      <c r="B14" s="73"/>
      <c r="C14" s="73"/>
      <c r="D14" s="73"/>
      <c r="E14" s="87">
        <v>500000</v>
      </c>
      <c r="F14" s="87">
        <v>500000</v>
      </c>
      <c r="G14" s="87">
        <v>500000</v>
      </c>
      <c r="H14" s="87">
        <f>500000*0</f>
        <v>0</v>
      </c>
      <c r="I14" s="87">
        <f t="shared" ref="I14:AP14" si="3">500000*0</f>
        <v>0</v>
      </c>
      <c r="J14" s="87">
        <f t="shared" si="3"/>
        <v>0</v>
      </c>
      <c r="K14" s="87">
        <f t="shared" si="3"/>
        <v>0</v>
      </c>
      <c r="L14" s="87">
        <f t="shared" si="3"/>
        <v>0</v>
      </c>
      <c r="M14" s="87">
        <f t="shared" si="3"/>
        <v>0</v>
      </c>
      <c r="N14" s="87">
        <f t="shared" si="3"/>
        <v>0</v>
      </c>
      <c r="O14" s="87">
        <f t="shared" si="3"/>
        <v>0</v>
      </c>
      <c r="P14" s="87">
        <f t="shared" si="3"/>
        <v>0</v>
      </c>
      <c r="Q14" s="87">
        <f t="shared" si="3"/>
        <v>0</v>
      </c>
      <c r="R14" s="87">
        <f t="shared" si="3"/>
        <v>0</v>
      </c>
      <c r="S14" s="87">
        <f t="shared" si="3"/>
        <v>0</v>
      </c>
      <c r="T14" s="87">
        <f t="shared" si="3"/>
        <v>0</v>
      </c>
      <c r="U14" s="87">
        <f t="shared" si="3"/>
        <v>0</v>
      </c>
      <c r="V14" s="87">
        <f t="shared" si="3"/>
        <v>0</v>
      </c>
      <c r="W14" s="87">
        <f t="shared" si="3"/>
        <v>0</v>
      </c>
      <c r="X14" s="87">
        <f t="shared" si="3"/>
        <v>0</v>
      </c>
      <c r="Y14" s="87">
        <f t="shared" si="3"/>
        <v>0</v>
      </c>
      <c r="Z14" s="87">
        <f t="shared" si="3"/>
        <v>0</v>
      </c>
      <c r="AA14" s="87">
        <f t="shared" si="3"/>
        <v>0</v>
      </c>
      <c r="AB14" s="87">
        <f t="shared" si="3"/>
        <v>0</v>
      </c>
      <c r="AC14" s="87">
        <f t="shared" si="3"/>
        <v>0</v>
      </c>
      <c r="AD14" s="87">
        <f t="shared" si="3"/>
        <v>0</v>
      </c>
      <c r="AE14" s="87">
        <f t="shared" si="3"/>
        <v>0</v>
      </c>
      <c r="AF14" s="87">
        <f t="shared" si="3"/>
        <v>0</v>
      </c>
      <c r="AG14" s="87">
        <f t="shared" si="3"/>
        <v>0</v>
      </c>
      <c r="AH14" s="87">
        <f t="shared" si="3"/>
        <v>0</v>
      </c>
      <c r="AI14" s="87">
        <f t="shared" si="3"/>
        <v>0</v>
      </c>
      <c r="AJ14" s="87">
        <f t="shared" si="3"/>
        <v>0</v>
      </c>
      <c r="AK14" s="87">
        <f t="shared" si="3"/>
        <v>0</v>
      </c>
      <c r="AL14" s="87">
        <f t="shared" si="3"/>
        <v>0</v>
      </c>
      <c r="AM14" s="87">
        <f t="shared" si="3"/>
        <v>0</v>
      </c>
      <c r="AN14" s="87">
        <f t="shared" si="3"/>
        <v>0</v>
      </c>
      <c r="AO14" s="87">
        <f t="shared" si="3"/>
        <v>0</v>
      </c>
      <c r="AP14" s="87">
        <f t="shared" si="3"/>
        <v>0</v>
      </c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</row>
    <row r="15" spans="1:86" s="15" customFormat="1" x14ac:dyDescent="0.4">
      <c r="A15" s="80" t="s">
        <v>16</v>
      </c>
      <c r="B15" s="94"/>
      <c r="C15" s="94"/>
      <c r="D15" s="94"/>
      <c r="E15" s="86">
        <v>9.4</v>
      </c>
      <c r="F15" s="86">
        <v>9.4</v>
      </c>
      <c r="G15" s="86">
        <v>9.4</v>
      </c>
      <c r="H15" s="86">
        <v>9.4</v>
      </c>
      <c r="I15" s="86">
        <v>9.4</v>
      </c>
      <c r="J15" s="86">
        <v>9.4</v>
      </c>
      <c r="K15" s="86">
        <v>9.4</v>
      </c>
      <c r="L15" s="86">
        <v>9.4</v>
      </c>
      <c r="M15" s="86">
        <v>9.4</v>
      </c>
      <c r="N15" s="86">
        <v>9.4</v>
      </c>
      <c r="O15" s="86">
        <v>9.4</v>
      </c>
      <c r="P15" s="86">
        <v>9.4</v>
      </c>
      <c r="Q15" s="86">
        <v>9.4</v>
      </c>
      <c r="R15" s="86">
        <v>9.4</v>
      </c>
      <c r="S15" s="86">
        <v>9.4</v>
      </c>
      <c r="T15" s="86">
        <v>9.4</v>
      </c>
      <c r="U15" s="86">
        <v>9.4</v>
      </c>
      <c r="V15" s="86">
        <v>9.4</v>
      </c>
      <c r="W15" s="86">
        <v>9.4</v>
      </c>
      <c r="X15" s="86">
        <v>9.4</v>
      </c>
      <c r="Y15" s="86">
        <v>9.4</v>
      </c>
      <c r="Z15" s="86">
        <v>9.4</v>
      </c>
      <c r="AA15" s="86">
        <v>9.4</v>
      </c>
      <c r="AB15" s="86">
        <v>9.4</v>
      </c>
      <c r="AC15" s="86">
        <v>9.4</v>
      </c>
      <c r="AD15" s="86">
        <v>9.4</v>
      </c>
      <c r="AE15" s="86">
        <v>9.4</v>
      </c>
      <c r="AF15" s="86">
        <v>9.4</v>
      </c>
      <c r="AG15" s="86">
        <v>9.4</v>
      </c>
      <c r="AH15" s="86">
        <v>9.4</v>
      </c>
      <c r="AI15" s="86">
        <v>9.4</v>
      </c>
      <c r="AJ15" s="86">
        <v>9.4</v>
      </c>
      <c r="AK15" s="86">
        <v>9.4</v>
      </c>
      <c r="AL15" s="86">
        <v>9.4</v>
      </c>
      <c r="AM15" s="86">
        <v>9.4</v>
      </c>
      <c r="AN15" s="86">
        <v>9.4</v>
      </c>
      <c r="AO15" s="86">
        <v>9.4</v>
      </c>
      <c r="AP15" s="86">
        <v>9.4</v>
      </c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</row>
    <row r="16" spans="1:86" s="15" customFormat="1" x14ac:dyDescent="0.4">
      <c r="A16" s="80" t="s">
        <v>17</v>
      </c>
      <c r="B16" s="89"/>
      <c r="C16" s="89"/>
      <c r="D16" s="89"/>
      <c r="E16" s="89">
        <f t="shared" ref="E16:AP16" si="4">ROUND(E15/52,3)</f>
        <v>0.18099999999999999</v>
      </c>
      <c r="F16" s="89">
        <f t="shared" si="4"/>
        <v>0.18099999999999999</v>
      </c>
      <c r="G16" s="89">
        <f t="shared" si="4"/>
        <v>0.18099999999999999</v>
      </c>
      <c r="H16" s="89">
        <f t="shared" si="4"/>
        <v>0.18099999999999999</v>
      </c>
      <c r="I16" s="89">
        <f t="shared" si="4"/>
        <v>0.18099999999999999</v>
      </c>
      <c r="J16" s="89">
        <f t="shared" si="4"/>
        <v>0.18099999999999999</v>
      </c>
      <c r="K16" s="89">
        <f t="shared" si="4"/>
        <v>0.18099999999999999</v>
      </c>
      <c r="L16" s="89">
        <f t="shared" si="4"/>
        <v>0.18099999999999999</v>
      </c>
      <c r="M16" s="89">
        <f t="shared" si="4"/>
        <v>0.18099999999999999</v>
      </c>
      <c r="N16" s="89">
        <f t="shared" si="4"/>
        <v>0.18099999999999999</v>
      </c>
      <c r="O16" s="89">
        <f t="shared" si="4"/>
        <v>0.18099999999999999</v>
      </c>
      <c r="P16" s="89">
        <f t="shared" si="4"/>
        <v>0.18099999999999999</v>
      </c>
      <c r="Q16" s="89">
        <f t="shared" si="4"/>
        <v>0.18099999999999999</v>
      </c>
      <c r="R16" s="89">
        <f t="shared" si="4"/>
        <v>0.18099999999999999</v>
      </c>
      <c r="S16" s="89">
        <f t="shared" si="4"/>
        <v>0.18099999999999999</v>
      </c>
      <c r="T16" s="89">
        <f t="shared" si="4"/>
        <v>0.18099999999999999</v>
      </c>
      <c r="U16" s="89">
        <f t="shared" si="4"/>
        <v>0.18099999999999999</v>
      </c>
      <c r="V16" s="89">
        <f t="shared" si="4"/>
        <v>0.18099999999999999</v>
      </c>
      <c r="W16" s="89">
        <f t="shared" si="4"/>
        <v>0.18099999999999999</v>
      </c>
      <c r="X16" s="89">
        <f t="shared" si="4"/>
        <v>0.18099999999999999</v>
      </c>
      <c r="Y16" s="89">
        <f t="shared" si="4"/>
        <v>0.18099999999999999</v>
      </c>
      <c r="Z16" s="89">
        <f t="shared" si="4"/>
        <v>0.18099999999999999</v>
      </c>
      <c r="AA16" s="89">
        <f t="shared" si="4"/>
        <v>0.18099999999999999</v>
      </c>
      <c r="AB16" s="89">
        <f t="shared" si="4"/>
        <v>0.18099999999999999</v>
      </c>
      <c r="AC16" s="89">
        <f t="shared" si="4"/>
        <v>0.18099999999999999</v>
      </c>
      <c r="AD16" s="89">
        <f t="shared" si="4"/>
        <v>0.18099999999999999</v>
      </c>
      <c r="AE16" s="89">
        <f t="shared" si="4"/>
        <v>0.18099999999999999</v>
      </c>
      <c r="AF16" s="89">
        <f t="shared" si="4"/>
        <v>0.18099999999999999</v>
      </c>
      <c r="AG16" s="89">
        <f t="shared" si="4"/>
        <v>0.18099999999999999</v>
      </c>
      <c r="AH16" s="89">
        <f t="shared" si="4"/>
        <v>0.18099999999999999</v>
      </c>
      <c r="AI16" s="89">
        <f t="shared" si="4"/>
        <v>0.18099999999999999</v>
      </c>
      <c r="AJ16" s="89">
        <f t="shared" si="4"/>
        <v>0.18099999999999999</v>
      </c>
      <c r="AK16" s="89">
        <f t="shared" si="4"/>
        <v>0.18099999999999999</v>
      </c>
      <c r="AL16" s="89">
        <f t="shared" si="4"/>
        <v>0.18099999999999999</v>
      </c>
      <c r="AM16" s="89">
        <f t="shared" si="4"/>
        <v>0.18099999999999999</v>
      </c>
      <c r="AN16" s="89">
        <f t="shared" si="4"/>
        <v>0.18099999999999999</v>
      </c>
      <c r="AO16" s="89">
        <f t="shared" si="4"/>
        <v>0.18099999999999999</v>
      </c>
      <c r="AP16" s="89">
        <f t="shared" si="4"/>
        <v>0.18099999999999999</v>
      </c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</row>
    <row r="17" spans="1:86" s="15" customFormat="1" x14ac:dyDescent="0.4">
      <c r="A17" s="80" t="s">
        <v>18</v>
      </c>
      <c r="B17" s="85"/>
      <c r="C17" s="85"/>
      <c r="D17" s="85"/>
      <c r="E17" s="89">
        <f>1-E16</f>
        <v>0.81899999999999995</v>
      </c>
      <c r="F17" s="89">
        <f t="shared" ref="F17:AP17" si="5">1-F16</f>
        <v>0.81899999999999995</v>
      </c>
      <c r="G17" s="89">
        <f t="shared" si="5"/>
        <v>0.81899999999999995</v>
      </c>
      <c r="H17" s="89">
        <f t="shared" si="5"/>
        <v>0.81899999999999995</v>
      </c>
      <c r="I17" s="89">
        <f t="shared" si="5"/>
        <v>0.81899999999999995</v>
      </c>
      <c r="J17" s="89">
        <f t="shared" si="5"/>
        <v>0.81899999999999995</v>
      </c>
      <c r="K17" s="89">
        <f t="shared" si="5"/>
        <v>0.81899999999999995</v>
      </c>
      <c r="L17" s="89">
        <f t="shared" si="5"/>
        <v>0.81899999999999995</v>
      </c>
      <c r="M17" s="89">
        <f t="shared" si="5"/>
        <v>0.81899999999999995</v>
      </c>
      <c r="N17" s="89">
        <f t="shared" si="5"/>
        <v>0.81899999999999995</v>
      </c>
      <c r="O17" s="89">
        <f t="shared" si="5"/>
        <v>0.81899999999999995</v>
      </c>
      <c r="P17" s="89">
        <f t="shared" si="5"/>
        <v>0.81899999999999995</v>
      </c>
      <c r="Q17" s="89">
        <f t="shared" si="5"/>
        <v>0.81899999999999995</v>
      </c>
      <c r="R17" s="89">
        <f t="shared" si="5"/>
        <v>0.81899999999999995</v>
      </c>
      <c r="S17" s="89">
        <f t="shared" si="5"/>
        <v>0.81899999999999995</v>
      </c>
      <c r="T17" s="89">
        <f t="shared" si="5"/>
        <v>0.81899999999999995</v>
      </c>
      <c r="U17" s="89">
        <f t="shared" si="5"/>
        <v>0.81899999999999995</v>
      </c>
      <c r="V17" s="89">
        <f t="shared" si="5"/>
        <v>0.81899999999999995</v>
      </c>
      <c r="W17" s="89">
        <f t="shared" si="5"/>
        <v>0.81899999999999995</v>
      </c>
      <c r="X17" s="89">
        <f t="shared" si="5"/>
        <v>0.81899999999999995</v>
      </c>
      <c r="Y17" s="89">
        <f t="shared" si="5"/>
        <v>0.81899999999999995</v>
      </c>
      <c r="Z17" s="89">
        <f t="shared" si="5"/>
        <v>0.81899999999999995</v>
      </c>
      <c r="AA17" s="89">
        <f t="shared" si="5"/>
        <v>0.81899999999999995</v>
      </c>
      <c r="AB17" s="89">
        <f t="shared" si="5"/>
        <v>0.81899999999999995</v>
      </c>
      <c r="AC17" s="89">
        <f t="shared" si="5"/>
        <v>0.81899999999999995</v>
      </c>
      <c r="AD17" s="89">
        <f t="shared" si="5"/>
        <v>0.81899999999999995</v>
      </c>
      <c r="AE17" s="89">
        <f t="shared" si="5"/>
        <v>0.81899999999999995</v>
      </c>
      <c r="AF17" s="89">
        <f t="shared" si="5"/>
        <v>0.81899999999999995</v>
      </c>
      <c r="AG17" s="89">
        <f t="shared" si="5"/>
        <v>0.81899999999999995</v>
      </c>
      <c r="AH17" s="89">
        <f t="shared" si="5"/>
        <v>0.81899999999999995</v>
      </c>
      <c r="AI17" s="89">
        <f t="shared" si="5"/>
        <v>0.81899999999999995</v>
      </c>
      <c r="AJ17" s="89">
        <f t="shared" si="5"/>
        <v>0.81899999999999995</v>
      </c>
      <c r="AK17" s="89">
        <f t="shared" si="5"/>
        <v>0.81899999999999995</v>
      </c>
      <c r="AL17" s="89">
        <f t="shared" si="5"/>
        <v>0.81899999999999995</v>
      </c>
      <c r="AM17" s="89">
        <f t="shared" si="5"/>
        <v>0.81899999999999995</v>
      </c>
      <c r="AN17" s="89">
        <f t="shared" si="5"/>
        <v>0.81899999999999995</v>
      </c>
      <c r="AO17" s="89">
        <f t="shared" si="5"/>
        <v>0.81899999999999995</v>
      </c>
      <c r="AP17" s="89">
        <f t="shared" si="5"/>
        <v>0.81899999999999995</v>
      </c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</row>
    <row r="18" spans="1:86" s="15" customFormat="1" x14ac:dyDescent="0.4">
      <c r="A18" s="71" t="s">
        <v>19</v>
      </c>
      <c r="B18" s="96">
        <v>3.49</v>
      </c>
      <c r="C18" s="81">
        <f t="shared" ref="C18:AP18" si="6">ROUND(B18*(1+C$6),2)</f>
        <v>3.59</v>
      </c>
      <c r="D18" s="81">
        <f t="shared" si="6"/>
        <v>3.7</v>
      </c>
      <c r="E18" s="81">
        <f t="shared" si="6"/>
        <v>3.81</v>
      </c>
      <c r="F18" s="81">
        <f t="shared" si="6"/>
        <v>3.92</v>
      </c>
      <c r="G18" s="81">
        <f t="shared" si="6"/>
        <v>4.04</v>
      </c>
      <c r="H18" s="81">
        <f t="shared" si="6"/>
        <v>4.16</v>
      </c>
      <c r="I18" s="81">
        <f t="shared" si="6"/>
        <v>4.28</v>
      </c>
      <c r="J18" s="81">
        <f t="shared" si="6"/>
        <v>4.41</v>
      </c>
      <c r="K18" s="81">
        <f t="shared" si="6"/>
        <v>4.54</v>
      </c>
      <c r="L18" s="81">
        <f t="shared" si="6"/>
        <v>4.68</v>
      </c>
      <c r="M18" s="81">
        <f t="shared" si="6"/>
        <v>4.82</v>
      </c>
      <c r="N18" s="81">
        <f t="shared" si="6"/>
        <v>4.96</v>
      </c>
      <c r="O18" s="81">
        <f t="shared" si="6"/>
        <v>5.1100000000000003</v>
      </c>
      <c r="P18" s="81">
        <f t="shared" si="6"/>
        <v>5.26</v>
      </c>
      <c r="Q18" s="81">
        <f t="shared" si="6"/>
        <v>5.42</v>
      </c>
      <c r="R18" s="81">
        <f t="shared" si="6"/>
        <v>5.58</v>
      </c>
      <c r="S18" s="81">
        <f t="shared" si="6"/>
        <v>5.75</v>
      </c>
      <c r="T18" s="81">
        <f t="shared" si="6"/>
        <v>5.92</v>
      </c>
      <c r="U18" s="81">
        <f t="shared" si="6"/>
        <v>6.1</v>
      </c>
      <c r="V18" s="81">
        <f t="shared" si="6"/>
        <v>6.28</v>
      </c>
      <c r="W18" s="81">
        <f t="shared" si="6"/>
        <v>6.47</v>
      </c>
      <c r="X18" s="81">
        <f t="shared" si="6"/>
        <v>6.66</v>
      </c>
      <c r="Y18" s="81">
        <f t="shared" si="6"/>
        <v>6.86</v>
      </c>
      <c r="Z18" s="81">
        <f t="shared" si="6"/>
        <v>7.07</v>
      </c>
      <c r="AA18" s="81">
        <f t="shared" si="6"/>
        <v>7.28</v>
      </c>
      <c r="AB18" s="81">
        <f t="shared" si="6"/>
        <v>7.5</v>
      </c>
      <c r="AC18" s="81">
        <f t="shared" si="6"/>
        <v>7.73</v>
      </c>
      <c r="AD18" s="81">
        <f t="shared" si="6"/>
        <v>7.96</v>
      </c>
      <c r="AE18" s="81">
        <f t="shared" si="6"/>
        <v>8.1999999999999993</v>
      </c>
      <c r="AF18" s="81">
        <f t="shared" si="6"/>
        <v>8.4499999999999993</v>
      </c>
      <c r="AG18" s="81">
        <f t="shared" si="6"/>
        <v>8.6999999999999993</v>
      </c>
      <c r="AH18" s="81">
        <f t="shared" si="6"/>
        <v>8.9600000000000009</v>
      </c>
      <c r="AI18" s="81">
        <f t="shared" si="6"/>
        <v>9.23</v>
      </c>
      <c r="AJ18" s="81">
        <f t="shared" si="6"/>
        <v>9.51</v>
      </c>
      <c r="AK18" s="81">
        <f t="shared" si="6"/>
        <v>9.8000000000000007</v>
      </c>
      <c r="AL18" s="81">
        <f t="shared" si="6"/>
        <v>10.09</v>
      </c>
      <c r="AM18" s="81">
        <f t="shared" si="6"/>
        <v>10.39</v>
      </c>
      <c r="AN18" s="81">
        <f t="shared" si="6"/>
        <v>10.7</v>
      </c>
      <c r="AO18" s="81">
        <f t="shared" si="6"/>
        <v>11.02</v>
      </c>
      <c r="AP18" s="81">
        <f t="shared" si="6"/>
        <v>11.35</v>
      </c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</row>
    <row r="19" spans="1:86" x14ac:dyDescent="0.4">
      <c r="A19" s="71" t="s">
        <v>20</v>
      </c>
      <c r="B19" s="97">
        <v>4.28</v>
      </c>
      <c r="C19" s="81">
        <f t="shared" ref="C19:AP19" si="7">ROUND(B19*(1+C$6),2)</f>
        <v>4.41</v>
      </c>
      <c r="D19" s="81">
        <f t="shared" si="7"/>
        <v>4.54</v>
      </c>
      <c r="E19" s="81">
        <f t="shared" si="7"/>
        <v>4.68</v>
      </c>
      <c r="F19" s="81">
        <f t="shared" si="7"/>
        <v>4.82</v>
      </c>
      <c r="G19" s="81">
        <f t="shared" si="7"/>
        <v>4.96</v>
      </c>
      <c r="H19" s="81">
        <f t="shared" si="7"/>
        <v>5.1100000000000003</v>
      </c>
      <c r="I19" s="81">
        <f t="shared" si="7"/>
        <v>5.26</v>
      </c>
      <c r="J19" s="81">
        <f t="shared" si="7"/>
        <v>5.42</v>
      </c>
      <c r="K19" s="81">
        <f t="shared" si="7"/>
        <v>5.58</v>
      </c>
      <c r="L19" s="81">
        <f t="shared" si="7"/>
        <v>5.75</v>
      </c>
      <c r="M19" s="81">
        <f t="shared" si="7"/>
        <v>5.92</v>
      </c>
      <c r="N19" s="81">
        <f t="shared" si="7"/>
        <v>6.1</v>
      </c>
      <c r="O19" s="81">
        <f t="shared" si="7"/>
        <v>6.28</v>
      </c>
      <c r="P19" s="81">
        <f t="shared" si="7"/>
        <v>6.47</v>
      </c>
      <c r="Q19" s="81">
        <f t="shared" si="7"/>
        <v>6.66</v>
      </c>
      <c r="R19" s="81">
        <f t="shared" si="7"/>
        <v>6.86</v>
      </c>
      <c r="S19" s="81">
        <f t="shared" si="7"/>
        <v>7.07</v>
      </c>
      <c r="T19" s="81">
        <f t="shared" si="7"/>
        <v>7.28</v>
      </c>
      <c r="U19" s="81">
        <f t="shared" si="7"/>
        <v>7.5</v>
      </c>
      <c r="V19" s="81">
        <f t="shared" si="7"/>
        <v>7.73</v>
      </c>
      <c r="W19" s="81">
        <f t="shared" si="7"/>
        <v>7.96</v>
      </c>
      <c r="X19" s="81">
        <f t="shared" si="7"/>
        <v>8.1999999999999993</v>
      </c>
      <c r="Y19" s="81">
        <f t="shared" si="7"/>
        <v>8.4499999999999993</v>
      </c>
      <c r="Z19" s="81">
        <f t="shared" si="7"/>
        <v>8.6999999999999993</v>
      </c>
      <c r="AA19" s="81">
        <f t="shared" si="7"/>
        <v>8.9600000000000009</v>
      </c>
      <c r="AB19" s="81">
        <f t="shared" si="7"/>
        <v>9.23</v>
      </c>
      <c r="AC19" s="81">
        <f t="shared" si="7"/>
        <v>9.51</v>
      </c>
      <c r="AD19" s="81">
        <f t="shared" si="7"/>
        <v>9.8000000000000007</v>
      </c>
      <c r="AE19" s="81">
        <f t="shared" si="7"/>
        <v>10.09</v>
      </c>
      <c r="AF19" s="81">
        <f t="shared" si="7"/>
        <v>10.39</v>
      </c>
      <c r="AG19" s="81">
        <f t="shared" si="7"/>
        <v>10.7</v>
      </c>
      <c r="AH19" s="81">
        <f t="shared" si="7"/>
        <v>11.02</v>
      </c>
      <c r="AI19" s="81">
        <f t="shared" si="7"/>
        <v>11.35</v>
      </c>
      <c r="AJ19" s="81">
        <f t="shared" si="7"/>
        <v>11.69</v>
      </c>
      <c r="AK19" s="81">
        <f t="shared" si="7"/>
        <v>12.04</v>
      </c>
      <c r="AL19" s="81">
        <f t="shared" si="7"/>
        <v>12.4</v>
      </c>
      <c r="AM19" s="81">
        <f t="shared" si="7"/>
        <v>12.77</v>
      </c>
      <c r="AN19" s="81">
        <f t="shared" si="7"/>
        <v>13.15</v>
      </c>
      <c r="AO19" s="81">
        <f t="shared" si="7"/>
        <v>13.54</v>
      </c>
      <c r="AP19" s="81">
        <f t="shared" si="7"/>
        <v>13.95</v>
      </c>
    </row>
    <row r="20" spans="1:86" s="15" customFormat="1" x14ac:dyDescent="0.4">
      <c r="A20" s="71" t="s">
        <v>21</v>
      </c>
      <c r="B20" s="96">
        <v>4.6399999999999997</v>
      </c>
      <c r="C20" s="81">
        <f t="shared" ref="C20:AP20" si="8">ROUND(B20*(1+C$6),2)</f>
        <v>4.78</v>
      </c>
      <c r="D20" s="81">
        <f t="shared" si="8"/>
        <v>4.92</v>
      </c>
      <c r="E20" s="81">
        <f t="shared" si="8"/>
        <v>5.07</v>
      </c>
      <c r="F20" s="81">
        <f t="shared" si="8"/>
        <v>5.22</v>
      </c>
      <c r="G20" s="81">
        <f t="shared" si="8"/>
        <v>5.38</v>
      </c>
      <c r="H20" s="81">
        <f t="shared" si="8"/>
        <v>5.54</v>
      </c>
      <c r="I20" s="81">
        <f t="shared" si="8"/>
        <v>5.71</v>
      </c>
      <c r="J20" s="81">
        <f t="shared" si="8"/>
        <v>5.88</v>
      </c>
      <c r="K20" s="81">
        <f t="shared" si="8"/>
        <v>6.06</v>
      </c>
      <c r="L20" s="81">
        <f t="shared" si="8"/>
        <v>6.24</v>
      </c>
      <c r="M20" s="81">
        <f t="shared" si="8"/>
        <v>6.43</v>
      </c>
      <c r="N20" s="81">
        <f t="shared" si="8"/>
        <v>6.62</v>
      </c>
      <c r="O20" s="81">
        <f t="shared" si="8"/>
        <v>6.82</v>
      </c>
      <c r="P20" s="81">
        <f t="shared" si="8"/>
        <v>7.02</v>
      </c>
      <c r="Q20" s="81">
        <f t="shared" si="8"/>
        <v>7.23</v>
      </c>
      <c r="R20" s="81">
        <f t="shared" si="8"/>
        <v>7.45</v>
      </c>
      <c r="S20" s="81">
        <f t="shared" si="8"/>
        <v>7.67</v>
      </c>
      <c r="T20" s="81">
        <f t="shared" si="8"/>
        <v>7.9</v>
      </c>
      <c r="U20" s="81">
        <f t="shared" si="8"/>
        <v>8.14</v>
      </c>
      <c r="V20" s="81">
        <f t="shared" si="8"/>
        <v>8.3800000000000008</v>
      </c>
      <c r="W20" s="81">
        <f t="shared" si="8"/>
        <v>8.6300000000000008</v>
      </c>
      <c r="X20" s="81">
        <f t="shared" si="8"/>
        <v>8.89</v>
      </c>
      <c r="Y20" s="81">
        <f t="shared" si="8"/>
        <v>9.16</v>
      </c>
      <c r="Z20" s="81">
        <f t="shared" si="8"/>
        <v>9.43</v>
      </c>
      <c r="AA20" s="81">
        <f t="shared" si="8"/>
        <v>9.7100000000000009</v>
      </c>
      <c r="AB20" s="81">
        <f t="shared" si="8"/>
        <v>10</v>
      </c>
      <c r="AC20" s="81">
        <f t="shared" si="8"/>
        <v>10.3</v>
      </c>
      <c r="AD20" s="81">
        <f t="shared" si="8"/>
        <v>10.61</v>
      </c>
      <c r="AE20" s="81">
        <f t="shared" si="8"/>
        <v>10.93</v>
      </c>
      <c r="AF20" s="81">
        <f t="shared" si="8"/>
        <v>11.26</v>
      </c>
      <c r="AG20" s="81">
        <f t="shared" si="8"/>
        <v>11.6</v>
      </c>
      <c r="AH20" s="81">
        <f t="shared" si="8"/>
        <v>11.95</v>
      </c>
      <c r="AI20" s="81">
        <f t="shared" si="8"/>
        <v>12.31</v>
      </c>
      <c r="AJ20" s="81">
        <f t="shared" si="8"/>
        <v>12.68</v>
      </c>
      <c r="AK20" s="81">
        <f t="shared" si="8"/>
        <v>13.06</v>
      </c>
      <c r="AL20" s="81">
        <f t="shared" si="8"/>
        <v>13.45</v>
      </c>
      <c r="AM20" s="81">
        <f t="shared" si="8"/>
        <v>13.85</v>
      </c>
      <c r="AN20" s="81">
        <f t="shared" si="8"/>
        <v>14.27</v>
      </c>
      <c r="AO20" s="81">
        <f t="shared" si="8"/>
        <v>14.7</v>
      </c>
      <c r="AP20" s="81">
        <f t="shared" si="8"/>
        <v>15.14</v>
      </c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</row>
    <row r="21" spans="1:86" x14ac:dyDescent="0.4">
      <c r="A21" s="71" t="s">
        <v>22</v>
      </c>
      <c r="B21" s="97">
        <v>4.59</v>
      </c>
      <c r="C21" s="81">
        <f t="shared" ref="C21:AP21" si="9">ROUND(B21*(1+C$6),2)</f>
        <v>4.7300000000000004</v>
      </c>
      <c r="D21" s="81">
        <f t="shared" si="9"/>
        <v>4.87</v>
      </c>
      <c r="E21" s="81">
        <f t="shared" si="9"/>
        <v>5.0199999999999996</v>
      </c>
      <c r="F21" s="81">
        <f t="shared" si="9"/>
        <v>5.17</v>
      </c>
      <c r="G21" s="81">
        <f t="shared" si="9"/>
        <v>5.33</v>
      </c>
      <c r="H21" s="81">
        <f t="shared" si="9"/>
        <v>5.49</v>
      </c>
      <c r="I21" s="81">
        <f t="shared" si="9"/>
        <v>5.65</v>
      </c>
      <c r="J21" s="81">
        <f t="shared" si="9"/>
        <v>5.82</v>
      </c>
      <c r="K21" s="81">
        <f t="shared" si="9"/>
        <v>5.99</v>
      </c>
      <c r="L21" s="81">
        <f t="shared" si="9"/>
        <v>6.17</v>
      </c>
      <c r="M21" s="81">
        <f t="shared" si="9"/>
        <v>6.36</v>
      </c>
      <c r="N21" s="81">
        <f t="shared" si="9"/>
        <v>6.55</v>
      </c>
      <c r="O21" s="81">
        <f t="shared" si="9"/>
        <v>6.75</v>
      </c>
      <c r="P21" s="81">
        <f t="shared" si="9"/>
        <v>6.95</v>
      </c>
      <c r="Q21" s="81">
        <f t="shared" si="9"/>
        <v>7.16</v>
      </c>
      <c r="R21" s="81">
        <f t="shared" si="9"/>
        <v>7.37</v>
      </c>
      <c r="S21" s="81">
        <f t="shared" si="9"/>
        <v>7.59</v>
      </c>
      <c r="T21" s="81">
        <f t="shared" si="9"/>
        <v>7.82</v>
      </c>
      <c r="U21" s="81">
        <f t="shared" si="9"/>
        <v>8.0500000000000007</v>
      </c>
      <c r="V21" s="81">
        <f t="shared" si="9"/>
        <v>8.2899999999999991</v>
      </c>
      <c r="W21" s="81">
        <f t="shared" si="9"/>
        <v>8.5399999999999991</v>
      </c>
      <c r="X21" s="81">
        <f t="shared" si="9"/>
        <v>8.8000000000000007</v>
      </c>
      <c r="Y21" s="81">
        <f t="shared" si="9"/>
        <v>9.06</v>
      </c>
      <c r="Z21" s="81">
        <f t="shared" si="9"/>
        <v>9.33</v>
      </c>
      <c r="AA21" s="81">
        <f t="shared" si="9"/>
        <v>9.61</v>
      </c>
      <c r="AB21" s="81">
        <f t="shared" si="9"/>
        <v>9.9</v>
      </c>
      <c r="AC21" s="81">
        <f t="shared" si="9"/>
        <v>10.199999999999999</v>
      </c>
      <c r="AD21" s="81">
        <f t="shared" si="9"/>
        <v>10.51</v>
      </c>
      <c r="AE21" s="81">
        <f t="shared" si="9"/>
        <v>10.83</v>
      </c>
      <c r="AF21" s="81">
        <f t="shared" si="9"/>
        <v>11.15</v>
      </c>
      <c r="AG21" s="81">
        <f t="shared" si="9"/>
        <v>11.48</v>
      </c>
      <c r="AH21" s="81">
        <f t="shared" si="9"/>
        <v>11.82</v>
      </c>
      <c r="AI21" s="81">
        <f t="shared" si="9"/>
        <v>12.17</v>
      </c>
      <c r="AJ21" s="81">
        <f t="shared" si="9"/>
        <v>12.54</v>
      </c>
      <c r="AK21" s="81">
        <f t="shared" si="9"/>
        <v>12.92</v>
      </c>
      <c r="AL21" s="81">
        <f t="shared" si="9"/>
        <v>13.31</v>
      </c>
      <c r="AM21" s="81">
        <f t="shared" si="9"/>
        <v>13.71</v>
      </c>
      <c r="AN21" s="81">
        <f t="shared" si="9"/>
        <v>14.12</v>
      </c>
      <c r="AO21" s="81">
        <f t="shared" si="9"/>
        <v>14.54</v>
      </c>
      <c r="AP21" s="81">
        <f t="shared" si="9"/>
        <v>14.98</v>
      </c>
    </row>
    <row r="22" spans="1:86" x14ac:dyDescent="0.4">
      <c r="A22" s="71" t="s">
        <v>23</v>
      </c>
      <c r="B22" s="97">
        <v>3.68</v>
      </c>
      <c r="C22" s="81">
        <f t="shared" ref="C22:AP22" si="10">ROUND(B22*(1+C$6),2)</f>
        <v>3.79</v>
      </c>
      <c r="D22" s="81">
        <f t="shared" si="10"/>
        <v>3.9</v>
      </c>
      <c r="E22" s="81">
        <f t="shared" si="10"/>
        <v>4.0199999999999996</v>
      </c>
      <c r="F22" s="81">
        <f t="shared" si="10"/>
        <v>4.1399999999999997</v>
      </c>
      <c r="G22" s="81">
        <f t="shared" si="10"/>
        <v>4.26</v>
      </c>
      <c r="H22" s="81">
        <f t="shared" si="10"/>
        <v>4.3899999999999997</v>
      </c>
      <c r="I22" s="81">
        <f t="shared" si="10"/>
        <v>4.5199999999999996</v>
      </c>
      <c r="J22" s="81">
        <f t="shared" si="10"/>
        <v>4.66</v>
      </c>
      <c r="K22" s="81">
        <f t="shared" si="10"/>
        <v>4.8</v>
      </c>
      <c r="L22" s="81">
        <f t="shared" si="10"/>
        <v>4.9400000000000004</v>
      </c>
      <c r="M22" s="81">
        <f t="shared" si="10"/>
        <v>5.09</v>
      </c>
      <c r="N22" s="81">
        <f t="shared" si="10"/>
        <v>5.24</v>
      </c>
      <c r="O22" s="81">
        <f t="shared" si="10"/>
        <v>5.4</v>
      </c>
      <c r="P22" s="81">
        <f t="shared" si="10"/>
        <v>5.56</v>
      </c>
      <c r="Q22" s="81">
        <f t="shared" si="10"/>
        <v>5.73</v>
      </c>
      <c r="R22" s="81">
        <f t="shared" si="10"/>
        <v>5.9</v>
      </c>
      <c r="S22" s="81">
        <f t="shared" si="10"/>
        <v>6.08</v>
      </c>
      <c r="T22" s="81">
        <f t="shared" si="10"/>
        <v>6.26</v>
      </c>
      <c r="U22" s="81">
        <f t="shared" si="10"/>
        <v>6.45</v>
      </c>
      <c r="V22" s="81">
        <f t="shared" si="10"/>
        <v>6.64</v>
      </c>
      <c r="W22" s="81">
        <f t="shared" si="10"/>
        <v>6.84</v>
      </c>
      <c r="X22" s="81">
        <f t="shared" si="10"/>
        <v>7.05</v>
      </c>
      <c r="Y22" s="81">
        <f t="shared" si="10"/>
        <v>7.26</v>
      </c>
      <c r="Z22" s="81">
        <f t="shared" si="10"/>
        <v>7.48</v>
      </c>
      <c r="AA22" s="81">
        <f t="shared" si="10"/>
        <v>7.7</v>
      </c>
      <c r="AB22" s="81">
        <f t="shared" si="10"/>
        <v>7.93</v>
      </c>
      <c r="AC22" s="81">
        <f t="shared" si="10"/>
        <v>8.17</v>
      </c>
      <c r="AD22" s="81">
        <f t="shared" si="10"/>
        <v>8.42</v>
      </c>
      <c r="AE22" s="81">
        <f t="shared" si="10"/>
        <v>8.67</v>
      </c>
      <c r="AF22" s="81">
        <f t="shared" si="10"/>
        <v>8.93</v>
      </c>
      <c r="AG22" s="81">
        <f t="shared" si="10"/>
        <v>9.1999999999999993</v>
      </c>
      <c r="AH22" s="81">
        <f t="shared" si="10"/>
        <v>9.48</v>
      </c>
      <c r="AI22" s="81">
        <f t="shared" si="10"/>
        <v>9.76</v>
      </c>
      <c r="AJ22" s="81">
        <f t="shared" si="10"/>
        <v>10.050000000000001</v>
      </c>
      <c r="AK22" s="81">
        <f t="shared" si="10"/>
        <v>10.35</v>
      </c>
      <c r="AL22" s="81">
        <f t="shared" si="10"/>
        <v>10.66</v>
      </c>
      <c r="AM22" s="81">
        <f t="shared" si="10"/>
        <v>10.98</v>
      </c>
      <c r="AN22" s="81">
        <f t="shared" si="10"/>
        <v>11.31</v>
      </c>
      <c r="AO22" s="81">
        <f t="shared" si="10"/>
        <v>11.65</v>
      </c>
      <c r="AP22" s="81">
        <f t="shared" si="10"/>
        <v>12</v>
      </c>
    </row>
    <row r="23" spans="1:86" x14ac:dyDescent="0.4">
      <c r="A23" s="71" t="s">
        <v>24</v>
      </c>
      <c r="B23" s="97">
        <f>('Financial Base'!F15+'Financial Base'!F16+'Financial Base'!F17+'Financial Base'!F18)/(B37/1000)</f>
        <v>4.1849897614264426</v>
      </c>
      <c r="C23" s="81">
        <f t="shared" ref="C23" si="11">ROUND(B23*(1+C$6),2)</f>
        <v>4.3099999999999996</v>
      </c>
      <c r="D23" s="81">
        <f t="shared" ref="D23" si="12">ROUND(C23*(1+D$6),2)</f>
        <v>4.4400000000000004</v>
      </c>
      <c r="E23" s="81">
        <f t="shared" ref="E23" si="13">ROUND(D23*(1+E$6),2)</f>
        <v>4.57</v>
      </c>
      <c r="F23" s="81">
        <f t="shared" ref="F23" si="14">ROUND(E23*(1+F$6),2)</f>
        <v>4.71</v>
      </c>
      <c r="G23" s="81">
        <f t="shared" ref="G23" si="15">ROUND(F23*(1+G$6),2)</f>
        <v>4.8499999999999996</v>
      </c>
      <c r="H23" s="81">
        <f t="shared" ref="H23" si="16">ROUND(G23*(1+H$6),2)</f>
        <v>5</v>
      </c>
      <c r="I23" s="81">
        <f t="shared" ref="I23" si="17">ROUND(H23*(1+I$6),2)</f>
        <v>5.15</v>
      </c>
      <c r="J23" s="81">
        <f t="shared" ref="J23" si="18">ROUND(I23*(1+J$6),2)</f>
        <v>5.3</v>
      </c>
      <c r="K23" s="81">
        <f t="shared" ref="K23" si="19">ROUND(J23*(1+K$6),2)</f>
        <v>5.46</v>
      </c>
      <c r="L23" s="81">
        <f t="shared" ref="L23" si="20">ROUND(K23*(1+L$6),2)</f>
        <v>5.62</v>
      </c>
      <c r="M23" s="81">
        <f t="shared" ref="M23" si="21">ROUND(L23*(1+M$6),2)</f>
        <v>5.79</v>
      </c>
      <c r="N23" s="81">
        <f t="shared" ref="N23" si="22">ROUND(M23*(1+N$6),2)</f>
        <v>5.96</v>
      </c>
      <c r="O23" s="81">
        <f t="shared" ref="O23" si="23">ROUND(N23*(1+O$6),2)</f>
        <v>6.14</v>
      </c>
      <c r="P23" s="81">
        <f t="shared" ref="P23" si="24">ROUND(O23*(1+P$6),2)</f>
        <v>6.32</v>
      </c>
      <c r="Q23" s="81">
        <f t="shared" ref="Q23" si="25">ROUND(P23*(1+Q$6),2)</f>
        <v>6.51</v>
      </c>
      <c r="R23" s="81">
        <f t="shared" ref="R23" si="26">ROUND(Q23*(1+R$6),2)</f>
        <v>6.71</v>
      </c>
      <c r="S23" s="81">
        <f t="shared" ref="S23" si="27">ROUND(R23*(1+S$6),2)</f>
        <v>6.91</v>
      </c>
      <c r="T23" s="81">
        <f t="shared" ref="T23" si="28">ROUND(S23*(1+T$6),2)</f>
        <v>7.12</v>
      </c>
      <c r="U23" s="81">
        <f t="shared" ref="U23" si="29">ROUND(T23*(1+U$6),2)</f>
        <v>7.33</v>
      </c>
      <c r="V23" s="81">
        <f t="shared" ref="V23" si="30">ROUND(U23*(1+V$6),2)</f>
        <v>7.55</v>
      </c>
      <c r="W23" s="81">
        <f t="shared" ref="W23" si="31">ROUND(V23*(1+W$6),2)</f>
        <v>7.78</v>
      </c>
      <c r="X23" s="81">
        <f t="shared" ref="X23" si="32">ROUND(W23*(1+X$6),2)</f>
        <v>8.01</v>
      </c>
      <c r="Y23" s="81">
        <f t="shared" ref="Y23" si="33">ROUND(X23*(1+Y$6),2)</f>
        <v>8.25</v>
      </c>
      <c r="Z23" s="81">
        <f t="shared" ref="Z23" si="34">ROUND(Y23*(1+Z$6),2)</f>
        <v>8.5</v>
      </c>
      <c r="AA23" s="81">
        <f t="shared" ref="AA23" si="35">ROUND(Z23*(1+AA$6),2)</f>
        <v>8.76</v>
      </c>
      <c r="AB23" s="81">
        <f t="shared" ref="AB23" si="36">ROUND(AA23*(1+AB$6),2)</f>
        <v>9.02</v>
      </c>
      <c r="AC23" s="81">
        <f t="shared" ref="AC23" si="37">ROUND(AB23*(1+AC$6),2)</f>
        <v>9.2899999999999991</v>
      </c>
      <c r="AD23" s="81">
        <f t="shared" ref="AD23" si="38">ROUND(AC23*(1+AD$6),2)</f>
        <v>9.57</v>
      </c>
      <c r="AE23" s="81">
        <f t="shared" ref="AE23" si="39">ROUND(AD23*(1+AE$6),2)</f>
        <v>9.86</v>
      </c>
      <c r="AF23" s="81">
        <f t="shared" ref="AF23" si="40">ROUND(AE23*(1+AF$6),2)</f>
        <v>10.16</v>
      </c>
      <c r="AG23" s="81">
        <f t="shared" ref="AG23" si="41">ROUND(AF23*(1+AG$6),2)</f>
        <v>10.46</v>
      </c>
      <c r="AH23" s="81">
        <f t="shared" ref="AH23" si="42">ROUND(AG23*(1+AH$6),2)</f>
        <v>10.77</v>
      </c>
      <c r="AI23" s="81">
        <f t="shared" ref="AI23" si="43">ROUND(AH23*(1+AI$6),2)</f>
        <v>11.09</v>
      </c>
      <c r="AJ23" s="81">
        <f t="shared" ref="AJ23" si="44">ROUND(AI23*(1+AJ$6),2)</f>
        <v>11.42</v>
      </c>
      <c r="AK23" s="81">
        <f t="shared" ref="AK23" si="45">ROUND(AJ23*(1+AK$6),2)</f>
        <v>11.76</v>
      </c>
      <c r="AL23" s="81">
        <f t="shared" ref="AL23" si="46">ROUND(AK23*(1+AL$6),2)</f>
        <v>12.11</v>
      </c>
      <c r="AM23" s="81">
        <f t="shared" ref="AM23" si="47">ROUND(AL23*(1+AM$6),2)</f>
        <v>12.47</v>
      </c>
      <c r="AN23" s="81">
        <f t="shared" ref="AN23" si="48">ROUND(AM23*(1+AN$6),2)</f>
        <v>12.84</v>
      </c>
      <c r="AO23" s="81">
        <f t="shared" ref="AO23" si="49">ROUND(AN23*(1+AO$6),2)</f>
        <v>13.23</v>
      </c>
      <c r="AP23" s="81">
        <f t="shared" ref="AP23" si="50">ROUND(AO23*(1+AP$6),2)</f>
        <v>13.63</v>
      </c>
    </row>
    <row r="24" spans="1:86" x14ac:dyDescent="0.4">
      <c r="A24" s="71"/>
      <c r="B24" s="9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</row>
    <row r="25" spans="1:86" x14ac:dyDescent="0.4">
      <c r="A25" s="99" t="s">
        <v>25</v>
      </c>
      <c r="B25" s="9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</row>
    <row r="26" spans="1:86" s="73" customFormat="1" x14ac:dyDescent="0.4">
      <c r="A26" s="77" t="s">
        <v>26</v>
      </c>
      <c r="C26" s="73">
        <f>ROUND(B3*(1+C7),0)</f>
        <v>403007450</v>
      </c>
      <c r="D26" s="73">
        <f t="shared" ref="D26:AP26" si="51">ROUND(C26*(1+D7),0)</f>
        <v>413082636</v>
      </c>
      <c r="E26" s="73">
        <f t="shared" si="51"/>
        <v>423409702</v>
      </c>
      <c r="F26" s="73">
        <f t="shared" si="51"/>
        <v>433994945</v>
      </c>
      <c r="G26" s="73">
        <f t="shared" si="51"/>
        <v>444844819</v>
      </c>
      <c r="H26" s="73">
        <f t="shared" si="51"/>
        <v>455965939</v>
      </c>
      <c r="I26" s="73">
        <f t="shared" si="51"/>
        <v>467365087</v>
      </c>
      <c r="J26" s="73">
        <f t="shared" si="51"/>
        <v>479049214</v>
      </c>
      <c r="K26" s="73">
        <f t="shared" si="51"/>
        <v>491025444</v>
      </c>
      <c r="L26" s="73">
        <f t="shared" si="51"/>
        <v>503301080</v>
      </c>
      <c r="M26" s="73">
        <f t="shared" si="51"/>
        <v>515883607</v>
      </c>
      <c r="N26" s="73">
        <f t="shared" si="51"/>
        <v>528780697</v>
      </c>
      <c r="O26" s="73">
        <f t="shared" si="51"/>
        <v>542000214</v>
      </c>
      <c r="P26" s="73">
        <f t="shared" si="51"/>
        <v>555550219</v>
      </c>
      <c r="Q26" s="73">
        <f t="shared" si="51"/>
        <v>569438974</v>
      </c>
      <c r="R26" s="73">
        <f t="shared" si="51"/>
        <v>583674948</v>
      </c>
      <c r="S26" s="73">
        <f t="shared" si="51"/>
        <v>598266822</v>
      </c>
      <c r="T26" s="73">
        <f t="shared" si="51"/>
        <v>613223493</v>
      </c>
      <c r="U26" s="73">
        <f t="shared" si="51"/>
        <v>628554080</v>
      </c>
      <c r="V26" s="73">
        <f t="shared" si="51"/>
        <v>644267932</v>
      </c>
      <c r="W26" s="73">
        <f t="shared" si="51"/>
        <v>660374630</v>
      </c>
      <c r="X26" s="73">
        <f t="shared" si="51"/>
        <v>676883996</v>
      </c>
      <c r="Y26" s="73">
        <f t="shared" si="51"/>
        <v>693806096</v>
      </c>
      <c r="Z26" s="73">
        <f t="shared" si="51"/>
        <v>711151248</v>
      </c>
      <c r="AA26" s="73">
        <f t="shared" si="51"/>
        <v>728930029</v>
      </c>
      <c r="AB26" s="73">
        <f t="shared" si="51"/>
        <v>747153280</v>
      </c>
      <c r="AC26" s="73">
        <f t="shared" si="51"/>
        <v>765832112</v>
      </c>
      <c r="AD26" s="73">
        <f t="shared" si="51"/>
        <v>784977915</v>
      </c>
      <c r="AE26" s="73">
        <f t="shared" si="51"/>
        <v>804602363</v>
      </c>
      <c r="AF26" s="73">
        <f t="shared" si="51"/>
        <v>824717422</v>
      </c>
      <c r="AG26" s="73">
        <f t="shared" si="51"/>
        <v>845335358</v>
      </c>
      <c r="AH26" s="73">
        <f t="shared" si="51"/>
        <v>866468742</v>
      </c>
      <c r="AI26" s="73">
        <f t="shared" si="51"/>
        <v>888130461</v>
      </c>
      <c r="AJ26" s="73">
        <f t="shared" si="51"/>
        <v>910333723</v>
      </c>
      <c r="AK26" s="73">
        <f t="shared" si="51"/>
        <v>933092066</v>
      </c>
      <c r="AL26" s="73">
        <f t="shared" si="51"/>
        <v>956419368</v>
      </c>
      <c r="AM26" s="73">
        <f t="shared" si="51"/>
        <v>980329852</v>
      </c>
      <c r="AN26" s="73">
        <f t="shared" si="51"/>
        <v>1004838098</v>
      </c>
      <c r="AO26" s="73">
        <f t="shared" si="51"/>
        <v>1029959050</v>
      </c>
      <c r="AP26" s="73">
        <f t="shared" si="51"/>
        <v>1055708026</v>
      </c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</row>
    <row r="27" spans="1:86" s="73" customFormat="1" x14ac:dyDescent="0.4">
      <c r="A27" s="77" t="s">
        <v>27</v>
      </c>
      <c r="C27" s="95">
        <f>ROUND(B4*(1+C8),0)</f>
        <v>143474514</v>
      </c>
      <c r="D27" s="95">
        <f t="shared" ref="D27:AP27" si="52">ROUND(C27*(1+D8),0)</f>
        <v>143474514</v>
      </c>
      <c r="E27" s="95">
        <f t="shared" si="52"/>
        <v>143474514</v>
      </c>
      <c r="F27" s="95">
        <f t="shared" si="52"/>
        <v>143474514</v>
      </c>
      <c r="G27" s="95">
        <f t="shared" si="52"/>
        <v>143474514</v>
      </c>
      <c r="H27" s="95">
        <f t="shared" si="52"/>
        <v>143474514</v>
      </c>
      <c r="I27" s="95">
        <f t="shared" si="52"/>
        <v>143474514</v>
      </c>
      <c r="J27" s="95">
        <f t="shared" si="52"/>
        <v>143474514</v>
      </c>
      <c r="K27" s="95">
        <f t="shared" si="52"/>
        <v>143474514</v>
      </c>
      <c r="L27" s="95">
        <f t="shared" si="52"/>
        <v>143474514</v>
      </c>
      <c r="M27" s="95">
        <f t="shared" si="52"/>
        <v>143474514</v>
      </c>
      <c r="N27" s="95">
        <f t="shared" si="52"/>
        <v>143474514</v>
      </c>
      <c r="O27" s="95">
        <f t="shared" si="52"/>
        <v>143474514</v>
      </c>
      <c r="P27" s="95">
        <f t="shared" si="52"/>
        <v>143474514</v>
      </c>
      <c r="Q27" s="95">
        <f t="shared" si="52"/>
        <v>143474514</v>
      </c>
      <c r="R27" s="95">
        <f t="shared" si="52"/>
        <v>143474514</v>
      </c>
      <c r="S27" s="95">
        <f t="shared" si="52"/>
        <v>143474514</v>
      </c>
      <c r="T27" s="95">
        <f t="shared" si="52"/>
        <v>143474514</v>
      </c>
      <c r="U27" s="95">
        <f t="shared" si="52"/>
        <v>143474514</v>
      </c>
      <c r="V27" s="95">
        <f t="shared" si="52"/>
        <v>143474514</v>
      </c>
      <c r="W27" s="95">
        <f t="shared" si="52"/>
        <v>143474514</v>
      </c>
      <c r="X27" s="95">
        <f t="shared" si="52"/>
        <v>143474514</v>
      </c>
      <c r="Y27" s="95">
        <f t="shared" si="52"/>
        <v>143474514</v>
      </c>
      <c r="Z27" s="95">
        <f t="shared" si="52"/>
        <v>143474514</v>
      </c>
      <c r="AA27" s="95">
        <f t="shared" si="52"/>
        <v>143474514</v>
      </c>
      <c r="AB27" s="95">
        <f t="shared" si="52"/>
        <v>143474514</v>
      </c>
      <c r="AC27" s="95">
        <f t="shared" si="52"/>
        <v>143474514</v>
      </c>
      <c r="AD27" s="95">
        <f t="shared" si="52"/>
        <v>143474514</v>
      </c>
      <c r="AE27" s="95">
        <f t="shared" si="52"/>
        <v>143474514</v>
      </c>
      <c r="AF27" s="95">
        <f t="shared" si="52"/>
        <v>143474514</v>
      </c>
      <c r="AG27" s="95">
        <f t="shared" si="52"/>
        <v>143474514</v>
      </c>
      <c r="AH27" s="95">
        <f t="shared" si="52"/>
        <v>143474514</v>
      </c>
      <c r="AI27" s="95">
        <f t="shared" si="52"/>
        <v>143474514</v>
      </c>
      <c r="AJ27" s="95">
        <f t="shared" si="52"/>
        <v>143474514</v>
      </c>
      <c r="AK27" s="95">
        <f t="shared" si="52"/>
        <v>143474514</v>
      </c>
      <c r="AL27" s="95">
        <f t="shared" si="52"/>
        <v>143474514</v>
      </c>
      <c r="AM27" s="95">
        <f t="shared" si="52"/>
        <v>143474514</v>
      </c>
      <c r="AN27" s="95">
        <f t="shared" si="52"/>
        <v>143474514</v>
      </c>
      <c r="AO27" s="95">
        <f t="shared" si="52"/>
        <v>143474514</v>
      </c>
      <c r="AP27" s="95">
        <f t="shared" si="52"/>
        <v>143474514</v>
      </c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</row>
    <row r="28" spans="1:86" s="102" customFormat="1" x14ac:dyDescent="0.4">
      <c r="A28" s="101" t="s">
        <v>28</v>
      </c>
      <c r="C28" s="102">
        <f>SUM(C26:C27)</f>
        <v>546481964</v>
      </c>
      <c r="D28" s="102">
        <f t="shared" ref="D28:AP28" si="53">SUM(D26:D27)</f>
        <v>556557150</v>
      </c>
      <c r="E28" s="102">
        <f t="shared" si="53"/>
        <v>566884216</v>
      </c>
      <c r="F28" s="102">
        <f t="shared" si="53"/>
        <v>577469459</v>
      </c>
      <c r="G28" s="102">
        <f t="shared" si="53"/>
        <v>588319333</v>
      </c>
      <c r="H28" s="102">
        <f t="shared" si="53"/>
        <v>599440453</v>
      </c>
      <c r="I28" s="102">
        <f t="shared" si="53"/>
        <v>610839601</v>
      </c>
      <c r="J28" s="102">
        <f t="shared" si="53"/>
        <v>622523728</v>
      </c>
      <c r="K28" s="102">
        <f t="shared" si="53"/>
        <v>634499958</v>
      </c>
      <c r="L28" s="102">
        <f t="shared" si="53"/>
        <v>646775594</v>
      </c>
      <c r="M28" s="102">
        <f t="shared" si="53"/>
        <v>659358121</v>
      </c>
      <c r="N28" s="102">
        <f t="shared" si="53"/>
        <v>672255211</v>
      </c>
      <c r="O28" s="102">
        <f t="shared" si="53"/>
        <v>685474728</v>
      </c>
      <c r="P28" s="102">
        <f t="shared" si="53"/>
        <v>699024733</v>
      </c>
      <c r="Q28" s="102">
        <f t="shared" si="53"/>
        <v>712913488</v>
      </c>
      <c r="R28" s="102">
        <f t="shared" si="53"/>
        <v>727149462</v>
      </c>
      <c r="S28" s="102">
        <f t="shared" si="53"/>
        <v>741741336</v>
      </c>
      <c r="T28" s="102">
        <f t="shared" si="53"/>
        <v>756698007</v>
      </c>
      <c r="U28" s="102">
        <f t="shared" si="53"/>
        <v>772028594</v>
      </c>
      <c r="V28" s="102">
        <f t="shared" si="53"/>
        <v>787742446</v>
      </c>
      <c r="W28" s="102">
        <f t="shared" si="53"/>
        <v>803849144</v>
      </c>
      <c r="X28" s="102">
        <f t="shared" si="53"/>
        <v>820358510</v>
      </c>
      <c r="Y28" s="102">
        <f t="shared" si="53"/>
        <v>837280610</v>
      </c>
      <c r="Z28" s="102">
        <f t="shared" si="53"/>
        <v>854625762</v>
      </c>
      <c r="AA28" s="102">
        <f t="shared" si="53"/>
        <v>872404543</v>
      </c>
      <c r="AB28" s="102">
        <f t="shared" si="53"/>
        <v>890627794</v>
      </c>
      <c r="AC28" s="102">
        <f t="shared" si="53"/>
        <v>909306626</v>
      </c>
      <c r="AD28" s="102">
        <f t="shared" si="53"/>
        <v>928452429</v>
      </c>
      <c r="AE28" s="102">
        <f t="shared" si="53"/>
        <v>948076877</v>
      </c>
      <c r="AF28" s="102">
        <f t="shared" si="53"/>
        <v>968191936</v>
      </c>
      <c r="AG28" s="102">
        <f t="shared" si="53"/>
        <v>988809872</v>
      </c>
      <c r="AH28" s="102">
        <f t="shared" si="53"/>
        <v>1009943256</v>
      </c>
      <c r="AI28" s="102">
        <f t="shared" si="53"/>
        <v>1031604975</v>
      </c>
      <c r="AJ28" s="102">
        <f t="shared" si="53"/>
        <v>1053808237</v>
      </c>
      <c r="AK28" s="102">
        <f t="shared" si="53"/>
        <v>1076566580</v>
      </c>
      <c r="AL28" s="102">
        <f t="shared" si="53"/>
        <v>1099893882</v>
      </c>
      <c r="AM28" s="102">
        <f t="shared" si="53"/>
        <v>1123804366</v>
      </c>
      <c r="AN28" s="102">
        <f t="shared" si="53"/>
        <v>1148312612</v>
      </c>
      <c r="AO28" s="102">
        <f t="shared" si="53"/>
        <v>1173433564</v>
      </c>
      <c r="AP28" s="102">
        <f t="shared" si="53"/>
        <v>1199182540</v>
      </c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</row>
    <row r="29" spans="1:86" s="15" customFormat="1" x14ac:dyDescent="0.4">
      <c r="A29" s="80" t="s">
        <v>29</v>
      </c>
      <c r="C29" s="100">
        <f>ROUND((C28-B5)/B5,4)</f>
        <v>1.83E-2</v>
      </c>
      <c r="D29" s="100">
        <f>ROUND((D28-C28)/C28,4)</f>
        <v>1.84E-2</v>
      </c>
      <c r="E29" s="100">
        <f t="shared" ref="E29:AP29" si="54">ROUND((E28-D28)/D28,4)</f>
        <v>1.8599999999999998E-2</v>
      </c>
      <c r="F29" s="100">
        <f t="shared" si="54"/>
        <v>1.8700000000000001E-2</v>
      </c>
      <c r="G29" s="100">
        <f t="shared" si="54"/>
        <v>1.8800000000000001E-2</v>
      </c>
      <c r="H29" s="100">
        <f t="shared" si="54"/>
        <v>1.89E-2</v>
      </c>
      <c r="I29" s="100">
        <f t="shared" si="54"/>
        <v>1.9E-2</v>
      </c>
      <c r="J29" s="100">
        <f t="shared" si="54"/>
        <v>1.9099999999999999E-2</v>
      </c>
      <c r="K29" s="100">
        <f t="shared" si="54"/>
        <v>1.9199999999999998E-2</v>
      </c>
      <c r="L29" s="100">
        <f t="shared" si="54"/>
        <v>1.9300000000000001E-2</v>
      </c>
      <c r="M29" s="100">
        <f t="shared" si="54"/>
        <v>1.95E-2</v>
      </c>
      <c r="N29" s="100">
        <f t="shared" si="54"/>
        <v>1.9599999999999999E-2</v>
      </c>
      <c r="O29" s="100">
        <f t="shared" si="54"/>
        <v>1.9699999999999999E-2</v>
      </c>
      <c r="P29" s="100">
        <f t="shared" si="54"/>
        <v>1.9800000000000002E-2</v>
      </c>
      <c r="Q29" s="100">
        <f t="shared" si="54"/>
        <v>1.9900000000000001E-2</v>
      </c>
      <c r="R29" s="100">
        <f t="shared" si="54"/>
        <v>0.02</v>
      </c>
      <c r="S29" s="100">
        <f t="shared" si="54"/>
        <v>2.01E-2</v>
      </c>
      <c r="T29" s="100">
        <f t="shared" si="54"/>
        <v>2.0199999999999999E-2</v>
      </c>
      <c r="U29" s="100">
        <f t="shared" si="54"/>
        <v>2.0299999999999999E-2</v>
      </c>
      <c r="V29" s="100">
        <f t="shared" si="54"/>
        <v>2.0400000000000001E-2</v>
      </c>
      <c r="W29" s="100">
        <f t="shared" si="54"/>
        <v>2.0400000000000001E-2</v>
      </c>
      <c r="X29" s="100">
        <f t="shared" si="54"/>
        <v>2.0500000000000001E-2</v>
      </c>
      <c r="Y29" s="100">
        <f t="shared" si="54"/>
        <v>2.06E-2</v>
      </c>
      <c r="Z29" s="100">
        <f t="shared" si="54"/>
        <v>2.07E-2</v>
      </c>
      <c r="AA29" s="100">
        <f t="shared" si="54"/>
        <v>2.0799999999999999E-2</v>
      </c>
      <c r="AB29" s="100">
        <f t="shared" si="54"/>
        <v>2.0899999999999998E-2</v>
      </c>
      <c r="AC29" s="100">
        <f t="shared" si="54"/>
        <v>2.1000000000000001E-2</v>
      </c>
      <c r="AD29" s="100">
        <f t="shared" si="54"/>
        <v>2.1100000000000001E-2</v>
      </c>
      <c r="AE29" s="100">
        <f t="shared" si="54"/>
        <v>2.1100000000000001E-2</v>
      </c>
      <c r="AF29" s="100">
        <f t="shared" si="54"/>
        <v>2.12E-2</v>
      </c>
      <c r="AG29" s="100">
        <f t="shared" si="54"/>
        <v>2.1299999999999999E-2</v>
      </c>
      <c r="AH29" s="100">
        <f t="shared" si="54"/>
        <v>2.1399999999999999E-2</v>
      </c>
      <c r="AI29" s="100">
        <f t="shared" si="54"/>
        <v>2.1399999999999999E-2</v>
      </c>
      <c r="AJ29" s="100">
        <f t="shared" si="54"/>
        <v>2.1499999999999998E-2</v>
      </c>
      <c r="AK29" s="100">
        <f t="shared" si="54"/>
        <v>2.1600000000000001E-2</v>
      </c>
      <c r="AL29" s="100">
        <f t="shared" si="54"/>
        <v>2.1700000000000001E-2</v>
      </c>
      <c r="AM29" s="100">
        <f t="shared" si="54"/>
        <v>2.1700000000000001E-2</v>
      </c>
      <c r="AN29" s="100">
        <f t="shared" si="54"/>
        <v>2.18E-2</v>
      </c>
      <c r="AO29" s="100">
        <f t="shared" si="54"/>
        <v>2.1899999999999999E-2</v>
      </c>
      <c r="AP29" s="100">
        <f t="shared" si="54"/>
        <v>2.1899999999999999E-2</v>
      </c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</row>
    <row r="30" spans="1:86" s="15" customFormat="1" x14ac:dyDescent="0.4">
      <c r="A30" s="80" t="s">
        <v>30</v>
      </c>
      <c r="C30" s="15">
        <f>C28/365</f>
        <v>1497210.8602739726</v>
      </c>
      <c r="D30" s="15">
        <f t="shared" ref="D30:AP30" si="55">D28/365</f>
        <v>1524814.1095890412</v>
      </c>
      <c r="E30" s="15">
        <f t="shared" si="55"/>
        <v>1553107.4410958905</v>
      </c>
      <c r="F30" s="15">
        <f t="shared" si="55"/>
        <v>1582108.1068493151</v>
      </c>
      <c r="G30" s="15">
        <f t="shared" si="55"/>
        <v>1611833.7890410959</v>
      </c>
      <c r="H30" s="15">
        <f t="shared" si="55"/>
        <v>1642302.610958904</v>
      </c>
      <c r="I30" s="15">
        <f t="shared" si="55"/>
        <v>1673533.1534246576</v>
      </c>
      <c r="J30" s="15">
        <f t="shared" si="55"/>
        <v>1705544.4602739727</v>
      </c>
      <c r="K30" s="15">
        <f t="shared" si="55"/>
        <v>1738356.0493150684</v>
      </c>
      <c r="L30" s="15">
        <f t="shared" si="55"/>
        <v>1771987.9287671233</v>
      </c>
      <c r="M30" s="15">
        <f t="shared" si="55"/>
        <v>1806460.6054794521</v>
      </c>
      <c r="N30" s="15">
        <f t="shared" si="55"/>
        <v>1841795.098630137</v>
      </c>
      <c r="O30" s="15">
        <f t="shared" si="55"/>
        <v>1878012.9534246575</v>
      </c>
      <c r="P30" s="15">
        <f t="shared" si="55"/>
        <v>1915136.2547945206</v>
      </c>
      <c r="Q30" s="15">
        <f t="shared" si="55"/>
        <v>1953187.6383561643</v>
      </c>
      <c r="R30" s="15">
        <f t="shared" si="55"/>
        <v>1992190.3068493151</v>
      </c>
      <c r="S30" s="15">
        <f t="shared" si="55"/>
        <v>2032168.0438356164</v>
      </c>
      <c r="T30" s="15">
        <f t="shared" si="55"/>
        <v>2073145.2246575342</v>
      </c>
      <c r="U30" s="15">
        <f t="shared" si="55"/>
        <v>2115146.8328767125</v>
      </c>
      <c r="V30" s="15">
        <f t="shared" si="55"/>
        <v>2158198.482191781</v>
      </c>
      <c r="W30" s="15">
        <f t="shared" si="55"/>
        <v>2202326.4219178082</v>
      </c>
      <c r="X30" s="15">
        <f t="shared" si="55"/>
        <v>2247557.5616438356</v>
      </c>
      <c r="Y30" s="15">
        <f t="shared" si="55"/>
        <v>2293919.4794520549</v>
      </c>
      <c r="Z30" s="15">
        <f t="shared" si="55"/>
        <v>2341440.4438356166</v>
      </c>
      <c r="AA30" s="15">
        <f t="shared" si="55"/>
        <v>2390149.4328767122</v>
      </c>
      <c r="AB30" s="15">
        <f t="shared" si="55"/>
        <v>2440076.1479452057</v>
      </c>
      <c r="AC30" s="15">
        <f t="shared" si="55"/>
        <v>2491251.0301369862</v>
      </c>
      <c r="AD30" s="15">
        <f t="shared" si="55"/>
        <v>2543705.284931507</v>
      </c>
      <c r="AE30" s="15">
        <f t="shared" si="55"/>
        <v>2597470.895890411</v>
      </c>
      <c r="AF30" s="15">
        <f t="shared" si="55"/>
        <v>2652580.6465753424</v>
      </c>
      <c r="AG30" s="15">
        <f t="shared" si="55"/>
        <v>2709068.1424657535</v>
      </c>
      <c r="AH30" s="15">
        <f t="shared" si="55"/>
        <v>2766967.8246575342</v>
      </c>
      <c r="AI30" s="15">
        <f t="shared" si="55"/>
        <v>2826315</v>
      </c>
      <c r="AJ30" s="15">
        <f t="shared" si="55"/>
        <v>2887145.8547945204</v>
      </c>
      <c r="AK30" s="15">
        <f t="shared" si="55"/>
        <v>2949497.4794520549</v>
      </c>
      <c r="AL30" s="15">
        <f t="shared" si="55"/>
        <v>3013407.895890411</v>
      </c>
      <c r="AM30" s="15">
        <f t="shared" si="55"/>
        <v>3078916.0712328767</v>
      </c>
      <c r="AN30" s="15">
        <f t="shared" si="55"/>
        <v>3146061.9506849316</v>
      </c>
      <c r="AO30" s="15">
        <f t="shared" si="55"/>
        <v>3214886.4767123288</v>
      </c>
      <c r="AP30" s="15">
        <f t="shared" si="55"/>
        <v>3285431.6164383562</v>
      </c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</row>
    <row r="31" spans="1:86" s="15" customFormat="1" x14ac:dyDescent="0.4">
      <c r="A31" s="80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</row>
    <row r="32" spans="1:86" s="15" customFormat="1" x14ac:dyDescent="0.4">
      <c r="A32" s="91" t="s">
        <v>31</v>
      </c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</row>
    <row r="33" spans="1:81" s="15" customFormat="1" x14ac:dyDescent="0.4">
      <c r="A33" s="106" t="s">
        <v>32</v>
      </c>
      <c r="B33" s="114">
        <v>120097048</v>
      </c>
      <c r="C33" s="15">
        <f t="shared" ref="C33:D36" si="56">B33*(1+C$29)</f>
        <v>122294823.97839999</v>
      </c>
      <c r="D33" s="15">
        <f t="shared" si="56"/>
        <v>124545048.73960255</v>
      </c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</row>
    <row r="34" spans="1:81" x14ac:dyDescent="0.4">
      <c r="A34" s="106" t="s">
        <v>33</v>
      </c>
      <c r="B34" s="114">
        <v>68664800</v>
      </c>
      <c r="C34" s="15">
        <f t="shared" si="56"/>
        <v>69921365.840000004</v>
      </c>
      <c r="D34" s="15">
        <f t="shared" si="56"/>
        <v>71207918.971456006</v>
      </c>
    </row>
    <row r="35" spans="1:81" x14ac:dyDescent="0.4">
      <c r="A35" s="106" t="s">
        <v>34</v>
      </c>
      <c r="B35" s="114">
        <v>11953200</v>
      </c>
      <c r="C35" s="15">
        <f t="shared" si="56"/>
        <v>12171943.560000001</v>
      </c>
      <c r="D35" s="15">
        <f t="shared" si="56"/>
        <v>12395907.321504001</v>
      </c>
    </row>
    <row r="36" spans="1:81" x14ac:dyDescent="0.4">
      <c r="A36" s="106" t="s">
        <v>35</v>
      </c>
      <c r="B36" s="115">
        <v>176547466</v>
      </c>
      <c r="C36" s="109">
        <f t="shared" si="56"/>
        <v>179778284.62779999</v>
      </c>
      <c r="D36" s="109">
        <f t="shared" si="56"/>
        <v>183086205.06495151</v>
      </c>
    </row>
    <row r="37" spans="1:81" x14ac:dyDescent="0.4">
      <c r="A37" s="70" t="s">
        <v>36</v>
      </c>
      <c r="B37" s="15">
        <f>B33+B34+B35+B36</f>
        <v>377262514</v>
      </c>
      <c r="C37" s="15">
        <f>C33+C34+C35+C36</f>
        <v>384166418.00619996</v>
      </c>
      <c r="D37" s="15">
        <f>D33+D34+D35+D36</f>
        <v>391235080.09751403</v>
      </c>
    </row>
    <row r="38" spans="1:81" x14ac:dyDescent="0.4">
      <c r="A38" s="70" t="s">
        <v>37</v>
      </c>
      <c r="B38" s="93">
        <v>159390000</v>
      </c>
      <c r="C38" s="109">
        <f>C28-C37</f>
        <v>162315545.99380004</v>
      </c>
      <c r="D38" s="109">
        <f>D28-D37</f>
        <v>165322069.90248597</v>
      </c>
      <c r="E38" s="188"/>
    </row>
    <row r="39" spans="1:81" x14ac:dyDescent="0.4">
      <c r="A39" s="70" t="s">
        <v>38</v>
      </c>
      <c r="B39" s="15">
        <f>B37+B38</f>
        <v>536652514</v>
      </c>
      <c r="C39" s="15">
        <f>C37+C38</f>
        <v>546481964</v>
      </c>
      <c r="D39" s="15">
        <f>D37+D38</f>
        <v>556557150</v>
      </c>
    </row>
    <row r="40" spans="1:81" x14ac:dyDescent="0.4">
      <c r="B40" s="15"/>
      <c r="C40" s="82"/>
      <c r="D40" s="82"/>
    </row>
    <row r="41" spans="1:81" x14ac:dyDescent="0.4">
      <c r="A41" s="90" t="s">
        <v>39</v>
      </c>
      <c r="B41" s="137" t="s">
        <v>40</v>
      </c>
    </row>
    <row r="42" spans="1:81" x14ac:dyDescent="0.4">
      <c r="A42" s="71" t="s">
        <v>32</v>
      </c>
      <c r="B42" s="114">
        <v>100000</v>
      </c>
      <c r="C42" s="72"/>
      <c r="D42" s="72"/>
      <c r="E42" s="116">
        <f>$B42*365</f>
        <v>36500000</v>
      </c>
      <c r="F42" s="116">
        <f t="shared" ref="F42:U45" si="57">$B42*365</f>
        <v>36500000</v>
      </c>
      <c r="G42" s="116">
        <f t="shared" si="57"/>
        <v>36500000</v>
      </c>
      <c r="H42" s="116">
        <f t="shared" si="57"/>
        <v>36500000</v>
      </c>
      <c r="I42" s="116">
        <f t="shared" si="57"/>
        <v>36500000</v>
      </c>
      <c r="J42" s="116">
        <f t="shared" si="57"/>
        <v>36500000</v>
      </c>
      <c r="K42" s="116">
        <f t="shared" si="57"/>
        <v>36500000</v>
      </c>
      <c r="L42" s="116">
        <f t="shared" si="57"/>
        <v>36500000</v>
      </c>
      <c r="M42" s="116">
        <f t="shared" si="57"/>
        <v>36500000</v>
      </c>
      <c r="N42" s="116">
        <f t="shared" si="57"/>
        <v>36500000</v>
      </c>
      <c r="O42" s="116">
        <f t="shared" si="57"/>
        <v>36500000</v>
      </c>
      <c r="P42" s="116">
        <f t="shared" si="57"/>
        <v>36500000</v>
      </c>
      <c r="Q42" s="116">
        <f t="shared" si="57"/>
        <v>36500000</v>
      </c>
      <c r="R42" s="116">
        <f t="shared" si="57"/>
        <v>36500000</v>
      </c>
      <c r="S42" s="116">
        <f t="shared" si="57"/>
        <v>36500000</v>
      </c>
      <c r="T42" s="116">
        <f t="shared" si="57"/>
        <v>36500000</v>
      </c>
      <c r="U42" s="116">
        <f t="shared" si="57"/>
        <v>36500000</v>
      </c>
      <c r="V42" s="116">
        <f t="shared" ref="H42:AP45" si="58">$B42*365</f>
        <v>36500000</v>
      </c>
      <c r="W42" s="116">
        <f t="shared" si="58"/>
        <v>36500000</v>
      </c>
      <c r="X42" s="116">
        <f t="shared" si="58"/>
        <v>36500000</v>
      </c>
      <c r="Y42" s="116">
        <f t="shared" si="58"/>
        <v>36500000</v>
      </c>
      <c r="Z42" s="116">
        <f t="shared" si="58"/>
        <v>36500000</v>
      </c>
      <c r="AA42" s="116">
        <f t="shared" si="58"/>
        <v>36500000</v>
      </c>
      <c r="AB42" s="116">
        <f t="shared" si="58"/>
        <v>36500000</v>
      </c>
      <c r="AC42" s="116">
        <f t="shared" si="58"/>
        <v>36500000</v>
      </c>
      <c r="AD42" s="116">
        <f t="shared" si="58"/>
        <v>36500000</v>
      </c>
      <c r="AE42" s="116">
        <f t="shared" si="58"/>
        <v>36500000</v>
      </c>
      <c r="AF42" s="116">
        <f t="shared" si="58"/>
        <v>36500000</v>
      </c>
      <c r="AG42" s="116">
        <f t="shared" si="58"/>
        <v>36500000</v>
      </c>
      <c r="AH42" s="116">
        <f t="shared" si="58"/>
        <v>36500000</v>
      </c>
      <c r="AI42" s="116">
        <f t="shared" si="58"/>
        <v>36500000</v>
      </c>
      <c r="AJ42" s="116">
        <f t="shared" si="58"/>
        <v>36500000</v>
      </c>
      <c r="AK42" s="116">
        <f t="shared" si="58"/>
        <v>36500000</v>
      </c>
      <c r="AL42" s="116">
        <f t="shared" si="58"/>
        <v>36500000</v>
      </c>
      <c r="AM42" s="116">
        <f t="shared" si="58"/>
        <v>36500000</v>
      </c>
      <c r="AN42" s="116">
        <f t="shared" si="58"/>
        <v>36500000</v>
      </c>
      <c r="AO42" s="116">
        <f t="shared" si="58"/>
        <v>36500000</v>
      </c>
      <c r="AP42" s="116">
        <f t="shared" si="58"/>
        <v>36500000</v>
      </c>
    </row>
    <row r="43" spans="1:81" x14ac:dyDescent="0.4">
      <c r="A43" s="71" t="s">
        <v>33</v>
      </c>
      <c r="B43" s="114">
        <v>100000</v>
      </c>
      <c r="C43" s="72"/>
      <c r="D43" s="72"/>
      <c r="E43" s="116">
        <f t="shared" ref="E43:E45" si="59">$B43*365</f>
        <v>36500000</v>
      </c>
      <c r="F43" s="116">
        <f t="shared" si="57"/>
        <v>36500000</v>
      </c>
      <c r="G43" s="116">
        <f t="shared" si="57"/>
        <v>36500000</v>
      </c>
      <c r="H43" s="116">
        <f t="shared" si="58"/>
        <v>36500000</v>
      </c>
      <c r="I43" s="116">
        <f t="shared" si="58"/>
        <v>36500000</v>
      </c>
      <c r="J43" s="116">
        <f t="shared" si="58"/>
        <v>36500000</v>
      </c>
      <c r="K43" s="116">
        <f t="shared" si="58"/>
        <v>36500000</v>
      </c>
      <c r="L43" s="116">
        <f t="shared" si="58"/>
        <v>36500000</v>
      </c>
      <c r="M43" s="116">
        <f t="shared" si="58"/>
        <v>36500000</v>
      </c>
      <c r="N43" s="116">
        <f t="shared" si="58"/>
        <v>36500000</v>
      </c>
      <c r="O43" s="116">
        <f t="shared" si="58"/>
        <v>36500000</v>
      </c>
      <c r="P43" s="116">
        <f t="shared" si="58"/>
        <v>36500000</v>
      </c>
      <c r="Q43" s="116">
        <f t="shared" si="58"/>
        <v>36500000</v>
      </c>
      <c r="R43" s="116">
        <f t="shared" si="58"/>
        <v>36500000</v>
      </c>
      <c r="S43" s="116">
        <f t="shared" si="58"/>
        <v>36500000</v>
      </c>
      <c r="T43" s="116">
        <f t="shared" si="58"/>
        <v>36500000</v>
      </c>
      <c r="U43" s="116">
        <f t="shared" si="58"/>
        <v>36500000</v>
      </c>
      <c r="V43" s="116">
        <f t="shared" si="58"/>
        <v>36500000</v>
      </c>
      <c r="W43" s="116">
        <f t="shared" si="58"/>
        <v>36500000</v>
      </c>
      <c r="X43" s="116">
        <f t="shared" si="58"/>
        <v>36500000</v>
      </c>
      <c r="Y43" s="116">
        <f t="shared" si="58"/>
        <v>36500000</v>
      </c>
      <c r="Z43" s="116">
        <f t="shared" si="58"/>
        <v>36500000</v>
      </c>
      <c r="AA43" s="116">
        <f t="shared" si="58"/>
        <v>36500000</v>
      </c>
      <c r="AB43" s="116">
        <f t="shared" si="58"/>
        <v>36500000</v>
      </c>
      <c r="AC43" s="116">
        <f t="shared" si="58"/>
        <v>36500000</v>
      </c>
      <c r="AD43" s="116">
        <f t="shared" si="58"/>
        <v>36500000</v>
      </c>
      <c r="AE43" s="116">
        <f t="shared" si="58"/>
        <v>36500000</v>
      </c>
      <c r="AF43" s="116">
        <f t="shared" si="58"/>
        <v>36500000</v>
      </c>
      <c r="AG43" s="116">
        <f t="shared" si="58"/>
        <v>36500000</v>
      </c>
      <c r="AH43" s="116">
        <f t="shared" si="58"/>
        <v>36500000</v>
      </c>
      <c r="AI43" s="116">
        <f t="shared" si="58"/>
        <v>36500000</v>
      </c>
      <c r="AJ43" s="116">
        <f t="shared" si="58"/>
        <v>36500000</v>
      </c>
      <c r="AK43" s="116">
        <f t="shared" si="58"/>
        <v>36500000</v>
      </c>
      <c r="AL43" s="116">
        <f t="shared" si="58"/>
        <v>36500000</v>
      </c>
      <c r="AM43" s="116">
        <f t="shared" si="58"/>
        <v>36500000</v>
      </c>
      <c r="AN43" s="116">
        <f t="shared" si="58"/>
        <v>36500000</v>
      </c>
      <c r="AO43" s="116">
        <f t="shared" si="58"/>
        <v>36500000</v>
      </c>
      <c r="AP43" s="116">
        <f t="shared" si="58"/>
        <v>36500000</v>
      </c>
    </row>
    <row r="44" spans="1:81" x14ac:dyDescent="0.4">
      <c r="A44" s="71" t="s">
        <v>41</v>
      </c>
      <c r="B44" s="114">
        <v>0</v>
      </c>
      <c r="C44" s="15"/>
      <c r="D44" s="15"/>
      <c r="E44" s="116">
        <f t="shared" si="59"/>
        <v>0</v>
      </c>
      <c r="F44" s="116">
        <f t="shared" si="57"/>
        <v>0</v>
      </c>
      <c r="G44" s="116">
        <f t="shared" si="57"/>
        <v>0</v>
      </c>
      <c r="H44" s="116">
        <f t="shared" si="58"/>
        <v>0</v>
      </c>
      <c r="I44" s="116">
        <f t="shared" si="58"/>
        <v>0</v>
      </c>
      <c r="J44" s="116">
        <f t="shared" si="58"/>
        <v>0</v>
      </c>
      <c r="K44" s="116">
        <f t="shared" si="58"/>
        <v>0</v>
      </c>
      <c r="L44" s="116">
        <f t="shared" si="58"/>
        <v>0</v>
      </c>
      <c r="M44" s="116">
        <f t="shared" si="58"/>
        <v>0</v>
      </c>
      <c r="N44" s="116">
        <f t="shared" si="58"/>
        <v>0</v>
      </c>
      <c r="O44" s="116">
        <f t="shared" si="58"/>
        <v>0</v>
      </c>
      <c r="P44" s="116">
        <f t="shared" si="58"/>
        <v>0</v>
      </c>
      <c r="Q44" s="116">
        <f t="shared" si="58"/>
        <v>0</v>
      </c>
      <c r="R44" s="116">
        <f t="shared" si="58"/>
        <v>0</v>
      </c>
      <c r="S44" s="116">
        <f t="shared" si="58"/>
        <v>0</v>
      </c>
      <c r="T44" s="116">
        <f t="shared" si="58"/>
        <v>0</v>
      </c>
      <c r="U44" s="116">
        <f t="shared" si="58"/>
        <v>0</v>
      </c>
      <c r="V44" s="116">
        <f t="shared" si="58"/>
        <v>0</v>
      </c>
      <c r="W44" s="116">
        <f t="shared" si="58"/>
        <v>0</v>
      </c>
      <c r="X44" s="116">
        <f t="shared" si="58"/>
        <v>0</v>
      </c>
      <c r="Y44" s="116">
        <f t="shared" si="58"/>
        <v>0</v>
      </c>
      <c r="Z44" s="116">
        <f t="shared" si="58"/>
        <v>0</v>
      </c>
      <c r="AA44" s="116">
        <f t="shared" si="58"/>
        <v>0</v>
      </c>
      <c r="AB44" s="116">
        <f t="shared" si="58"/>
        <v>0</v>
      </c>
      <c r="AC44" s="116">
        <f t="shared" si="58"/>
        <v>0</v>
      </c>
      <c r="AD44" s="116">
        <f t="shared" si="58"/>
        <v>0</v>
      </c>
      <c r="AE44" s="116">
        <f t="shared" si="58"/>
        <v>0</v>
      </c>
      <c r="AF44" s="116">
        <f t="shared" si="58"/>
        <v>0</v>
      </c>
      <c r="AG44" s="116">
        <f t="shared" si="58"/>
        <v>0</v>
      </c>
      <c r="AH44" s="116">
        <f t="shared" si="58"/>
        <v>0</v>
      </c>
      <c r="AI44" s="116">
        <f t="shared" si="58"/>
        <v>0</v>
      </c>
      <c r="AJ44" s="116">
        <f t="shared" si="58"/>
        <v>0</v>
      </c>
      <c r="AK44" s="116">
        <f t="shared" si="58"/>
        <v>0</v>
      </c>
      <c r="AL44" s="116">
        <f t="shared" si="58"/>
        <v>0</v>
      </c>
      <c r="AM44" s="116">
        <f t="shared" si="58"/>
        <v>0</v>
      </c>
      <c r="AN44" s="116">
        <f t="shared" si="58"/>
        <v>0</v>
      </c>
      <c r="AO44" s="116">
        <f t="shared" si="58"/>
        <v>0</v>
      </c>
      <c r="AP44" s="116">
        <f t="shared" si="58"/>
        <v>0</v>
      </c>
    </row>
    <row r="45" spans="1:81" x14ac:dyDescent="0.4">
      <c r="A45" s="71" t="s">
        <v>42</v>
      </c>
      <c r="B45" s="115">
        <v>300000</v>
      </c>
      <c r="C45" s="72"/>
      <c r="D45" s="72"/>
      <c r="E45" s="112">
        <f t="shared" si="59"/>
        <v>109500000</v>
      </c>
      <c r="F45" s="112">
        <f t="shared" si="57"/>
        <v>109500000</v>
      </c>
      <c r="G45" s="112">
        <f t="shared" si="57"/>
        <v>109500000</v>
      </c>
      <c r="H45" s="112">
        <f t="shared" si="58"/>
        <v>109500000</v>
      </c>
      <c r="I45" s="112">
        <f t="shared" si="58"/>
        <v>109500000</v>
      </c>
      <c r="J45" s="112">
        <f t="shared" si="58"/>
        <v>109500000</v>
      </c>
      <c r="K45" s="112">
        <f t="shared" si="58"/>
        <v>109500000</v>
      </c>
      <c r="L45" s="112">
        <f t="shared" si="58"/>
        <v>109500000</v>
      </c>
      <c r="M45" s="112">
        <f t="shared" si="58"/>
        <v>109500000</v>
      </c>
      <c r="N45" s="112">
        <f t="shared" si="58"/>
        <v>109500000</v>
      </c>
      <c r="O45" s="112">
        <f t="shared" si="58"/>
        <v>109500000</v>
      </c>
      <c r="P45" s="112">
        <f t="shared" si="58"/>
        <v>109500000</v>
      </c>
      <c r="Q45" s="112">
        <f t="shared" si="58"/>
        <v>109500000</v>
      </c>
      <c r="R45" s="112">
        <f t="shared" si="58"/>
        <v>109500000</v>
      </c>
      <c r="S45" s="112">
        <f t="shared" si="58"/>
        <v>109500000</v>
      </c>
      <c r="T45" s="112">
        <f t="shared" si="58"/>
        <v>109500000</v>
      </c>
      <c r="U45" s="112">
        <f t="shared" si="58"/>
        <v>109500000</v>
      </c>
      <c r="V45" s="112">
        <f t="shared" si="58"/>
        <v>109500000</v>
      </c>
      <c r="W45" s="112">
        <f t="shared" si="58"/>
        <v>109500000</v>
      </c>
      <c r="X45" s="112">
        <f t="shared" si="58"/>
        <v>109500000</v>
      </c>
      <c r="Y45" s="112">
        <f t="shared" si="58"/>
        <v>109500000</v>
      </c>
      <c r="Z45" s="112">
        <f t="shared" si="58"/>
        <v>109500000</v>
      </c>
      <c r="AA45" s="112">
        <f t="shared" si="58"/>
        <v>109500000</v>
      </c>
      <c r="AB45" s="112">
        <f t="shared" si="58"/>
        <v>109500000</v>
      </c>
      <c r="AC45" s="112">
        <f t="shared" si="58"/>
        <v>109500000</v>
      </c>
      <c r="AD45" s="112">
        <f t="shared" si="58"/>
        <v>109500000</v>
      </c>
      <c r="AE45" s="112">
        <f t="shared" si="58"/>
        <v>109500000</v>
      </c>
      <c r="AF45" s="112">
        <f t="shared" si="58"/>
        <v>109500000</v>
      </c>
      <c r="AG45" s="112">
        <f t="shared" si="58"/>
        <v>109500000</v>
      </c>
      <c r="AH45" s="112">
        <f t="shared" si="58"/>
        <v>109500000</v>
      </c>
      <c r="AI45" s="112">
        <f t="shared" si="58"/>
        <v>109500000</v>
      </c>
      <c r="AJ45" s="112">
        <f t="shared" si="58"/>
        <v>109500000</v>
      </c>
      <c r="AK45" s="112">
        <f t="shared" si="58"/>
        <v>109500000</v>
      </c>
      <c r="AL45" s="112">
        <f t="shared" si="58"/>
        <v>109500000</v>
      </c>
      <c r="AM45" s="112">
        <f t="shared" si="58"/>
        <v>109500000</v>
      </c>
      <c r="AN45" s="112">
        <f t="shared" si="58"/>
        <v>109500000</v>
      </c>
      <c r="AO45" s="112">
        <f t="shared" si="58"/>
        <v>109500000</v>
      </c>
      <c r="AP45" s="112">
        <f t="shared" si="58"/>
        <v>109500000</v>
      </c>
    </row>
    <row r="46" spans="1:81" s="22" customFormat="1" x14ac:dyDescent="0.4">
      <c r="A46" s="104" t="s">
        <v>43</v>
      </c>
      <c r="B46" s="15">
        <f>SUM(B42:B45)</f>
        <v>500000</v>
      </c>
      <c r="C46" s="102"/>
      <c r="D46" s="102"/>
      <c r="E46" s="102">
        <f t="shared" ref="E46:G46" si="60">E42+E43+E44+E45</f>
        <v>182500000</v>
      </c>
      <c r="F46" s="102">
        <f t="shared" si="60"/>
        <v>182500000</v>
      </c>
      <c r="G46" s="102">
        <f t="shared" si="60"/>
        <v>182500000</v>
      </c>
      <c r="H46" s="102">
        <f>(H42+H43+H44+H45)</f>
        <v>182500000</v>
      </c>
      <c r="I46" s="102">
        <f t="shared" ref="I46:AP46" si="61">(I42+I43+I44+I45)</f>
        <v>182500000</v>
      </c>
      <c r="J46" s="102">
        <f t="shared" si="61"/>
        <v>182500000</v>
      </c>
      <c r="K46" s="102">
        <f t="shared" si="61"/>
        <v>182500000</v>
      </c>
      <c r="L46" s="102">
        <f t="shared" si="61"/>
        <v>182500000</v>
      </c>
      <c r="M46" s="102">
        <f t="shared" si="61"/>
        <v>182500000</v>
      </c>
      <c r="N46" s="102">
        <f t="shared" si="61"/>
        <v>182500000</v>
      </c>
      <c r="O46" s="102">
        <f t="shared" si="61"/>
        <v>182500000</v>
      </c>
      <c r="P46" s="102">
        <f t="shared" si="61"/>
        <v>182500000</v>
      </c>
      <c r="Q46" s="102">
        <f t="shared" si="61"/>
        <v>182500000</v>
      </c>
      <c r="R46" s="102">
        <f t="shared" si="61"/>
        <v>182500000</v>
      </c>
      <c r="S46" s="102">
        <f t="shared" si="61"/>
        <v>182500000</v>
      </c>
      <c r="T46" s="102">
        <f t="shared" si="61"/>
        <v>182500000</v>
      </c>
      <c r="U46" s="102">
        <f t="shared" si="61"/>
        <v>182500000</v>
      </c>
      <c r="V46" s="102">
        <f t="shared" si="61"/>
        <v>182500000</v>
      </c>
      <c r="W46" s="102">
        <f t="shared" si="61"/>
        <v>182500000</v>
      </c>
      <c r="X46" s="102">
        <f t="shared" si="61"/>
        <v>182500000</v>
      </c>
      <c r="Y46" s="102">
        <f t="shared" si="61"/>
        <v>182500000</v>
      </c>
      <c r="Z46" s="102">
        <f t="shared" si="61"/>
        <v>182500000</v>
      </c>
      <c r="AA46" s="102">
        <f t="shared" si="61"/>
        <v>182500000</v>
      </c>
      <c r="AB46" s="102">
        <f t="shared" si="61"/>
        <v>182500000</v>
      </c>
      <c r="AC46" s="102">
        <f t="shared" si="61"/>
        <v>182500000</v>
      </c>
      <c r="AD46" s="102">
        <f t="shared" si="61"/>
        <v>182500000</v>
      </c>
      <c r="AE46" s="102">
        <f t="shared" si="61"/>
        <v>182500000</v>
      </c>
      <c r="AF46" s="102">
        <f t="shared" si="61"/>
        <v>182500000</v>
      </c>
      <c r="AG46" s="102">
        <f t="shared" si="61"/>
        <v>182500000</v>
      </c>
      <c r="AH46" s="102">
        <f t="shared" si="61"/>
        <v>182500000</v>
      </c>
      <c r="AI46" s="102">
        <f t="shared" si="61"/>
        <v>182500000</v>
      </c>
      <c r="AJ46" s="102">
        <f t="shared" si="61"/>
        <v>182500000</v>
      </c>
      <c r="AK46" s="102">
        <f t="shared" si="61"/>
        <v>182500000</v>
      </c>
      <c r="AL46" s="102">
        <f t="shared" si="61"/>
        <v>182500000</v>
      </c>
      <c r="AM46" s="102">
        <f t="shared" si="61"/>
        <v>182500000</v>
      </c>
      <c r="AN46" s="102">
        <f t="shared" si="61"/>
        <v>182500000</v>
      </c>
      <c r="AO46" s="102">
        <f t="shared" si="61"/>
        <v>182500000</v>
      </c>
      <c r="AP46" s="102">
        <f t="shared" si="61"/>
        <v>182500000</v>
      </c>
    </row>
    <row r="47" spans="1:81" x14ac:dyDescent="0.4">
      <c r="A47" s="70" t="s">
        <v>44</v>
      </c>
      <c r="B47" s="82"/>
      <c r="C47" s="82"/>
      <c r="D47" s="82"/>
      <c r="E47" s="15">
        <f>E28-E46</f>
        <v>384384216</v>
      </c>
      <c r="F47" s="15">
        <f>F28-F46</f>
        <v>394969459</v>
      </c>
      <c r="G47" s="15">
        <f t="shared" ref="G47:AP47" si="62">G28-G46</f>
        <v>405819333</v>
      </c>
      <c r="H47" s="15">
        <f t="shared" si="62"/>
        <v>416940453</v>
      </c>
      <c r="I47" s="15">
        <f t="shared" si="62"/>
        <v>428339601</v>
      </c>
      <c r="J47" s="15">
        <f t="shared" si="62"/>
        <v>440023728</v>
      </c>
      <c r="K47" s="15">
        <f t="shared" si="62"/>
        <v>451999958</v>
      </c>
      <c r="L47" s="15">
        <f t="shared" si="62"/>
        <v>464275594</v>
      </c>
      <c r="M47" s="15">
        <f t="shared" si="62"/>
        <v>476858121</v>
      </c>
      <c r="N47" s="15">
        <f t="shared" si="62"/>
        <v>489755211</v>
      </c>
      <c r="O47" s="15">
        <f t="shared" si="62"/>
        <v>502974728</v>
      </c>
      <c r="P47" s="15">
        <f t="shared" si="62"/>
        <v>516524733</v>
      </c>
      <c r="Q47" s="15">
        <f t="shared" si="62"/>
        <v>530413488</v>
      </c>
      <c r="R47" s="15">
        <f t="shared" si="62"/>
        <v>544649462</v>
      </c>
      <c r="S47" s="15">
        <f t="shared" si="62"/>
        <v>559241336</v>
      </c>
      <c r="T47" s="15">
        <f t="shared" si="62"/>
        <v>574198007</v>
      </c>
      <c r="U47" s="15">
        <f t="shared" si="62"/>
        <v>589528594</v>
      </c>
      <c r="V47" s="15">
        <f t="shared" si="62"/>
        <v>605242446</v>
      </c>
      <c r="W47" s="15">
        <f t="shared" si="62"/>
        <v>621349144</v>
      </c>
      <c r="X47" s="15">
        <f t="shared" si="62"/>
        <v>637858510</v>
      </c>
      <c r="Y47" s="15">
        <f t="shared" si="62"/>
        <v>654780610</v>
      </c>
      <c r="Z47" s="15">
        <f t="shared" si="62"/>
        <v>672125762</v>
      </c>
      <c r="AA47" s="15">
        <f t="shared" si="62"/>
        <v>689904543</v>
      </c>
      <c r="AB47" s="15">
        <f t="shared" si="62"/>
        <v>708127794</v>
      </c>
      <c r="AC47" s="15">
        <f t="shared" si="62"/>
        <v>726806626</v>
      </c>
      <c r="AD47" s="15">
        <f t="shared" si="62"/>
        <v>745952429</v>
      </c>
      <c r="AE47" s="15">
        <f t="shared" si="62"/>
        <v>765576877</v>
      </c>
      <c r="AF47" s="15">
        <f t="shared" si="62"/>
        <v>785691936</v>
      </c>
      <c r="AG47" s="15">
        <f t="shared" si="62"/>
        <v>806309872</v>
      </c>
      <c r="AH47" s="15">
        <f t="shared" si="62"/>
        <v>827443256</v>
      </c>
      <c r="AI47" s="15">
        <f t="shared" si="62"/>
        <v>849104975</v>
      </c>
      <c r="AJ47" s="15">
        <f t="shared" si="62"/>
        <v>871308237</v>
      </c>
      <c r="AK47" s="15">
        <f t="shared" si="62"/>
        <v>894066580</v>
      </c>
      <c r="AL47" s="15">
        <f t="shared" si="62"/>
        <v>917393882</v>
      </c>
      <c r="AM47" s="15">
        <f t="shared" si="62"/>
        <v>941304366</v>
      </c>
      <c r="AN47" s="15">
        <f t="shared" si="62"/>
        <v>965812612</v>
      </c>
      <c r="AO47" s="15">
        <f t="shared" si="62"/>
        <v>990933564</v>
      </c>
      <c r="AP47" s="15">
        <f t="shared" si="62"/>
        <v>1016682540</v>
      </c>
    </row>
    <row r="49" spans="1:43" x14ac:dyDescent="0.4">
      <c r="A49" s="90" t="s">
        <v>45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</row>
    <row r="50" spans="1:43" x14ac:dyDescent="0.4">
      <c r="A50" s="70" t="s">
        <v>46</v>
      </c>
      <c r="E50" s="88">
        <f>ROUND((365*E$11),0)</f>
        <v>91</v>
      </c>
      <c r="F50" s="88">
        <f t="shared" ref="F50:AP50" si="63">ROUND((365*F$11),0)</f>
        <v>91</v>
      </c>
      <c r="G50" s="88">
        <f t="shared" si="63"/>
        <v>91</v>
      </c>
      <c r="H50" s="88">
        <f t="shared" si="63"/>
        <v>91</v>
      </c>
      <c r="I50" s="88">
        <f t="shared" si="63"/>
        <v>91</v>
      </c>
      <c r="J50" s="88">
        <f t="shared" si="63"/>
        <v>91</v>
      </c>
      <c r="K50" s="88">
        <f t="shared" si="63"/>
        <v>91</v>
      </c>
      <c r="L50" s="88">
        <f t="shared" si="63"/>
        <v>91</v>
      </c>
      <c r="M50" s="88">
        <f t="shared" si="63"/>
        <v>91</v>
      </c>
      <c r="N50" s="88">
        <f t="shared" si="63"/>
        <v>91</v>
      </c>
      <c r="O50" s="88">
        <f t="shared" si="63"/>
        <v>91</v>
      </c>
      <c r="P50" s="88">
        <f t="shared" si="63"/>
        <v>91</v>
      </c>
      <c r="Q50" s="88">
        <f t="shared" si="63"/>
        <v>91</v>
      </c>
      <c r="R50" s="88">
        <f t="shared" si="63"/>
        <v>91</v>
      </c>
      <c r="S50" s="88">
        <f t="shared" si="63"/>
        <v>91</v>
      </c>
      <c r="T50" s="88">
        <f t="shared" si="63"/>
        <v>91</v>
      </c>
      <c r="U50" s="88">
        <f t="shared" si="63"/>
        <v>91</v>
      </c>
      <c r="V50" s="88">
        <f t="shared" si="63"/>
        <v>91</v>
      </c>
      <c r="W50" s="88">
        <f t="shared" si="63"/>
        <v>91</v>
      </c>
      <c r="X50" s="88">
        <f t="shared" si="63"/>
        <v>91</v>
      </c>
      <c r="Y50" s="88">
        <f t="shared" si="63"/>
        <v>91</v>
      </c>
      <c r="Z50" s="88">
        <f t="shared" si="63"/>
        <v>91</v>
      </c>
      <c r="AA50" s="88">
        <f t="shared" si="63"/>
        <v>91</v>
      </c>
      <c r="AB50" s="88">
        <f t="shared" si="63"/>
        <v>91</v>
      </c>
      <c r="AC50" s="88">
        <f t="shared" si="63"/>
        <v>91</v>
      </c>
      <c r="AD50" s="88">
        <f t="shared" si="63"/>
        <v>91</v>
      </c>
      <c r="AE50" s="88">
        <f t="shared" si="63"/>
        <v>91</v>
      </c>
      <c r="AF50" s="88">
        <f t="shared" si="63"/>
        <v>91</v>
      </c>
      <c r="AG50" s="88">
        <f t="shared" si="63"/>
        <v>91</v>
      </c>
      <c r="AH50" s="88">
        <f t="shared" si="63"/>
        <v>91</v>
      </c>
      <c r="AI50" s="88">
        <f t="shared" si="63"/>
        <v>91</v>
      </c>
      <c r="AJ50" s="88">
        <f t="shared" si="63"/>
        <v>91</v>
      </c>
      <c r="AK50" s="88">
        <f t="shared" si="63"/>
        <v>91</v>
      </c>
      <c r="AL50" s="88">
        <f t="shared" si="63"/>
        <v>91</v>
      </c>
      <c r="AM50" s="88">
        <f t="shared" si="63"/>
        <v>91</v>
      </c>
      <c r="AN50" s="88">
        <f t="shared" si="63"/>
        <v>91</v>
      </c>
      <c r="AO50" s="88">
        <f t="shared" si="63"/>
        <v>91</v>
      </c>
      <c r="AP50" s="88">
        <f t="shared" si="63"/>
        <v>91</v>
      </c>
    </row>
    <row r="51" spans="1:43" x14ac:dyDescent="0.4">
      <c r="A51" s="70" t="s">
        <v>47</v>
      </c>
      <c r="E51" s="88">
        <f>E47</f>
        <v>384384216</v>
      </c>
      <c r="F51" s="88">
        <f t="shared" ref="F51:AP51" si="64">F47</f>
        <v>394969459</v>
      </c>
      <c r="G51" s="88">
        <f t="shared" si="64"/>
        <v>405819333</v>
      </c>
      <c r="H51" s="88">
        <f t="shared" si="64"/>
        <v>416940453</v>
      </c>
      <c r="I51" s="88">
        <f t="shared" si="64"/>
        <v>428339601</v>
      </c>
      <c r="J51" s="88">
        <f t="shared" si="64"/>
        <v>440023728</v>
      </c>
      <c r="K51" s="88">
        <f t="shared" si="64"/>
        <v>451999958</v>
      </c>
      <c r="L51" s="88">
        <f t="shared" si="64"/>
        <v>464275594</v>
      </c>
      <c r="M51" s="88">
        <f t="shared" si="64"/>
        <v>476858121</v>
      </c>
      <c r="N51" s="88">
        <f t="shared" si="64"/>
        <v>489755211</v>
      </c>
      <c r="O51" s="88">
        <f t="shared" si="64"/>
        <v>502974728</v>
      </c>
      <c r="P51" s="88">
        <f t="shared" si="64"/>
        <v>516524733</v>
      </c>
      <c r="Q51" s="88">
        <f t="shared" si="64"/>
        <v>530413488</v>
      </c>
      <c r="R51" s="88">
        <f t="shared" si="64"/>
        <v>544649462</v>
      </c>
      <c r="S51" s="88">
        <f t="shared" si="64"/>
        <v>559241336</v>
      </c>
      <c r="T51" s="88">
        <f t="shared" si="64"/>
        <v>574198007</v>
      </c>
      <c r="U51" s="88">
        <f t="shared" si="64"/>
        <v>589528594</v>
      </c>
      <c r="V51" s="88">
        <f t="shared" si="64"/>
        <v>605242446</v>
      </c>
      <c r="W51" s="88">
        <f t="shared" si="64"/>
        <v>621349144</v>
      </c>
      <c r="X51" s="88">
        <f t="shared" si="64"/>
        <v>637858510</v>
      </c>
      <c r="Y51" s="88">
        <f t="shared" si="64"/>
        <v>654780610</v>
      </c>
      <c r="Z51" s="88">
        <f t="shared" si="64"/>
        <v>672125762</v>
      </c>
      <c r="AA51" s="88">
        <f t="shared" si="64"/>
        <v>689904543</v>
      </c>
      <c r="AB51" s="88">
        <f t="shared" si="64"/>
        <v>708127794</v>
      </c>
      <c r="AC51" s="88">
        <f t="shared" si="64"/>
        <v>726806626</v>
      </c>
      <c r="AD51" s="88">
        <f t="shared" si="64"/>
        <v>745952429</v>
      </c>
      <c r="AE51" s="88">
        <f t="shared" si="64"/>
        <v>765576877</v>
      </c>
      <c r="AF51" s="88">
        <f t="shared" si="64"/>
        <v>785691936</v>
      </c>
      <c r="AG51" s="88">
        <f t="shared" si="64"/>
        <v>806309872</v>
      </c>
      <c r="AH51" s="88">
        <f t="shared" si="64"/>
        <v>827443256</v>
      </c>
      <c r="AI51" s="88">
        <f t="shared" si="64"/>
        <v>849104975</v>
      </c>
      <c r="AJ51" s="88">
        <f t="shared" si="64"/>
        <v>871308237</v>
      </c>
      <c r="AK51" s="88">
        <f t="shared" si="64"/>
        <v>894066580</v>
      </c>
      <c r="AL51" s="88">
        <f t="shared" si="64"/>
        <v>917393882</v>
      </c>
      <c r="AM51" s="88">
        <f t="shared" si="64"/>
        <v>941304366</v>
      </c>
      <c r="AN51" s="88">
        <f t="shared" si="64"/>
        <v>965812612</v>
      </c>
      <c r="AO51" s="88">
        <f t="shared" si="64"/>
        <v>990933564</v>
      </c>
      <c r="AP51" s="88">
        <f t="shared" si="64"/>
        <v>1016682540</v>
      </c>
    </row>
    <row r="52" spans="1:43" x14ac:dyDescent="0.4">
      <c r="A52" s="70" t="s">
        <v>48</v>
      </c>
      <c r="E52" s="88">
        <f>E51*(1+E9)*(E50/365)</f>
        <v>110207693.71068493</v>
      </c>
      <c r="F52" s="88">
        <f t="shared" ref="F52:AP52" si="65">F51*(1+F9)*(F50/365)</f>
        <v>113242613.38178082</v>
      </c>
      <c r="G52" s="88">
        <f t="shared" si="65"/>
        <v>116353406.02315068</v>
      </c>
      <c r="H52" s="88">
        <f t="shared" si="65"/>
        <v>119541968.23684931</v>
      </c>
      <c r="I52" s="88">
        <f t="shared" si="65"/>
        <v>122810244.5058904</v>
      </c>
      <c r="J52" s="88">
        <f t="shared" si="65"/>
        <v>126160227.76767123</v>
      </c>
      <c r="K52" s="88">
        <f t="shared" si="65"/>
        <v>129593960.56082192</v>
      </c>
      <c r="L52" s="88">
        <f t="shared" si="65"/>
        <v>133113536.74547945</v>
      </c>
      <c r="M52" s="88">
        <f t="shared" si="65"/>
        <v>136721102.36342466</v>
      </c>
      <c r="N52" s="88">
        <f t="shared" si="65"/>
        <v>140418857.07164383</v>
      </c>
      <c r="O52" s="88">
        <f t="shared" si="65"/>
        <v>144209055.57589039</v>
      </c>
      <c r="P52" s="88">
        <f t="shared" si="65"/>
        <v>148094009.06424657</v>
      </c>
      <c r="Q52" s="88">
        <f t="shared" si="65"/>
        <v>152076086.35397258</v>
      </c>
      <c r="R52" s="88">
        <f t="shared" si="65"/>
        <v>156157715.61178082</v>
      </c>
      <c r="S52" s="88">
        <f t="shared" si="65"/>
        <v>160341385.78739727</v>
      </c>
      <c r="T52" s="88">
        <f t="shared" si="65"/>
        <v>164629647.76041093</v>
      </c>
      <c r="U52" s="88">
        <f t="shared" si="65"/>
        <v>169025116.06054792</v>
      </c>
      <c r="V52" s="88">
        <f t="shared" si="65"/>
        <v>173530471.16136986</v>
      </c>
      <c r="W52" s="88">
        <f t="shared" si="65"/>
        <v>178148460.0536986</v>
      </c>
      <c r="X52" s="88">
        <f t="shared" si="65"/>
        <v>182881898.82602739</v>
      </c>
      <c r="Y52" s="88">
        <f t="shared" si="65"/>
        <v>187733673.52465755</v>
      </c>
      <c r="Z52" s="88">
        <f t="shared" si="65"/>
        <v>192706742.44739726</v>
      </c>
      <c r="AA52" s="88">
        <f t="shared" si="65"/>
        <v>197804138.15054792</v>
      </c>
      <c r="AB52" s="88">
        <f t="shared" si="65"/>
        <v>203028968.88246572</v>
      </c>
      <c r="AC52" s="88">
        <f t="shared" si="65"/>
        <v>208384420.3038356</v>
      </c>
      <c r="AD52" s="88">
        <f t="shared" si="65"/>
        <v>213873758.06808218</v>
      </c>
      <c r="AE52" s="88">
        <f t="shared" si="65"/>
        <v>219500329.25493151</v>
      </c>
      <c r="AF52" s="88">
        <f t="shared" si="65"/>
        <v>225267564.66410959</v>
      </c>
      <c r="AG52" s="88">
        <f t="shared" si="65"/>
        <v>231178981.10904109</v>
      </c>
      <c r="AH52" s="88">
        <f t="shared" si="65"/>
        <v>237238182.85041097</v>
      </c>
      <c r="AI52" s="88">
        <f t="shared" si="65"/>
        <v>243448864.74999997</v>
      </c>
      <c r="AJ52" s="88">
        <f t="shared" si="65"/>
        <v>249814813.70424658</v>
      </c>
      <c r="AK52" s="88">
        <f t="shared" si="65"/>
        <v>256339911.22465751</v>
      </c>
      <c r="AL52" s="88">
        <f t="shared" si="65"/>
        <v>263028136.30493149</v>
      </c>
      <c r="AM52" s="88">
        <f t="shared" si="65"/>
        <v>269883566.8545205</v>
      </c>
      <c r="AN52" s="88">
        <f t="shared" si="65"/>
        <v>276910383.1391781</v>
      </c>
      <c r="AO52" s="88">
        <f t="shared" si="65"/>
        <v>284112869.78794521</v>
      </c>
      <c r="AP52" s="88">
        <f t="shared" si="65"/>
        <v>291495418.66027397</v>
      </c>
    </row>
    <row r="53" spans="1:43" x14ac:dyDescent="0.4">
      <c r="A53" s="70" t="s">
        <v>49</v>
      </c>
      <c r="E53" s="88">
        <f t="shared" ref="E53:AP53" si="66">E51/365</f>
        <v>1053107.4410958905</v>
      </c>
      <c r="F53" s="88">
        <f t="shared" si="66"/>
        <v>1082108.1068493151</v>
      </c>
      <c r="G53" s="88">
        <f t="shared" si="66"/>
        <v>1111833.7890410959</v>
      </c>
      <c r="H53" s="88">
        <f t="shared" si="66"/>
        <v>1142302.610958904</v>
      </c>
      <c r="I53" s="88">
        <f t="shared" si="66"/>
        <v>1173533.1534246576</v>
      </c>
      <c r="J53" s="88">
        <f t="shared" si="66"/>
        <v>1205544.4602739727</v>
      </c>
      <c r="K53" s="88">
        <f t="shared" si="66"/>
        <v>1238356.0493150684</v>
      </c>
      <c r="L53" s="88">
        <f t="shared" si="66"/>
        <v>1271987.9287671233</v>
      </c>
      <c r="M53" s="88">
        <f t="shared" si="66"/>
        <v>1306460.6054794521</v>
      </c>
      <c r="N53" s="88">
        <f t="shared" si="66"/>
        <v>1341795.098630137</v>
      </c>
      <c r="O53" s="88">
        <f t="shared" si="66"/>
        <v>1378012.9534246575</v>
      </c>
      <c r="P53" s="88">
        <f t="shared" si="66"/>
        <v>1415136.2547945206</v>
      </c>
      <c r="Q53" s="88">
        <f t="shared" si="66"/>
        <v>1453187.6383561643</v>
      </c>
      <c r="R53" s="88">
        <f t="shared" si="66"/>
        <v>1492190.3068493151</v>
      </c>
      <c r="S53" s="88">
        <f t="shared" si="66"/>
        <v>1532168.0438356164</v>
      </c>
      <c r="T53" s="88">
        <f t="shared" si="66"/>
        <v>1573145.2246575342</v>
      </c>
      <c r="U53" s="88">
        <f t="shared" si="66"/>
        <v>1615146.8328767123</v>
      </c>
      <c r="V53" s="88">
        <f t="shared" si="66"/>
        <v>1658198.4821917808</v>
      </c>
      <c r="W53" s="88">
        <f t="shared" si="66"/>
        <v>1702326.4219178082</v>
      </c>
      <c r="X53" s="88">
        <f t="shared" si="66"/>
        <v>1747557.5616438356</v>
      </c>
      <c r="Y53" s="88">
        <f t="shared" si="66"/>
        <v>1793919.4794520547</v>
      </c>
      <c r="Z53" s="88">
        <f t="shared" si="66"/>
        <v>1841440.4438356163</v>
      </c>
      <c r="AA53" s="88">
        <f t="shared" si="66"/>
        <v>1890149.4328767124</v>
      </c>
      <c r="AB53" s="88">
        <f t="shared" si="66"/>
        <v>1940076.1479452054</v>
      </c>
      <c r="AC53" s="88">
        <f t="shared" si="66"/>
        <v>1991251.0301369864</v>
      </c>
      <c r="AD53" s="88">
        <f t="shared" si="66"/>
        <v>2043705.284931507</v>
      </c>
      <c r="AE53" s="88">
        <f t="shared" si="66"/>
        <v>2097470.895890411</v>
      </c>
      <c r="AF53" s="88">
        <f t="shared" si="66"/>
        <v>2152580.6465753424</v>
      </c>
      <c r="AG53" s="88">
        <f t="shared" si="66"/>
        <v>2209068.1424657535</v>
      </c>
      <c r="AH53" s="88">
        <f t="shared" si="66"/>
        <v>2266967.8246575342</v>
      </c>
      <c r="AI53" s="88">
        <f t="shared" si="66"/>
        <v>2326315</v>
      </c>
      <c r="AJ53" s="88">
        <f t="shared" si="66"/>
        <v>2387145.8547945204</v>
      </c>
      <c r="AK53" s="88">
        <f t="shared" si="66"/>
        <v>2449497.4794520549</v>
      </c>
      <c r="AL53" s="88">
        <f t="shared" si="66"/>
        <v>2513407.895890411</v>
      </c>
      <c r="AM53" s="88">
        <f t="shared" si="66"/>
        <v>2578916.0712328767</v>
      </c>
      <c r="AN53" s="88">
        <f t="shared" si="66"/>
        <v>2646061.9506849316</v>
      </c>
      <c r="AO53" s="88">
        <f t="shared" si="66"/>
        <v>2714886.4767123288</v>
      </c>
      <c r="AP53" s="88">
        <f t="shared" si="66"/>
        <v>2785431.6164383562</v>
      </c>
    </row>
    <row r="54" spans="1:43" x14ac:dyDescent="0.4">
      <c r="A54" s="70" t="s">
        <v>50</v>
      </c>
      <c r="D54" s="15"/>
      <c r="E54" s="88">
        <f t="shared" ref="E54:AP54" si="67">ROUND(E53*(1+E9),0)</f>
        <v>1211074</v>
      </c>
      <c r="F54" s="88">
        <f t="shared" si="67"/>
        <v>1244424</v>
      </c>
      <c r="G54" s="88">
        <f t="shared" si="67"/>
        <v>1278609</v>
      </c>
      <c r="H54" s="88">
        <f t="shared" si="67"/>
        <v>1313648</v>
      </c>
      <c r="I54" s="88">
        <f t="shared" si="67"/>
        <v>1349563</v>
      </c>
      <c r="J54" s="88">
        <f t="shared" si="67"/>
        <v>1386376</v>
      </c>
      <c r="K54" s="88">
        <f t="shared" si="67"/>
        <v>1424109</v>
      </c>
      <c r="L54" s="88">
        <f t="shared" si="67"/>
        <v>1462786</v>
      </c>
      <c r="M54" s="88">
        <f t="shared" si="67"/>
        <v>1502430</v>
      </c>
      <c r="N54" s="88">
        <f t="shared" si="67"/>
        <v>1543064</v>
      </c>
      <c r="O54" s="88">
        <f t="shared" si="67"/>
        <v>1584715</v>
      </c>
      <c r="P54" s="88">
        <f t="shared" si="67"/>
        <v>1627407</v>
      </c>
      <c r="Q54" s="88">
        <f t="shared" si="67"/>
        <v>1671166</v>
      </c>
      <c r="R54" s="88">
        <f t="shared" si="67"/>
        <v>1716019</v>
      </c>
      <c r="S54" s="88">
        <f t="shared" si="67"/>
        <v>1761993</v>
      </c>
      <c r="T54" s="88">
        <f t="shared" si="67"/>
        <v>1809117</v>
      </c>
      <c r="U54" s="88">
        <f t="shared" si="67"/>
        <v>1857419</v>
      </c>
      <c r="V54" s="88">
        <f t="shared" si="67"/>
        <v>1906928</v>
      </c>
      <c r="W54" s="88">
        <f t="shared" si="67"/>
        <v>1957675</v>
      </c>
      <c r="X54" s="88">
        <f t="shared" si="67"/>
        <v>2009691</v>
      </c>
      <c r="Y54" s="88">
        <f t="shared" si="67"/>
        <v>2063007</v>
      </c>
      <c r="Z54" s="88">
        <f t="shared" si="67"/>
        <v>2117657</v>
      </c>
      <c r="AA54" s="88">
        <f t="shared" si="67"/>
        <v>2173672</v>
      </c>
      <c r="AB54" s="88">
        <f t="shared" si="67"/>
        <v>2231088</v>
      </c>
      <c r="AC54" s="88">
        <f t="shared" si="67"/>
        <v>2289939</v>
      </c>
      <c r="AD54" s="88">
        <f t="shared" si="67"/>
        <v>2350261</v>
      </c>
      <c r="AE54" s="88">
        <f t="shared" si="67"/>
        <v>2412092</v>
      </c>
      <c r="AF54" s="88">
        <f t="shared" si="67"/>
        <v>2475468</v>
      </c>
      <c r="AG54" s="88">
        <f t="shared" si="67"/>
        <v>2540428</v>
      </c>
      <c r="AH54" s="88">
        <f t="shared" si="67"/>
        <v>2607013</v>
      </c>
      <c r="AI54" s="88">
        <f t="shared" si="67"/>
        <v>2675262</v>
      </c>
      <c r="AJ54" s="88">
        <f t="shared" si="67"/>
        <v>2745218</v>
      </c>
      <c r="AK54" s="88">
        <f t="shared" si="67"/>
        <v>2816922</v>
      </c>
      <c r="AL54" s="88">
        <f t="shared" si="67"/>
        <v>2890419</v>
      </c>
      <c r="AM54" s="88">
        <f t="shared" si="67"/>
        <v>2965753</v>
      </c>
      <c r="AN54" s="88">
        <f t="shared" si="67"/>
        <v>3042971</v>
      </c>
      <c r="AO54" s="88">
        <f t="shared" si="67"/>
        <v>3122119</v>
      </c>
      <c r="AP54" s="88">
        <f t="shared" si="67"/>
        <v>3203246</v>
      </c>
    </row>
    <row r="55" spans="1:43" x14ac:dyDescent="0.4">
      <c r="A55" s="70" t="s">
        <v>51</v>
      </c>
      <c r="E55" s="88">
        <f t="shared" ref="E55:AP55" si="68">IF((E54-E13)&lt;0,0,(E54-E13))</f>
        <v>0</v>
      </c>
      <c r="F55" s="88">
        <f t="shared" si="68"/>
        <v>0</v>
      </c>
      <c r="G55" s="88">
        <f t="shared" si="68"/>
        <v>0</v>
      </c>
      <c r="H55" s="88">
        <f t="shared" si="68"/>
        <v>0</v>
      </c>
      <c r="I55" s="88">
        <f t="shared" si="68"/>
        <v>0</v>
      </c>
      <c r="J55" s="88">
        <f t="shared" si="68"/>
        <v>0</v>
      </c>
      <c r="K55" s="88">
        <f t="shared" si="68"/>
        <v>0</v>
      </c>
      <c r="L55" s="88">
        <f t="shared" si="68"/>
        <v>0</v>
      </c>
      <c r="M55" s="88">
        <f t="shared" si="68"/>
        <v>2430</v>
      </c>
      <c r="N55" s="88">
        <f t="shared" si="68"/>
        <v>43064</v>
      </c>
      <c r="O55" s="88">
        <f t="shared" si="68"/>
        <v>84715</v>
      </c>
      <c r="P55" s="88">
        <f t="shared" si="68"/>
        <v>127407</v>
      </c>
      <c r="Q55" s="88">
        <f t="shared" si="68"/>
        <v>171166</v>
      </c>
      <c r="R55" s="88">
        <f t="shared" si="68"/>
        <v>216019</v>
      </c>
      <c r="S55" s="88">
        <f t="shared" si="68"/>
        <v>261993</v>
      </c>
      <c r="T55" s="88">
        <f t="shared" si="68"/>
        <v>309117</v>
      </c>
      <c r="U55" s="88">
        <f t="shared" si="68"/>
        <v>357419</v>
      </c>
      <c r="V55" s="88">
        <f t="shared" si="68"/>
        <v>406928</v>
      </c>
      <c r="W55" s="88">
        <f t="shared" si="68"/>
        <v>457675</v>
      </c>
      <c r="X55" s="88">
        <f t="shared" si="68"/>
        <v>509691</v>
      </c>
      <c r="Y55" s="88">
        <f t="shared" si="68"/>
        <v>563007</v>
      </c>
      <c r="Z55" s="88">
        <f t="shared" si="68"/>
        <v>617657</v>
      </c>
      <c r="AA55" s="88">
        <f t="shared" si="68"/>
        <v>673672</v>
      </c>
      <c r="AB55" s="88">
        <f t="shared" si="68"/>
        <v>731088</v>
      </c>
      <c r="AC55" s="88">
        <f t="shared" si="68"/>
        <v>789939</v>
      </c>
      <c r="AD55" s="88">
        <f t="shared" si="68"/>
        <v>850261</v>
      </c>
      <c r="AE55" s="88">
        <f t="shared" si="68"/>
        <v>912092</v>
      </c>
      <c r="AF55" s="88">
        <f t="shared" si="68"/>
        <v>975468</v>
      </c>
      <c r="AG55" s="88">
        <f t="shared" si="68"/>
        <v>1040428</v>
      </c>
      <c r="AH55" s="88">
        <f t="shared" si="68"/>
        <v>1107013</v>
      </c>
      <c r="AI55" s="88">
        <f t="shared" si="68"/>
        <v>1175262</v>
      </c>
      <c r="AJ55" s="88">
        <f t="shared" si="68"/>
        <v>1245218</v>
      </c>
      <c r="AK55" s="88">
        <f t="shared" si="68"/>
        <v>1316922</v>
      </c>
      <c r="AL55" s="88">
        <f t="shared" si="68"/>
        <v>1390419</v>
      </c>
      <c r="AM55" s="88">
        <f t="shared" si="68"/>
        <v>1465753</v>
      </c>
      <c r="AN55" s="88">
        <f t="shared" si="68"/>
        <v>1542971</v>
      </c>
      <c r="AO55" s="88">
        <f t="shared" si="68"/>
        <v>1622119</v>
      </c>
      <c r="AP55" s="88">
        <f t="shared" si="68"/>
        <v>1703246</v>
      </c>
    </row>
    <row r="56" spans="1:43" s="22" customFormat="1" x14ac:dyDescent="0.4">
      <c r="A56" s="104" t="s">
        <v>52</v>
      </c>
      <c r="E56" s="107">
        <f t="shared" ref="E56:AP56" si="69">E55*E50</f>
        <v>0</v>
      </c>
      <c r="F56" s="107">
        <f t="shared" si="69"/>
        <v>0</v>
      </c>
      <c r="G56" s="107">
        <f t="shared" si="69"/>
        <v>0</v>
      </c>
      <c r="H56" s="107">
        <f t="shared" si="69"/>
        <v>0</v>
      </c>
      <c r="I56" s="107">
        <f t="shared" si="69"/>
        <v>0</v>
      </c>
      <c r="J56" s="107">
        <f t="shared" si="69"/>
        <v>0</v>
      </c>
      <c r="K56" s="107">
        <f t="shared" si="69"/>
        <v>0</v>
      </c>
      <c r="L56" s="107">
        <f t="shared" si="69"/>
        <v>0</v>
      </c>
      <c r="M56" s="107">
        <f t="shared" si="69"/>
        <v>221130</v>
      </c>
      <c r="N56" s="107">
        <f t="shared" si="69"/>
        <v>3918824</v>
      </c>
      <c r="O56" s="107">
        <f t="shared" si="69"/>
        <v>7709065</v>
      </c>
      <c r="P56" s="107">
        <f t="shared" si="69"/>
        <v>11594037</v>
      </c>
      <c r="Q56" s="107">
        <f t="shared" si="69"/>
        <v>15576106</v>
      </c>
      <c r="R56" s="107">
        <f t="shared" si="69"/>
        <v>19657729</v>
      </c>
      <c r="S56" s="107">
        <f t="shared" si="69"/>
        <v>23841363</v>
      </c>
      <c r="T56" s="107">
        <f t="shared" si="69"/>
        <v>28129647</v>
      </c>
      <c r="U56" s="107">
        <f t="shared" si="69"/>
        <v>32525129</v>
      </c>
      <c r="V56" s="107">
        <f t="shared" si="69"/>
        <v>37030448</v>
      </c>
      <c r="W56" s="107">
        <f t="shared" si="69"/>
        <v>41648425</v>
      </c>
      <c r="X56" s="107">
        <f t="shared" si="69"/>
        <v>46381881</v>
      </c>
      <c r="Y56" s="107">
        <f t="shared" si="69"/>
        <v>51233637</v>
      </c>
      <c r="Z56" s="107">
        <f t="shared" si="69"/>
        <v>56206787</v>
      </c>
      <c r="AA56" s="107">
        <f t="shared" si="69"/>
        <v>61304152</v>
      </c>
      <c r="AB56" s="107">
        <f t="shared" si="69"/>
        <v>66529008</v>
      </c>
      <c r="AC56" s="107">
        <f t="shared" si="69"/>
        <v>71884449</v>
      </c>
      <c r="AD56" s="107">
        <f t="shared" si="69"/>
        <v>77373751</v>
      </c>
      <c r="AE56" s="107">
        <f t="shared" si="69"/>
        <v>83000372</v>
      </c>
      <c r="AF56" s="107">
        <f t="shared" si="69"/>
        <v>88767588</v>
      </c>
      <c r="AG56" s="107">
        <f t="shared" si="69"/>
        <v>94678948</v>
      </c>
      <c r="AH56" s="107">
        <f t="shared" si="69"/>
        <v>100738183</v>
      </c>
      <c r="AI56" s="107">
        <f t="shared" si="69"/>
        <v>106948842</v>
      </c>
      <c r="AJ56" s="107">
        <f t="shared" si="69"/>
        <v>113314838</v>
      </c>
      <c r="AK56" s="107">
        <f t="shared" si="69"/>
        <v>119839902</v>
      </c>
      <c r="AL56" s="107">
        <f t="shared" si="69"/>
        <v>126528129</v>
      </c>
      <c r="AM56" s="107">
        <f t="shared" si="69"/>
        <v>133383523</v>
      </c>
      <c r="AN56" s="107">
        <f t="shared" si="69"/>
        <v>140410361</v>
      </c>
      <c r="AO56" s="107">
        <f t="shared" si="69"/>
        <v>147612829</v>
      </c>
      <c r="AP56" s="107">
        <f t="shared" si="69"/>
        <v>154995386</v>
      </c>
    </row>
    <row r="57" spans="1:43" x14ac:dyDescent="0.4">
      <c r="A57" s="70" t="s">
        <v>53</v>
      </c>
      <c r="E57" s="88">
        <f t="shared" ref="E57:AP57" si="70">IF(E55&gt;0,E13,E54)</f>
        <v>1211074</v>
      </c>
      <c r="F57" s="88">
        <f t="shared" si="70"/>
        <v>1244424</v>
      </c>
      <c r="G57" s="88">
        <f t="shared" si="70"/>
        <v>1278609</v>
      </c>
      <c r="H57" s="88">
        <f t="shared" si="70"/>
        <v>1313648</v>
      </c>
      <c r="I57" s="88">
        <f t="shared" si="70"/>
        <v>1349563</v>
      </c>
      <c r="J57" s="88">
        <f t="shared" si="70"/>
        <v>1386376</v>
      </c>
      <c r="K57" s="88">
        <f t="shared" si="70"/>
        <v>1424109</v>
      </c>
      <c r="L57" s="88">
        <f t="shared" si="70"/>
        <v>1462786</v>
      </c>
      <c r="M57" s="88">
        <f t="shared" si="70"/>
        <v>1500000</v>
      </c>
      <c r="N57" s="88">
        <f t="shared" si="70"/>
        <v>1500000</v>
      </c>
      <c r="O57" s="88">
        <f t="shared" si="70"/>
        <v>1500000</v>
      </c>
      <c r="P57" s="88">
        <f t="shared" si="70"/>
        <v>1500000</v>
      </c>
      <c r="Q57" s="88">
        <f t="shared" si="70"/>
        <v>1500000</v>
      </c>
      <c r="R57" s="88">
        <f t="shared" si="70"/>
        <v>1500000</v>
      </c>
      <c r="S57" s="88">
        <f t="shared" si="70"/>
        <v>1500000</v>
      </c>
      <c r="T57" s="88">
        <f t="shared" si="70"/>
        <v>1500000</v>
      </c>
      <c r="U57" s="88">
        <f t="shared" si="70"/>
        <v>1500000</v>
      </c>
      <c r="V57" s="88">
        <f t="shared" si="70"/>
        <v>1500000</v>
      </c>
      <c r="W57" s="88">
        <f t="shared" si="70"/>
        <v>1500000</v>
      </c>
      <c r="X57" s="88">
        <f t="shared" si="70"/>
        <v>1500000</v>
      </c>
      <c r="Y57" s="88">
        <f t="shared" si="70"/>
        <v>1500000</v>
      </c>
      <c r="Z57" s="88">
        <f t="shared" si="70"/>
        <v>1500000</v>
      </c>
      <c r="AA57" s="88">
        <f t="shared" si="70"/>
        <v>1500000</v>
      </c>
      <c r="AB57" s="88">
        <f t="shared" si="70"/>
        <v>1500000</v>
      </c>
      <c r="AC57" s="88">
        <f t="shared" si="70"/>
        <v>1500000</v>
      </c>
      <c r="AD57" s="88">
        <f t="shared" si="70"/>
        <v>1500000</v>
      </c>
      <c r="AE57" s="88">
        <f t="shared" si="70"/>
        <v>1500000</v>
      </c>
      <c r="AF57" s="88">
        <f t="shared" si="70"/>
        <v>1500000</v>
      </c>
      <c r="AG57" s="88">
        <f t="shared" si="70"/>
        <v>1500000</v>
      </c>
      <c r="AH57" s="88">
        <f t="shared" si="70"/>
        <v>1500000</v>
      </c>
      <c r="AI57" s="88">
        <f t="shared" si="70"/>
        <v>1500000</v>
      </c>
      <c r="AJ57" s="88">
        <f t="shared" si="70"/>
        <v>1500000</v>
      </c>
      <c r="AK57" s="88">
        <f t="shared" si="70"/>
        <v>1500000</v>
      </c>
      <c r="AL57" s="88">
        <f t="shared" si="70"/>
        <v>1500000</v>
      </c>
      <c r="AM57" s="88">
        <f t="shared" si="70"/>
        <v>1500000</v>
      </c>
      <c r="AN57" s="88">
        <f t="shared" si="70"/>
        <v>1500000</v>
      </c>
      <c r="AO57" s="88">
        <f t="shared" si="70"/>
        <v>1500000</v>
      </c>
      <c r="AP57" s="88">
        <f t="shared" si="70"/>
        <v>1500000</v>
      </c>
    </row>
    <row r="58" spans="1:43" s="22" customFormat="1" x14ac:dyDescent="0.4">
      <c r="A58" s="104" t="s">
        <v>54</v>
      </c>
      <c r="E58" s="107">
        <f t="shared" ref="E58:AP58" si="71">E57*E50</f>
        <v>110207734</v>
      </c>
      <c r="F58" s="107">
        <f t="shared" si="71"/>
        <v>113242584</v>
      </c>
      <c r="G58" s="107">
        <f t="shared" si="71"/>
        <v>116353419</v>
      </c>
      <c r="H58" s="107">
        <f t="shared" si="71"/>
        <v>119541968</v>
      </c>
      <c r="I58" s="107">
        <f t="shared" si="71"/>
        <v>122810233</v>
      </c>
      <c r="J58" s="107">
        <f t="shared" si="71"/>
        <v>126160216</v>
      </c>
      <c r="K58" s="107">
        <f t="shared" si="71"/>
        <v>129593919</v>
      </c>
      <c r="L58" s="107">
        <f t="shared" si="71"/>
        <v>133113526</v>
      </c>
      <c r="M58" s="107">
        <f t="shared" si="71"/>
        <v>136500000</v>
      </c>
      <c r="N58" s="107">
        <f t="shared" si="71"/>
        <v>136500000</v>
      </c>
      <c r="O58" s="107">
        <f t="shared" si="71"/>
        <v>136500000</v>
      </c>
      <c r="P58" s="107">
        <f t="shared" si="71"/>
        <v>136500000</v>
      </c>
      <c r="Q58" s="107">
        <f t="shared" si="71"/>
        <v>136500000</v>
      </c>
      <c r="R58" s="107">
        <f t="shared" si="71"/>
        <v>136500000</v>
      </c>
      <c r="S58" s="107">
        <f t="shared" si="71"/>
        <v>136500000</v>
      </c>
      <c r="T58" s="107">
        <f t="shared" si="71"/>
        <v>136500000</v>
      </c>
      <c r="U58" s="107">
        <f t="shared" si="71"/>
        <v>136500000</v>
      </c>
      <c r="V58" s="107">
        <f t="shared" si="71"/>
        <v>136500000</v>
      </c>
      <c r="W58" s="107">
        <f t="shared" si="71"/>
        <v>136500000</v>
      </c>
      <c r="X58" s="107">
        <f t="shared" si="71"/>
        <v>136500000</v>
      </c>
      <c r="Y58" s="107">
        <f t="shared" si="71"/>
        <v>136500000</v>
      </c>
      <c r="Z58" s="107">
        <f t="shared" si="71"/>
        <v>136500000</v>
      </c>
      <c r="AA58" s="107">
        <f t="shared" si="71"/>
        <v>136500000</v>
      </c>
      <c r="AB58" s="107">
        <f t="shared" si="71"/>
        <v>136500000</v>
      </c>
      <c r="AC58" s="107">
        <f t="shared" si="71"/>
        <v>136500000</v>
      </c>
      <c r="AD58" s="107">
        <f t="shared" si="71"/>
        <v>136500000</v>
      </c>
      <c r="AE58" s="107">
        <f t="shared" si="71"/>
        <v>136500000</v>
      </c>
      <c r="AF58" s="107">
        <f t="shared" si="71"/>
        <v>136500000</v>
      </c>
      <c r="AG58" s="107">
        <f t="shared" si="71"/>
        <v>136500000</v>
      </c>
      <c r="AH58" s="107">
        <f t="shared" si="71"/>
        <v>136500000</v>
      </c>
      <c r="AI58" s="107">
        <f t="shared" si="71"/>
        <v>136500000</v>
      </c>
      <c r="AJ58" s="107">
        <f t="shared" si="71"/>
        <v>136500000</v>
      </c>
      <c r="AK58" s="107">
        <f t="shared" si="71"/>
        <v>136500000</v>
      </c>
      <c r="AL58" s="107">
        <f t="shared" si="71"/>
        <v>136500000</v>
      </c>
      <c r="AM58" s="107">
        <f t="shared" si="71"/>
        <v>136500000</v>
      </c>
      <c r="AN58" s="107">
        <f t="shared" si="71"/>
        <v>136500000</v>
      </c>
      <c r="AO58" s="107">
        <f t="shared" si="71"/>
        <v>136500000</v>
      </c>
      <c r="AP58" s="107">
        <f t="shared" si="71"/>
        <v>136500000</v>
      </c>
      <c r="AQ58" s="107"/>
    </row>
    <row r="59" spans="1:43" x14ac:dyDescent="0.4"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</row>
    <row r="60" spans="1:43" x14ac:dyDescent="0.4">
      <c r="A60" s="90" t="s">
        <v>55</v>
      </c>
    </row>
    <row r="61" spans="1:43" x14ac:dyDescent="0.4">
      <c r="A61" s="70" t="s">
        <v>56</v>
      </c>
      <c r="E61" s="88">
        <f>ROUND((365*E$12),0)</f>
        <v>274</v>
      </c>
      <c r="F61" s="88">
        <f t="shared" ref="F61:AP61" si="72">ROUND((365*F$12),0)</f>
        <v>274</v>
      </c>
      <c r="G61" s="88">
        <f t="shared" si="72"/>
        <v>274</v>
      </c>
      <c r="H61" s="88">
        <f t="shared" si="72"/>
        <v>274</v>
      </c>
      <c r="I61" s="88">
        <f t="shared" si="72"/>
        <v>274</v>
      </c>
      <c r="J61" s="88">
        <f t="shared" si="72"/>
        <v>274</v>
      </c>
      <c r="K61" s="88">
        <f t="shared" si="72"/>
        <v>274</v>
      </c>
      <c r="L61" s="88">
        <f t="shared" si="72"/>
        <v>274</v>
      </c>
      <c r="M61" s="88">
        <f t="shared" si="72"/>
        <v>274</v>
      </c>
      <c r="N61" s="88">
        <f t="shared" si="72"/>
        <v>274</v>
      </c>
      <c r="O61" s="88">
        <f t="shared" si="72"/>
        <v>274</v>
      </c>
      <c r="P61" s="88">
        <f t="shared" si="72"/>
        <v>274</v>
      </c>
      <c r="Q61" s="88">
        <f t="shared" si="72"/>
        <v>274</v>
      </c>
      <c r="R61" s="88">
        <f t="shared" si="72"/>
        <v>274</v>
      </c>
      <c r="S61" s="88">
        <f t="shared" si="72"/>
        <v>274</v>
      </c>
      <c r="T61" s="88">
        <f t="shared" si="72"/>
        <v>274</v>
      </c>
      <c r="U61" s="88">
        <f t="shared" si="72"/>
        <v>274</v>
      </c>
      <c r="V61" s="88">
        <f t="shared" si="72"/>
        <v>274</v>
      </c>
      <c r="W61" s="88">
        <f t="shared" si="72"/>
        <v>274</v>
      </c>
      <c r="X61" s="88">
        <f t="shared" si="72"/>
        <v>274</v>
      </c>
      <c r="Y61" s="88">
        <f t="shared" si="72"/>
        <v>274</v>
      </c>
      <c r="Z61" s="88">
        <f t="shared" si="72"/>
        <v>274</v>
      </c>
      <c r="AA61" s="88">
        <f t="shared" si="72"/>
        <v>274</v>
      </c>
      <c r="AB61" s="88">
        <f t="shared" si="72"/>
        <v>274</v>
      </c>
      <c r="AC61" s="88">
        <f t="shared" si="72"/>
        <v>274</v>
      </c>
      <c r="AD61" s="88">
        <f t="shared" si="72"/>
        <v>274</v>
      </c>
      <c r="AE61" s="88">
        <f t="shared" si="72"/>
        <v>274</v>
      </c>
      <c r="AF61" s="88">
        <f t="shared" si="72"/>
        <v>274</v>
      </c>
      <c r="AG61" s="88">
        <f t="shared" si="72"/>
        <v>274</v>
      </c>
      <c r="AH61" s="88">
        <f t="shared" si="72"/>
        <v>274</v>
      </c>
      <c r="AI61" s="88">
        <f t="shared" si="72"/>
        <v>274</v>
      </c>
      <c r="AJ61" s="88">
        <f t="shared" si="72"/>
        <v>274</v>
      </c>
      <c r="AK61" s="88">
        <f t="shared" si="72"/>
        <v>274</v>
      </c>
      <c r="AL61" s="88">
        <f t="shared" si="72"/>
        <v>274</v>
      </c>
      <c r="AM61" s="88">
        <f t="shared" si="72"/>
        <v>274</v>
      </c>
      <c r="AN61" s="88">
        <f t="shared" si="72"/>
        <v>274</v>
      </c>
      <c r="AO61" s="88">
        <f t="shared" si="72"/>
        <v>274</v>
      </c>
      <c r="AP61" s="88">
        <f t="shared" si="72"/>
        <v>274</v>
      </c>
    </row>
    <row r="62" spans="1:43" x14ac:dyDescent="0.4">
      <c r="A62" s="70" t="s">
        <v>47</v>
      </c>
      <c r="E62" s="88">
        <f t="shared" ref="E62:AP62" si="73">E47</f>
        <v>384384216</v>
      </c>
      <c r="F62" s="88">
        <f t="shared" si="73"/>
        <v>394969459</v>
      </c>
      <c r="G62" s="88">
        <f t="shared" si="73"/>
        <v>405819333</v>
      </c>
      <c r="H62" s="88">
        <f t="shared" si="73"/>
        <v>416940453</v>
      </c>
      <c r="I62" s="88">
        <f t="shared" si="73"/>
        <v>428339601</v>
      </c>
      <c r="J62" s="88">
        <f t="shared" si="73"/>
        <v>440023728</v>
      </c>
      <c r="K62" s="88">
        <f t="shared" si="73"/>
        <v>451999958</v>
      </c>
      <c r="L62" s="88">
        <f t="shared" si="73"/>
        <v>464275594</v>
      </c>
      <c r="M62" s="88">
        <f t="shared" si="73"/>
        <v>476858121</v>
      </c>
      <c r="N62" s="88">
        <f t="shared" si="73"/>
        <v>489755211</v>
      </c>
      <c r="O62" s="88">
        <f t="shared" si="73"/>
        <v>502974728</v>
      </c>
      <c r="P62" s="88">
        <f t="shared" si="73"/>
        <v>516524733</v>
      </c>
      <c r="Q62" s="88">
        <f t="shared" si="73"/>
        <v>530413488</v>
      </c>
      <c r="R62" s="88">
        <f t="shared" si="73"/>
        <v>544649462</v>
      </c>
      <c r="S62" s="88">
        <f t="shared" si="73"/>
        <v>559241336</v>
      </c>
      <c r="T62" s="88">
        <f t="shared" si="73"/>
        <v>574198007</v>
      </c>
      <c r="U62" s="88">
        <f t="shared" si="73"/>
        <v>589528594</v>
      </c>
      <c r="V62" s="88">
        <f t="shared" si="73"/>
        <v>605242446</v>
      </c>
      <c r="W62" s="88">
        <f t="shared" si="73"/>
        <v>621349144</v>
      </c>
      <c r="X62" s="88">
        <f t="shared" si="73"/>
        <v>637858510</v>
      </c>
      <c r="Y62" s="88">
        <f t="shared" si="73"/>
        <v>654780610</v>
      </c>
      <c r="Z62" s="88">
        <f t="shared" si="73"/>
        <v>672125762</v>
      </c>
      <c r="AA62" s="88">
        <f t="shared" si="73"/>
        <v>689904543</v>
      </c>
      <c r="AB62" s="88">
        <f t="shared" si="73"/>
        <v>708127794</v>
      </c>
      <c r="AC62" s="88">
        <f t="shared" si="73"/>
        <v>726806626</v>
      </c>
      <c r="AD62" s="88">
        <f t="shared" si="73"/>
        <v>745952429</v>
      </c>
      <c r="AE62" s="88">
        <f t="shared" si="73"/>
        <v>765576877</v>
      </c>
      <c r="AF62" s="88">
        <f t="shared" si="73"/>
        <v>785691936</v>
      </c>
      <c r="AG62" s="88">
        <f t="shared" si="73"/>
        <v>806309872</v>
      </c>
      <c r="AH62" s="88">
        <f t="shared" si="73"/>
        <v>827443256</v>
      </c>
      <c r="AI62" s="88">
        <f t="shared" si="73"/>
        <v>849104975</v>
      </c>
      <c r="AJ62" s="88">
        <f t="shared" si="73"/>
        <v>871308237</v>
      </c>
      <c r="AK62" s="88">
        <f t="shared" si="73"/>
        <v>894066580</v>
      </c>
      <c r="AL62" s="88">
        <f t="shared" si="73"/>
        <v>917393882</v>
      </c>
      <c r="AM62" s="88">
        <f t="shared" si="73"/>
        <v>941304366</v>
      </c>
      <c r="AN62" s="88">
        <f t="shared" si="73"/>
        <v>965812612</v>
      </c>
      <c r="AO62" s="88">
        <f t="shared" si="73"/>
        <v>990933564</v>
      </c>
      <c r="AP62" s="88">
        <f t="shared" si="73"/>
        <v>1016682540</v>
      </c>
    </row>
    <row r="63" spans="1:43" x14ac:dyDescent="0.4">
      <c r="A63" s="70" t="s">
        <v>57</v>
      </c>
      <c r="E63" s="88">
        <f>E62-E56-E58</f>
        <v>274176482</v>
      </c>
      <c r="F63" s="88">
        <f>F62-F56-F58</f>
        <v>281726875</v>
      </c>
      <c r="G63" s="88">
        <f t="shared" ref="G63:AP63" si="74">G62-G56-G58</f>
        <v>289465914</v>
      </c>
      <c r="H63" s="88">
        <f t="shared" si="74"/>
        <v>297398485</v>
      </c>
      <c r="I63" s="88">
        <f t="shared" si="74"/>
        <v>305529368</v>
      </c>
      <c r="J63" s="88">
        <f t="shared" si="74"/>
        <v>313863512</v>
      </c>
      <c r="K63" s="88">
        <f t="shared" si="74"/>
        <v>322406039</v>
      </c>
      <c r="L63" s="88">
        <f t="shared" si="74"/>
        <v>331162068</v>
      </c>
      <c r="M63" s="88">
        <f t="shared" si="74"/>
        <v>340136991</v>
      </c>
      <c r="N63" s="88">
        <f t="shared" si="74"/>
        <v>349336387</v>
      </c>
      <c r="O63" s="88">
        <f t="shared" si="74"/>
        <v>358765663</v>
      </c>
      <c r="P63" s="88">
        <f t="shared" si="74"/>
        <v>368430696</v>
      </c>
      <c r="Q63" s="88">
        <f t="shared" si="74"/>
        <v>378337382</v>
      </c>
      <c r="R63" s="88">
        <f t="shared" si="74"/>
        <v>388491733</v>
      </c>
      <c r="S63" s="88">
        <f t="shared" si="74"/>
        <v>398899973</v>
      </c>
      <c r="T63" s="88">
        <f t="shared" si="74"/>
        <v>409568360</v>
      </c>
      <c r="U63" s="88">
        <f t="shared" si="74"/>
        <v>420503465</v>
      </c>
      <c r="V63" s="88">
        <f t="shared" si="74"/>
        <v>431711998</v>
      </c>
      <c r="W63" s="88">
        <f t="shared" si="74"/>
        <v>443200719</v>
      </c>
      <c r="X63" s="88">
        <f t="shared" si="74"/>
        <v>454976629</v>
      </c>
      <c r="Y63" s="88">
        <f t="shared" si="74"/>
        <v>467046973</v>
      </c>
      <c r="Z63" s="88">
        <f t="shared" si="74"/>
        <v>479418975</v>
      </c>
      <c r="AA63" s="88">
        <f t="shared" si="74"/>
        <v>492100391</v>
      </c>
      <c r="AB63" s="88">
        <f t="shared" si="74"/>
        <v>505098786</v>
      </c>
      <c r="AC63" s="88">
        <f t="shared" si="74"/>
        <v>518422177</v>
      </c>
      <c r="AD63" s="88">
        <f t="shared" si="74"/>
        <v>532078678</v>
      </c>
      <c r="AE63" s="88">
        <f t="shared" si="74"/>
        <v>546076505</v>
      </c>
      <c r="AF63" s="88">
        <f t="shared" si="74"/>
        <v>560424348</v>
      </c>
      <c r="AG63" s="88">
        <f t="shared" si="74"/>
        <v>575130924</v>
      </c>
      <c r="AH63" s="88">
        <f t="shared" si="74"/>
        <v>590205073</v>
      </c>
      <c r="AI63" s="88">
        <f t="shared" si="74"/>
        <v>605656133</v>
      </c>
      <c r="AJ63" s="88">
        <f t="shared" si="74"/>
        <v>621493399</v>
      </c>
      <c r="AK63" s="88">
        <f t="shared" si="74"/>
        <v>637726678</v>
      </c>
      <c r="AL63" s="88">
        <f t="shared" si="74"/>
        <v>654365753</v>
      </c>
      <c r="AM63" s="88">
        <f t="shared" si="74"/>
        <v>671420843</v>
      </c>
      <c r="AN63" s="88">
        <f t="shared" si="74"/>
        <v>688902251</v>
      </c>
      <c r="AO63" s="88">
        <f t="shared" si="74"/>
        <v>706820735</v>
      </c>
      <c r="AP63" s="88">
        <f t="shared" si="74"/>
        <v>725187154</v>
      </c>
    </row>
    <row r="64" spans="1:43" x14ac:dyDescent="0.4">
      <c r="A64" s="70" t="s">
        <v>58</v>
      </c>
      <c r="E64" s="88">
        <f>E63/E61</f>
        <v>1000644.0948905109</v>
      </c>
      <c r="F64" s="88">
        <f t="shared" ref="F64:AP64" si="75">F63/F61</f>
        <v>1028200.2737226278</v>
      </c>
      <c r="G64" s="88">
        <f t="shared" si="75"/>
        <v>1056444.9416058394</v>
      </c>
      <c r="H64" s="88">
        <f t="shared" si="75"/>
        <v>1085395.9306569344</v>
      </c>
      <c r="I64" s="88">
        <f t="shared" si="75"/>
        <v>1115070.6861313868</v>
      </c>
      <c r="J64" s="88">
        <f t="shared" si="75"/>
        <v>1145487.2700729927</v>
      </c>
      <c r="K64" s="88">
        <f t="shared" si="75"/>
        <v>1176664.3759124088</v>
      </c>
      <c r="L64" s="88">
        <f t="shared" si="75"/>
        <v>1208620.6861313868</v>
      </c>
      <c r="M64" s="88">
        <f t="shared" si="75"/>
        <v>1241375.8795620438</v>
      </c>
      <c r="N64" s="88">
        <f t="shared" si="75"/>
        <v>1274950.3175182482</v>
      </c>
      <c r="O64" s="88">
        <f t="shared" si="75"/>
        <v>1309363.7335766423</v>
      </c>
      <c r="P64" s="88">
        <f t="shared" si="75"/>
        <v>1344637.5766423359</v>
      </c>
      <c r="Q64" s="88">
        <f t="shared" si="75"/>
        <v>1380793.3649635036</v>
      </c>
      <c r="R64" s="88">
        <f t="shared" si="75"/>
        <v>1417853.0401459853</v>
      </c>
      <c r="S64" s="88">
        <f t="shared" si="75"/>
        <v>1455839.3175182482</v>
      </c>
      <c r="T64" s="88">
        <f t="shared" si="75"/>
        <v>1494775.0364963503</v>
      </c>
      <c r="U64" s="88">
        <f t="shared" si="75"/>
        <v>1534684.1788321168</v>
      </c>
      <c r="V64" s="88">
        <f t="shared" si="75"/>
        <v>1575591.2335766423</v>
      </c>
      <c r="W64" s="88">
        <f t="shared" si="75"/>
        <v>1617520.8722627738</v>
      </c>
      <c r="X64" s="88">
        <f t="shared" si="75"/>
        <v>1660498.6459854015</v>
      </c>
      <c r="Y64" s="88">
        <f t="shared" si="75"/>
        <v>1704550.996350365</v>
      </c>
      <c r="Z64" s="88">
        <f t="shared" si="75"/>
        <v>1749704.2883211679</v>
      </c>
      <c r="AA64" s="88">
        <f t="shared" si="75"/>
        <v>1795986.8284671532</v>
      </c>
      <c r="AB64" s="88">
        <f t="shared" si="75"/>
        <v>1843426.2262773723</v>
      </c>
      <c r="AC64" s="88">
        <f t="shared" si="75"/>
        <v>1892051.7408759124</v>
      </c>
      <c r="AD64" s="88">
        <f t="shared" si="75"/>
        <v>1941892.98540146</v>
      </c>
      <c r="AE64" s="88">
        <f t="shared" si="75"/>
        <v>1992979.9452554744</v>
      </c>
      <c r="AF64" s="88">
        <f t="shared" si="75"/>
        <v>2045344.3357664233</v>
      </c>
      <c r="AG64" s="88">
        <f t="shared" si="75"/>
        <v>2099017.9708029199</v>
      </c>
      <c r="AH64" s="88">
        <f t="shared" si="75"/>
        <v>2154033.1131386859</v>
      </c>
      <c r="AI64" s="88">
        <f t="shared" si="75"/>
        <v>2210423.8430656935</v>
      </c>
      <c r="AJ64" s="88">
        <f t="shared" si="75"/>
        <v>2268224.0839416059</v>
      </c>
      <c r="AK64" s="88">
        <f t="shared" si="75"/>
        <v>2327469.6277372264</v>
      </c>
      <c r="AL64" s="88">
        <f t="shared" si="75"/>
        <v>2388196.178832117</v>
      </c>
      <c r="AM64" s="88">
        <f t="shared" si="75"/>
        <v>2450441.0328467153</v>
      </c>
      <c r="AN64" s="88">
        <f t="shared" si="75"/>
        <v>2514241.7919708029</v>
      </c>
      <c r="AO64" s="88">
        <f t="shared" si="75"/>
        <v>2579637.7189781023</v>
      </c>
      <c r="AP64" s="88">
        <f t="shared" si="75"/>
        <v>2646668.4452554747</v>
      </c>
    </row>
    <row r="65" spans="1:42" x14ac:dyDescent="0.4">
      <c r="A65" s="70" t="s">
        <v>59</v>
      </c>
      <c r="E65" s="88">
        <f t="shared" ref="E65:AP65" si="76">IF((E64-E13)&lt;0,0,(E64-E13))</f>
        <v>0</v>
      </c>
      <c r="F65" s="88">
        <f t="shared" si="76"/>
        <v>0</v>
      </c>
      <c r="G65" s="88">
        <f t="shared" si="76"/>
        <v>0</v>
      </c>
      <c r="H65" s="88">
        <f t="shared" si="76"/>
        <v>0</v>
      </c>
      <c r="I65" s="88">
        <f t="shared" si="76"/>
        <v>0</v>
      </c>
      <c r="J65" s="88">
        <f t="shared" si="76"/>
        <v>0</v>
      </c>
      <c r="K65" s="88">
        <f t="shared" si="76"/>
        <v>0</v>
      </c>
      <c r="L65" s="88">
        <f t="shared" si="76"/>
        <v>0</v>
      </c>
      <c r="M65" s="88">
        <f t="shared" si="76"/>
        <v>0</v>
      </c>
      <c r="N65" s="88">
        <f t="shared" si="76"/>
        <v>0</v>
      </c>
      <c r="O65" s="88">
        <f t="shared" si="76"/>
        <v>0</v>
      </c>
      <c r="P65" s="88">
        <f t="shared" si="76"/>
        <v>0</v>
      </c>
      <c r="Q65" s="88">
        <f t="shared" si="76"/>
        <v>0</v>
      </c>
      <c r="R65" s="88">
        <f t="shared" si="76"/>
        <v>0</v>
      </c>
      <c r="S65" s="88">
        <f t="shared" si="76"/>
        <v>0</v>
      </c>
      <c r="T65" s="88">
        <f t="shared" si="76"/>
        <v>0</v>
      </c>
      <c r="U65" s="88">
        <f t="shared" si="76"/>
        <v>34684.17883211677</v>
      </c>
      <c r="V65" s="88">
        <f t="shared" si="76"/>
        <v>75591.233576642349</v>
      </c>
      <c r="W65" s="88">
        <f t="shared" si="76"/>
        <v>117520.8722627738</v>
      </c>
      <c r="X65" s="88">
        <f t="shared" si="76"/>
        <v>160498.64598540147</v>
      </c>
      <c r="Y65" s="88">
        <f t="shared" si="76"/>
        <v>204550.99635036499</v>
      </c>
      <c r="Z65" s="88">
        <f t="shared" si="76"/>
        <v>249704.28832116793</v>
      </c>
      <c r="AA65" s="88">
        <f t="shared" si="76"/>
        <v>295986.82846715325</v>
      </c>
      <c r="AB65" s="88">
        <f t="shared" si="76"/>
        <v>343426.22627737233</v>
      </c>
      <c r="AC65" s="88">
        <f t="shared" si="76"/>
        <v>392051.74087591236</v>
      </c>
      <c r="AD65" s="88">
        <f t="shared" si="76"/>
        <v>441892.98540145997</v>
      </c>
      <c r="AE65" s="88">
        <f t="shared" si="76"/>
        <v>492979.94525547442</v>
      </c>
      <c r="AF65" s="88">
        <f t="shared" si="76"/>
        <v>545344.33576642326</v>
      </c>
      <c r="AG65" s="88">
        <f t="shared" si="76"/>
        <v>599017.97080291994</v>
      </c>
      <c r="AH65" s="88">
        <f t="shared" si="76"/>
        <v>654033.11313868593</v>
      </c>
      <c r="AI65" s="88">
        <f t="shared" si="76"/>
        <v>710423.84306569351</v>
      </c>
      <c r="AJ65" s="88">
        <f t="shared" si="76"/>
        <v>768224.08394160587</v>
      </c>
      <c r="AK65" s="88">
        <f t="shared" si="76"/>
        <v>827469.62773722643</v>
      </c>
      <c r="AL65" s="88">
        <f t="shared" si="76"/>
        <v>888196.178832117</v>
      </c>
      <c r="AM65" s="88">
        <f t="shared" si="76"/>
        <v>950441.0328467153</v>
      </c>
      <c r="AN65" s="88">
        <f t="shared" si="76"/>
        <v>1014241.7919708029</v>
      </c>
      <c r="AO65" s="88">
        <f t="shared" si="76"/>
        <v>1079637.7189781023</v>
      </c>
      <c r="AP65" s="88">
        <f t="shared" si="76"/>
        <v>1146668.4452554747</v>
      </c>
    </row>
    <row r="66" spans="1:42" s="22" customFormat="1" x14ac:dyDescent="0.4">
      <c r="A66" s="104" t="s">
        <v>60</v>
      </c>
      <c r="E66" s="107">
        <f>E65*E61</f>
        <v>0</v>
      </c>
      <c r="F66" s="107">
        <f t="shared" ref="F66:AP66" si="77">F65*F61</f>
        <v>0</v>
      </c>
      <c r="G66" s="107">
        <f t="shared" si="77"/>
        <v>0</v>
      </c>
      <c r="H66" s="107">
        <f t="shared" si="77"/>
        <v>0</v>
      </c>
      <c r="I66" s="107">
        <f t="shared" si="77"/>
        <v>0</v>
      </c>
      <c r="J66" s="107">
        <f t="shared" si="77"/>
        <v>0</v>
      </c>
      <c r="K66" s="107">
        <f t="shared" si="77"/>
        <v>0</v>
      </c>
      <c r="L66" s="107">
        <f t="shared" si="77"/>
        <v>0</v>
      </c>
      <c r="M66" s="107">
        <f t="shared" si="77"/>
        <v>0</v>
      </c>
      <c r="N66" s="107">
        <f t="shared" si="77"/>
        <v>0</v>
      </c>
      <c r="O66" s="107">
        <f t="shared" si="77"/>
        <v>0</v>
      </c>
      <c r="P66" s="107">
        <f t="shared" si="77"/>
        <v>0</v>
      </c>
      <c r="Q66" s="107">
        <f t="shared" si="77"/>
        <v>0</v>
      </c>
      <c r="R66" s="107">
        <f t="shared" si="77"/>
        <v>0</v>
      </c>
      <c r="S66" s="107">
        <f t="shared" si="77"/>
        <v>0</v>
      </c>
      <c r="T66" s="107">
        <f t="shared" si="77"/>
        <v>0</v>
      </c>
      <c r="U66" s="107">
        <f t="shared" si="77"/>
        <v>9503464.9999999944</v>
      </c>
      <c r="V66" s="107">
        <f t="shared" si="77"/>
        <v>20711998.000000004</v>
      </c>
      <c r="W66" s="107">
        <f t="shared" si="77"/>
        <v>32200719.000000022</v>
      </c>
      <c r="X66" s="107">
        <f t="shared" si="77"/>
        <v>43976629</v>
      </c>
      <c r="Y66" s="107">
        <f t="shared" si="77"/>
        <v>56046973.000000007</v>
      </c>
      <c r="Z66" s="107">
        <f t="shared" si="77"/>
        <v>68418975.000000015</v>
      </c>
      <c r="AA66" s="107">
        <f t="shared" si="77"/>
        <v>81100390.999999985</v>
      </c>
      <c r="AB66" s="107">
        <f t="shared" si="77"/>
        <v>94098786.000000015</v>
      </c>
      <c r="AC66" s="107">
        <f t="shared" si="77"/>
        <v>107422176.99999999</v>
      </c>
      <c r="AD66" s="107">
        <f t="shared" si="77"/>
        <v>121078678.00000003</v>
      </c>
      <c r="AE66" s="107">
        <f t="shared" si="77"/>
        <v>135076505</v>
      </c>
      <c r="AF66" s="107">
        <f t="shared" si="77"/>
        <v>149424347.99999997</v>
      </c>
      <c r="AG66" s="107">
        <f t="shared" si="77"/>
        <v>164130924.00000006</v>
      </c>
      <c r="AH66" s="107">
        <f t="shared" si="77"/>
        <v>179205072.99999994</v>
      </c>
      <c r="AI66" s="107">
        <f t="shared" si="77"/>
        <v>194656133.00000003</v>
      </c>
      <c r="AJ66" s="107">
        <f t="shared" si="77"/>
        <v>210493399</v>
      </c>
      <c r="AK66" s="107">
        <f t="shared" si="77"/>
        <v>226726678.00000003</v>
      </c>
      <c r="AL66" s="107">
        <f t="shared" si="77"/>
        <v>243365753.00000006</v>
      </c>
      <c r="AM66" s="107">
        <f t="shared" si="77"/>
        <v>260420843</v>
      </c>
      <c r="AN66" s="107">
        <f t="shared" si="77"/>
        <v>277902251</v>
      </c>
      <c r="AO66" s="107">
        <f t="shared" si="77"/>
        <v>295820735.00000006</v>
      </c>
      <c r="AP66" s="107">
        <f t="shared" si="77"/>
        <v>314187154.00000006</v>
      </c>
    </row>
    <row r="67" spans="1:42" x14ac:dyDescent="0.4">
      <c r="A67" s="70" t="s">
        <v>61</v>
      </c>
      <c r="E67" s="88">
        <f t="shared" ref="E67:AP67" si="78">IF(E65&gt;0,E13,E64)</f>
        <v>1000644.0948905109</v>
      </c>
      <c r="F67" s="88">
        <f t="shared" si="78"/>
        <v>1028200.2737226278</v>
      </c>
      <c r="G67" s="88">
        <f t="shared" si="78"/>
        <v>1056444.9416058394</v>
      </c>
      <c r="H67" s="88">
        <f t="shared" si="78"/>
        <v>1085395.9306569344</v>
      </c>
      <c r="I67" s="88">
        <f t="shared" si="78"/>
        <v>1115070.6861313868</v>
      </c>
      <c r="J67" s="88">
        <f t="shared" si="78"/>
        <v>1145487.2700729927</v>
      </c>
      <c r="K67" s="88">
        <f t="shared" si="78"/>
        <v>1176664.3759124088</v>
      </c>
      <c r="L67" s="88">
        <f t="shared" si="78"/>
        <v>1208620.6861313868</v>
      </c>
      <c r="M67" s="88">
        <f t="shared" si="78"/>
        <v>1241375.8795620438</v>
      </c>
      <c r="N67" s="88">
        <f t="shared" si="78"/>
        <v>1274950.3175182482</v>
      </c>
      <c r="O67" s="88">
        <f t="shared" si="78"/>
        <v>1309363.7335766423</v>
      </c>
      <c r="P67" s="88">
        <f t="shared" si="78"/>
        <v>1344637.5766423359</v>
      </c>
      <c r="Q67" s="88">
        <f t="shared" si="78"/>
        <v>1380793.3649635036</v>
      </c>
      <c r="R67" s="88">
        <f t="shared" si="78"/>
        <v>1417853.0401459853</v>
      </c>
      <c r="S67" s="88">
        <f t="shared" si="78"/>
        <v>1455839.3175182482</v>
      </c>
      <c r="T67" s="88">
        <f t="shared" si="78"/>
        <v>1494775.0364963503</v>
      </c>
      <c r="U67" s="88">
        <f t="shared" si="78"/>
        <v>1500000</v>
      </c>
      <c r="V67" s="88">
        <f t="shared" si="78"/>
        <v>1500000</v>
      </c>
      <c r="W67" s="88">
        <f t="shared" si="78"/>
        <v>1500000</v>
      </c>
      <c r="X67" s="88">
        <f t="shared" si="78"/>
        <v>1500000</v>
      </c>
      <c r="Y67" s="88">
        <f t="shared" si="78"/>
        <v>1500000</v>
      </c>
      <c r="Z67" s="88">
        <f t="shared" si="78"/>
        <v>1500000</v>
      </c>
      <c r="AA67" s="88">
        <f t="shared" si="78"/>
        <v>1500000</v>
      </c>
      <c r="AB67" s="88">
        <f t="shared" si="78"/>
        <v>1500000</v>
      </c>
      <c r="AC67" s="88">
        <f t="shared" si="78"/>
        <v>1500000</v>
      </c>
      <c r="AD67" s="88">
        <f t="shared" si="78"/>
        <v>1500000</v>
      </c>
      <c r="AE67" s="88">
        <f t="shared" si="78"/>
        <v>1500000</v>
      </c>
      <c r="AF67" s="88">
        <f t="shared" si="78"/>
        <v>1500000</v>
      </c>
      <c r="AG67" s="88">
        <f t="shared" si="78"/>
        <v>1500000</v>
      </c>
      <c r="AH67" s="88">
        <f t="shared" si="78"/>
        <v>1500000</v>
      </c>
      <c r="AI67" s="88">
        <f t="shared" si="78"/>
        <v>1500000</v>
      </c>
      <c r="AJ67" s="88">
        <f t="shared" si="78"/>
        <v>1500000</v>
      </c>
      <c r="AK67" s="88">
        <f t="shared" si="78"/>
        <v>1500000</v>
      </c>
      <c r="AL67" s="88">
        <f t="shared" si="78"/>
        <v>1500000</v>
      </c>
      <c r="AM67" s="88">
        <f t="shared" si="78"/>
        <v>1500000</v>
      </c>
      <c r="AN67" s="88">
        <f t="shared" si="78"/>
        <v>1500000</v>
      </c>
      <c r="AO67" s="88">
        <f t="shared" si="78"/>
        <v>1500000</v>
      </c>
      <c r="AP67" s="88">
        <f t="shared" si="78"/>
        <v>1500000</v>
      </c>
    </row>
    <row r="68" spans="1:42" s="22" customFormat="1" x14ac:dyDescent="0.4">
      <c r="A68" s="104" t="s">
        <v>62</v>
      </c>
      <c r="E68" s="107">
        <f>E67*E61</f>
        <v>274176482</v>
      </c>
      <c r="F68" s="107">
        <f t="shared" ref="F68:AP68" si="79">F67*F61</f>
        <v>281726875</v>
      </c>
      <c r="G68" s="107">
        <f t="shared" si="79"/>
        <v>289465914</v>
      </c>
      <c r="H68" s="107">
        <f t="shared" si="79"/>
        <v>297398485</v>
      </c>
      <c r="I68" s="107">
        <f t="shared" si="79"/>
        <v>305529368</v>
      </c>
      <c r="J68" s="107">
        <f t="shared" si="79"/>
        <v>313863512</v>
      </c>
      <c r="K68" s="107">
        <f t="shared" si="79"/>
        <v>322406039</v>
      </c>
      <c r="L68" s="107">
        <f t="shared" si="79"/>
        <v>331162068</v>
      </c>
      <c r="M68" s="107">
        <f t="shared" si="79"/>
        <v>340136991</v>
      </c>
      <c r="N68" s="107">
        <f t="shared" si="79"/>
        <v>349336387</v>
      </c>
      <c r="O68" s="107">
        <f t="shared" si="79"/>
        <v>358765663</v>
      </c>
      <c r="P68" s="107">
        <f t="shared" si="79"/>
        <v>368430696</v>
      </c>
      <c r="Q68" s="107">
        <f t="shared" si="79"/>
        <v>378337382</v>
      </c>
      <c r="R68" s="107">
        <f t="shared" si="79"/>
        <v>388491733</v>
      </c>
      <c r="S68" s="107">
        <f t="shared" si="79"/>
        <v>398899973</v>
      </c>
      <c r="T68" s="107">
        <f t="shared" si="79"/>
        <v>409568360</v>
      </c>
      <c r="U68" s="107">
        <f t="shared" si="79"/>
        <v>411000000</v>
      </c>
      <c r="V68" s="107">
        <f t="shared" si="79"/>
        <v>411000000</v>
      </c>
      <c r="W68" s="107">
        <f t="shared" si="79"/>
        <v>411000000</v>
      </c>
      <c r="X68" s="107">
        <f t="shared" si="79"/>
        <v>411000000</v>
      </c>
      <c r="Y68" s="107">
        <f t="shared" si="79"/>
        <v>411000000</v>
      </c>
      <c r="Z68" s="107">
        <f t="shared" si="79"/>
        <v>411000000</v>
      </c>
      <c r="AA68" s="107">
        <f t="shared" si="79"/>
        <v>411000000</v>
      </c>
      <c r="AB68" s="107">
        <f t="shared" si="79"/>
        <v>411000000</v>
      </c>
      <c r="AC68" s="107">
        <f t="shared" si="79"/>
        <v>411000000</v>
      </c>
      <c r="AD68" s="107">
        <f t="shared" si="79"/>
        <v>411000000</v>
      </c>
      <c r="AE68" s="107">
        <f t="shared" si="79"/>
        <v>411000000</v>
      </c>
      <c r="AF68" s="107">
        <f t="shared" si="79"/>
        <v>411000000</v>
      </c>
      <c r="AG68" s="107">
        <f t="shared" si="79"/>
        <v>411000000</v>
      </c>
      <c r="AH68" s="107">
        <f t="shared" si="79"/>
        <v>411000000</v>
      </c>
      <c r="AI68" s="107">
        <f t="shared" si="79"/>
        <v>411000000</v>
      </c>
      <c r="AJ68" s="107">
        <f t="shared" si="79"/>
        <v>411000000</v>
      </c>
      <c r="AK68" s="107">
        <f t="shared" si="79"/>
        <v>411000000</v>
      </c>
      <c r="AL68" s="107">
        <f t="shared" si="79"/>
        <v>411000000</v>
      </c>
      <c r="AM68" s="107">
        <f t="shared" si="79"/>
        <v>411000000</v>
      </c>
      <c r="AN68" s="107">
        <f t="shared" si="79"/>
        <v>411000000</v>
      </c>
      <c r="AO68" s="107">
        <f t="shared" si="79"/>
        <v>411000000</v>
      </c>
      <c r="AP68" s="107">
        <f t="shared" si="79"/>
        <v>411000000</v>
      </c>
    </row>
    <row r="69" spans="1:42" s="22" customFormat="1" x14ac:dyDescent="0.4">
      <c r="A69" s="10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</row>
    <row r="70" spans="1:42" s="22" customFormat="1" x14ac:dyDescent="0.4">
      <c r="A70" s="90" t="s">
        <v>63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</row>
    <row r="71" spans="1:42" x14ac:dyDescent="0.4">
      <c r="A71" s="70" t="s">
        <v>64</v>
      </c>
      <c r="E71" s="88">
        <f t="shared" ref="E71:AP71" si="80">E46+E56+E66</f>
        <v>182500000</v>
      </c>
      <c r="F71" s="88">
        <f t="shared" si="80"/>
        <v>182500000</v>
      </c>
      <c r="G71" s="88">
        <f t="shared" si="80"/>
        <v>182500000</v>
      </c>
      <c r="H71" s="88">
        <f t="shared" si="80"/>
        <v>182500000</v>
      </c>
      <c r="I71" s="88">
        <f t="shared" si="80"/>
        <v>182500000</v>
      </c>
      <c r="J71" s="88">
        <f t="shared" si="80"/>
        <v>182500000</v>
      </c>
      <c r="K71" s="88">
        <f t="shared" si="80"/>
        <v>182500000</v>
      </c>
      <c r="L71" s="88">
        <f t="shared" si="80"/>
        <v>182500000</v>
      </c>
      <c r="M71" s="88">
        <f t="shared" si="80"/>
        <v>182721130</v>
      </c>
      <c r="N71" s="88">
        <f t="shared" si="80"/>
        <v>186418824</v>
      </c>
      <c r="O71" s="88">
        <f t="shared" si="80"/>
        <v>190209065</v>
      </c>
      <c r="P71" s="88">
        <f t="shared" si="80"/>
        <v>194094037</v>
      </c>
      <c r="Q71" s="88">
        <f t="shared" si="80"/>
        <v>198076106</v>
      </c>
      <c r="R71" s="88">
        <f t="shared" si="80"/>
        <v>202157729</v>
      </c>
      <c r="S71" s="88">
        <f t="shared" si="80"/>
        <v>206341363</v>
      </c>
      <c r="T71" s="88">
        <f t="shared" si="80"/>
        <v>210629647</v>
      </c>
      <c r="U71" s="88">
        <f t="shared" si="80"/>
        <v>224528594</v>
      </c>
      <c r="V71" s="88">
        <f t="shared" si="80"/>
        <v>240242446</v>
      </c>
      <c r="W71" s="88">
        <f t="shared" si="80"/>
        <v>256349144.00000003</v>
      </c>
      <c r="X71" s="88">
        <f t="shared" si="80"/>
        <v>272858510</v>
      </c>
      <c r="Y71" s="88">
        <f t="shared" si="80"/>
        <v>289780610</v>
      </c>
      <c r="Z71" s="88">
        <f t="shared" si="80"/>
        <v>307125762</v>
      </c>
      <c r="AA71" s="88">
        <f t="shared" si="80"/>
        <v>324904543</v>
      </c>
      <c r="AB71" s="88">
        <f t="shared" si="80"/>
        <v>343127794</v>
      </c>
      <c r="AC71" s="88">
        <f t="shared" si="80"/>
        <v>361806626</v>
      </c>
      <c r="AD71" s="88">
        <f t="shared" si="80"/>
        <v>380952429</v>
      </c>
      <c r="AE71" s="88">
        <f t="shared" si="80"/>
        <v>400576877</v>
      </c>
      <c r="AF71" s="88">
        <f t="shared" si="80"/>
        <v>420691936</v>
      </c>
      <c r="AG71" s="88">
        <f t="shared" si="80"/>
        <v>441309872.00000006</v>
      </c>
      <c r="AH71" s="88">
        <f t="shared" si="80"/>
        <v>462443255.99999994</v>
      </c>
      <c r="AI71" s="88">
        <f t="shared" si="80"/>
        <v>484104975</v>
      </c>
      <c r="AJ71" s="88">
        <f t="shared" si="80"/>
        <v>506308237</v>
      </c>
      <c r="AK71" s="88">
        <f t="shared" si="80"/>
        <v>529066580</v>
      </c>
      <c r="AL71" s="88">
        <f t="shared" si="80"/>
        <v>552393882</v>
      </c>
      <c r="AM71" s="88">
        <f t="shared" si="80"/>
        <v>576304366</v>
      </c>
      <c r="AN71" s="88">
        <f t="shared" si="80"/>
        <v>600812612</v>
      </c>
      <c r="AO71" s="88">
        <f t="shared" si="80"/>
        <v>625933564</v>
      </c>
      <c r="AP71" s="88">
        <f t="shared" si="80"/>
        <v>651682540</v>
      </c>
    </row>
    <row r="72" spans="1:42" x14ac:dyDescent="0.4">
      <c r="A72" s="70" t="s">
        <v>65</v>
      </c>
      <c r="E72" s="108">
        <f>E58+E68</f>
        <v>384384216</v>
      </c>
      <c r="F72" s="108">
        <f t="shared" ref="F72:AP72" si="81">F58+F68</f>
        <v>394969459</v>
      </c>
      <c r="G72" s="108">
        <f t="shared" si="81"/>
        <v>405819333</v>
      </c>
      <c r="H72" s="108">
        <f t="shared" si="81"/>
        <v>416940453</v>
      </c>
      <c r="I72" s="108">
        <f t="shared" si="81"/>
        <v>428339601</v>
      </c>
      <c r="J72" s="108">
        <f t="shared" si="81"/>
        <v>440023728</v>
      </c>
      <c r="K72" s="108">
        <f t="shared" si="81"/>
        <v>451999958</v>
      </c>
      <c r="L72" s="108">
        <f t="shared" si="81"/>
        <v>464275594</v>
      </c>
      <c r="M72" s="108">
        <f t="shared" si="81"/>
        <v>476636991</v>
      </c>
      <c r="N72" s="108">
        <f t="shared" si="81"/>
        <v>485836387</v>
      </c>
      <c r="O72" s="108">
        <f t="shared" si="81"/>
        <v>495265663</v>
      </c>
      <c r="P72" s="108">
        <f t="shared" si="81"/>
        <v>504930696</v>
      </c>
      <c r="Q72" s="108">
        <f t="shared" si="81"/>
        <v>514837382</v>
      </c>
      <c r="R72" s="108">
        <f t="shared" si="81"/>
        <v>524991733</v>
      </c>
      <c r="S72" s="108">
        <f t="shared" si="81"/>
        <v>535399973</v>
      </c>
      <c r="T72" s="108">
        <f t="shared" si="81"/>
        <v>546068360</v>
      </c>
      <c r="U72" s="108">
        <f t="shared" si="81"/>
        <v>547500000</v>
      </c>
      <c r="V72" s="108">
        <f t="shared" si="81"/>
        <v>547500000</v>
      </c>
      <c r="W72" s="108">
        <f t="shared" si="81"/>
        <v>547500000</v>
      </c>
      <c r="X72" s="108">
        <f t="shared" si="81"/>
        <v>547500000</v>
      </c>
      <c r="Y72" s="108">
        <f t="shared" si="81"/>
        <v>547500000</v>
      </c>
      <c r="Z72" s="108">
        <f t="shared" si="81"/>
        <v>547500000</v>
      </c>
      <c r="AA72" s="108">
        <f t="shared" si="81"/>
        <v>547500000</v>
      </c>
      <c r="AB72" s="108">
        <f t="shared" si="81"/>
        <v>547500000</v>
      </c>
      <c r="AC72" s="108">
        <f t="shared" si="81"/>
        <v>547500000</v>
      </c>
      <c r="AD72" s="108">
        <f t="shared" si="81"/>
        <v>547500000</v>
      </c>
      <c r="AE72" s="108">
        <f t="shared" si="81"/>
        <v>547500000</v>
      </c>
      <c r="AF72" s="108">
        <f t="shared" si="81"/>
        <v>547500000</v>
      </c>
      <c r="AG72" s="108">
        <f t="shared" si="81"/>
        <v>547500000</v>
      </c>
      <c r="AH72" s="108">
        <f t="shared" si="81"/>
        <v>547500000</v>
      </c>
      <c r="AI72" s="108">
        <f t="shared" si="81"/>
        <v>547500000</v>
      </c>
      <c r="AJ72" s="108">
        <f t="shared" si="81"/>
        <v>547500000</v>
      </c>
      <c r="AK72" s="108">
        <f t="shared" si="81"/>
        <v>547500000</v>
      </c>
      <c r="AL72" s="108">
        <f t="shared" si="81"/>
        <v>547500000</v>
      </c>
      <c r="AM72" s="108">
        <f t="shared" si="81"/>
        <v>547500000</v>
      </c>
      <c r="AN72" s="108">
        <f t="shared" si="81"/>
        <v>547500000</v>
      </c>
      <c r="AO72" s="108">
        <f t="shared" si="81"/>
        <v>547500000</v>
      </c>
      <c r="AP72" s="108">
        <f t="shared" si="81"/>
        <v>547500000</v>
      </c>
    </row>
    <row r="73" spans="1:42" x14ac:dyDescent="0.4">
      <c r="A73" s="70" t="s">
        <v>66</v>
      </c>
      <c r="E73" s="88">
        <f>SUM(E71:E72)</f>
        <v>566884216</v>
      </c>
      <c r="F73" s="88">
        <f t="shared" ref="F73:AP73" si="82">SUM(F71:F72)</f>
        <v>577469459</v>
      </c>
      <c r="G73" s="88">
        <f t="shared" si="82"/>
        <v>588319333</v>
      </c>
      <c r="H73" s="88">
        <f t="shared" si="82"/>
        <v>599440453</v>
      </c>
      <c r="I73" s="88">
        <f t="shared" si="82"/>
        <v>610839601</v>
      </c>
      <c r="J73" s="88">
        <f t="shared" si="82"/>
        <v>622523728</v>
      </c>
      <c r="K73" s="88">
        <f t="shared" si="82"/>
        <v>634499958</v>
      </c>
      <c r="L73" s="88">
        <f t="shared" si="82"/>
        <v>646775594</v>
      </c>
      <c r="M73" s="88">
        <f t="shared" si="82"/>
        <v>659358121</v>
      </c>
      <c r="N73" s="88">
        <f t="shared" si="82"/>
        <v>672255211</v>
      </c>
      <c r="O73" s="88">
        <f t="shared" si="82"/>
        <v>685474728</v>
      </c>
      <c r="P73" s="88">
        <f t="shared" si="82"/>
        <v>699024733</v>
      </c>
      <c r="Q73" s="88">
        <f t="shared" si="82"/>
        <v>712913488</v>
      </c>
      <c r="R73" s="88">
        <f t="shared" si="82"/>
        <v>727149462</v>
      </c>
      <c r="S73" s="88">
        <f t="shared" si="82"/>
        <v>741741336</v>
      </c>
      <c r="T73" s="88">
        <f t="shared" si="82"/>
        <v>756698007</v>
      </c>
      <c r="U73" s="88">
        <f t="shared" si="82"/>
        <v>772028594</v>
      </c>
      <c r="V73" s="88">
        <f t="shared" si="82"/>
        <v>787742446</v>
      </c>
      <c r="W73" s="88">
        <f t="shared" si="82"/>
        <v>803849144</v>
      </c>
      <c r="X73" s="88">
        <f t="shared" si="82"/>
        <v>820358510</v>
      </c>
      <c r="Y73" s="88">
        <f t="shared" si="82"/>
        <v>837280610</v>
      </c>
      <c r="Z73" s="88">
        <f t="shared" si="82"/>
        <v>854625762</v>
      </c>
      <c r="AA73" s="88">
        <f t="shared" si="82"/>
        <v>872404543</v>
      </c>
      <c r="AB73" s="88">
        <f t="shared" si="82"/>
        <v>890627794</v>
      </c>
      <c r="AC73" s="88">
        <f t="shared" si="82"/>
        <v>909306626</v>
      </c>
      <c r="AD73" s="88">
        <f t="shared" si="82"/>
        <v>928452429</v>
      </c>
      <c r="AE73" s="88">
        <f t="shared" si="82"/>
        <v>948076877</v>
      </c>
      <c r="AF73" s="88">
        <f t="shared" si="82"/>
        <v>968191936</v>
      </c>
      <c r="AG73" s="88">
        <f t="shared" si="82"/>
        <v>988809872</v>
      </c>
      <c r="AH73" s="88">
        <f t="shared" si="82"/>
        <v>1009943256</v>
      </c>
      <c r="AI73" s="88">
        <f t="shared" si="82"/>
        <v>1031604975</v>
      </c>
      <c r="AJ73" s="88">
        <f t="shared" si="82"/>
        <v>1053808237</v>
      </c>
      <c r="AK73" s="88">
        <f t="shared" si="82"/>
        <v>1076566580</v>
      </c>
      <c r="AL73" s="88">
        <f t="shared" si="82"/>
        <v>1099893882</v>
      </c>
      <c r="AM73" s="88">
        <f t="shared" si="82"/>
        <v>1123804366</v>
      </c>
      <c r="AN73" s="88">
        <f t="shared" si="82"/>
        <v>1148312612</v>
      </c>
      <c r="AO73" s="88">
        <f t="shared" si="82"/>
        <v>1173433564</v>
      </c>
      <c r="AP73" s="88">
        <f t="shared" si="82"/>
        <v>1199182540</v>
      </c>
    </row>
    <row r="74" spans="1:42" s="22" customFormat="1" x14ac:dyDescent="0.4">
      <c r="A74" s="10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</row>
    <row r="75" spans="1:42" x14ac:dyDescent="0.4">
      <c r="A75" s="90" t="s">
        <v>67</v>
      </c>
      <c r="E75" s="88"/>
    </row>
    <row r="76" spans="1:42" x14ac:dyDescent="0.4">
      <c r="A76" s="70" t="s">
        <v>68</v>
      </c>
      <c r="E76" s="110">
        <f t="shared" ref="E76:AP76" si="83">ROUND((365*E16),0)</f>
        <v>66</v>
      </c>
      <c r="F76" s="110">
        <f t="shared" si="83"/>
        <v>66</v>
      </c>
      <c r="G76" s="110">
        <f t="shared" si="83"/>
        <v>66</v>
      </c>
      <c r="H76" s="110">
        <f t="shared" si="83"/>
        <v>66</v>
      </c>
      <c r="I76" s="110">
        <f t="shared" si="83"/>
        <v>66</v>
      </c>
      <c r="J76" s="110">
        <f t="shared" si="83"/>
        <v>66</v>
      </c>
      <c r="K76" s="110">
        <f t="shared" si="83"/>
        <v>66</v>
      </c>
      <c r="L76" s="110">
        <f t="shared" si="83"/>
        <v>66</v>
      </c>
      <c r="M76" s="110">
        <f t="shared" si="83"/>
        <v>66</v>
      </c>
      <c r="N76" s="110">
        <f t="shared" si="83"/>
        <v>66</v>
      </c>
      <c r="O76" s="110">
        <f t="shared" si="83"/>
        <v>66</v>
      </c>
      <c r="P76" s="110">
        <f t="shared" si="83"/>
        <v>66</v>
      </c>
      <c r="Q76" s="110">
        <f t="shared" si="83"/>
        <v>66</v>
      </c>
      <c r="R76" s="110">
        <f t="shared" si="83"/>
        <v>66</v>
      </c>
      <c r="S76" s="110">
        <f t="shared" si="83"/>
        <v>66</v>
      </c>
      <c r="T76" s="110">
        <f t="shared" si="83"/>
        <v>66</v>
      </c>
      <c r="U76" s="110">
        <f t="shared" si="83"/>
        <v>66</v>
      </c>
      <c r="V76" s="110">
        <f t="shared" si="83"/>
        <v>66</v>
      </c>
      <c r="W76" s="110">
        <f t="shared" si="83"/>
        <v>66</v>
      </c>
      <c r="X76" s="110">
        <f t="shared" si="83"/>
        <v>66</v>
      </c>
      <c r="Y76" s="110">
        <f t="shared" si="83"/>
        <v>66</v>
      </c>
      <c r="Z76" s="110">
        <f t="shared" si="83"/>
        <v>66</v>
      </c>
      <c r="AA76" s="110">
        <f t="shared" si="83"/>
        <v>66</v>
      </c>
      <c r="AB76" s="110">
        <f t="shared" si="83"/>
        <v>66</v>
      </c>
      <c r="AC76" s="110">
        <f t="shared" si="83"/>
        <v>66</v>
      </c>
      <c r="AD76" s="110">
        <f t="shared" si="83"/>
        <v>66</v>
      </c>
      <c r="AE76" s="110">
        <f t="shared" si="83"/>
        <v>66</v>
      </c>
      <c r="AF76" s="110">
        <f t="shared" si="83"/>
        <v>66</v>
      </c>
      <c r="AG76" s="110">
        <f t="shared" si="83"/>
        <v>66</v>
      </c>
      <c r="AH76" s="110">
        <f t="shared" si="83"/>
        <v>66</v>
      </c>
      <c r="AI76" s="110">
        <f t="shared" si="83"/>
        <v>66</v>
      </c>
      <c r="AJ76" s="110">
        <f t="shared" si="83"/>
        <v>66</v>
      </c>
      <c r="AK76" s="110">
        <f t="shared" si="83"/>
        <v>66</v>
      </c>
      <c r="AL76" s="110">
        <f t="shared" si="83"/>
        <v>66</v>
      </c>
      <c r="AM76" s="110">
        <f t="shared" si="83"/>
        <v>66</v>
      </c>
      <c r="AN76" s="110">
        <f t="shared" si="83"/>
        <v>66</v>
      </c>
      <c r="AO76" s="110">
        <f t="shared" si="83"/>
        <v>66</v>
      </c>
      <c r="AP76" s="110">
        <f t="shared" si="83"/>
        <v>66</v>
      </c>
    </row>
    <row r="77" spans="1:42" x14ac:dyDescent="0.4">
      <c r="A77" s="70" t="s">
        <v>69</v>
      </c>
      <c r="E77" s="110">
        <f>E72</f>
        <v>384384216</v>
      </c>
      <c r="F77" s="110">
        <f t="shared" ref="F77:AP77" si="84">F72</f>
        <v>394969459</v>
      </c>
      <c r="G77" s="110">
        <f t="shared" si="84"/>
        <v>405819333</v>
      </c>
      <c r="H77" s="110">
        <f t="shared" si="84"/>
        <v>416940453</v>
      </c>
      <c r="I77" s="110">
        <f t="shared" si="84"/>
        <v>428339601</v>
      </c>
      <c r="J77" s="110">
        <f t="shared" si="84"/>
        <v>440023728</v>
      </c>
      <c r="K77" s="110">
        <f t="shared" si="84"/>
        <v>451999958</v>
      </c>
      <c r="L77" s="110">
        <f t="shared" si="84"/>
        <v>464275594</v>
      </c>
      <c r="M77" s="110">
        <f t="shared" si="84"/>
        <v>476636991</v>
      </c>
      <c r="N77" s="110">
        <f t="shared" si="84"/>
        <v>485836387</v>
      </c>
      <c r="O77" s="110">
        <f t="shared" si="84"/>
        <v>495265663</v>
      </c>
      <c r="P77" s="110">
        <f t="shared" si="84"/>
        <v>504930696</v>
      </c>
      <c r="Q77" s="110">
        <f t="shared" si="84"/>
        <v>514837382</v>
      </c>
      <c r="R77" s="110">
        <f t="shared" si="84"/>
        <v>524991733</v>
      </c>
      <c r="S77" s="110">
        <f t="shared" si="84"/>
        <v>535399973</v>
      </c>
      <c r="T77" s="110">
        <f t="shared" si="84"/>
        <v>546068360</v>
      </c>
      <c r="U77" s="110">
        <f t="shared" si="84"/>
        <v>547500000</v>
      </c>
      <c r="V77" s="110">
        <f t="shared" si="84"/>
        <v>547500000</v>
      </c>
      <c r="W77" s="110">
        <f t="shared" si="84"/>
        <v>547500000</v>
      </c>
      <c r="X77" s="110">
        <f t="shared" si="84"/>
        <v>547500000</v>
      </c>
      <c r="Y77" s="110">
        <f t="shared" si="84"/>
        <v>547500000</v>
      </c>
      <c r="Z77" s="110">
        <f t="shared" si="84"/>
        <v>547500000</v>
      </c>
      <c r="AA77" s="110">
        <f t="shared" si="84"/>
        <v>547500000</v>
      </c>
      <c r="AB77" s="110">
        <f t="shared" si="84"/>
        <v>547500000</v>
      </c>
      <c r="AC77" s="110">
        <f t="shared" si="84"/>
        <v>547500000</v>
      </c>
      <c r="AD77" s="110">
        <f t="shared" si="84"/>
        <v>547500000</v>
      </c>
      <c r="AE77" s="110">
        <f t="shared" si="84"/>
        <v>547500000</v>
      </c>
      <c r="AF77" s="110">
        <f t="shared" si="84"/>
        <v>547500000</v>
      </c>
      <c r="AG77" s="110">
        <f t="shared" si="84"/>
        <v>547500000</v>
      </c>
      <c r="AH77" s="110">
        <f t="shared" si="84"/>
        <v>547500000</v>
      </c>
      <c r="AI77" s="110">
        <f t="shared" si="84"/>
        <v>547500000</v>
      </c>
      <c r="AJ77" s="110">
        <f t="shared" si="84"/>
        <v>547500000</v>
      </c>
      <c r="AK77" s="110">
        <f t="shared" si="84"/>
        <v>547500000</v>
      </c>
      <c r="AL77" s="110">
        <f t="shared" si="84"/>
        <v>547500000</v>
      </c>
      <c r="AM77" s="110">
        <f t="shared" si="84"/>
        <v>547500000</v>
      </c>
      <c r="AN77" s="110">
        <f t="shared" si="84"/>
        <v>547500000</v>
      </c>
      <c r="AO77" s="110">
        <f t="shared" si="84"/>
        <v>547500000</v>
      </c>
      <c r="AP77" s="110">
        <f t="shared" si="84"/>
        <v>547500000</v>
      </c>
    </row>
    <row r="78" spans="1:42" x14ac:dyDescent="0.4">
      <c r="A78" s="70" t="s">
        <v>70</v>
      </c>
      <c r="E78" s="88">
        <f>ROUND(E72/365,0)</f>
        <v>1053107</v>
      </c>
      <c r="F78" s="88">
        <f t="shared" ref="F78:AP78" si="85">ROUND(F72/365,0)</f>
        <v>1082108</v>
      </c>
      <c r="G78" s="88">
        <f t="shared" si="85"/>
        <v>1111834</v>
      </c>
      <c r="H78" s="88">
        <f t="shared" si="85"/>
        <v>1142303</v>
      </c>
      <c r="I78" s="88">
        <f t="shared" si="85"/>
        <v>1173533</v>
      </c>
      <c r="J78" s="88">
        <f t="shared" si="85"/>
        <v>1205544</v>
      </c>
      <c r="K78" s="88">
        <f t="shared" si="85"/>
        <v>1238356</v>
      </c>
      <c r="L78" s="88">
        <f t="shared" si="85"/>
        <v>1271988</v>
      </c>
      <c r="M78" s="88">
        <f t="shared" si="85"/>
        <v>1305855</v>
      </c>
      <c r="N78" s="88">
        <f t="shared" si="85"/>
        <v>1331059</v>
      </c>
      <c r="O78" s="88">
        <f t="shared" si="85"/>
        <v>1356892</v>
      </c>
      <c r="P78" s="88">
        <f t="shared" si="85"/>
        <v>1383372</v>
      </c>
      <c r="Q78" s="88">
        <f t="shared" si="85"/>
        <v>1410513</v>
      </c>
      <c r="R78" s="88">
        <f t="shared" si="85"/>
        <v>1438334</v>
      </c>
      <c r="S78" s="88">
        <f t="shared" si="85"/>
        <v>1466849</v>
      </c>
      <c r="T78" s="88">
        <f t="shared" si="85"/>
        <v>1496078</v>
      </c>
      <c r="U78" s="88">
        <f t="shared" si="85"/>
        <v>1500000</v>
      </c>
      <c r="V78" s="88">
        <f t="shared" si="85"/>
        <v>1500000</v>
      </c>
      <c r="W78" s="88">
        <f t="shared" si="85"/>
        <v>1500000</v>
      </c>
      <c r="X78" s="88">
        <f t="shared" si="85"/>
        <v>1500000</v>
      </c>
      <c r="Y78" s="88">
        <f t="shared" si="85"/>
        <v>1500000</v>
      </c>
      <c r="Z78" s="88">
        <f t="shared" si="85"/>
        <v>1500000</v>
      </c>
      <c r="AA78" s="88">
        <f t="shared" si="85"/>
        <v>1500000</v>
      </c>
      <c r="AB78" s="88">
        <f t="shared" si="85"/>
        <v>1500000</v>
      </c>
      <c r="AC78" s="88">
        <f t="shared" si="85"/>
        <v>1500000</v>
      </c>
      <c r="AD78" s="88">
        <f t="shared" si="85"/>
        <v>1500000</v>
      </c>
      <c r="AE78" s="88">
        <f t="shared" si="85"/>
        <v>1500000</v>
      </c>
      <c r="AF78" s="88">
        <f t="shared" si="85"/>
        <v>1500000</v>
      </c>
      <c r="AG78" s="88">
        <f t="shared" si="85"/>
        <v>1500000</v>
      </c>
      <c r="AH78" s="88">
        <f t="shared" si="85"/>
        <v>1500000</v>
      </c>
      <c r="AI78" s="88">
        <f t="shared" si="85"/>
        <v>1500000</v>
      </c>
      <c r="AJ78" s="88">
        <f t="shared" si="85"/>
        <v>1500000</v>
      </c>
      <c r="AK78" s="88">
        <f t="shared" si="85"/>
        <v>1500000</v>
      </c>
      <c r="AL78" s="88">
        <f t="shared" si="85"/>
        <v>1500000</v>
      </c>
      <c r="AM78" s="88">
        <f t="shared" si="85"/>
        <v>1500000</v>
      </c>
      <c r="AN78" s="88">
        <f t="shared" si="85"/>
        <v>1500000</v>
      </c>
      <c r="AO78" s="88">
        <f t="shared" si="85"/>
        <v>1500000</v>
      </c>
      <c r="AP78" s="88">
        <f t="shared" si="85"/>
        <v>1500000</v>
      </c>
    </row>
    <row r="79" spans="1:42" x14ac:dyDescent="0.4">
      <c r="A79" s="70" t="s">
        <v>71</v>
      </c>
      <c r="E79" s="109">
        <f t="shared" ref="E79:AP79" si="86">E14</f>
        <v>500000</v>
      </c>
      <c r="F79" s="109">
        <f t="shared" si="86"/>
        <v>500000</v>
      </c>
      <c r="G79" s="109">
        <f t="shared" si="86"/>
        <v>500000</v>
      </c>
      <c r="H79" s="109">
        <f t="shared" si="86"/>
        <v>0</v>
      </c>
      <c r="I79" s="109">
        <f t="shared" si="86"/>
        <v>0</v>
      </c>
      <c r="J79" s="109">
        <f t="shared" si="86"/>
        <v>0</v>
      </c>
      <c r="K79" s="109">
        <f t="shared" si="86"/>
        <v>0</v>
      </c>
      <c r="L79" s="109">
        <f t="shared" si="86"/>
        <v>0</v>
      </c>
      <c r="M79" s="109">
        <f t="shared" si="86"/>
        <v>0</v>
      </c>
      <c r="N79" s="109">
        <f t="shared" si="86"/>
        <v>0</v>
      </c>
      <c r="O79" s="109">
        <f t="shared" si="86"/>
        <v>0</v>
      </c>
      <c r="P79" s="109">
        <f t="shared" si="86"/>
        <v>0</v>
      </c>
      <c r="Q79" s="109">
        <f t="shared" si="86"/>
        <v>0</v>
      </c>
      <c r="R79" s="109">
        <f t="shared" si="86"/>
        <v>0</v>
      </c>
      <c r="S79" s="109">
        <f t="shared" si="86"/>
        <v>0</v>
      </c>
      <c r="T79" s="109">
        <f t="shared" si="86"/>
        <v>0</v>
      </c>
      <c r="U79" s="109">
        <f t="shared" si="86"/>
        <v>0</v>
      </c>
      <c r="V79" s="109">
        <f t="shared" si="86"/>
        <v>0</v>
      </c>
      <c r="W79" s="109">
        <f t="shared" si="86"/>
        <v>0</v>
      </c>
      <c r="X79" s="109">
        <f t="shared" si="86"/>
        <v>0</v>
      </c>
      <c r="Y79" s="109">
        <f t="shared" si="86"/>
        <v>0</v>
      </c>
      <c r="Z79" s="109">
        <f t="shared" si="86"/>
        <v>0</v>
      </c>
      <c r="AA79" s="109">
        <f t="shared" si="86"/>
        <v>0</v>
      </c>
      <c r="AB79" s="109">
        <f t="shared" si="86"/>
        <v>0</v>
      </c>
      <c r="AC79" s="109">
        <f t="shared" si="86"/>
        <v>0</v>
      </c>
      <c r="AD79" s="109">
        <f t="shared" si="86"/>
        <v>0</v>
      </c>
      <c r="AE79" s="109">
        <f t="shared" si="86"/>
        <v>0</v>
      </c>
      <c r="AF79" s="109">
        <f t="shared" si="86"/>
        <v>0</v>
      </c>
      <c r="AG79" s="109">
        <f t="shared" si="86"/>
        <v>0</v>
      </c>
      <c r="AH79" s="109">
        <f t="shared" si="86"/>
        <v>0</v>
      </c>
      <c r="AI79" s="109">
        <f t="shared" si="86"/>
        <v>0</v>
      </c>
      <c r="AJ79" s="109">
        <f t="shared" si="86"/>
        <v>0</v>
      </c>
      <c r="AK79" s="109">
        <f t="shared" si="86"/>
        <v>0</v>
      </c>
      <c r="AL79" s="109">
        <f t="shared" si="86"/>
        <v>0</v>
      </c>
      <c r="AM79" s="109">
        <f t="shared" si="86"/>
        <v>0</v>
      </c>
      <c r="AN79" s="109">
        <f t="shared" si="86"/>
        <v>0</v>
      </c>
      <c r="AO79" s="109">
        <f t="shared" si="86"/>
        <v>0</v>
      </c>
      <c r="AP79" s="109">
        <f t="shared" si="86"/>
        <v>0</v>
      </c>
    </row>
    <row r="80" spans="1:42" x14ac:dyDescent="0.4">
      <c r="A80" s="70" t="s">
        <v>72</v>
      </c>
      <c r="E80" s="15">
        <f>E78-E79</f>
        <v>553107</v>
      </c>
      <c r="F80" s="15">
        <f t="shared" ref="F80:AP80" si="87">F78-F79</f>
        <v>582108</v>
      </c>
      <c r="G80" s="15">
        <f t="shared" si="87"/>
        <v>611834</v>
      </c>
      <c r="H80" s="15">
        <f t="shared" si="87"/>
        <v>1142303</v>
      </c>
      <c r="I80" s="15">
        <f t="shared" si="87"/>
        <v>1173533</v>
      </c>
      <c r="J80" s="15">
        <f t="shared" si="87"/>
        <v>1205544</v>
      </c>
      <c r="K80" s="15">
        <f t="shared" si="87"/>
        <v>1238356</v>
      </c>
      <c r="L80" s="15">
        <f t="shared" si="87"/>
        <v>1271988</v>
      </c>
      <c r="M80" s="15">
        <f t="shared" si="87"/>
        <v>1305855</v>
      </c>
      <c r="N80" s="15">
        <f t="shared" si="87"/>
        <v>1331059</v>
      </c>
      <c r="O80" s="15">
        <f t="shared" si="87"/>
        <v>1356892</v>
      </c>
      <c r="P80" s="15">
        <f t="shared" si="87"/>
        <v>1383372</v>
      </c>
      <c r="Q80" s="15">
        <f t="shared" si="87"/>
        <v>1410513</v>
      </c>
      <c r="R80" s="15">
        <f t="shared" si="87"/>
        <v>1438334</v>
      </c>
      <c r="S80" s="15">
        <f t="shared" si="87"/>
        <v>1466849</v>
      </c>
      <c r="T80" s="15">
        <f t="shared" si="87"/>
        <v>1496078</v>
      </c>
      <c r="U80" s="15">
        <f t="shared" si="87"/>
        <v>1500000</v>
      </c>
      <c r="V80" s="15">
        <f t="shared" si="87"/>
        <v>1500000</v>
      </c>
      <c r="W80" s="15">
        <f t="shared" si="87"/>
        <v>1500000</v>
      </c>
      <c r="X80" s="15">
        <f t="shared" si="87"/>
        <v>1500000</v>
      </c>
      <c r="Y80" s="15">
        <f t="shared" si="87"/>
        <v>1500000</v>
      </c>
      <c r="Z80" s="15">
        <f t="shared" si="87"/>
        <v>1500000</v>
      </c>
      <c r="AA80" s="15">
        <f t="shared" si="87"/>
        <v>1500000</v>
      </c>
      <c r="AB80" s="15">
        <f t="shared" si="87"/>
        <v>1500000</v>
      </c>
      <c r="AC80" s="15">
        <f t="shared" si="87"/>
        <v>1500000</v>
      </c>
      <c r="AD80" s="15">
        <f t="shared" si="87"/>
        <v>1500000</v>
      </c>
      <c r="AE80" s="15">
        <f t="shared" si="87"/>
        <v>1500000</v>
      </c>
      <c r="AF80" s="15">
        <f t="shared" si="87"/>
        <v>1500000</v>
      </c>
      <c r="AG80" s="15">
        <f t="shared" si="87"/>
        <v>1500000</v>
      </c>
      <c r="AH80" s="15">
        <f t="shared" si="87"/>
        <v>1500000</v>
      </c>
      <c r="AI80" s="15">
        <f t="shared" si="87"/>
        <v>1500000</v>
      </c>
      <c r="AJ80" s="15">
        <f t="shared" si="87"/>
        <v>1500000</v>
      </c>
      <c r="AK80" s="15">
        <f t="shared" si="87"/>
        <v>1500000</v>
      </c>
      <c r="AL80" s="15">
        <f t="shared" si="87"/>
        <v>1500000</v>
      </c>
      <c r="AM80" s="15">
        <f t="shared" si="87"/>
        <v>1500000</v>
      </c>
      <c r="AN80" s="15">
        <f t="shared" si="87"/>
        <v>1500000</v>
      </c>
      <c r="AO80" s="15">
        <f t="shared" si="87"/>
        <v>1500000</v>
      </c>
      <c r="AP80" s="15">
        <f t="shared" si="87"/>
        <v>1500000</v>
      </c>
    </row>
    <row r="81" spans="1:43" s="22" customFormat="1" x14ac:dyDescent="0.4">
      <c r="A81" s="104" t="s">
        <v>73</v>
      </c>
      <c r="E81" s="102">
        <f>E80*E76</f>
        <v>36505062</v>
      </c>
      <c r="F81" s="102">
        <f t="shared" ref="F81:AP81" si="88">F80*F76</f>
        <v>38419128</v>
      </c>
      <c r="G81" s="102">
        <f t="shared" si="88"/>
        <v>40381044</v>
      </c>
      <c r="H81" s="102">
        <f t="shared" si="88"/>
        <v>75391998</v>
      </c>
      <c r="I81" s="102">
        <f t="shared" si="88"/>
        <v>77453178</v>
      </c>
      <c r="J81" s="102">
        <f t="shared" si="88"/>
        <v>79565904</v>
      </c>
      <c r="K81" s="102">
        <f t="shared" si="88"/>
        <v>81731496</v>
      </c>
      <c r="L81" s="102">
        <f t="shared" si="88"/>
        <v>83951208</v>
      </c>
      <c r="M81" s="102">
        <f t="shared" si="88"/>
        <v>86186430</v>
      </c>
      <c r="N81" s="102">
        <f t="shared" si="88"/>
        <v>87849894</v>
      </c>
      <c r="O81" s="102">
        <f t="shared" si="88"/>
        <v>89554872</v>
      </c>
      <c r="P81" s="102">
        <f t="shared" si="88"/>
        <v>91302552</v>
      </c>
      <c r="Q81" s="102">
        <f t="shared" si="88"/>
        <v>93093858</v>
      </c>
      <c r="R81" s="102">
        <f t="shared" si="88"/>
        <v>94930044</v>
      </c>
      <c r="S81" s="102">
        <f t="shared" si="88"/>
        <v>96812034</v>
      </c>
      <c r="T81" s="102">
        <f t="shared" si="88"/>
        <v>98741148</v>
      </c>
      <c r="U81" s="102">
        <f t="shared" si="88"/>
        <v>99000000</v>
      </c>
      <c r="V81" s="102">
        <f t="shared" si="88"/>
        <v>99000000</v>
      </c>
      <c r="W81" s="102">
        <f t="shared" si="88"/>
        <v>99000000</v>
      </c>
      <c r="X81" s="102">
        <f t="shared" si="88"/>
        <v>99000000</v>
      </c>
      <c r="Y81" s="102">
        <f t="shared" si="88"/>
        <v>99000000</v>
      </c>
      <c r="Z81" s="102">
        <f t="shared" si="88"/>
        <v>99000000</v>
      </c>
      <c r="AA81" s="102">
        <f t="shared" si="88"/>
        <v>99000000</v>
      </c>
      <c r="AB81" s="102">
        <f t="shared" si="88"/>
        <v>99000000</v>
      </c>
      <c r="AC81" s="102">
        <f t="shared" si="88"/>
        <v>99000000</v>
      </c>
      <c r="AD81" s="102">
        <f t="shared" si="88"/>
        <v>99000000</v>
      </c>
      <c r="AE81" s="102">
        <f t="shared" si="88"/>
        <v>99000000</v>
      </c>
      <c r="AF81" s="102">
        <f t="shared" si="88"/>
        <v>99000000</v>
      </c>
      <c r="AG81" s="102">
        <f t="shared" si="88"/>
        <v>99000000</v>
      </c>
      <c r="AH81" s="102">
        <f t="shared" si="88"/>
        <v>99000000</v>
      </c>
      <c r="AI81" s="102">
        <f t="shared" si="88"/>
        <v>99000000</v>
      </c>
      <c r="AJ81" s="102">
        <f t="shared" si="88"/>
        <v>99000000</v>
      </c>
      <c r="AK81" s="102">
        <f t="shared" si="88"/>
        <v>99000000</v>
      </c>
      <c r="AL81" s="102">
        <f t="shared" si="88"/>
        <v>99000000</v>
      </c>
      <c r="AM81" s="102">
        <f t="shared" si="88"/>
        <v>99000000</v>
      </c>
      <c r="AN81" s="102">
        <f t="shared" si="88"/>
        <v>99000000</v>
      </c>
      <c r="AO81" s="102">
        <f t="shared" si="88"/>
        <v>99000000</v>
      </c>
      <c r="AP81" s="102">
        <f t="shared" si="88"/>
        <v>99000000</v>
      </c>
    </row>
    <row r="82" spans="1:43" x14ac:dyDescent="0.4">
      <c r="A82" s="70" t="s">
        <v>74</v>
      </c>
      <c r="E82" s="15">
        <f>E77-E81</f>
        <v>347879154</v>
      </c>
      <c r="F82" s="15">
        <f t="shared" ref="F82:AP82" si="89">F77-F81</f>
        <v>356550331</v>
      </c>
      <c r="G82" s="15">
        <f t="shared" si="89"/>
        <v>365438289</v>
      </c>
      <c r="H82" s="15">
        <f t="shared" si="89"/>
        <v>341548455</v>
      </c>
      <c r="I82" s="15">
        <f t="shared" si="89"/>
        <v>350886423</v>
      </c>
      <c r="J82" s="15">
        <f t="shared" si="89"/>
        <v>360457824</v>
      </c>
      <c r="K82" s="15">
        <f t="shared" si="89"/>
        <v>370268462</v>
      </c>
      <c r="L82" s="15">
        <f t="shared" si="89"/>
        <v>380324386</v>
      </c>
      <c r="M82" s="15">
        <f t="shared" si="89"/>
        <v>390450561</v>
      </c>
      <c r="N82" s="15">
        <f t="shared" si="89"/>
        <v>397986493</v>
      </c>
      <c r="O82" s="15">
        <f t="shared" si="89"/>
        <v>405710791</v>
      </c>
      <c r="P82" s="15">
        <f t="shared" si="89"/>
        <v>413628144</v>
      </c>
      <c r="Q82" s="15">
        <f t="shared" si="89"/>
        <v>421743524</v>
      </c>
      <c r="R82" s="15">
        <f t="shared" si="89"/>
        <v>430061689</v>
      </c>
      <c r="S82" s="15">
        <f t="shared" si="89"/>
        <v>438587939</v>
      </c>
      <c r="T82" s="15">
        <f t="shared" si="89"/>
        <v>447327212</v>
      </c>
      <c r="U82" s="15">
        <f t="shared" si="89"/>
        <v>448500000</v>
      </c>
      <c r="V82" s="15">
        <f t="shared" si="89"/>
        <v>448500000</v>
      </c>
      <c r="W82" s="15">
        <f t="shared" si="89"/>
        <v>448500000</v>
      </c>
      <c r="X82" s="15">
        <f t="shared" si="89"/>
        <v>448500000</v>
      </c>
      <c r="Y82" s="15">
        <f t="shared" si="89"/>
        <v>448500000</v>
      </c>
      <c r="Z82" s="15">
        <f t="shared" si="89"/>
        <v>448500000</v>
      </c>
      <c r="AA82" s="15">
        <f t="shared" si="89"/>
        <v>448500000</v>
      </c>
      <c r="AB82" s="15">
        <f t="shared" si="89"/>
        <v>448500000</v>
      </c>
      <c r="AC82" s="15">
        <f t="shared" si="89"/>
        <v>448500000</v>
      </c>
      <c r="AD82" s="15">
        <f t="shared" si="89"/>
        <v>448500000</v>
      </c>
      <c r="AE82" s="15">
        <f t="shared" si="89"/>
        <v>448500000</v>
      </c>
      <c r="AF82" s="15">
        <f t="shared" si="89"/>
        <v>448500000</v>
      </c>
      <c r="AG82" s="15">
        <f t="shared" si="89"/>
        <v>448500000</v>
      </c>
      <c r="AH82" s="15">
        <f t="shared" si="89"/>
        <v>448500000</v>
      </c>
      <c r="AI82" s="15">
        <f t="shared" si="89"/>
        <v>448500000</v>
      </c>
      <c r="AJ82" s="15">
        <f t="shared" si="89"/>
        <v>448500000</v>
      </c>
      <c r="AK82" s="15">
        <f t="shared" si="89"/>
        <v>448500000</v>
      </c>
      <c r="AL82" s="15">
        <f t="shared" si="89"/>
        <v>448500000</v>
      </c>
      <c r="AM82" s="15">
        <f t="shared" si="89"/>
        <v>448500000</v>
      </c>
      <c r="AN82" s="15">
        <f t="shared" si="89"/>
        <v>448500000</v>
      </c>
      <c r="AO82" s="15">
        <f t="shared" si="89"/>
        <v>448500000</v>
      </c>
      <c r="AP82" s="15">
        <f t="shared" si="89"/>
        <v>448500000</v>
      </c>
    </row>
    <row r="83" spans="1:43" s="22" customFormat="1" x14ac:dyDescent="0.4">
      <c r="A83" s="104"/>
      <c r="E83" s="102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3" s="22" customFormat="1" x14ac:dyDescent="0.4">
      <c r="A84" s="90" t="s">
        <v>75</v>
      </c>
      <c r="E84" s="10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3" s="22" customFormat="1" x14ac:dyDescent="0.4">
      <c r="A85" s="104" t="s">
        <v>76</v>
      </c>
      <c r="B85" s="102">
        <f t="shared" ref="B85:D86" si="90">B37</f>
        <v>377262514</v>
      </c>
      <c r="C85" s="102">
        <f t="shared" si="90"/>
        <v>384166418.00619996</v>
      </c>
      <c r="D85" s="102">
        <f t="shared" si="90"/>
        <v>391235080.09751403</v>
      </c>
      <c r="E85" s="102">
        <f t="shared" ref="E85:AP85" si="91">E71+E81</f>
        <v>219005062</v>
      </c>
      <c r="F85" s="102">
        <f t="shared" si="91"/>
        <v>220919128</v>
      </c>
      <c r="G85" s="102">
        <f t="shared" si="91"/>
        <v>222881044</v>
      </c>
      <c r="H85" s="102">
        <f t="shared" si="91"/>
        <v>257891998</v>
      </c>
      <c r="I85" s="102">
        <f t="shared" si="91"/>
        <v>259953178</v>
      </c>
      <c r="J85" s="102">
        <f t="shared" si="91"/>
        <v>262065904</v>
      </c>
      <c r="K85" s="102">
        <f t="shared" si="91"/>
        <v>264231496</v>
      </c>
      <c r="L85" s="102">
        <f t="shared" si="91"/>
        <v>266451208</v>
      </c>
      <c r="M85" s="102">
        <f t="shared" si="91"/>
        <v>268907560</v>
      </c>
      <c r="N85" s="102">
        <f t="shared" si="91"/>
        <v>274268718</v>
      </c>
      <c r="O85" s="102">
        <f t="shared" si="91"/>
        <v>279763937</v>
      </c>
      <c r="P85" s="102">
        <f t="shared" si="91"/>
        <v>285396589</v>
      </c>
      <c r="Q85" s="102">
        <f t="shared" si="91"/>
        <v>291169964</v>
      </c>
      <c r="R85" s="102">
        <f t="shared" si="91"/>
        <v>297087773</v>
      </c>
      <c r="S85" s="102">
        <f t="shared" si="91"/>
        <v>303153397</v>
      </c>
      <c r="T85" s="102">
        <f t="shared" si="91"/>
        <v>309370795</v>
      </c>
      <c r="U85" s="102">
        <f t="shared" si="91"/>
        <v>323528594</v>
      </c>
      <c r="V85" s="102">
        <f t="shared" si="91"/>
        <v>339242446</v>
      </c>
      <c r="W85" s="102">
        <f t="shared" si="91"/>
        <v>355349144</v>
      </c>
      <c r="X85" s="102">
        <f t="shared" si="91"/>
        <v>371858510</v>
      </c>
      <c r="Y85" s="102">
        <f t="shared" si="91"/>
        <v>388780610</v>
      </c>
      <c r="Z85" s="102">
        <f t="shared" si="91"/>
        <v>406125762</v>
      </c>
      <c r="AA85" s="102">
        <f t="shared" si="91"/>
        <v>423904543</v>
      </c>
      <c r="AB85" s="102">
        <f t="shared" si="91"/>
        <v>442127794</v>
      </c>
      <c r="AC85" s="102">
        <f t="shared" si="91"/>
        <v>460806626</v>
      </c>
      <c r="AD85" s="102">
        <f t="shared" si="91"/>
        <v>479952429</v>
      </c>
      <c r="AE85" s="102">
        <f t="shared" si="91"/>
        <v>499576877</v>
      </c>
      <c r="AF85" s="102">
        <f t="shared" si="91"/>
        <v>519691936</v>
      </c>
      <c r="AG85" s="102">
        <f t="shared" si="91"/>
        <v>540309872</v>
      </c>
      <c r="AH85" s="102">
        <f t="shared" si="91"/>
        <v>561443256</v>
      </c>
      <c r="AI85" s="102">
        <f t="shared" si="91"/>
        <v>583104975</v>
      </c>
      <c r="AJ85" s="102">
        <f t="shared" si="91"/>
        <v>605308237</v>
      </c>
      <c r="AK85" s="102">
        <f t="shared" si="91"/>
        <v>628066580</v>
      </c>
      <c r="AL85" s="102">
        <f t="shared" si="91"/>
        <v>651393882</v>
      </c>
      <c r="AM85" s="102">
        <f t="shared" si="91"/>
        <v>675304366</v>
      </c>
      <c r="AN85" s="102">
        <f t="shared" si="91"/>
        <v>699812612</v>
      </c>
      <c r="AO85" s="102">
        <f t="shared" si="91"/>
        <v>724933564</v>
      </c>
      <c r="AP85" s="102">
        <f t="shared" si="91"/>
        <v>750682540</v>
      </c>
    </row>
    <row r="86" spans="1:43" s="22" customFormat="1" x14ac:dyDescent="0.4">
      <c r="A86" s="104" t="s">
        <v>77</v>
      </c>
      <c r="B86" s="113">
        <f t="shared" si="90"/>
        <v>159390000</v>
      </c>
      <c r="C86" s="113">
        <f t="shared" si="90"/>
        <v>162315545.99380004</v>
      </c>
      <c r="D86" s="113">
        <f t="shared" si="90"/>
        <v>165322069.90248597</v>
      </c>
      <c r="E86" s="111">
        <f t="shared" ref="E86:AP86" si="92">E77-E81</f>
        <v>347879154</v>
      </c>
      <c r="F86" s="111">
        <f t="shared" si="92"/>
        <v>356550331</v>
      </c>
      <c r="G86" s="111">
        <f t="shared" si="92"/>
        <v>365438289</v>
      </c>
      <c r="H86" s="111">
        <f t="shared" si="92"/>
        <v>341548455</v>
      </c>
      <c r="I86" s="111">
        <f t="shared" si="92"/>
        <v>350886423</v>
      </c>
      <c r="J86" s="111">
        <f t="shared" si="92"/>
        <v>360457824</v>
      </c>
      <c r="K86" s="111">
        <f t="shared" si="92"/>
        <v>370268462</v>
      </c>
      <c r="L86" s="111">
        <f t="shared" si="92"/>
        <v>380324386</v>
      </c>
      <c r="M86" s="111">
        <f t="shared" si="92"/>
        <v>390450561</v>
      </c>
      <c r="N86" s="111">
        <f t="shared" si="92"/>
        <v>397986493</v>
      </c>
      <c r="O86" s="111">
        <f t="shared" si="92"/>
        <v>405710791</v>
      </c>
      <c r="P86" s="111">
        <f t="shared" si="92"/>
        <v>413628144</v>
      </c>
      <c r="Q86" s="111">
        <f t="shared" si="92"/>
        <v>421743524</v>
      </c>
      <c r="R86" s="111">
        <f t="shared" si="92"/>
        <v>430061689</v>
      </c>
      <c r="S86" s="111">
        <f t="shared" si="92"/>
        <v>438587939</v>
      </c>
      <c r="T86" s="111">
        <f t="shared" si="92"/>
        <v>447327212</v>
      </c>
      <c r="U86" s="111">
        <f t="shared" si="92"/>
        <v>448500000</v>
      </c>
      <c r="V86" s="111">
        <f t="shared" si="92"/>
        <v>448500000</v>
      </c>
      <c r="W86" s="111">
        <f t="shared" si="92"/>
        <v>448500000</v>
      </c>
      <c r="X86" s="111">
        <f t="shared" si="92"/>
        <v>448500000</v>
      </c>
      <c r="Y86" s="111">
        <f t="shared" si="92"/>
        <v>448500000</v>
      </c>
      <c r="Z86" s="111">
        <f t="shared" si="92"/>
        <v>448500000</v>
      </c>
      <c r="AA86" s="111">
        <f t="shared" si="92"/>
        <v>448500000</v>
      </c>
      <c r="AB86" s="111">
        <f t="shared" si="92"/>
        <v>448500000</v>
      </c>
      <c r="AC86" s="111">
        <f t="shared" si="92"/>
        <v>448500000</v>
      </c>
      <c r="AD86" s="111">
        <f t="shared" si="92"/>
        <v>448500000</v>
      </c>
      <c r="AE86" s="111">
        <f t="shared" si="92"/>
        <v>448500000</v>
      </c>
      <c r="AF86" s="111">
        <f t="shared" si="92"/>
        <v>448500000</v>
      </c>
      <c r="AG86" s="111">
        <f t="shared" si="92"/>
        <v>448500000</v>
      </c>
      <c r="AH86" s="111">
        <f t="shared" si="92"/>
        <v>448500000</v>
      </c>
      <c r="AI86" s="111">
        <f t="shared" si="92"/>
        <v>448500000</v>
      </c>
      <c r="AJ86" s="111">
        <f t="shared" si="92"/>
        <v>448500000</v>
      </c>
      <c r="AK86" s="111">
        <f t="shared" si="92"/>
        <v>448500000</v>
      </c>
      <c r="AL86" s="111">
        <f t="shared" si="92"/>
        <v>448500000</v>
      </c>
      <c r="AM86" s="111">
        <f t="shared" si="92"/>
        <v>448500000</v>
      </c>
      <c r="AN86" s="111">
        <f t="shared" si="92"/>
        <v>448500000</v>
      </c>
      <c r="AO86" s="111">
        <f t="shared" si="92"/>
        <v>448500000</v>
      </c>
      <c r="AP86" s="111">
        <f t="shared" si="92"/>
        <v>448500000</v>
      </c>
    </row>
    <row r="87" spans="1:43" s="22" customFormat="1" ht="13.95" customHeight="1" x14ac:dyDescent="0.4">
      <c r="A87" s="22" t="s">
        <v>78</v>
      </c>
      <c r="B87" s="107">
        <f t="shared" ref="B87:D87" si="93">SUM(B85:B86)</f>
        <v>536652514</v>
      </c>
      <c r="C87" s="107">
        <f t="shared" si="93"/>
        <v>546481964</v>
      </c>
      <c r="D87" s="107">
        <f t="shared" si="93"/>
        <v>556557150</v>
      </c>
      <c r="E87" s="107">
        <f>SUM(E85:E86)</f>
        <v>566884216</v>
      </c>
      <c r="F87" s="107">
        <f t="shared" ref="F87:AP87" si="94">SUM(F85:F86)</f>
        <v>577469459</v>
      </c>
      <c r="G87" s="107">
        <f t="shared" si="94"/>
        <v>588319333</v>
      </c>
      <c r="H87" s="107">
        <f t="shared" si="94"/>
        <v>599440453</v>
      </c>
      <c r="I87" s="107">
        <f t="shared" si="94"/>
        <v>610839601</v>
      </c>
      <c r="J87" s="107">
        <f t="shared" si="94"/>
        <v>622523728</v>
      </c>
      <c r="K87" s="107">
        <f t="shared" si="94"/>
        <v>634499958</v>
      </c>
      <c r="L87" s="107">
        <f t="shared" si="94"/>
        <v>646775594</v>
      </c>
      <c r="M87" s="107">
        <f t="shared" si="94"/>
        <v>659358121</v>
      </c>
      <c r="N87" s="107">
        <f t="shared" si="94"/>
        <v>672255211</v>
      </c>
      <c r="O87" s="107">
        <f t="shared" si="94"/>
        <v>685474728</v>
      </c>
      <c r="P87" s="107">
        <f t="shared" si="94"/>
        <v>699024733</v>
      </c>
      <c r="Q87" s="107">
        <f t="shared" si="94"/>
        <v>712913488</v>
      </c>
      <c r="R87" s="107">
        <f t="shared" si="94"/>
        <v>727149462</v>
      </c>
      <c r="S87" s="107">
        <f t="shared" si="94"/>
        <v>741741336</v>
      </c>
      <c r="T87" s="107">
        <f t="shared" si="94"/>
        <v>756698007</v>
      </c>
      <c r="U87" s="107">
        <f t="shared" si="94"/>
        <v>772028594</v>
      </c>
      <c r="V87" s="107">
        <f t="shared" si="94"/>
        <v>787742446</v>
      </c>
      <c r="W87" s="107">
        <f t="shared" si="94"/>
        <v>803849144</v>
      </c>
      <c r="X87" s="107">
        <f t="shared" si="94"/>
        <v>820358510</v>
      </c>
      <c r="Y87" s="107">
        <f t="shared" si="94"/>
        <v>837280610</v>
      </c>
      <c r="Z87" s="107">
        <f t="shared" si="94"/>
        <v>854625762</v>
      </c>
      <c r="AA87" s="107">
        <f t="shared" si="94"/>
        <v>872404543</v>
      </c>
      <c r="AB87" s="107">
        <f t="shared" si="94"/>
        <v>890627794</v>
      </c>
      <c r="AC87" s="107">
        <f t="shared" si="94"/>
        <v>909306626</v>
      </c>
      <c r="AD87" s="107">
        <f t="shared" si="94"/>
        <v>928452429</v>
      </c>
      <c r="AE87" s="107">
        <f t="shared" si="94"/>
        <v>948076877</v>
      </c>
      <c r="AF87" s="107">
        <f t="shared" si="94"/>
        <v>968191936</v>
      </c>
      <c r="AG87" s="107">
        <f t="shared" si="94"/>
        <v>988809872</v>
      </c>
      <c r="AH87" s="107">
        <f t="shared" si="94"/>
        <v>1009943256</v>
      </c>
      <c r="AI87" s="107">
        <f t="shared" si="94"/>
        <v>1031604975</v>
      </c>
      <c r="AJ87" s="107">
        <f t="shared" si="94"/>
        <v>1053808237</v>
      </c>
      <c r="AK87" s="107">
        <f t="shared" si="94"/>
        <v>1076566580</v>
      </c>
      <c r="AL87" s="107">
        <f t="shared" si="94"/>
        <v>1099893882</v>
      </c>
      <c r="AM87" s="107">
        <f t="shared" si="94"/>
        <v>1123804366</v>
      </c>
      <c r="AN87" s="107">
        <f t="shared" si="94"/>
        <v>1148312612</v>
      </c>
      <c r="AO87" s="107">
        <f t="shared" si="94"/>
        <v>1173433564</v>
      </c>
      <c r="AP87" s="107">
        <f t="shared" si="94"/>
        <v>1199182540</v>
      </c>
    </row>
    <row r="88" spans="1:43" s="22" customFormat="1" x14ac:dyDescent="0.4">
      <c r="A88" s="104" t="s">
        <v>79</v>
      </c>
      <c r="B88" s="113">
        <f>B5</f>
        <v>536652514</v>
      </c>
      <c r="C88" s="113">
        <f t="shared" ref="C88:AP88" si="95">C28</f>
        <v>546481964</v>
      </c>
      <c r="D88" s="113">
        <f t="shared" si="95"/>
        <v>556557150</v>
      </c>
      <c r="E88" s="113">
        <f t="shared" si="95"/>
        <v>566884216</v>
      </c>
      <c r="F88" s="113">
        <f t="shared" si="95"/>
        <v>577469459</v>
      </c>
      <c r="G88" s="113">
        <f t="shared" si="95"/>
        <v>588319333</v>
      </c>
      <c r="H88" s="113">
        <f t="shared" si="95"/>
        <v>599440453</v>
      </c>
      <c r="I88" s="113">
        <f t="shared" si="95"/>
        <v>610839601</v>
      </c>
      <c r="J88" s="113">
        <f t="shared" si="95"/>
        <v>622523728</v>
      </c>
      <c r="K88" s="113">
        <f t="shared" si="95"/>
        <v>634499958</v>
      </c>
      <c r="L88" s="113">
        <f t="shared" si="95"/>
        <v>646775594</v>
      </c>
      <c r="M88" s="113">
        <f t="shared" si="95"/>
        <v>659358121</v>
      </c>
      <c r="N88" s="113">
        <f t="shared" si="95"/>
        <v>672255211</v>
      </c>
      <c r="O88" s="113">
        <f t="shared" si="95"/>
        <v>685474728</v>
      </c>
      <c r="P88" s="113">
        <f t="shared" si="95"/>
        <v>699024733</v>
      </c>
      <c r="Q88" s="113">
        <f t="shared" si="95"/>
        <v>712913488</v>
      </c>
      <c r="R88" s="113">
        <f t="shared" si="95"/>
        <v>727149462</v>
      </c>
      <c r="S88" s="113">
        <f t="shared" si="95"/>
        <v>741741336</v>
      </c>
      <c r="T88" s="113">
        <f t="shared" si="95"/>
        <v>756698007</v>
      </c>
      <c r="U88" s="113">
        <f t="shared" si="95"/>
        <v>772028594</v>
      </c>
      <c r="V88" s="113">
        <f t="shared" si="95"/>
        <v>787742446</v>
      </c>
      <c r="W88" s="113">
        <f t="shared" si="95"/>
        <v>803849144</v>
      </c>
      <c r="X88" s="113">
        <f t="shared" si="95"/>
        <v>820358510</v>
      </c>
      <c r="Y88" s="113">
        <f t="shared" si="95"/>
        <v>837280610</v>
      </c>
      <c r="Z88" s="113">
        <f t="shared" si="95"/>
        <v>854625762</v>
      </c>
      <c r="AA88" s="113">
        <f t="shared" si="95"/>
        <v>872404543</v>
      </c>
      <c r="AB88" s="113">
        <f t="shared" si="95"/>
        <v>890627794</v>
      </c>
      <c r="AC88" s="113">
        <f t="shared" si="95"/>
        <v>909306626</v>
      </c>
      <c r="AD88" s="113">
        <f t="shared" si="95"/>
        <v>928452429</v>
      </c>
      <c r="AE88" s="113">
        <f t="shared" si="95"/>
        <v>948076877</v>
      </c>
      <c r="AF88" s="113">
        <f t="shared" si="95"/>
        <v>968191936</v>
      </c>
      <c r="AG88" s="113">
        <f t="shared" si="95"/>
        <v>988809872</v>
      </c>
      <c r="AH88" s="113">
        <f t="shared" si="95"/>
        <v>1009943256</v>
      </c>
      <c r="AI88" s="113">
        <f t="shared" si="95"/>
        <v>1031604975</v>
      </c>
      <c r="AJ88" s="113">
        <f t="shared" si="95"/>
        <v>1053808237</v>
      </c>
      <c r="AK88" s="113">
        <f t="shared" si="95"/>
        <v>1076566580</v>
      </c>
      <c r="AL88" s="113">
        <f t="shared" si="95"/>
        <v>1099893882</v>
      </c>
      <c r="AM88" s="113">
        <f t="shared" si="95"/>
        <v>1123804366</v>
      </c>
      <c r="AN88" s="113">
        <f t="shared" si="95"/>
        <v>1148312612</v>
      </c>
      <c r="AO88" s="113">
        <f t="shared" si="95"/>
        <v>1173433564</v>
      </c>
      <c r="AP88" s="113">
        <f t="shared" si="95"/>
        <v>1199182540</v>
      </c>
    </row>
    <row r="89" spans="1:43" s="22" customFormat="1" x14ac:dyDescent="0.4">
      <c r="A89" s="104" t="s">
        <v>80</v>
      </c>
      <c r="B89" s="107">
        <f>B87-B88</f>
        <v>0</v>
      </c>
      <c r="C89" s="107">
        <f t="shared" ref="C89:AP89" si="96">C87-C88</f>
        <v>0</v>
      </c>
      <c r="D89" s="107">
        <f t="shared" si="96"/>
        <v>0</v>
      </c>
      <c r="E89" s="107">
        <f t="shared" si="96"/>
        <v>0</v>
      </c>
      <c r="F89" s="107">
        <f t="shared" si="96"/>
        <v>0</v>
      </c>
      <c r="G89" s="107">
        <f t="shared" si="96"/>
        <v>0</v>
      </c>
      <c r="H89" s="107">
        <f t="shared" si="96"/>
        <v>0</v>
      </c>
      <c r="I89" s="107">
        <f t="shared" si="96"/>
        <v>0</v>
      </c>
      <c r="J89" s="107">
        <f t="shared" si="96"/>
        <v>0</v>
      </c>
      <c r="K89" s="107">
        <f t="shared" si="96"/>
        <v>0</v>
      </c>
      <c r="L89" s="107">
        <f t="shared" si="96"/>
        <v>0</v>
      </c>
      <c r="M89" s="107">
        <f t="shared" si="96"/>
        <v>0</v>
      </c>
      <c r="N89" s="107">
        <f t="shared" si="96"/>
        <v>0</v>
      </c>
      <c r="O89" s="107">
        <f t="shared" si="96"/>
        <v>0</v>
      </c>
      <c r="P89" s="107">
        <f t="shared" si="96"/>
        <v>0</v>
      </c>
      <c r="Q89" s="107">
        <f t="shared" si="96"/>
        <v>0</v>
      </c>
      <c r="R89" s="107">
        <f t="shared" si="96"/>
        <v>0</v>
      </c>
      <c r="S89" s="107">
        <f t="shared" si="96"/>
        <v>0</v>
      </c>
      <c r="T89" s="107">
        <f t="shared" si="96"/>
        <v>0</v>
      </c>
      <c r="U89" s="107">
        <f t="shared" si="96"/>
        <v>0</v>
      </c>
      <c r="V89" s="107">
        <f t="shared" si="96"/>
        <v>0</v>
      </c>
      <c r="W89" s="107">
        <f t="shared" si="96"/>
        <v>0</v>
      </c>
      <c r="X89" s="107">
        <f t="shared" si="96"/>
        <v>0</v>
      </c>
      <c r="Y89" s="107">
        <f t="shared" si="96"/>
        <v>0</v>
      </c>
      <c r="Z89" s="107">
        <f t="shared" si="96"/>
        <v>0</v>
      </c>
      <c r="AA89" s="107">
        <f t="shared" si="96"/>
        <v>0</v>
      </c>
      <c r="AB89" s="107">
        <f t="shared" si="96"/>
        <v>0</v>
      </c>
      <c r="AC89" s="107">
        <f t="shared" si="96"/>
        <v>0</v>
      </c>
      <c r="AD89" s="107">
        <f t="shared" si="96"/>
        <v>0</v>
      </c>
      <c r="AE89" s="107">
        <f t="shared" si="96"/>
        <v>0</v>
      </c>
      <c r="AF89" s="107">
        <f t="shared" si="96"/>
        <v>0</v>
      </c>
      <c r="AG89" s="107">
        <f t="shared" si="96"/>
        <v>0</v>
      </c>
      <c r="AH89" s="107">
        <f t="shared" si="96"/>
        <v>0</v>
      </c>
      <c r="AI89" s="107">
        <f t="shared" si="96"/>
        <v>0</v>
      </c>
      <c r="AJ89" s="107">
        <f t="shared" si="96"/>
        <v>0</v>
      </c>
      <c r="AK89" s="107">
        <f t="shared" si="96"/>
        <v>0</v>
      </c>
      <c r="AL89" s="107">
        <f t="shared" si="96"/>
        <v>0</v>
      </c>
      <c r="AM89" s="107">
        <f t="shared" si="96"/>
        <v>0</v>
      </c>
      <c r="AN89" s="107">
        <f t="shared" si="96"/>
        <v>0</v>
      </c>
      <c r="AO89" s="107">
        <f t="shared" si="96"/>
        <v>0</v>
      </c>
      <c r="AP89" s="107">
        <f t="shared" si="96"/>
        <v>0</v>
      </c>
    </row>
    <row r="91" spans="1:43" x14ac:dyDescent="0.4">
      <c r="A91" s="70" t="s">
        <v>81</v>
      </c>
      <c r="B91" s="88">
        <f>B85/365</f>
        <v>1033595.9287671233</v>
      </c>
      <c r="C91" s="88">
        <f t="shared" ref="C91:AP91" si="97">C85/365</f>
        <v>1052510.7342635614</v>
      </c>
      <c r="D91" s="88">
        <f t="shared" si="97"/>
        <v>1071876.9317740111</v>
      </c>
      <c r="E91" s="88">
        <f t="shared" si="97"/>
        <v>600013.86849315069</v>
      </c>
      <c r="F91" s="88">
        <f t="shared" si="97"/>
        <v>605257.88493150682</v>
      </c>
      <c r="G91" s="88">
        <f t="shared" si="97"/>
        <v>610632.99726027402</v>
      </c>
      <c r="H91" s="88">
        <f t="shared" si="97"/>
        <v>706553.41917808214</v>
      </c>
      <c r="I91" s="88">
        <f t="shared" si="97"/>
        <v>712200.4876712329</v>
      </c>
      <c r="J91" s="88">
        <f t="shared" si="97"/>
        <v>717988.77808219183</v>
      </c>
      <c r="K91" s="88">
        <f t="shared" si="97"/>
        <v>723921.90684931504</v>
      </c>
      <c r="L91" s="88">
        <f t="shared" si="97"/>
        <v>730003.30958904105</v>
      </c>
      <c r="M91" s="88">
        <f t="shared" si="97"/>
        <v>736733.04109589045</v>
      </c>
      <c r="N91" s="88">
        <f t="shared" si="97"/>
        <v>751421.14520547946</v>
      </c>
      <c r="O91" s="88">
        <f t="shared" si="97"/>
        <v>766476.5397260274</v>
      </c>
      <c r="P91" s="88">
        <f t="shared" si="97"/>
        <v>781908.46301369858</v>
      </c>
      <c r="Q91" s="88">
        <f t="shared" si="97"/>
        <v>797725.92876712326</v>
      </c>
      <c r="R91" s="88">
        <f t="shared" si="97"/>
        <v>813939.10410958901</v>
      </c>
      <c r="S91" s="88">
        <f t="shared" si="97"/>
        <v>830557.25205479458</v>
      </c>
      <c r="T91" s="88">
        <f t="shared" si="97"/>
        <v>847591.21917808219</v>
      </c>
      <c r="U91" s="88">
        <f t="shared" si="97"/>
        <v>886379.70958904107</v>
      </c>
      <c r="V91" s="88">
        <f t="shared" si="97"/>
        <v>929431.35890410957</v>
      </c>
      <c r="W91" s="88">
        <f t="shared" si="97"/>
        <v>973559.298630137</v>
      </c>
      <c r="X91" s="88">
        <f t="shared" si="97"/>
        <v>1018790.4383561644</v>
      </c>
      <c r="Y91" s="88">
        <f t="shared" si="97"/>
        <v>1065152.3561643835</v>
      </c>
      <c r="Z91" s="88">
        <f t="shared" si="97"/>
        <v>1112673.3205479451</v>
      </c>
      <c r="AA91" s="88">
        <f t="shared" si="97"/>
        <v>1161382.3095890412</v>
      </c>
      <c r="AB91" s="88">
        <f t="shared" si="97"/>
        <v>1211309.0246575342</v>
      </c>
      <c r="AC91" s="88">
        <f t="shared" si="97"/>
        <v>1262483.9068493152</v>
      </c>
      <c r="AD91" s="88">
        <f t="shared" si="97"/>
        <v>1314938.1616438357</v>
      </c>
      <c r="AE91" s="88">
        <f t="shared" si="97"/>
        <v>1368703.7726027397</v>
      </c>
      <c r="AF91" s="88">
        <f t="shared" si="97"/>
        <v>1423813.5232876712</v>
      </c>
      <c r="AG91" s="88">
        <f t="shared" si="97"/>
        <v>1480301.0191780822</v>
      </c>
      <c r="AH91" s="88">
        <f t="shared" si="97"/>
        <v>1538200.701369863</v>
      </c>
      <c r="AI91" s="88">
        <f t="shared" si="97"/>
        <v>1597547.8767123288</v>
      </c>
      <c r="AJ91" s="88">
        <f t="shared" si="97"/>
        <v>1658378.7315068494</v>
      </c>
      <c r="AK91" s="88">
        <f t="shared" si="97"/>
        <v>1720730.3561643835</v>
      </c>
      <c r="AL91" s="88">
        <f t="shared" si="97"/>
        <v>1784640.7726027397</v>
      </c>
      <c r="AM91" s="88">
        <f t="shared" si="97"/>
        <v>1850148.9479452055</v>
      </c>
      <c r="AN91" s="88">
        <f t="shared" si="97"/>
        <v>1917294.8273972603</v>
      </c>
      <c r="AO91" s="88">
        <f t="shared" si="97"/>
        <v>1986119.3534246576</v>
      </c>
      <c r="AP91" s="88">
        <f t="shared" si="97"/>
        <v>2056664.493150685</v>
      </c>
    </row>
    <row r="92" spans="1:43" x14ac:dyDescent="0.4">
      <c r="A92" s="70" t="s">
        <v>82</v>
      </c>
      <c r="B92" s="88">
        <f>B86/365</f>
        <v>436684.9315068493</v>
      </c>
      <c r="C92" s="88">
        <f t="shared" ref="C92:AP92" si="98">C86/365</f>
        <v>444700.12601041107</v>
      </c>
      <c r="D92" s="88">
        <f t="shared" si="98"/>
        <v>452937.17781503004</v>
      </c>
      <c r="E92" s="88">
        <f t="shared" si="98"/>
        <v>953093.57260273967</v>
      </c>
      <c r="F92" s="88">
        <f t="shared" si="98"/>
        <v>976850.22191780817</v>
      </c>
      <c r="G92" s="88">
        <f t="shared" si="98"/>
        <v>1001200.7917808219</v>
      </c>
      <c r="H92" s="88">
        <f t="shared" si="98"/>
        <v>935749.19178082189</v>
      </c>
      <c r="I92" s="88">
        <f t="shared" si="98"/>
        <v>961332.66575342463</v>
      </c>
      <c r="J92" s="88">
        <f t="shared" si="98"/>
        <v>987555.68219178077</v>
      </c>
      <c r="K92" s="88">
        <f t="shared" si="98"/>
        <v>1014434.1424657535</v>
      </c>
      <c r="L92" s="88">
        <f t="shared" si="98"/>
        <v>1041984.6191780822</v>
      </c>
      <c r="M92" s="88">
        <f t="shared" si="98"/>
        <v>1069727.5643835617</v>
      </c>
      <c r="N92" s="88">
        <f t="shared" si="98"/>
        <v>1090373.9534246575</v>
      </c>
      <c r="O92" s="88">
        <f t="shared" si="98"/>
        <v>1111536.4136986302</v>
      </c>
      <c r="P92" s="88">
        <f t="shared" si="98"/>
        <v>1133227.791780822</v>
      </c>
      <c r="Q92" s="88">
        <f t="shared" si="98"/>
        <v>1155461.7095890411</v>
      </c>
      <c r="R92" s="88">
        <f t="shared" si="98"/>
        <v>1178251.2027397261</v>
      </c>
      <c r="S92" s="88">
        <f t="shared" si="98"/>
        <v>1201610.791780822</v>
      </c>
      <c r="T92" s="88">
        <f t="shared" si="98"/>
        <v>1225554.005479452</v>
      </c>
      <c r="U92" s="88">
        <f t="shared" si="98"/>
        <v>1228767.1232876712</v>
      </c>
      <c r="V92" s="88">
        <f t="shared" si="98"/>
        <v>1228767.1232876712</v>
      </c>
      <c r="W92" s="88">
        <f t="shared" si="98"/>
        <v>1228767.1232876712</v>
      </c>
      <c r="X92" s="88">
        <f t="shared" si="98"/>
        <v>1228767.1232876712</v>
      </c>
      <c r="Y92" s="88">
        <f t="shared" si="98"/>
        <v>1228767.1232876712</v>
      </c>
      <c r="Z92" s="88">
        <f t="shared" si="98"/>
        <v>1228767.1232876712</v>
      </c>
      <c r="AA92" s="88">
        <f t="shared" si="98"/>
        <v>1228767.1232876712</v>
      </c>
      <c r="AB92" s="88">
        <f t="shared" si="98"/>
        <v>1228767.1232876712</v>
      </c>
      <c r="AC92" s="88">
        <f t="shared" si="98"/>
        <v>1228767.1232876712</v>
      </c>
      <c r="AD92" s="88">
        <f t="shared" si="98"/>
        <v>1228767.1232876712</v>
      </c>
      <c r="AE92" s="88">
        <f t="shared" si="98"/>
        <v>1228767.1232876712</v>
      </c>
      <c r="AF92" s="88">
        <f t="shared" si="98"/>
        <v>1228767.1232876712</v>
      </c>
      <c r="AG92" s="88">
        <f t="shared" si="98"/>
        <v>1228767.1232876712</v>
      </c>
      <c r="AH92" s="88">
        <f t="shared" si="98"/>
        <v>1228767.1232876712</v>
      </c>
      <c r="AI92" s="88">
        <f t="shared" si="98"/>
        <v>1228767.1232876712</v>
      </c>
      <c r="AJ92" s="88">
        <f t="shared" si="98"/>
        <v>1228767.1232876712</v>
      </c>
      <c r="AK92" s="88">
        <f t="shared" si="98"/>
        <v>1228767.1232876712</v>
      </c>
      <c r="AL92" s="88">
        <f t="shared" si="98"/>
        <v>1228767.1232876712</v>
      </c>
      <c r="AM92" s="88">
        <f t="shared" si="98"/>
        <v>1228767.1232876712</v>
      </c>
      <c r="AN92" s="88">
        <f t="shared" si="98"/>
        <v>1228767.1232876712</v>
      </c>
      <c r="AO92" s="88">
        <f t="shared" si="98"/>
        <v>1228767.1232876712</v>
      </c>
      <c r="AP92" s="88">
        <f t="shared" si="98"/>
        <v>1228767.1232876712</v>
      </c>
    </row>
    <row r="93" spans="1:43" x14ac:dyDescent="0.4">
      <c r="A93" s="70" t="s">
        <v>83</v>
      </c>
      <c r="B93" s="100">
        <f>B85/B87</f>
        <v>0.70299216747915949</v>
      </c>
      <c r="C93" s="100">
        <f t="shared" ref="C93:AP93" si="99">C85/C87</f>
        <v>0.7029809642650896</v>
      </c>
      <c r="D93" s="100">
        <f t="shared" si="99"/>
        <v>0.7029558062411273</v>
      </c>
      <c r="E93" s="100">
        <f t="shared" si="99"/>
        <v>0.38633120453648334</v>
      </c>
      <c r="F93" s="100">
        <f t="shared" si="99"/>
        <v>0.38256417643725121</v>
      </c>
      <c r="G93" s="100">
        <f t="shared" si="99"/>
        <v>0.37884365088508831</v>
      </c>
      <c r="H93" s="100">
        <f t="shared" si="99"/>
        <v>0.43022121164718924</v>
      </c>
      <c r="I93" s="100">
        <f t="shared" si="99"/>
        <v>0.42556700249039681</v>
      </c>
      <c r="J93" s="100">
        <f t="shared" si="99"/>
        <v>0.42097335766131633</v>
      </c>
      <c r="K93" s="100">
        <f t="shared" si="99"/>
        <v>0.41644052559574796</v>
      </c>
      <c r="L93" s="100">
        <f t="shared" si="99"/>
        <v>0.41196855674798388</v>
      </c>
      <c r="M93" s="100">
        <f t="shared" si="99"/>
        <v>0.40783233183230938</v>
      </c>
      <c r="N93" s="100">
        <f t="shared" si="99"/>
        <v>0.4079830301233619</v>
      </c>
      <c r="O93" s="100">
        <f t="shared" si="99"/>
        <v>0.40813165762691694</v>
      </c>
      <c r="P93" s="100">
        <f t="shared" si="99"/>
        <v>0.40827824185156553</v>
      </c>
      <c r="Q93" s="100">
        <f t="shared" si="99"/>
        <v>0.40842257707431678</v>
      </c>
      <c r="R93" s="100">
        <f t="shared" si="99"/>
        <v>0.40856493544376715</v>
      </c>
      <c r="S93" s="100">
        <f t="shared" si="99"/>
        <v>0.40870500575688556</v>
      </c>
      <c r="T93" s="100">
        <f t="shared" si="99"/>
        <v>0.4088431476468789</v>
      </c>
      <c r="U93" s="100">
        <f t="shared" si="99"/>
        <v>0.41906296802265852</v>
      </c>
      <c r="V93" s="100">
        <f t="shared" si="99"/>
        <v>0.43065147463184938</v>
      </c>
      <c r="W93" s="100">
        <f t="shared" si="99"/>
        <v>0.44205949169985059</v>
      </c>
      <c r="X93" s="100">
        <f t="shared" si="99"/>
        <v>0.45328780705889182</v>
      </c>
      <c r="Y93" s="100">
        <f t="shared" si="99"/>
        <v>0.4643372906963652</v>
      </c>
      <c r="Z93" s="100">
        <f t="shared" si="99"/>
        <v>0.47520889266148753</v>
      </c>
      <c r="AA93" s="100">
        <f t="shared" si="99"/>
        <v>0.48590364000431391</v>
      </c>
      <c r="AB93" s="100">
        <f t="shared" si="99"/>
        <v>0.4964226324156239</v>
      </c>
      <c r="AC93" s="100">
        <f t="shared" si="99"/>
        <v>0.50676703855889427</v>
      </c>
      <c r="AD93" s="100">
        <f t="shared" si="99"/>
        <v>0.51693809398176505</v>
      </c>
      <c r="AE93" s="100">
        <f t="shared" si="99"/>
        <v>0.52693709668440736</v>
      </c>
      <c r="AF93" s="100">
        <f t="shared" si="99"/>
        <v>0.53676540433404307</v>
      </c>
      <c r="AG93" s="100">
        <f t="shared" si="99"/>
        <v>0.54642443132889762</v>
      </c>
      <c r="AH93" s="100">
        <f t="shared" si="99"/>
        <v>0.55591564443299768</v>
      </c>
      <c r="AI93" s="100">
        <f t="shared" si="99"/>
        <v>0.56524056119446298</v>
      </c>
      <c r="AJ93" s="100">
        <f t="shared" si="99"/>
        <v>0.57440074555044496</v>
      </c>
      <c r="AK93" s="100">
        <f t="shared" si="99"/>
        <v>0.58339780527090113</v>
      </c>
      <c r="AL93" s="100">
        <f t="shared" si="99"/>
        <v>0.59223338965713057</v>
      </c>
      <c r="AM93" s="100">
        <f t="shared" si="99"/>
        <v>0.60090918529141935</v>
      </c>
      <c r="AN93" s="100">
        <f t="shared" si="99"/>
        <v>0.60942691448903119</v>
      </c>
      <c r="AO93" s="100">
        <f t="shared" si="99"/>
        <v>0.617788331815605</v>
      </c>
      <c r="AP93" s="100">
        <f t="shared" si="99"/>
        <v>0.62599522171161703</v>
      </c>
    </row>
    <row r="94" spans="1:43" x14ac:dyDescent="0.4">
      <c r="A94" s="70" t="s">
        <v>84</v>
      </c>
      <c r="B94" s="100">
        <f>B86/B87</f>
        <v>0.29700783252084045</v>
      </c>
      <c r="C94" s="100">
        <f t="shared" ref="C94:AP94" si="100">C86/C87</f>
        <v>0.29701903573491045</v>
      </c>
      <c r="D94" s="100">
        <f t="shared" si="100"/>
        <v>0.2970441937588727</v>
      </c>
      <c r="E94" s="100">
        <f t="shared" si="100"/>
        <v>0.61366879546351671</v>
      </c>
      <c r="F94" s="100">
        <f t="shared" si="100"/>
        <v>0.61743582356274884</v>
      </c>
      <c r="G94" s="100">
        <f t="shared" si="100"/>
        <v>0.62115634911491169</v>
      </c>
      <c r="H94" s="100">
        <f t="shared" si="100"/>
        <v>0.56977878835281071</v>
      </c>
      <c r="I94" s="100">
        <f t="shared" si="100"/>
        <v>0.57443299750960319</v>
      </c>
      <c r="J94" s="100">
        <f t="shared" si="100"/>
        <v>0.57902664233868373</v>
      </c>
      <c r="K94" s="100">
        <f t="shared" si="100"/>
        <v>0.58355947440425204</v>
      </c>
      <c r="L94" s="100">
        <f t="shared" si="100"/>
        <v>0.58803144325201606</v>
      </c>
      <c r="M94" s="100">
        <f t="shared" si="100"/>
        <v>0.59216766816769062</v>
      </c>
      <c r="N94" s="100">
        <f t="shared" si="100"/>
        <v>0.5920169698766381</v>
      </c>
      <c r="O94" s="100">
        <f t="shared" si="100"/>
        <v>0.59186834237308306</v>
      </c>
      <c r="P94" s="100">
        <f t="shared" si="100"/>
        <v>0.59172175814843453</v>
      </c>
      <c r="Q94" s="100">
        <f t="shared" si="100"/>
        <v>0.59157742292568327</v>
      </c>
      <c r="R94" s="100">
        <f t="shared" si="100"/>
        <v>0.59143506455623285</v>
      </c>
      <c r="S94" s="100">
        <f t="shared" si="100"/>
        <v>0.59129499424311438</v>
      </c>
      <c r="T94" s="100">
        <f t="shared" si="100"/>
        <v>0.5911568523531211</v>
      </c>
      <c r="U94" s="100">
        <f t="shared" si="100"/>
        <v>0.58093703197734148</v>
      </c>
      <c r="V94" s="100">
        <f t="shared" si="100"/>
        <v>0.56934852536815062</v>
      </c>
      <c r="W94" s="100">
        <f t="shared" si="100"/>
        <v>0.55794050830014941</v>
      </c>
      <c r="X94" s="100">
        <f t="shared" si="100"/>
        <v>0.54671219294110818</v>
      </c>
      <c r="Y94" s="100">
        <f t="shared" si="100"/>
        <v>0.5356627093036348</v>
      </c>
      <c r="Z94" s="100">
        <f t="shared" si="100"/>
        <v>0.52479110733851242</v>
      </c>
      <c r="AA94" s="100">
        <f t="shared" si="100"/>
        <v>0.51409635999568604</v>
      </c>
      <c r="AB94" s="100">
        <f t="shared" si="100"/>
        <v>0.5035773675843761</v>
      </c>
      <c r="AC94" s="100">
        <f t="shared" si="100"/>
        <v>0.49323296144110579</v>
      </c>
      <c r="AD94" s="100">
        <f t="shared" si="100"/>
        <v>0.48306190601823501</v>
      </c>
      <c r="AE94" s="100">
        <f t="shared" si="100"/>
        <v>0.47306290331559264</v>
      </c>
      <c r="AF94" s="100">
        <f t="shared" si="100"/>
        <v>0.46323459566595687</v>
      </c>
      <c r="AG94" s="100">
        <f t="shared" si="100"/>
        <v>0.45357556867110244</v>
      </c>
      <c r="AH94" s="100">
        <f t="shared" si="100"/>
        <v>0.44408435556700226</v>
      </c>
      <c r="AI94" s="100">
        <f t="shared" si="100"/>
        <v>0.43475943880553697</v>
      </c>
      <c r="AJ94" s="100">
        <f t="shared" si="100"/>
        <v>0.42559925444955504</v>
      </c>
      <c r="AK94" s="100">
        <f t="shared" si="100"/>
        <v>0.41660219472909887</v>
      </c>
      <c r="AL94" s="100">
        <f t="shared" si="100"/>
        <v>0.40776661034286943</v>
      </c>
      <c r="AM94" s="100">
        <f t="shared" si="100"/>
        <v>0.39909081470858071</v>
      </c>
      <c r="AN94" s="100">
        <f t="shared" si="100"/>
        <v>0.39057308551096886</v>
      </c>
      <c r="AO94" s="100">
        <f t="shared" si="100"/>
        <v>0.38221166818439495</v>
      </c>
      <c r="AP94" s="100">
        <f t="shared" si="100"/>
        <v>0.37400477828838302</v>
      </c>
    </row>
    <row r="95" spans="1:43" x14ac:dyDescent="0.4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</row>
    <row r="96" spans="1:43" s="15" customFormat="1" x14ac:dyDescent="0.4">
      <c r="A96" s="15" t="s">
        <v>85</v>
      </c>
      <c r="B96" s="15">
        <f>B85</f>
        <v>377262514</v>
      </c>
      <c r="C96" s="15">
        <f t="shared" ref="C96:D96" si="101">C85</f>
        <v>384166418.00619996</v>
      </c>
      <c r="D96" s="15">
        <f t="shared" si="101"/>
        <v>391235080.09751403</v>
      </c>
      <c r="E96" s="135">
        <f>E85</f>
        <v>219005062</v>
      </c>
      <c r="F96" s="135">
        <f t="shared" ref="F96:AP96" si="102">F85</f>
        <v>220919128</v>
      </c>
      <c r="G96" s="135">
        <f t="shared" si="102"/>
        <v>222881044</v>
      </c>
      <c r="H96" s="135">
        <f t="shared" si="102"/>
        <v>257891998</v>
      </c>
      <c r="I96" s="135">
        <f t="shared" si="102"/>
        <v>259953178</v>
      </c>
      <c r="J96" s="135">
        <f t="shared" si="102"/>
        <v>262065904</v>
      </c>
      <c r="K96" s="135">
        <f t="shared" si="102"/>
        <v>264231496</v>
      </c>
      <c r="L96" s="135">
        <f t="shared" si="102"/>
        <v>266451208</v>
      </c>
      <c r="M96" s="135">
        <f t="shared" si="102"/>
        <v>268907560</v>
      </c>
      <c r="N96" s="135">
        <f t="shared" si="102"/>
        <v>274268718</v>
      </c>
      <c r="O96" s="135">
        <f t="shared" si="102"/>
        <v>279763937</v>
      </c>
      <c r="P96" s="135">
        <f t="shared" si="102"/>
        <v>285396589</v>
      </c>
      <c r="Q96" s="135">
        <f t="shared" si="102"/>
        <v>291169964</v>
      </c>
      <c r="R96" s="135">
        <f t="shared" si="102"/>
        <v>297087773</v>
      </c>
      <c r="S96" s="135">
        <f t="shared" si="102"/>
        <v>303153397</v>
      </c>
      <c r="T96" s="135">
        <f t="shared" si="102"/>
        <v>309370795</v>
      </c>
      <c r="U96" s="135">
        <f t="shared" si="102"/>
        <v>323528594</v>
      </c>
      <c r="V96" s="135">
        <f t="shared" si="102"/>
        <v>339242446</v>
      </c>
      <c r="W96" s="135">
        <f t="shared" si="102"/>
        <v>355349144</v>
      </c>
      <c r="X96" s="135">
        <f t="shared" si="102"/>
        <v>371858510</v>
      </c>
      <c r="Y96" s="135">
        <f t="shared" si="102"/>
        <v>388780610</v>
      </c>
      <c r="Z96" s="135">
        <f t="shared" si="102"/>
        <v>406125762</v>
      </c>
      <c r="AA96" s="135">
        <f t="shared" si="102"/>
        <v>423904543</v>
      </c>
      <c r="AB96" s="135">
        <f t="shared" si="102"/>
        <v>442127794</v>
      </c>
      <c r="AC96" s="135">
        <f t="shared" si="102"/>
        <v>460806626</v>
      </c>
      <c r="AD96" s="135">
        <f t="shared" si="102"/>
        <v>479952429</v>
      </c>
      <c r="AE96" s="135">
        <f t="shared" si="102"/>
        <v>499576877</v>
      </c>
      <c r="AF96" s="135">
        <f t="shared" si="102"/>
        <v>519691936</v>
      </c>
      <c r="AG96" s="135">
        <f t="shared" si="102"/>
        <v>540309872</v>
      </c>
      <c r="AH96" s="135">
        <f t="shared" si="102"/>
        <v>561443256</v>
      </c>
      <c r="AI96" s="135">
        <f t="shared" si="102"/>
        <v>583104975</v>
      </c>
      <c r="AJ96" s="135">
        <f t="shared" si="102"/>
        <v>605308237</v>
      </c>
      <c r="AK96" s="135">
        <f t="shared" si="102"/>
        <v>628066580</v>
      </c>
      <c r="AL96" s="135">
        <f t="shared" si="102"/>
        <v>651393882</v>
      </c>
      <c r="AM96" s="135">
        <f t="shared" si="102"/>
        <v>675304366</v>
      </c>
      <c r="AN96" s="135">
        <f t="shared" si="102"/>
        <v>699812612</v>
      </c>
      <c r="AO96" s="135">
        <f t="shared" si="102"/>
        <v>724933564</v>
      </c>
      <c r="AP96" s="135">
        <f t="shared" si="102"/>
        <v>750682540</v>
      </c>
      <c r="AQ96" s="135"/>
    </row>
    <row r="97" spans="1:43" s="15" customFormat="1" x14ac:dyDescent="0.4">
      <c r="A97" s="15" t="s">
        <v>86</v>
      </c>
      <c r="B97" s="15">
        <v>0</v>
      </c>
      <c r="C97" s="15">
        <v>0</v>
      </c>
      <c r="D97" s="15">
        <v>0</v>
      </c>
      <c r="E97" s="109">
        <f t="shared" ref="E97:AP97" si="103">E46</f>
        <v>182500000</v>
      </c>
      <c r="F97" s="109">
        <f t="shared" si="103"/>
        <v>182500000</v>
      </c>
      <c r="G97" s="109">
        <f t="shared" si="103"/>
        <v>182500000</v>
      </c>
      <c r="H97" s="109">
        <f t="shared" si="103"/>
        <v>182500000</v>
      </c>
      <c r="I97" s="109">
        <f t="shared" si="103"/>
        <v>182500000</v>
      </c>
      <c r="J97" s="109">
        <f t="shared" si="103"/>
        <v>182500000</v>
      </c>
      <c r="K97" s="109">
        <f t="shared" si="103"/>
        <v>182500000</v>
      </c>
      <c r="L97" s="109">
        <f t="shared" si="103"/>
        <v>182500000</v>
      </c>
      <c r="M97" s="109">
        <f t="shared" si="103"/>
        <v>182500000</v>
      </c>
      <c r="N97" s="109">
        <f t="shared" si="103"/>
        <v>182500000</v>
      </c>
      <c r="O97" s="109">
        <f t="shared" si="103"/>
        <v>182500000</v>
      </c>
      <c r="P97" s="109">
        <f t="shared" si="103"/>
        <v>182500000</v>
      </c>
      <c r="Q97" s="109">
        <f t="shared" si="103"/>
        <v>182500000</v>
      </c>
      <c r="R97" s="109">
        <f t="shared" si="103"/>
        <v>182500000</v>
      </c>
      <c r="S97" s="109">
        <f t="shared" si="103"/>
        <v>182500000</v>
      </c>
      <c r="T97" s="109">
        <f t="shared" si="103"/>
        <v>182500000</v>
      </c>
      <c r="U97" s="109">
        <f t="shared" si="103"/>
        <v>182500000</v>
      </c>
      <c r="V97" s="109">
        <f t="shared" si="103"/>
        <v>182500000</v>
      </c>
      <c r="W97" s="109">
        <f t="shared" si="103"/>
        <v>182500000</v>
      </c>
      <c r="X97" s="109">
        <f t="shared" si="103"/>
        <v>182500000</v>
      </c>
      <c r="Y97" s="109">
        <f t="shared" si="103"/>
        <v>182500000</v>
      </c>
      <c r="Z97" s="109">
        <f t="shared" si="103"/>
        <v>182500000</v>
      </c>
      <c r="AA97" s="109">
        <f t="shared" si="103"/>
        <v>182500000</v>
      </c>
      <c r="AB97" s="109">
        <f t="shared" si="103"/>
        <v>182500000</v>
      </c>
      <c r="AC97" s="109">
        <f t="shared" si="103"/>
        <v>182500000</v>
      </c>
      <c r="AD97" s="109">
        <f t="shared" si="103"/>
        <v>182500000</v>
      </c>
      <c r="AE97" s="109">
        <f t="shared" si="103"/>
        <v>182500000</v>
      </c>
      <c r="AF97" s="109">
        <f t="shared" si="103"/>
        <v>182500000</v>
      </c>
      <c r="AG97" s="109">
        <f t="shared" si="103"/>
        <v>182500000</v>
      </c>
      <c r="AH97" s="109">
        <f t="shared" si="103"/>
        <v>182500000</v>
      </c>
      <c r="AI97" s="109">
        <f t="shared" si="103"/>
        <v>182500000</v>
      </c>
      <c r="AJ97" s="109">
        <f t="shared" si="103"/>
        <v>182500000</v>
      </c>
      <c r="AK97" s="109">
        <f t="shared" si="103"/>
        <v>182500000</v>
      </c>
      <c r="AL97" s="109">
        <f t="shared" si="103"/>
        <v>182500000</v>
      </c>
      <c r="AM97" s="109">
        <f t="shared" si="103"/>
        <v>182500000</v>
      </c>
      <c r="AN97" s="109">
        <f t="shared" si="103"/>
        <v>182500000</v>
      </c>
      <c r="AO97" s="109">
        <f t="shared" si="103"/>
        <v>182500000</v>
      </c>
      <c r="AP97" s="109">
        <f t="shared" si="103"/>
        <v>182500000</v>
      </c>
      <c r="AQ97" s="109"/>
    </row>
    <row r="98" spans="1:43" s="15" customFormat="1" x14ac:dyDescent="0.4">
      <c r="A98" s="15" t="s">
        <v>87</v>
      </c>
      <c r="B98" s="15">
        <v>0</v>
      </c>
      <c r="C98" s="15">
        <v>0</v>
      </c>
      <c r="D98" s="15">
        <v>0</v>
      </c>
      <c r="E98" s="15">
        <f>E96-E97</f>
        <v>36505062</v>
      </c>
      <c r="F98" s="15">
        <f t="shared" ref="F98:AP98" si="104">F96-F97</f>
        <v>38419128</v>
      </c>
      <c r="G98" s="15">
        <f t="shared" si="104"/>
        <v>40381044</v>
      </c>
      <c r="H98" s="15">
        <f t="shared" si="104"/>
        <v>75391998</v>
      </c>
      <c r="I98" s="15">
        <f t="shared" si="104"/>
        <v>77453178</v>
      </c>
      <c r="J98" s="15">
        <f t="shared" si="104"/>
        <v>79565904</v>
      </c>
      <c r="K98" s="15">
        <f t="shared" si="104"/>
        <v>81731496</v>
      </c>
      <c r="L98" s="15">
        <f t="shared" si="104"/>
        <v>83951208</v>
      </c>
      <c r="M98" s="15">
        <f t="shared" si="104"/>
        <v>86407560</v>
      </c>
      <c r="N98" s="15">
        <f t="shared" si="104"/>
        <v>91768718</v>
      </c>
      <c r="O98" s="15">
        <f t="shared" si="104"/>
        <v>97263937</v>
      </c>
      <c r="P98" s="15">
        <f t="shared" si="104"/>
        <v>102896589</v>
      </c>
      <c r="Q98" s="15">
        <f t="shared" si="104"/>
        <v>108669964</v>
      </c>
      <c r="R98" s="15">
        <f t="shared" si="104"/>
        <v>114587773</v>
      </c>
      <c r="S98" s="15">
        <f t="shared" si="104"/>
        <v>120653397</v>
      </c>
      <c r="T98" s="15">
        <f t="shared" si="104"/>
        <v>126870795</v>
      </c>
      <c r="U98" s="15">
        <f t="shared" si="104"/>
        <v>141028594</v>
      </c>
      <c r="V98" s="15">
        <f t="shared" si="104"/>
        <v>156742446</v>
      </c>
      <c r="W98" s="15">
        <f t="shared" si="104"/>
        <v>172849144</v>
      </c>
      <c r="X98" s="15">
        <f t="shared" si="104"/>
        <v>189358510</v>
      </c>
      <c r="Y98" s="15">
        <f t="shared" si="104"/>
        <v>206280610</v>
      </c>
      <c r="Z98" s="15">
        <f t="shared" si="104"/>
        <v>223625762</v>
      </c>
      <c r="AA98" s="15">
        <f t="shared" si="104"/>
        <v>241404543</v>
      </c>
      <c r="AB98" s="15">
        <f t="shared" si="104"/>
        <v>259627794</v>
      </c>
      <c r="AC98" s="15">
        <f t="shared" si="104"/>
        <v>278306626</v>
      </c>
      <c r="AD98" s="15">
        <f t="shared" si="104"/>
        <v>297452429</v>
      </c>
      <c r="AE98" s="15">
        <f t="shared" si="104"/>
        <v>317076877</v>
      </c>
      <c r="AF98" s="15">
        <f t="shared" si="104"/>
        <v>337191936</v>
      </c>
      <c r="AG98" s="15">
        <f t="shared" si="104"/>
        <v>357809872</v>
      </c>
      <c r="AH98" s="15">
        <f t="shared" si="104"/>
        <v>378943256</v>
      </c>
      <c r="AI98" s="15">
        <f t="shared" si="104"/>
        <v>400604975</v>
      </c>
      <c r="AJ98" s="15">
        <f t="shared" si="104"/>
        <v>422808237</v>
      </c>
      <c r="AK98" s="15">
        <f t="shared" si="104"/>
        <v>445566580</v>
      </c>
      <c r="AL98" s="15">
        <f t="shared" si="104"/>
        <v>468893882</v>
      </c>
      <c r="AM98" s="15">
        <f t="shared" si="104"/>
        <v>492804366</v>
      </c>
      <c r="AN98" s="15">
        <f t="shared" si="104"/>
        <v>517312612</v>
      </c>
      <c r="AO98" s="15">
        <f t="shared" si="104"/>
        <v>542433564</v>
      </c>
      <c r="AP98" s="15">
        <f t="shared" si="104"/>
        <v>568182540</v>
      </c>
    </row>
    <row r="99" spans="1:43" x14ac:dyDescent="0.4"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</row>
    <row r="100" spans="1:43" x14ac:dyDescent="0.4">
      <c r="A100" s="90" t="s">
        <v>88</v>
      </c>
    </row>
    <row r="101" spans="1:43" s="22" customFormat="1" x14ac:dyDescent="0.4">
      <c r="A101" s="104" t="s">
        <v>76</v>
      </c>
      <c r="B101" s="102">
        <f t="shared" ref="B101:D102" si="105">B85</f>
        <v>377262514</v>
      </c>
      <c r="C101" s="102">
        <f t="shared" si="105"/>
        <v>384166418.00619996</v>
      </c>
      <c r="D101" s="102">
        <f t="shared" si="105"/>
        <v>391235080.09751403</v>
      </c>
      <c r="E101" s="102">
        <f t="shared" ref="E101:AP101" si="106">E87</f>
        <v>566884216</v>
      </c>
      <c r="F101" s="102">
        <f t="shared" si="106"/>
        <v>577469459</v>
      </c>
      <c r="G101" s="102">
        <f t="shared" si="106"/>
        <v>588319333</v>
      </c>
      <c r="H101" s="102">
        <f t="shared" si="106"/>
        <v>599440453</v>
      </c>
      <c r="I101" s="102">
        <f t="shared" si="106"/>
        <v>610839601</v>
      </c>
      <c r="J101" s="102">
        <f t="shared" si="106"/>
        <v>622523728</v>
      </c>
      <c r="K101" s="102">
        <f t="shared" si="106"/>
        <v>634499958</v>
      </c>
      <c r="L101" s="102">
        <f t="shared" si="106"/>
        <v>646775594</v>
      </c>
      <c r="M101" s="102">
        <f t="shared" si="106"/>
        <v>659358121</v>
      </c>
      <c r="N101" s="102">
        <f t="shared" si="106"/>
        <v>672255211</v>
      </c>
      <c r="O101" s="102">
        <f t="shared" si="106"/>
        <v>685474728</v>
      </c>
      <c r="P101" s="102">
        <f t="shared" si="106"/>
        <v>699024733</v>
      </c>
      <c r="Q101" s="102">
        <f t="shared" si="106"/>
        <v>712913488</v>
      </c>
      <c r="R101" s="102">
        <f t="shared" si="106"/>
        <v>727149462</v>
      </c>
      <c r="S101" s="102">
        <f t="shared" si="106"/>
        <v>741741336</v>
      </c>
      <c r="T101" s="102">
        <f t="shared" si="106"/>
        <v>756698007</v>
      </c>
      <c r="U101" s="102">
        <f t="shared" si="106"/>
        <v>772028594</v>
      </c>
      <c r="V101" s="102">
        <f t="shared" si="106"/>
        <v>787742446</v>
      </c>
      <c r="W101" s="102">
        <f t="shared" si="106"/>
        <v>803849144</v>
      </c>
      <c r="X101" s="102">
        <f t="shared" si="106"/>
        <v>820358510</v>
      </c>
      <c r="Y101" s="102">
        <f t="shared" si="106"/>
        <v>837280610</v>
      </c>
      <c r="Z101" s="102">
        <f t="shared" si="106"/>
        <v>854625762</v>
      </c>
      <c r="AA101" s="102">
        <f t="shared" si="106"/>
        <v>872404543</v>
      </c>
      <c r="AB101" s="102">
        <f t="shared" si="106"/>
        <v>890627794</v>
      </c>
      <c r="AC101" s="102">
        <f t="shared" si="106"/>
        <v>909306626</v>
      </c>
      <c r="AD101" s="102">
        <f t="shared" si="106"/>
        <v>928452429</v>
      </c>
      <c r="AE101" s="102">
        <f t="shared" si="106"/>
        <v>948076877</v>
      </c>
      <c r="AF101" s="102">
        <f t="shared" si="106"/>
        <v>968191936</v>
      </c>
      <c r="AG101" s="102">
        <f t="shared" si="106"/>
        <v>988809872</v>
      </c>
      <c r="AH101" s="102">
        <f t="shared" si="106"/>
        <v>1009943256</v>
      </c>
      <c r="AI101" s="102">
        <f t="shared" si="106"/>
        <v>1031604975</v>
      </c>
      <c r="AJ101" s="102">
        <f t="shared" si="106"/>
        <v>1053808237</v>
      </c>
      <c r="AK101" s="102">
        <f t="shared" si="106"/>
        <v>1076566580</v>
      </c>
      <c r="AL101" s="102">
        <f t="shared" si="106"/>
        <v>1099893882</v>
      </c>
      <c r="AM101" s="102">
        <f t="shared" si="106"/>
        <v>1123804366</v>
      </c>
      <c r="AN101" s="102">
        <f t="shared" si="106"/>
        <v>1148312612</v>
      </c>
      <c r="AO101" s="102">
        <f t="shared" si="106"/>
        <v>1173433564</v>
      </c>
      <c r="AP101" s="102">
        <f t="shared" si="106"/>
        <v>1199182540</v>
      </c>
    </row>
    <row r="102" spans="1:43" x14ac:dyDescent="0.4">
      <c r="A102" s="104" t="s">
        <v>77</v>
      </c>
      <c r="B102" s="113">
        <f t="shared" si="105"/>
        <v>159390000</v>
      </c>
      <c r="C102" s="113">
        <f t="shared" si="105"/>
        <v>162315545.99380004</v>
      </c>
      <c r="D102" s="113">
        <f t="shared" si="105"/>
        <v>165322069.90248597</v>
      </c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  <c r="V102" s="113">
        <v>0</v>
      </c>
      <c r="W102" s="113">
        <v>0</v>
      </c>
      <c r="X102" s="113">
        <v>0</v>
      </c>
      <c r="Y102" s="113">
        <v>0</v>
      </c>
      <c r="Z102" s="113">
        <v>0</v>
      </c>
      <c r="AA102" s="113">
        <v>0</v>
      </c>
      <c r="AB102" s="113">
        <v>0</v>
      </c>
      <c r="AC102" s="113">
        <v>0</v>
      </c>
      <c r="AD102" s="113">
        <v>0</v>
      </c>
      <c r="AE102" s="113">
        <v>0</v>
      </c>
      <c r="AF102" s="113">
        <v>0</v>
      </c>
      <c r="AG102" s="113">
        <v>0</v>
      </c>
      <c r="AH102" s="113">
        <v>0</v>
      </c>
      <c r="AI102" s="113">
        <v>0</v>
      </c>
      <c r="AJ102" s="113">
        <v>0</v>
      </c>
      <c r="AK102" s="113">
        <v>0</v>
      </c>
      <c r="AL102" s="113">
        <v>0</v>
      </c>
      <c r="AM102" s="113">
        <v>0</v>
      </c>
      <c r="AN102" s="113">
        <v>0</v>
      </c>
      <c r="AO102" s="113">
        <v>0</v>
      </c>
      <c r="AP102" s="113">
        <v>0</v>
      </c>
    </row>
    <row r="103" spans="1:43" x14ac:dyDescent="0.4">
      <c r="A103" s="22" t="s">
        <v>78</v>
      </c>
      <c r="B103" s="107">
        <f t="shared" ref="B103" si="107">SUM(B101:B102)</f>
        <v>536652514</v>
      </c>
      <c r="C103" s="107">
        <f t="shared" ref="C103" si="108">SUM(C101:C102)</f>
        <v>546481964</v>
      </c>
      <c r="D103" s="107">
        <f t="shared" ref="D103" si="109">SUM(D101:D102)</f>
        <v>556557150</v>
      </c>
      <c r="E103" s="107">
        <f t="shared" ref="E103" si="110">SUM(E101:E102)</f>
        <v>566884216</v>
      </c>
      <c r="F103" s="107">
        <f t="shared" ref="F103" si="111">SUM(F101:F102)</f>
        <v>577469459</v>
      </c>
      <c r="G103" s="107">
        <f t="shared" ref="G103" si="112">SUM(G101:G102)</f>
        <v>588319333</v>
      </c>
      <c r="H103" s="107">
        <f t="shared" ref="H103" si="113">SUM(H101:H102)</f>
        <v>599440453</v>
      </c>
      <c r="I103" s="107">
        <f t="shared" ref="I103" si="114">SUM(I101:I102)</f>
        <v>610839601</v>
      </c>
      <c r="J103" s="107">
        <f t="shared" ref="J103" si="115">SUM(J101:J102)</f>
        <v>622523728</v>
      </c>
      <c r="K103" s="107">
        <f t="shared" ref="K103" si="116">SUM(K101:K102)</f>
        <v>634499958</v>
      </c>
      <c r="L103" s="107">
        <f t="shared" ref="L103" si="117">SUM(L101:L102)</f>
        <v>646775594</v>
      </c>
      <c r="M103" s="107">
        <f t="shared" ref="M103" si="118">SUM(M101:M102)</f>
        <v>659358121</v>
      </c>
      <c r="N103" s="107">
        <f t="shared" ref="N103" si="119">SUM(N101:N102)</f>
        <v>672255211</v>
      </c>
      <c r="O103" s="107">
        <f t="shared" ref="O103" si="120">SUM(O101:O102)</f>
        <v>685474728</v>
      </c>
      <c r="P103" s="107">
        <f t="shared" ref="P103" si="121">SUM(P101:P102)</f>
        <v>699024733</v>
      </c>
      <c r="Q103" s="107">
        <f t="shared" ref="Q103" si="122">SUM(Q101:Q102)</f>
        <v>712913488</v>
      </c>
      <c r="R103" s="107">
        <f t="shared" ref="R103" si="123">SUM(R101:R102)</f>
        <v>727149462</v>
      </c>
      <c r="S103" s="107">
        <f t="shared" ref="S103" si="124">SUM(S101:S102)</f>
        <v>741741336</v>
      </c>
      <c r="T103" s="107">
        <f t="shared" ref="T103" si="125">SUM(T101:T102)</f>
        <v>756698007</v>
      </c>
      <c r="U103" s="107">
        <f t="shared" ref="U103" si="126">SUM(U101:U102)</f>
        <v>772028594</v>
      </c>
      <c r="V103" s="107">
        <f t="shared" ref="V103" si="127">SUM(V101:V102)</f>
        <v>787742446</v>
      </c>
      <c r="W103" s="107">
        <f t="shared" ref="W103" si="128">SUM(W101:W102)</f>
        <v>803849144</v>
      </c>
      <c r="X103" s="107">
        <f t="shared" ref="X103" si="129">SUM(X101:X102)</f>
        <v>820358510</v>
      </c>
      <c r="Y103" s="107">
        <f t="shared" ref="Y103" si="130">SUM(Y101:Y102)</f>
        <v>837280610</v>
      </c>
      <c r="Z103" s="107">
        <f t="shared" ref="Z103" si="131">SUM(Z101:Z102)</f>
        <v>854625762</v>
      </c>
      <c r="AA103" s="107">
        <f t="shared" ref="AA103" si="132">SUM(AA101:AA102)</f>
        <v>872404543</v>
      </c>
      <c r="AB103" s="107">
        <f t="shared" ref="AB103" si="133">SUM(AB101:AB102)</f>
        <v>890627794</v>
      </c>
      <c r="AC103" s="107">
        <f t="shared" ref="AC103" si="134">SUM(AC101:AC102)</f>
        <v>909306626</v>
      </c>
      <c r="AD103" s="107">
        <f t="shared" ref="AD103" si="135">SUM(AD101:AD102)</f>
        <v>928452429</v>
      </c>
      <c r="AE103" s="107">
        <f t="shared" ref="AE103" si="136">SUM(AE101:AE102)</f>
        <v>948076877</v>
      </c>
      <c r="AF103" s="107">
        <f t="shared" ref="AF103" si="137">SUM(AF101:AF102)</f>
        <v>968191936</v>
      </c>
      <c r="AG103" s="107">
        <f t="shared" ref="AG103" si="138">SUM(AG101:AG102)</f>
        <v>988809872</v>
      </c>
      <c r="AH103" s="107">
        <f t="shared" ref="AH103" si="139">SUM(AH101:AH102)</f>
        <v>1009943256</v>
      </c>
      <c r="AI103" s="107">
        <f t="shared" ref="AI103" si="140">SUM(AI101:AI102)</f>
        <v>1031604975</v>
      </c>
      <c r="AJ103" s="107">
        <f t="shared" ref="AJ103" si="141">SUM(AJ101:AJ102)</f>
        <v>1053808237</v>
      </c>
      <c r="AK103" s="107">
        <f t="shared" ref="AK103" si="142">SUM(AK101:AK102)</f>
        <v>1076566580</v>
      </c>
      <c r="AL103" s="107">
        <f t="shared" ref="AL103" si="143">SUM(AL101:AL102)</f>
        <v>1099893882</v>
      </c>
      <c r="AM103" s="107">
        <f t="shared" ref="AM103" si="144">SUM(AM101:AM102)</f>
        <v>1123804366</v>
      </c>
      <c r="AN103" s="107">
        <f t="shared" ref="AN103" si="145">SUM(AN101:AN102)</f>
        <v>1148312612</v>
      </c>
      <c r="AO103" s="107">
        <f t="shared" ref="AO103" si="146">SUM(AO101:AO102)</f>
        <v>1173433564</v>
      </c>
      <c r="AP103" s="107">
        <f t="shared" ref="AP103" si="147">SUM(AP101:AP102)</f>
        <v>1199182540</v>
      </c>
    </row>
    <row r="104" spans="1:43" x14ac:dyDescent="0.4">
      <c r="A104" s="104" t="s">
        <v>79</v>
      </c>
      <c r="B104" s="113">
        <f t="shared" ref="B104:AP104" si="148">B88</f>
        <v>536652514</v>
      </c>
      <c r="C104" s="113">
        <f t="shared" si="148"/>
        <v>546481964</v>
      </c>
      <c r="D104" s="113">
        <f t="shared" si="148"/>
        <v>556557150</v>
      </c>
      <c r="E104" s="113">
        <f t="shared" si="148"/>
        <v>566884216</v>
      </c>
      <c r="F104" s="113">
        <f t="shared" si="148"/>
        <v>577469459</v>
      </c>
      <c r="G104" s="113">
        <f t="shared" si="148"/>
        <v>588319333</v>
      </c>
      <c r="H104" s="113">
        <f t="shared" si="148"/>
        <v>599440453</v>
      </c>
      <c r="I104" s="113">
        <f t="shared" si="148"/>
        <v>610839601</v>
      </c>
      <c r="J104" s="113">
        <f t="shared" si="148"/>
        <v>622523728</v>
      </c>
      <c r="K104" s="113">
        <f t="shared" si="148"/>
        <v>634499958</v>
      </c>
      <c r="L104" s="113">
        <f t="shared" si="148"/>
        <v>646775594</v>
      </c>
      <c r="M104" s="113">
        <f t="shared" si="148"/>
        <v>659358121</v>
      </c>
      <c r="N104" s="113">
        <f t="shared" si="148"/>
        <v>672255211</v>
      </c>
      <c r="O104" s="113">
        <f t="shared" si="148"/>
        <v>685474728</v>
      </c>
      <c r="P104" s="113">
        <f t="shared" si="148"/>
        <v>699024733</v>
      </c>
      <c r="Q104" s="113">
        <f t="shared" si="148"/>
        <v>712913488</v>
      </c>
      <c r="R104" s="113">
        <f t="shared" si="148"/>
        <v>727149462</v>
      </c>
      <c r="S104" s="113">
        <f t="shared" si="148"/>
        <v>741741336</v>
      </c>
      <c r="T104" s="113">
        <f t="shared" si="148"/>
        <v>756698007</v>
      </c>
      <c r="U104" s="113">
        <f t="shared" si="148"/>
        <v>772028594</v>
      </c>
      <c r="V104" s="113">
        <f t="shared" si="148"/>
        <v>787742446</v>
      </c>
      <c r="W104" s="113">
        <f t="shared" si="148"/>
        <v>803849144</v>
      </c>
      <c r="X104" s="113">
        <f t="shared" si="148"/>
        <v>820358510</v>
      </c>
      <c r="Y104" s="113">
        <f t="shared" si="148"/>
        <v>837280610</v>
      </c>
      <c r="Z104" s="113">
        <f t="shared" si="148"/>
        <v>854625762</v>
      </c>
      <c r="AA104" s="113">
        <f t="shared" si="148"/>
        <v>872404543</v>
      </c>
      <c r="AB104" s="113">
        <f t="shared" si="148"/>
        <v>890627794</v>
      </c>
      <c r="AC104" s="113">
        <f t="shared" si="148"/>
        <v>909306626</v>
      </c>
      <c r="AD104" s="113">
        <f t="shared" si="148"/>
        <v>928452429</v>
      </c>
      <c r="AE104" s="113">
        <f t="shared" si="148"/>
        <v>948076877</v>
      </c>
      <c r="AF104" s="113">
        <f t="shared" si="148"/>
        <v>968191936</v>
      </c>
      <c r="AG104" s="113">
        <f t="shared" si="148"/>
        <v>988809872</v>
      </c>
      <c r="AH104" s="113">
        <f t="shared" si="148"/>
        <v>1009943256</v>
      </c>
      <c r="AI104" s="113">
        <f t="shared" si="148"/>
        <v>1031604975</v>
      </c>
      <c r="AJ104" s="113">
        <f t="shared" si="148"/>
        <v>1053808237</v>
      </c>
      <c r="AK104" s="113">
        <f t="shared" si="148"/>
        <v>1076566580</v>
      </c>
      <c r="AL104" s="113">
        <f t="shared" si="148"/>
        <v>1099893882</v>
      </c>
      <c r="AM104" s="113">
        <f t="shared" si="148"/>
        <v>1123804366</v>
      </c>
      <c r="AN104" s="113">
        <f t="shared" si="148"/>
        <v>1148312612</v>
      </c>
      <c r="AO104" s="113">
        <f t="shared" si="148"/>
        <v>1173433564</v>
      </c>
      <c r="AP104" s="113">
        <f t="shared" si="148"/>
        <v>1199182540</v>
      </c>
    </row>
    <row r="105" spans="1:43" x14ac:dyDescent="0.4">
      <c r="A105" s="104" t="s">
        <v>80</v>
      </c>
      <c r="B105" s="107">
        <f>B103-B104</f>
        <v>0</v>
      </c>
      <c r="C105" s="107">
        <f t="shared" ref="C105:AP105" si="149">C103-C104</f>
        <v>0</v>
      </c>
      <c r="D105" s="107">
        <f t="shared" si="149"/>
        <v>0</v>
      </c>
      <c r="E105" s="107">
        <f t="shared" si="149"/>
        <v>0</v>
      </c>
      <c r="F105" s="107">
        <f t="shared" si="149"/>
        <v>0</v>
      </c>
      <c r="G105" s="107">
        <f t="shared" si="149"/>
        <v>0</v>
      </c>
      <c r="H105" s="107">
        <f t="shared" si="149"/>
        <v>0</v>
      </c>
      <c r="I105" s="107">
        <f t="shared" si="149"/>
        <v>0</v>
      </c>
      <c r="J105" s="107">
        <f t="shared" si="149"/>
        <v>0</v>
      </c>
      <c r="K105" s="107">
        <f t="shared" si="149"/>
        <v>0</v>
      </c>
      <c r="L105" s="107">
        <f t="shared" si="149"/>
        <v>0</v>
      </c>
      <c r="M105" s="107">
        <f t="shared" si="149"/>
        <v>0</v>
      </c>
      <c r="N105" s="107">
        <f t="shared" si="149"/>
        <v>0</v>
      </c>
      <c r="O105" s="107">
        <f t="shared" si="149"/>
        <v>0</v>
      </c>
      <c r="P105" s="107">
        <f t="shared" si="149"/>
        <v>0</v>
      </c>
      <c r="Q105" s="107">
        <f t="shared" si="149"/>
        <v>0</v>
      </c>
      <c r="R105" s="107">
        <f t="shared" si="149"/>
        <v>0</v>
      </c>
      <c r="S105" s="107">
        <f t="shared" si="149"/>
        <v>0</v>
      </c>
      <c r="T105" s="107">
        <f t="shared" si="149"/>
        <v>0</v>
      </c>
      <c r="U105" s="107">
        <f t="shared" si="149"/>
        <v>0</v>
      </c>
      <c r="V105" s="107">
        <f t="shared" si="149"/>
        <v>0</v>
      </c>
      <c r="W105" s="107">
        <f t="shared" si="149"/>
        <v>0</v>
      </c>
      <c r="X105" s="107">
        <f t="shared" si="149"/>
        <v>0</v>
      </c>
      <c r="Y105" s="107">
        <f t="shared" si="149"/>
        <v>0</v>
      </c>
      <c r="Z105" s="107">
        <f t="shared" si="149"/>
        <v>0</v>
      </c>
      <c r="AA105" s="107">
        <f t="shared" si="149"/>
        <v>0</v>
      </c>
      <c r="AB105" s="107">
        <f t="shared" si="149"/>
        <v>0</v>
      </c>
      <c r="AC105" s="107">
        <f t="shared" si="149"/>
        <v>0</v>
      </c>
      <c r="AD105" s="107">
        <f t="shared" si="149"/>
        <v>0</v>
      </c>
      <c r="AE105" s="107">
        <f t="shared" si="149"/>
        <v>0</v>
      </c>
      <c r="AF105" s="107">
        <f t="shared" si="149"/>
        <v>0</v>
      </c>
      <c r="AG105" s="107">
        <f t="shared" si="149"/>
        <v>0</v>
      </c>
      <c r="AH105" s="107">
        <f t="shared" si="149"/>
        <v>0</v>
      </c>
      <c r="AI105" s="107">
        <f t="shared" si="149"/>
        <v>0</v>
      </c>
      <c r="AJ105" s="107">
        <f t="shared" si="149"/>
        <v>0</v>
      </c>
      <c r="AK105" s="107">
        <f t="shared" si="149"/>
        <v>0</v>
      </c>
      <c r="AL105" s="107">
        <f t="shared" si="149"/>
        <v>0</v>
      </c>
      <c r="AM105" s="107">
        <f t="shared" si="149"/>
        <v>0</v>
      </c>
      <c r="AN105" s="107">
        <f t="shared" si="149"/>
        <v>0</v>
      </c>
      <c r="AO105" s="107">
        <f t="shared" si="149"/>
        <v>0</v>
      </c>
      <c r="AP105" s="107">
        <f t="shared" si="149"/>
        <v>0</v>
      </c>
    </row>
    <row r="107" spans="1:43" x14ac:dyDescent="0.4">
      <c r="A107" s="70" t="s">
        <v>81</v>
      </c>
      <c r="B107" s="88">
        <f>B101/365</f>
        <v>1033595.9287671233</v>
      </c>
      <c r="C107" s="88">
        <f t="shared" ref="C107:AP107" si="150">C101/365</f>
        <v>1052510.7342635614</v>
      </c>
      <c r="D107" s="88">
        <f t="shared" si="150"/>
        <v>1071876.9317740111</v>
      </c>
      <c r="E107" s="88">
        <f t="shared" si="150"/>
        <v>1553107.4410958905</v>
      </c>
      <c r="F107" s="88">
        <f t="shared" si="150"/>
        <v>1582108.1068493151</v>
      </c>
      <c r="G107" s="88">
        <f t="shared" si="150"/>
        <v>1611833.7890410959</v>
      </c>
      <c r="H107" s="88">
        <f t="shared" si="150"/>
        <v>1642302.610958904</v>
      </c>
      <c r="I107" s="88">
        <f t="shared" si="150"/>
        <v>1673533.1534246576</v>
      </c>
      <c r="J107" s="88">
        <f t="shared" si="150"/>
        <v>1705544.4602739727</v>
      </c>
      <c r="K107" s="88">
        <f t="shared" si="150"/>
        <v>1738356.0493150684</v>
      </c>
      <c r="L107" s="88">
        <f t="shared" si="150"/>
        <v>1771987.9287671233</v>
      </c>
      <c r="M107" s="88">
        <f t="shared" si="150"/>
        <v>1806460.6054794521</v>
      </c>
      <c r="N107" s="88">
        <f t="shared" si="150"/>
        <v>1841795.098630137</v>
      </c>
      <c r="O107" s="88">
        <f t="shared" si="150"/>
        <v>1878012.9534246575</v>
      </c>
      <c r="P107" s="88">
        <f t="shared" si="150"/>
        <v>1915136.2547945206</v>
      </c>
      <c r="Q107" s="88">
        <f t="shared" si="150"/>
        <v>1953187.6383561643</v>
      </c>
      <c r="R107" s="88">
        <f t="shared" si="150"/>
        <v>1992190.3068493151</v>
      </c>
      <c r="S107" s="88">
        <f t="shared" si="150"/>
        <v>2032168.0438356164</v>
      </c>
      <c r="T107" s="88">
        <f t="shared" si="150"/>
        <v>2073145.2246575342</v>
      </c>
      <c r="U107" s="88">
        <f t="shared" si="150"/>
        <v>2115146.8328767125</v>
      </c>
      <c r="V107" s="88">
        <f t="shared" si="150"/>
        <v>2158198.482191781</v>
      </c>
      <c r="W107" s="88">
        <f t="shared" si="150"/>
        <v>2202326.4219178082</v>
      </c>
      <c r="X107" s="88">
        <f t="shared" si="150"/>
        <v>2247557.5616438356</v>
      </c>
      <c r="Y107" s="88">
        <f t="shared" si="150"/>
        <v>2293919.4794520549</v>
      </c>
      <c r="Z107" s="88">
        <f t="shared" si="150"/>
        <v>2341440.4438356166</v>
      </c>
      <c r="AA107" s="88">
        <f t="shared" si="150"/>
        <v>2390149.4328767122</v>
      </c>
      <c r="AB107" s="88">
        <f t="shared" si="150"/>
        <v>2440076.1479452057</v>
      </c>
      <c r="AC107" s="88">
        <f t="shared" si="150"/>
        <v>2491251.0301369862</v>
      </c>
      <c r="AD107" s="88">
        <f t="shared" si="150"/>
        <v>2543705.284931507</v>
      </c>
      <c r="AE107" s="88">
        <f t="shared" si="150"/>
        <v>2597470.895890411</v>
      </c>
      <c r="AF107" s="88">
        <f t="shared" si="150"/>
        <v>2652580.6465753424</v>
      </c>
      <c r="AG107" s="88">
        <f t="shared" si="150"/>
        <v>2709068.1424657535</v>
      </c>
      <c r="AH107" s="88">
        <f t="shared" si="150"/>
        <v>2766967.8246575342</v>
      </c>
      <c r="AI107" s="88">
        <f t="shared" si="150"/>
        <v>2826315</v>
      </c>
      <c r="AJ107" s="88">
        <f t="shared" si="150"/>
        <v>2887145.8547945204</v>
      </c>
      <c r="AK107" s="88">
        <f t="shared" si="150"/>
        <v>2949497.4794520549</v>
      </c>
      <c r="AL107" s="88">
        <f t="shared" si="150"/>
        <v>3013407.895890411</v>
      </c>
      <c r="AM107" s="88">
        <f t="shared" si="150"/>
        <v>3078916.0712328767</v>
      </c>
      <c r="AN107" s="88">
        <f t="shared" si="150"/>
        <v>3146061.9506849316</v>
      </c>
      <c r="AO107" s="88">
        <f t="shared" si="150"/>
        <v>3214886.4767123288</v>
      </c>
      <c r="AP107" s="88">
        <f t="shared" si="150"/>
        <v>3285431.6164383562</v>
      </c>
      <c r="AQ107" s="88"/>
    </row>
    <row r="108" spans="1:43" x14ac:dyDescent="0.4">
      <c r="A108" s="70" t="s">
        <v>82</v>
      </c>
      <c r="B108" s="88">
        <f>B102/365</f>
        <v>436684.9315068493</v>
      </c>
      <c r="C108" s="88">
        <f t="shared" ref="C108:AP108" si="151">C102/365</f>
        <v>444700.12601041107</v>
      </c>
      <c r="D108" s="88">
        <f t="shared" si="151"/>
        <v>452937.17781503004</v>
      </c>
      <c r="E108" s="88">
        <f t="shared" si="151"/>
        <v>0</v>
      </c>
      <c r="F108" s="88">
        <f t="shared" si="151"/>
        <v>0</v>
      </c>
      <c r="G108" s="88">
        <f t="shared" si="151"/>
        <v>0</v>
      </c>
      <c r="H108" s="88">
        <f t="shared" si="151"/>
        <v>0</v>
      </c>
      <c r="I108" s="88">
        <f t="shared" si="151"/>
        <v>0</v>
      </c>
      <c r="J108" s="88">
        <f t="shared" si="151"/>
        <v>0</v>
      </c>
      <c r="K108" s="88">
        <f t="shared" si="151"/>
        <v>0</v>
      </c>
      <c r="L108" s="88">
        <f t="shared" si="151"/>
        <v>0</v>
      </c>
      <c r="M108" s="88">
        <f t="shared" si="151"/>
        <v>0</v>
      </c>
      <c r="N108" s="88">
        <f t="shared" si="151"/>
        <v>0</v>
      </c>
      <c r="O108" s="88">
        <f t="shared" si="151"/>
        <v>0</v>
      </c>
      <c r="P108" s="88">
        <f t="shared" si="151"/>
        <v>0</v>
      </c>
      <c r="Q108" s="88">
        <f t="shared" si="151"/>
        <v>0</v>
      </c>
      <c r="R108" s="88">
        <f t="shared" si="151"/>
        <v>0</v>
      </c>
      <c r="S108" s="88">
        <f t="shared" si="151"/>
        <v>0</v>
      </c>
      <c r="T108" s="88">
        <f t="shared" si="151"/>
        <v>0</v>
      </c>
      <c r="U108" s="88">
        <f t="shared" si="151"/>
        <v>0</v>
      </c>
      <c r="V108" s="88">
        <f t="shared" si="151"/>
        <v>0</v>
      </c>
      <c r="W108" s="88">
        <f t="shared" si="151"/>
        <v>0</v>
      </c>
      <c r="X108" s="88">
        <f t="shared" si="151"/>
        <v>0</v>
      </c>
      <c r="Y108" s="88">
        <f t="shared" si="151"/>
        <v>0</v>
      </c>
      <c r="Z108" s="88">
        <f t="shared" si="151"/>
        <v>0</v>
      </c>
      <c r="AA108" s="88">
        <f t="shared" si="151"/>
        <v>0</v>
      </c>
      <c r="AB108" s="88">
        <f t="shared" si="151"/>
        <v>0</v>
      </c>
      <c r="AC108" s="88">
        <f t="shared" si="151"/>
        <v>0</v>
      </c>
      <c r="AD108" s="88">
        <f t="shared" si="151"/>
        <v>0</v>
      </c>
      <c r="AE108" s="88">
        <f t="shared" si="151"/>
        <v>0</v>
      </c>
      <c r="AF108" s="88">
        <f t="shared" si="151"/>
        <v>0</v>
      </c>
      <c r="AG108" s="88">
        <f t="shared" si="151"/>
        <v>0</v>
      </c>
      <c r="AH108" s="88">
        <f t="shared" si="151"/>
        <v>0</v>
      </c>
      <c r="AI108" s="88">
        <f t="shared" si="151"/>
        <v>0</v>
      </c>
      <c r="AJ108" s="88">
        <f t="shared" si="151"/>
        <v>0</v>
      </c>
      <c r="AK108" s="88">
        <f t="shared" si="151"/>
        <v>0</v>
      </c>
      <c r="AL108" s="88">
        <f t="shared" si="151"/>
        <v>0</v>
      </c>
      <c r="AM108" s="88">
        <f t="shared" si="151"/>
        <v>0</v>
      </c>
      <c r="AN108" s="88">
        <f t="shared" si="151"/>
        <v>0</v>
      </c>
      <c r="AO108" s="88">
        <f t="shared" si="151"/>
        <v>0</v>
      </c>
      <c r="AP108" s="88">
        <f t="shared" si="151"/>
        <v>0</v>
      </c>
      <c r="AQ108" s="88"/>
    </row>
    <row r="109" spans="1:43" x14ac:dyDescent="0.4">
      <c r="A109" s="70" t="s">
        <v>83</v>
      </c>
      <c r="B109" s="100">
        <f>B101/B103</f>
        <v>0.70299216747915949</v>
      </c>
      <c r="C109" s="100">
        <f t="shared" ref="C109:AP109" si="152">C101/C103</f>
        <v>0.7029809642650896</v>
      </c>
      <c r="D109" s="100">
        <f t="shared" si="152"/>
        <v>0.7029558062411273</v>
      </c>
      <c r="E109" s="100">
        <f t="shared" si="152"/>
        <v>1</v>
      </c>
      <c r="F109" s="100">
        <f t="shared" si="152"/>
        <v>1</v>
      </c>
      <c r="G109" s="100">
        <f t="shared" si="152"/>
        <v>1</v>
      </c>
      <c r="H109" s="100">
        <f t="shared" si="152"/>
        <v>1</v>
      </c>
      <c r="I109" s="100">
        <f t="shared" si="152"/>
        <v>1</v>
      </c>
      <c r="J109" s="100">
        <f t="shared" si="152"/>
        <v>1</v>
      </c>
      <c r="K109" s="100">
        <f t="shared" si="152"/>
        <v>1</v>
      </c>
      <c r="L109" s="100">
        <f t="shared" si="152"/>
        <v>1</v>
      </c>
      <c r="M109" s="100">
        <f t="shared" si="152"/>
        <v>1</v>
      </c>
      <c r="N109" s="100">
        <f t="shared" si="152"/>
        <v>1</v>
      </c>
      <c r="O109" s="100">
        <f t="shared" si="152"/>
        <v>1</v>
      </c>
      <c r="P109" s="100">
        <f t="shared" si="152"/>
        <v>1</v>
      </c>
      <c r="Q109" s="100">
        <f t="shared" si="152"/>
        <v>1</v>
      </c>
      <c r="R109" s="100">
        <f t="shared" si="152"/>
        <v>1</v>
      </c>
      <c r="S109" s="100">
        <f t="shared" si="152"/>
        <v>1</v>
      </c>
      <c r="T109" s="100">
        <f t="shared" si="152"/>
        <v>1</v>
      </c>
      <c r="U109" s="100">
        <f t="shared" si="152"/>
        <v>1</v>
      </c>
      <c r="V109" s="100">
        <f t="shared" si="152"/>
        <v>1</v>
      </c>
      <c r="W109" s="100">
        <f t="shared" si="152"/>
        <v>1</v>
      </c>
      <c r="X109" s="100">
        <f t="shared" si="152"/>
        <v>1</v>
      </c>
      <c r="Y109" s="100">
        <f t="shared" si="152"/>
        <v>1</v>
      </c>
      <c r="Z109" s="100">
        <f t="shared" si="152"/>
        <v>1</v>
      </c>
      <c r="AA109" s="100">
        <f t="shared" si="152"/>
        <v>1</v>
      </c>
      <c r="AB109" s="100">
        <f t="shared" si="152"/>
        <v>1</v>
      </c>
      <c r="AC109" s="100">
        <f t="shared" si="152"/>
        <v>1</v>
      </c>
      <c r="AD109" s="100">
        <f t="shared" si="152"/>
        <v>1</v>
      </c>
      <c r="AE109" s="100">
        <f t="shared" si="152"/>
        <v>1</v>
      </c>
      <c r="AF109" s="100">
        <f t="shared" si="152"/>
        <v>1</v>
      </c>
      <c r="AG109" s="100">
        <f t="shared" si="152"/>
        <v>1</v>
      </c>
      <c r="AH109" s="100">
        <f t="shared" si="152"/>
        <v>1</v>
      </c>
      <c r="AI109" s="100">
        <f t="shared" si="152"/>
        <v>1</v>
      </c>
      <c r="AJ109" s="100">
        <f t="shared" si="152"/>
        <v>1</v>
      </c>
      <c r="AK109" s="100">
        <f t="shared" si="152"/>
        <v>1</v>
      </c>
      <c r="AL109" s="100">
        <f t="shared" si="152"/>
        <v>1</v>
      </c>
      <c r="AM109" s="100">
        <f t="shared" si="152"/>
        <v>1</v>
      </c>
      <c r="AN109" s="100">
        <f t="shared" si="152"/>
        <v>1</v>
      </c>
      <c r="AO109" s="100">
        <f t="shared" si="152"/>
        <v>1</v>
      </c>
      <c r="AP109" s="100">
        <f t="shared" si="152"/>
        <v>1</v>
      </c>
      <c r="AQ109" s="100"/>
    </row>
    <row r="110" spans="1:43" x14ac:dyDescent="0.4">
      <c r="A110" s="70" t="s">
        <v>84</v>
      </c>
      <c r="B110" s="100">
        <f>B102/B103</f>
        <v>0.29700783252084045</v>
      </c>
      <c r="C110" s="100">
        <f t="shared" ref="C110:AP110" si="153">C102/C103</f>
        <v>0.29701903573491045</v>
      </c>
      <c r="D110" s="100">
        <f t="shared" si="153"/>
        <v>0.2970441937588727</v>
      </c>
      <c r="E110" s="100">
        <f t="shared" si="153"/>
        <v>0</v>
      </c>
      <c r="F110" s="100">
        <f t="shared" si="153"/>
        <v>0</v>
      </c>
      <c r="G110" s="100">
        <f t="shared" si="153"/>
        <v>0</v>
      </c>
      <c r="H110" s="100">
        <f t="shared" si="153"/>
        <v>0</v>
      </c>
      <c r="I110" s="100">
        <f t="shared" si="153"/>
        <v>0</v>
      </c>
      <c r="J110" s="100">
        <f t="shared" si="153"/>
        <v>0</v>
      </c>
      <c r="K110" s="100">
        <f t="shared" si="153"/>
        <v>0</v>
      </c>
      <c r="L110" s="100">
        <f t="shared" si="153"/>
        <v>0</v>
      </c>
      <c r="M110" s="100">
        <f t="shared" si="153"/>
        <v>0</v>
      </c>
      <c r="N110" s="100">
        <f t="shared" si="153"/>
        <v>0</v>
      </c>
      <c r="O110" s="100">
        <f t="shared" si="153"/>
        <v>0</v>
      </c>
      <c r="P110" s="100">
        <f t="shared" si="153"/>
        <v>0</v>
      </c>
      <c r="Q110" s="100">
        <f t="shared" si="153"/>
        <v>0</v>
      </c>
      <c r="R110" s="100">
        <f t="shared" si="153"/>
        <v>0</v>
      </c>
      <c r="S110" s="100">
        <f t="shared" si="153"/>
        <v>0</v>
      </c>
      <c r="T110" s="100">
        <f t="shared" si="153"/>
        <v>0</v>
      </c>
      <c r="U110" s="100">
        <f t="shared" si="153"/>
        <v>0</v>
      </c>
      <c r="V110" s="100">
        <f t="shared" si="153"/>
        <v>0</v>
      </c>
      <c r="W110" s="100">
        <f t="shared" si="153"/>
        <v>0</v>
      </c>
      <c r="X110" s="100">
        <f t="shared" si="153"/>
        <v>0</v>
      </c>
      <c r="Y110" s="100">
        <f t="shared" si="153"/>
        <v>0</v>
      </c>
      <c r="Z110" s="100">
        <f t="shared" si="153"/>
        <v>0</v>
      </c>
      <c r="AA110" s="100">
        <f t="shared" si="153"/>
        <v>0</v>
      </c>
      <c r="AB110" s="100">
        <f t="shared" si="153"/>
        <v>0</v>
      </c>
      <c r="AC110" s="100">
        <f t="shared" si="153"/>
        <v>0</v>
      </c>
      <c r="AD110" s="100">
        <f t="shared" si="153"/>
        <v>0</v>
      </c>
      <c r="AE110" s="100">
        <f t="shared" si="153"/>
        <v>0</v>
      </c>
      <c r="AF110" s="100">
        <f t="shared" si="153"/>
        <v>0</v>
      </c>
      <c r="AG110" s="100">
        <f t="shared" si="153"/>
        <v>0</v>
      </c>
      <c r="AH110" s="100">
        <f t="shared" si="153"/>
        <v>0</v>
      </c>
      <c r="AI110" s="100">
        <f t="shared" si="153"/>
        <v>0</v>
      </c>
      <c r="AJ110" s="100">
        <f t="shared" si="153"/>
        <v>0</v>
      </c>
      <c r="AK110" s="100">
        <f t="shared" si="153"/>
        <v>0</v>
      </c>
      <c r="AL110" s="100">
        <f t="shared" si="153"/>
        <v>0</v>
      </c>
      <c r="AM110" s="100">
        <f t="shared" si="153"/>
        <v>0</v>
      </c>
      <c r="AN110" s="100">
        <f t="shared" si="153"/>
        <v>0</v>
      </c>
      <c r="AO110" s="100">
        <f t="shared" si="153"/>
        <v>0</v>
      </c>
      <c r="AP110" s="100">
        <f t="shared" si="153"/>
        <v>0</v>
      </c>
      <c r="AQ110" s="100"/>
    </row>
    <row r="112" spans="1:43" x14ac:dyDescent="0.4">
      <c r="A112" s="70" t="s">
        <v>85</v>
      </c>
      <c r="B112" s="88">
        <f>B101</f>
        <v>377262514</v>
      </c>
      <c r="C112" s="88">
        <f t="shared" ref="C112:AP112" si="154">C101</f>
        <v>384166418.00619996</v>
      </c>
      <c r="D112" s="88">
        <f t="shared" si="154"/>
        <v>391235080.09751403</v>
      </c>
      <c r="E112" s="88">
        <f t="shared" si="154"/>
        <v>566884216</v>
      </c>
      <c r="F112" s="88">
        <f t="shared" si="154"/>
        <v>577469459</v>
      </c>
      <c r="G112" s="88">
        <f t="shared" si="154"/>
        <v>588319333</v>
      </c>
      <c r="H112" s="88">
        <f t="shared" si="154"/>
        <v>599440453</v>
      </c>
      <c r="I112" s="88">
        <f t="shared" si="154"/>
        <v>610839601</v>
      </c>
      <c r="J112" s="88">
        <f t="shared" si="154"/>
        <v>622523728</v>
      </c>
      <c r="K112" s="88">
        <f t="shared" si="154"/>
        <v>634499958</v>
      </c>
      <c r="L112" s="88">
        <f t="shared" si="154"/>
        <v>646775594</v>
      </c>
      <c r="M112" s="88">
        <f t="shared" si="154"/>
        <v>659358121</v>
      </c>
      <c r="N112" s="88">
        <f t="shared" si="154"/>
        <v>672255211</v>
      </c>
      <c r="O112" s="88">
        <f t="shared" si="154"/>
        <v>685474728</v>
      </c>
      <c r="P112" s="88">
        <f t="shared" si="154"/>
        <v>699024733</v>
      </c>
      <c r="Q112" s="88">
        <f t="shared" si="154"/>
        <v>712913488</v>
      </c>
      <c r="R112" s="88">
        <f t="shared" si="154"/>
        <v>727149462</v>
      </c>
      <c r="S112" s="88">
        <f t="shared" si="154"/>
        <v>741741336</v>
      </c>
      <c r="T112" s="88">
        <f t="shared" si="154"/>
        <v>756698007</v>
      </c>
      <c r="U112" s="88">
        <f t="shared" si="154"/>
        <v>772028594</v>
      </c>
      <c r="V112" s="88">
        <f t="shared" si="154"/>
        <v>787742446</v>
      </c>
      <c r="W112" s="88">
        <f t="shared" si="154"/>
        <v>803849144</v>
      </c>
      <c r="X112" s="88">
        <f t="shared" si="154"/>
        <v>820358510</v>
      </c>
      <c r="Y112" s="88">
        <f t="shared" si="154"/>
        <v>837280610</v>
      </c>
      <c r="Z112" s="88">
        <f t="shared" si="154"/>
        <v>854625762</v>
      </c>
      <c r="AA112" s="88">
        <f t="shared" si="154"/>
        <v>872404543</v>
      </c>
      <c r="AB112" s="88">
        <f t="shared" si="154"/>
        <v>890627794</v>
      </c>
      <c r="AC112" s="88">
        <f t="shared" si="154"/>
        <v>909306626</v>
      </c>
      <c r="AD112" s="88">
        <f t="shared" si="154"/>
        <v>928452429</v>
      </c>
      <c r="AE112" s="88">
        <f t="shared" si="154"/>
        <v>948076877</v>
      </c>
      <c r="AF112" s="88">
        <f t="shared" si="154"/>
        <v>968191936</v>
      </c>
      <c r="AG112" s="88">
        <f t="shared" si="154"/>
        <v>988809872</v>
      </c>
      <c r="AH112" s="88">
        <f t="shared" si="154"/>
        <v>1009943256</v>
      </c>
      <c r="AI112" s="88">
        <f t="shared" si="154"/>
        <v>1031604975</v>
      </c>
      <c r="AJ112" s="88">
        <f t="shared" si="154"/>
        <v>1053808237</v>
      </c>
      <c r="AK112" s="88">
        <f t="shared" si="154"/>
        <v>1076566580</v>
      </c>
      <c r="AL112" s="88">
        <f t="shared" si="154"/>
        <v>1099893882</v>
      </c>
      <c r="AM112" s="88">
        <f t="shared" si="154"/>
        <v>1123804366</v>
      </c>
      <c r="AN112" s="88">
        <f t="shared" si="154"/>
        <v>1148312612</v>
      </c>
      <c r="AO112" s="88">
        <f t="shared" si="154"/>
        <v>1173433564</v>
      </c>
      <c r="AP112" s="88">
        <f t="shared" si="154"/>
        <v>1199182540</v>
      </c>
    </row>
    <row r="113" spans="1:42" s="110" customFormat="1" x14ac:dyDescent="0.4">
      <c r="A113" s="110" t="s">
        <v>86</v>
      </c>
      <c r="B113" s="110">
        <v>0</v>
      </c>
      <c r="C113" s="110">
        <v>0</v>
      </c>
      <c r="D113" s="110">
        <v>0</v>
      </c>
      <c r="E113" s="110">
        <f t="shared" ref="E113:AP113" si="155">E46</f>
        <v>182500000</v>
      </c>
      <c r="F113" s="110">
        <f t="shared" si="155"/>
        <v>182500000</v>
      </c>
      <c r="G113" s="110">
        <f t="shared" si="155"/>
        <v>182500000</v>
      </c>
      <c r="H113" s="110">
        <f t="shared" si="155"/>
        <v>182500000</v>
      </c>
      <c r="I113" s="110">
        <f t="shared" si="155"/>
        <v>182500000</v>
      </c>
      <c r="J113" s="110">
        <f t="shared" si="155"/>
        <v>182500000</v>
      </c>
      <c r="K113" s="110">
        <f t="shared" si="155"/>
        <v>182500000</v>
      </c>
      <c r="L113" s="110">
        <f t="shared" si="155"/>
        <v>182500000</v>
      </c>
      <c r="M113" s="110">
        <f t="shared" si="155"/>
        <v>182500000</v>
      </c>
      <c r="N113" s="110">
        <f t="shared" si="155"/>
        <v>182500000</v>
      </c>
      <c r="O113" s="110">
        <f t="shared" si="155"/>
        <v>182500000</v>
      </c>
      <c r="P113" s="110">
        <f t="shared" si="155"/>
        <v>182500000</v>
      </c>
      <c r="Q113" s="110">
        <f t="shared" si="155"/>
        <v>182500000</v>
      </c>
      <c r="R113" s="110">
        <f t="shared" si="155"/>
        <v>182500000</v>
      </c>
      <c r="S113" s="110">
        <f t="shared" si="155"/>
        <v>182500000</v>
      </c>
      <c r="T113" s="110">
        <f t="shared" si="155"/>
        <v>182500000</v>
      </c>
      <c r="U113" s="110">
        <f t="shared" si="155"/>
        <v>182500000</v>
      </c>
      <c r="V113" s="110">
        <f t="shared" si="155"/>
        <v>182500000</v>
      </c>
      <c r="W113" s="110">
        <f t="shared" si="155"/>
        <v>182500000</v>
      </c>
      <c r="X113" s="110">
        <f t="shared" si="155"/>
        <v>182500000</v>
      </c>
      <c r="Y113" s="110">
        <f t="shared" si="155"/>
        <v>182500000</v>
      </c>
      <c r="Z113" s="110">
        <f t="shared" si="155"/>
        <v>182500000</v>
      </c>
      <c r="AA113" s="110">
        <f t="shared" si="155"/>
        <v>182500000</v>
      </c>
      <c r="AB113" s="110">
        <f t="shared" si="155"/>
        <v>182500000</v>
      </c>
      <c r="AC113" s="110">
        <f t="shared" si="155"/>
        <v>182500000</v>
      </c>
      <c r="AD113" s="110">
        <f t="shared" si="155"/>
        <v>182500000</v>
      </c>
      <c r="AE113" s="110">
        <f t="shared" si="155"/>
        <v>182500000</v>
      </c>
      <c r="AF113" s="110">
        <f t="shared" si="155"/>
        <v>182500000</v>
      </c>
      <c r="AG113" s="110">
        <f t="shared" si="155"/>
        <v>182500000</v>
      </c>
      <c r="AH113" s="110">
        <f t="shared" si="155"/>
        <v>182500000</v>
      </c>
      <c r="AI113" s="110">
        <f t="shared" si="155"/>
        <v>182500000</v>
      </c>
      <c r="AJ113" s="110">
        <f t="shared" si="155"/>
        <v>182500000</v>
      </c>
      <c r="AK113" s="110">
        <f t="shared" si="155"/>
        <v>182500000</v>
      </c>
      <c r="AL113" s="110">
        <f t="shared" si="155"/>
        <v>182500000</v>
      </c>
      <c r="AM113" s="110">
        <f t="shared" si="155"/>
        <v>182500000</v>
      </c>
      <c r="AN113" s="110">
        <f t="shared" si="155"/>
        <v>182500000</v>
      </c>
      <c r="AO113" s="110">
        <f t="shared" si="155"/>
        <v>182500000</v>
      </c>
      <c r="AP113" s="110">
        <f t="shared" si="155"/>
        <v>182500000</v>
      </c>
    </row>
    <row r="114" spans="1:42" s="15" customFormat="1" x14ac:dyDescent="0.4">
      <c r="A114" s="15" t="s">
        <v>87</v>
      </c>
      <c r="B114" s="15">
        <v>0</v>
      </c>
      <c r="C114" s="15">
        <v>0</v>
      </c>
      <c r="D114" s="15">
        <v>0</v>
      </c>
      <c r="E114" s="15">
        <f>E112-E113</f>
        <v>384384216</v>
      </c>
      <c r="F114" s="15">
        <f t="shared" ref="F114:AP114" si="156">F112-F113</f>
        <v>394969459</v>
      </c>
      <c r="G114" s="15">
        <f t="shared" si="156"/>
        <v>405819333</v>
      </c>
      <c r="H114" s="15">
        <f t="shared" si="156"/>
        <v>416940453</v>
      </c>
      <c r="I114" s="15">
        <f t="shared" si="156"/>
        <v>428339601</v>
      </c>
      <c r="J114" s="15">
        <f t="shared" si="156"/>
        <v>440023728</v>
      </c>
      <c r="K114" s="15">
        <f t="shared" si="156"/>
        <v>451999958</v>
      </c>
      <c r="L114" s="15">
        <f t="shared" si="156"/>
        <v>464275594</v>
      </c>
      <c r="M114" s="15">
        <f t="shared" si="156"/>
        <v>476858121</v>
      </c>
      <c r="N114" s="15">
        <f t="shared" si="156"/>
        <v>489755211</v>
      </c>
      <c r="O114" s="15">
        <f t="shared" si="156"/>
        <v>502974728</v>
      </c>
      <c r="P114" s="15">
        <f t="shared" si="156"/>
        <v>516524733</v>
      </c>
      <c r="Q114" s="15">
        <f t="shared" si="156"/>
        <v>530413488</v>
      </c>
      <c r="R114" s="15">
        <f t="shared" si="156"/>
        <v>544649462</v>
      </c>
      <c r="S114" s="15">
        <f t="shared" si="156"/>
        <v>559241336</v>
      </c>
      <c r="T114" s="15">
        <f t="shared" si="156"/>
        <v>574198007</v>
      </c>
      <c r="U114" s="15">
        <f t="shared" si="156"/>
        <v>589528594</v>
      </c>
      <c r="V114" s="15">
        <f t="shared" si="156"/>
        <v>605242446</v>
      </c>
      <c r="W114" s="15">
        <f t="shared" si="156"/>
        <v>621349144</v>
      </c>
      <c r="X114" s="15">
        <f t="shared" si="156"/>
        <v>637858510</v>
      </c>
      <c r="Y114" s="15">
        <f t="shared" si="156"/>
        <v>654780610</v>
      </c>
      <c r="Z114" s="15">
        <f t="shared" si="156"/>
        <v>672125762</v>
      </c>
      <c r="AA114" s="15">
        <f t="shared" si="156"/>
        <v>689904543</v>
      </c>
      <c r="AB114" s="15">
        <f t="shared" si="156"/>
        <v>708127794</v>
      </c>
      <c r="AC114" s="15">
        <f t="shared" si="156"/>
        <v>726806626</v>
      </c>
      <c r="AD114" s="15">
        <f t="shared" si="156"/>
        <v>745952429</v>
      </c>
      <c r="AE114" s="15">
        <f t="shared" si="156"/>
        <v>765576877</v>
      </c>
      <c r="AF114" s="15">
        <f t="shared" si="156"/>
        <v>785691936</v>
      </c>
      <c r="AG114" s="15">
        <f t="shared" si="156"/>
        <v>806309872</v>
      </c>
      <c r="AH114" s="15">
        <f t="shared" si="156"/>
        <v>827443256</v>
      </c>
      <c r="AI114" s="15">
        <f t="shared" si="156"/>
        <v>849104975</v>
      </c>
      <c r="AJ114" s="15">
        <f t="shared" si="156"/>
        <v>871308237</v>
      </c>
      <c r="AK114" s="15">
        <f t="shared" si="156"/>
        <v>894066580</v>
      </c>
      <c r="AL114" s="15">
        <f t="shared" si="156"/>
        <v>917393882</v>
      </c>
      <c r="AM114" s="15">
        <f t="shared" si="156"/>
        <v>941304366</v>
      </c>
      <c r="AN114" s="15">
        <f t="shared" si="156"/>
        <v>965812612</v>
      </c>
      <c r="AO114" s="15">
        <f t="shared" si="156"/>
        <v>990933564</v>
      </c>
      <c r="AP114" s="15">
        <f t="shared" si="156"/>
        <v>1016682540</v>
      </c>
    </row>
  </sheetData>
  <pageMargins left="0.7" right="0.7" top="0.75" bottom="0.75" header="0.3" footer="0.3"/>
  <pageSetup scale="70" fitToWidth="6" fitToHeight="3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7BDA-51AB-4672-9A23-89EC0D081674}">
  <sheetPr>
    <pageSetUpPr fitToPage="1"/>
  </sheetPr>
  <dimension ref="A1:AU85"/>
  <sheetViews>
    <sheetView topLeftCell="AF21" zoomScaleNormal="100" workbookViewId="0">
      <selection activeCell="I17" sqref="I17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5" width="12.5625" customWidth="1"/>
    <col min="47" max="47" width="13.4375" bestFit="1" customWidth="1"/>
  </cols>
  <sheetData>
    <row r="1" spans="1:47" s="1" customFormat="1" ht="18.45" x14ac:dyDescent="0.4">
      <c r="A1" s="226" t="s">
        <v>221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47" s="1" customFormat="1" ht="18.45" x14ac:dyDescent="0.4">
      <c r="A2" s="226" t="str">
        <f>'Plan Inputs'!F2</f>
        <v>2026-2065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47" s="1" customFormat="1" ht="15.9" x14ac:dyDescent="0.4">
      <c r="A3" s="234" t="s">
        <v>91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47" s="1" customFormat="1" ht="15.9" x14ac:dyDescent="0.4">
      <c r="A4" s="208"/>
      <c r="B4" s="208"/>
      <c r="C4" s="208"/>
      <c r="D4" s="208"/>
      <c r="E4" s="208"/>
      <c r="F4" s="208"/>
      <c r="G4" s="208"/>
      <c r="H4" s="208"/>
      <c r="I4" s="208"/>
      <c r="J4" s="208"/>
    </row>
    <row r="5" spans="1:47" s="1" customFormat="1" ht="14.6" x14ac:dyDescent="0.4">
      <c r="A5" s="3"/>
      <c r="B5" s="4"/>
      <c r="C5" s="4"/>
      <c r="D5" s="4"/>
      <c r="E5" s="4"/>
      <c r="F5" s="4"/>
    </row>
    <row r="6" spans="1:47" s="1" customFormat="1" ht="14.6" x14ac:dyDescent="0.4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7" s="1" customFormat="1" ht="14.6" x14ac:dyDescent="0.4">
      <c r="A7" s="32" t="str">
        <f>'Proforma Income Statement'!A29</f>
        <v>Operation and Maintenance Expenses</v>
      </c>
      <c r="B7" s="5"/>
      <c r="C7" s="5"/>
      <c r="D7" s="5"/>
      <c r="E7" s="5"/>
      <c r="F7" s="5">
        <f>'Proforma Income Statement'!F29</f>
        <v>4083369</v>
      </c>
      <c r="G7" s="5">
        <f>'Proforma Income Statement'!G29</f>
        <v>4236989</v>
      </c>
      <c r="H7" s="5">
        <f>'Proforma Income Statement'!H29</f>
        <v>4193020</v>
      </c>
      <c r="I7" s="5">
        <f>'Proforma Income Statement'!I29</f>
        <v>4354578</v>
      </c>
      <c r="J7" s="5">
        <f>'Proforma Income Statement'!J29</f>
        <v>4523519</v>
      </c>
      <c r="K7" s="5">
        <f>'Proforma Income Statement'!K29</f>
        <v>4755895</v>
      </c>
      <c r="L7" s="5">
        <f>'Proforma Income Statement'!L29</f>
        <v>4940011</v>
      </c>
      <c r="M7" s="5">
        <f>'Proforma Income Statement'!M29</f>
        <v>5132651</v>
      </c>
      <c r="N7" s="5">
        <f>'Proforma Income Statement'!N29</f>
        <v>5333112</v>
      </c>
      <c r="O7" s="5">
        <f>'Proforma Income Statement'!O29</f>
        <v>5542762</v>
      </c>
      <c r="P7" s="5">
        <f>'Proforma Income Statement'!P29</f>
        <v>5762427</v>
      </c>
      <c r="Q7" s="5">
        <f>'Proforma Income Statement'!Q29</f>
        <v>5996362</v>
      </c>
      <c r="R7" s="5">
        <f>'Proforma Income Statement'!R29</f>
        <v>6241667</v>
      </c>
      <c r="S7" s="5">
        <f>'Proforma Income Statement'!S29</f>
        <v>6496760</v>
      </c>
      <c r="T7" s="5">
        <f>'Proforma Income Statement'!T29</f>
        <v>6764213</v>
      </c>
      <c r="U7" s="5">
        <f>'Proforma Income Statement'!U29</f>
        <v>7043517</v>
      </c>
      <c r="V7" s="5">
        <f>'Proforma Income Statement'!V29</f>
        <v>7335535</v>
      </c>
      <c r="W7" s="5">
        <f>'Proforma Income Statement'!W29</f>
        <v>7641262</v>
      </c>
      <c r="X7" s="5">
        <f>'Proforma Income Statement'!X29</f>
        <v>7979125</v>
      </c>
      <c r="Y7" s="5">
        <f>'Proforma Income Statement'!Y29</f>
        <v>8337063</v>
      </c>
      <c r="Z7" s="5">
        <f>'Proforma Income Statement'!Z29</f>
        <v>8713164</v>
      </c>
      <c r="AA7" s="5">
        <f>'Proforma Income Statement'!AA29</f>
        <v>9106522</v>
      </c>
      <c r="AB7" s="5">
        <f>'Proforma Income Statement'!AB29</f>
        <v>9518982</v>
      </c>
      <c r="AC7" s="5">
        <f>'Proforma Income Statement'!AC29</f>
        <v>9952329</v>
      </c>
      <c r="AD7" s="5">
        <f>'Proforma Income Statement'!AD29</f>
        <v>10407655</v>
      </c>
      <c r="AE7" s="5">
        <f>'Proforma Income Statement'!AE29</f>
        <v>10883871</v>
      </c>
      <c r="AF7" s="5">
        <f>'Proforma Income Statement'!AF29</f>
        <v>11384380</v>
      </c>
      <c r="AG7" s="5">
        <f>'Proforma Income Statement'!AG29</f>
        <v>11910038</v>
      </c>
      <c r="AH7" s="5">
        <f>'Proforma Income Statement'!AH29</f>
        <v>12462112</v>
      </c>
      <c r="AI7" s="5">
        <f>'Proforma Income Statement'!AI29</f>
        <v>13041187</v>
      </c>
      <c r="AJ7" s="5">
        <f>'Proforma Income Statement'!AJ29</f>
        <v>13645784</v>
      </c>
      <c r="AK7" s="5">
        <f>'Proforma Income Statement'!AK29</f>
        <v>14280851</v>
      </c>
      <c r="AL7" s="5">
        <f>'Proforma Income Statement'!AL29</f>
        <v>14947848</v>
      </c>
      <c r="AM7" s="5">
        <f>'Proforma Income Statement'!AM29</f>
        <v>15649395</v>
      </c>
      <c r="AN7" s="5">
        <f>'Proforma Income Statement'!AN29</f>
        <v>16385978</v>
      </c>
      <c r="AO7" s="5">
        <f>'Proforma Income Statement'!AO29</f>
        <v>17158876</v>
      </c>
      <c r="AP7" s="5">
        <f>'Proforma Income Statement'!AP29</f>
        <v>17970165</v>
      </c>
      <c r="AQ7" s="5">
        <f>'Proforma Income Statement'!AQ29</f>
        <v>18821618</v>
      </c>
      <c r="AR7" s="5">
        <f>'Proforma Income Statement'!AR29</f>
        <v>19720504</v>
      </c>
      <c r="AS7" s="5">
        <f>'Proforma Income Statement'!AS29</f>
        <v>20665290</v>
      </c>
      <c r="AU7" s="24">
        <f>SUM(F7:AS7)</f>
        <v>393320386</v>
      </c>
    </row>
    <row r="8" spans="1:47" s="1" customFormat="1" ht="14.6" x14ac:dyDescent="0.4">
      <c r="A8" s="32" t="str">
        <f>'Proforma Income Statement'!A32</f>
        <v>Other Expenses</v>
      </c>
      <c r="C8" s="5"/>
      <c r="D8" s="5"/>
      <c r="E8" s="5"/>
      <c r="F8" s="5">
        <f>'Proforma Income Statement'!F32</f>
        <v>80094</v>
      </c>
      <c r="G8" s="5">
        <f>'Proforma Income Statement'!G32</f>
        <v>82497</v>
      </c>
      <c r="H8" s="5">
        <f>'Proforma Income Statement'!H32</f>
        <v>84972</v>
      </c>
      <c r="I8" s="5">
        <f>'Proforma Income Statement'!I32</f>
        <v>87521</v>
      </c>
      <c r="J8" s="5">
        <f>'Proforma Income Statement'!J32</f>
        <v>90147</v>
      </c>
      <c r="K8" s="5">
        <f>'Proforma Income Statement'!K32</f>
        <v>92851</v>
      </c>
      <c r="L8" s="5">
        <f>'Proforma Income Statement'!L32</f>
        <v>95637</v>
      </c>
      <c r="M8" s="5">
        <f>'Proforma Income Statement'!M32</f>
        <v>98506</v>
      </c>
      <c r="N8" s="5">
        <f>'Proforma Income Statement'!N32</f>
        <v>101461</v>
      </c>
      <c r="O8" s="5">
        <f>'Proforma Income Statement'!O32</f>
        <v>104505</v>
      </c>
      <c r="P8" s="5">
        <f>'Proforma Income Statement'!P32</f>
        <v>107640</v>
      </c>
      <c r="Q8" s="5">
        <f>'Proforma Income Statement'!Q32</f>
        <v>110869</v>
      </c>
      <c r="R8" s="5">
        <f>'Proforma Income Statement'!R32</f>
        <v>114195</v>
      </c>
      <c r="S8" s="5">
        <f>'Proforma Income Statement'!S32</f>
        <v>117621</v>
      </c>
      <c r="T8" s="5">
        <f>'Proforma Income Statement'!T32</f>
        <v>121150</v>
      </c>
      <c r="U8" s="5">
        <f>'Proforma Income Statement'!U32</f>
        <v>124785</v>
      </c>
      <c r="V8" s="5">
        <f>'Proforma Income Statement'!V32</f>
        <v>128529</v>
      </c>
      <c r="W8" s="5">
        <f>'Proforma Income Statement'!W32</f>
        <v>132385</v>
      </c>
      <c r="X8" s="5">
        <f>'Proforma Income Statement'!X32</f>
        <v>136357</v>
      </c>
      <c r="Y8" s="5">
        <f>'Proforma Income Statement'!Y32</f>
        <v>140448</v>
      </c>
      <c r="Z8" s="5">
        <f>'Proforma Income Statement'!Z32</f>
        <v>144661</v>
      </c>
      <c r="AA8" s="5">
        <f>'Proforma Income Statement'!AA32</f>
        <v>149001</v>
      </c>
      <c r="AB8" s="5">
        <f>'Proforma Income Statement'!AB32</f>
        <v>153471</v>
      </c>
      <c r="AC8" s="5">
        <f>'Proforma Income Statement'!AC32</f>
        <v>158075</v>
      </c>
      <c r="AD8" s="5">
        <f>'Proforma Income Statement'!AD32</f>
        <v>162817</v>
      </c>
      <c r="AE8" s="5">
        <f>'Proforma Income Statement'!AE32</f>
        <v>167702</v>
      </c>
      <c r="AF8" s="5">
        <f>'Proforma Income Statement'!AF32</f>
        <v>172733</v>
      </c>
      <c r="AG8" s="5">
        <f>'Proforma Income Statement'!AG32</f>
        <v>177915</v>
      </c>
      <c r="AH8" s="5">
        <f>'Proforma Income Statement'!AH32</f>
        <v>183252</v>
      </c>
      <c r="AI8" s="5">
        <f>'Proforma Income Statement'!AI32</f>
        <v>188750</v>
      </c>
      <c r="AJ8" s="5">
        <f>'Proforma Income Statement'!AJ32</f>
        <v>194413</v>
      </c>
      <c r="AK8" s="5">
        <f>'Proforma Income Statement'!AK32</f>
        <v>200245</v>
      </c>
      <c r="AL8" s="5">
        <f>'Proforma Income Statement'!AL32</f>
        <v>206252</v>
      </c>
      <c r="AM8" s="5">
        <f>'Proforma Income Statement'!AM32</f>
        <v>212440</v>
      </c>
      <c r="AN8" s="5">
        <f>'Proforma Income Statement'!AN32</f>
        <v>218813</v>
      </c>
      <c r="AO8" s="5">
        <f>'Proforma Income Statement'!AO32</f>
        <v>225377</v>
      </c>
      <c r="AP8" s="5">
        <f>'Proforma Income Statement'!AP32</f>
        <v>232138</v>
      </c>
      <c r="AQ8" s="5">
        <f>'Proforma Income Statement'!AQ32</f>
        <v>239102</v>
      </c>
      <c r="AR8" s="5">
        <f>'Proforma Income Statement'!AR32</f>
        <v>246275</v>
      </c>
      <c r="AS8" s="5">
        <f>'Proforma Income Statement'!AS32</f>
        <v>253663</v>
      </c>
      <c r="AU8" s="24">
        <f t="shared" ref="AU8:AU18" si="0">SUM(F8:AS8)</f>
        <v>6039265</v>
      </c>
    </row>
    <row r="9" spans="1:47" s="1" customFormat="1" ht="14.6" x14ac:dyDescent="0.4">
      <c r="A9" s="32" t="s">
        <v>222</v>
      </c>
      <c r="C9" s="5"/>
      <c r="D9" s="5"/>
      <c r="E9" s="5"/>
      <c r="F9" s="5">
        <f>'Proforma Income Statement'!F30</f>
        <v>619912</v>
      </c>
      <c r="G9" s="5">
        <f>'Proforma Income Statement'!G30</f>
        <v>619912</v>
      </c>
      <c r="H9" s="5">
        <f>'Proforma Income Statement'!H30</f>
        <v>619912</v>
      </c>
      <c r="I9" s="5">
        <f>'Proforma Income Statement'!I30</f>
        <v>619912</v>
      </c>
      <c r="J9" s="5">
        <f>'Proforma Income Statement'!J30</f>
        <v>619912</v>
      </c>
      <c r="K9" s="5">
        <f>'Proforma Income Statement'!K30</f>
        <v>619912</v>
      </c>
      <c r="L9" s="5">
        <f>'Proforma Income Statement'!L30</f>
        <v>619912</v>
      </c>
      <c r="M9" s="5">
        <f>'Proforma Income Statement'!M30</f>
        <v>619912</v>
      </c>
      <c r="N9" s="5">
        <f>'Proforma Income Statement'!N30</f>
        <v>619912</v>
      </c>
      <c r="O9" s="5">
        <f>'Proforma Income Statement'!O30</f>
        <v>619912</v>
      </c>
      <c r="P9" s="5">
        <f>'Proforma Income Statement'!P30</f>
        <v>619912</v>
      </c>
      <c r="Q9" s="5">
        <f>'Proforma Income Statement'!Q30</f>
        <v>619912</v>
      </c>
      <c r="R9" s="5">
        <f>'Proforma Income Statement'!R30</f>
        <v>619912</v>
      </c>
      <c r="S9" s="5">
        <f>'Proforma Income Statement'!S30</f>
        <v>619912</v>
      </c>
      <c r="T9" s="5">
        <f>'Proforma Income Statement'!T30</f>
        <v>619912</v>
      </c>
      <c r="U9" s="5">
        <f>'Proforma Income Statement'!U30</f>
        <v>619912</v>
      </c>
      <c r="V9" s="5">
        <f>'Proforma Income Statement'!V30</f>
        <v>619912</v>
      </c>
      <c r="W9" s="5">
        <f>'Proforma Income Statement'!W30</f>
        <v>619912</v>
      </c>
      <c r="X9" s="5">
        <f>'Proforma Income Statement'!X30</f>
        <v>619912</v>
      </c>
      <c r="Y9" s="5">
        <f>'Proforma Income Statement'!Y30</f>
        <v>619912</v>
      </c>
      <c r="Z9" s="5">
        <f>'Proforma Income Statement'!Z30</f>
        <v>619912</v>
      </c>
      <c r="AA9" s="5">
        <f>'Proforma Income Statement'!AA30</f>
        <v>619912</v>
      </c>
      <c r="AB9" s="5">
        <f>'Proforma Income Statement'!AB30</f>
        <v>619912</v>
      </c>
      <c r="AC9" s="5">
        <f>'Proforma Income Statement'!AC30</f>
        <v>619912</v>
      </c>
      <c r="AD9" s="5">
        <f>'Proforma Income Statement'!AD30</f>
        <v>619912</v>
      </c>
      <c r="AE9" s="5">
        <f>'Proforma Income Statement'!AE30</f>
        <v>619912</v>
      </c>
      <c r="AF9" s="5">
        <f>'Proforma Income Statement'!AF30</f>
        <v>619912</v>
      </c>
      <c r="AG9" s="5">
        <f>'Proforma Income Statement'!AG30</f>
        <v>619912</v>
      </c>
      <c r="AH9" s="5">
        <f>'Proforma Income Statement'!AH30</f>
        <v>619912</v>
      </c>
      <c r="AI9" s="5">
        <f>'Proforma Income Statement'!AI30</f>
        <v>619912</v>
      </c>
      <c r="AJ9" s="5">
        <f>'Proforma Income Statement'!AJ30</f>
        <v>619912</v>
      </c>
      <c r="AK9" s="5">
        <f>'Proforma Income Statement'!AK30</f>
        <v>619912</v>
      </c>
      <c r="AL9" s="5">
        <f>'Proforma Income Statement'!AL30</f>
        <v>619912</v>
      </c>
      <c r="AM9" s="5">
        <f>'Proforma Income Statement'!AM30</f>
        <v>619912</v>
      </c>
      <c r="AN9" s="5">
        <f>'Proforma Income Statement'!AN30</f>
        <v>619912</v>
      </c>
      <c r="AO9" s="5">
        <f>'Proforma Income Statement'!AO30</f>
        <v>619912</v>
      </c>
      <c r="AP9" s="5">
        <f>'Proforma Income Statement'!AP30</f>
        <v>619912</v>
      </c>
      <c r="AQ9" s="5">
        <f>'Proforma Income Statement'!AQ30</f>
        <v>619912</v>
      </c>
      <c r="AR9" s="5">
        <f>'Proforma Income Statement'!AR30</f>
        <v>619912</v>
      </c>
      <c r="AS9" s="5">
        <f>'Proforma Income Statement'!AS30</f>
        <v>619912</v>
      </c>
      <c r="AU9" s="24">
        <f t="shared" si="0"/>
        <v>24796480</v>
      </c>
    </row>
    <row r="10" spans="1:47" s="1" customFormat="1" ht="14.6" x14ac:dyDescent="0.4">
      <c r="A10" s="32" t="s">
        <v>223</v>
      </c>
      <c r="C10" s="5"/>
      <c r="D10" s="5"/>
      <c r="E10" s="5"/>
      <c r="F10" s="5">
        <f>'Proforma Income Statement'!F31</f>
        <v>0</v>
      </c>
      <c r="G10" s="5">
        <f>'Proforma Income Statement'!G31</f>
        <v>0</v>
      </c>
      <c r="H10" s="5">
        <f>'Proforma Income Statement'!H31</f>
        <v>585067.63636363647</v>
      </c>
      <c r="I10" s="5">
        <f>'Proforma Income Statement'!I31</f>
        <v>585067.63636363647</v>
      </c>
      <c r="J10" s="5">
        <f>'Proforma Income Statement'!J31</f>
        <v>585067.63636363647</v>
      </c>
      <c r="K10" s="5">
        <f>'Proforma Income Statement'!K31</f>
        <v>585067.63636363647</v>
      </c>
      <c r="L10" s="5">
        <f>'Proforma Income Statement'!L31</f>
        <v>585067.63636363647</v>
      </c>
      <c r="M10" s="5">
        <f>'Proforma Income Statement'!M31</f>
        <v>585067.63636363647</v>
      </c>
      <c r="N10" s="5">
        <f>'Proforma Income Statement'!N31</f>
        <v>585067.63636363647</v>
      </c>
      <c r="O10" s="5">
        <f>'Proforma Income Statement'!O31</f>
        <v>585067.63636363647</v>
      </c>
      <c r="P10" s="5">
        <f>'Proforma Income Statement'!P31</f>
        <v>585067.63636363647</v>
      </c>
      <c r="Q10" s="5">
        <f>'Proforma Income Statement'!Q31</f>
        <v>585067.63636363647</v>
      </c>
      <c r="R10" s="5">
        <f>'Proforma Income Statement'!R31</f>
        <v>585067.63636363647</v>
      </c>
      <c r="S10" s="5">
        <f>'Proforma Income Statement'!S31</f>
        <v>585067.63636363647</v>
      </c>
      <c r="T10" s="5">
        <f>'Proforma Income Statement'!T31</f>
        <v>585067.63636363647</v>
      </c>
      <c r="U10" s="5">
        <f>'Proforma Income Statement'!U31</f>
        <v>585067.63636363647</v>
      </c>
      <c r="V10" s="5">
        <f>'Proforma Income Statement'!V31</f>
        <v>585067.63636363647</v>
      </c>
      <c r="W10" s="5">
        <f>'Proforma Income Statement'!W31</f>
        <v>585067.63636363647</v>
      </c>
      <c r="X10" s="5">
        <f>'Proforma Income Statement'!X31</f>
        <v>585067.63636363647</v>
      </c>
      <c r="Y10" s="5">
        <f>'Proforma Income Statement'!Y31</f>
        <v>585067.63636363647</v>
      </c>
      <c r="Z10" s="5">
        <f>'Proforma Income Statement'!Z31</f>
        <v>585067.63636363647</v>
      </c>
      <c r="AA10" s="5">
        <f>'Proforma Income Statement'!AA31</f>
        <v>585067.63636363647</v>
      </c>
      <c r="AB10" s="5">
        <f>'Proforma Income Statement'!AB31</f>
        <v>585067.63636363647</v>
      </c>
      <c r="AC10" s="5">
        <f>'Proforma Income Statement'!AC31</f>
        <v>585067.63636363647</v>
      </c>
      <c r="AD10" s="5">
        <f>'Proforma Income Statement'!AD31</f>
        <v>585067.63636363647</v>
      </c>
      <c r="AE10" s="5">
        <f>'Proforma Income Statement'!AE31</f>
        <v>585067.63636363647</v>
      </c>
      <c r="AF10" s="5">
        <f>'Proforma Income Statement'!AF31</f>
        <v>585067.63636363647</v>
      </c>
      <c r="AG10" s="5">
        <f>'Proforma Income Statement'!AG31</f>
        <v>585067.63636363647</v>
      </c>
      <c r="AH10" s="5">
        <f>'Proforma Income Statement'!AH31</f>
        <v>585067.63636363647</v>
      </c>
      <c r="AI10" s="5">
        <f>'Proforma Income Statement'!AI31</f>
        <v>477165.81818181823</v>
      </c>
      <c r="AJ10" s="5">
        <f>'Proforma Income Statement'!AJ31</f>
        <v>1069200.9768367074</v>
      </c>
      <c r="AK10" s="5">
        <f>'Proforma Income Statement'!AK31</f>
        <v>1069200.9768367074</v>
      </c>
      <c r="AL10" s="5">
        <f>'Proforma Income Statement'!AL31</f>
        <v>1069200.9768367074</v>
      </c>
      <c r="AM10" s="5">
        <f>'Proforma Income Statement'!AM31</f>
        <v>1069200.9768367074</v>
      </c>
      <c r="AN10" s="5">
        <f>'Proforma Income Statement'!AN31</f>
        <v>1069200.9768367074</v>
      </c>
      <c r="AO10" s="5">
        <f>'Proforma Income Statement'!AO31</f>
        <v>1069200.9768367074</v>
      </c>
      <c r="AP10" s="5">
        <f>'Proforma Income Statement'!AP31</f>
        <v>1069200.9768367074</v>
      </c>
      <c r="AQ10" s="5">
        <f>'Proforma Income Statement'!AQ31</f>
        <v>1069200.9768367074</v>
      </c>
      <c r="AR10" s="5">
        <f>'Proforma Income Statement'!AR31</f>
        <v>1069200.9768367074</v>
      </c>
      <c r="AS10" s="5">
        <f>'Proforma Income Statement'!AS31</f>
        <v>884568.97683670756</v>
      </c>
      <c r="AU10" s="24">
        <f t="shared" si="0"/>
        <v>26781369.768367082</v>
      </c>
    </row>
    <row r="11" spans="1:47" s="9" customFormat="1" ht="14.6" x14ac:dyDescent="0.4">
      <c r="A11" s="163" t="s">
        <v>224</v>
      </c>
      <c r="C11" s="8"/>
      <c r="D11" s="8"/>
      <c r="E11" s="8"/>
      <c r="F11" s="8">
        <f>'Debt Service'!F11</f>
        <v>327063.82</v>
      </c>
      <c r="G11" s="8">
        <f>'Debt Service'!G11</f>
        <v>326610.68</v>
      </c>
      <c r="H11" s="8">
        <f>'Debt Service'!H11</f>
        <v>325070.54999999993</v>
      </c>
      <c r="I11" s="8">
        <f>'Debt Service'!I11</f>
        <v>326397.50999999995</v>
      </c>
      <c r="J11" s="8">
        <f>'Debt Service'!J11</f>
        <v>324566.55</v>
      </c>
      <c r="K11" s="8">
        <f>'Debt Service'!K11</f>
        <v>177127.01</v>
      </c>
      <c r="L11" s="8">
        <f>'Debt Service'!L11</f>
        <v>124167.07</v>
      </c>
      <c r="M11" s="8">
        <f>'Debt Service'!M11</f>
        <v>123871.86</v>
      </c>
      <c r="N11" s="8">
        <f>'Debt Service'!N11</f>
        <v>68863.399999999994</v>
      </c>
      <c r="O11" s="8">
        <f>'Debt Service'!O11</f>
        <v>14054.8</v>
      </c>
      <c r="P11" s="8">
        <f>'Debt Service'!P11</f>
        <v>14020.720000000001</v>
      </c>
      <c r="Q11" s="8">
        <f>'Debt Service'!Q11</f>
        <v>0</v>
      </c>
      <c r="R11" s="8">
        <f>'Debt Service'!R11</f>
        <v>0</v>
      </c>
      <c r="S11" s="8">
        <f>'Debt Service'!S11</f>
        <v>0</v>
      </c>
      <c r="T11" s="8">
        <f>'Debt Service'!T11</f>
        <v>0</v>
      </c>
      <c r="U11" s="8">
        <f>'Debt Service'!U11</f>
        <v>0</v>
      </c>
      <c r="V11" s="8">
        <f>'Debt Service'!V11</f>
        <v>0</v>
      </c>
      <c r="W11" s="8">
        <f>'Debt Service'!W11</f>
        <v>0</v>
      </c>
      <c r="X11" s="8">
        <f>'Debt Service'!X11</f>
        <v>0</v>
      </c>
      <c r="Y11" s="8">
        <f>'Debt Service'!Y11</f>
        <v>0</v>
      </c>
      <c r="Z11" s="8">
        <f>'Debt Service'!Z11</f>
        <v>0</v>
      </c>
      <c r="AA11" s="8">
        <f>'Debt Service'!AA11</f>
        <v>0</v>
      </c>
      <c r="AB11" s="8">
        <f>'Debt Service'!AB11</f>
        <v>0</v>
      </c>
      <c r="AC11" s="8">
        <f>'Debt Service'!AC11</f>
        <v>0</v>
      </c>
      <c r="AD11" s="8">
        <f>'Debt Service'!AD11</f>
        <v>0</v>
      </c>
      <c r="AE11" s="8">
        <f>'Debt Service'!AE11</f>
        <v>0</v>
      </c>
      <c r="AF11" s="8">
        <f>'Debt Service'!AF11</f>
        <v>0</v>
      </c>
      <c r="AG11" s="8">
        <f>'Debt Service'!AG11</f>
        <v>0</v>
      </c>
      <c r="AH11" s="8">
        <f>'Debt Service'!AH11</f>
        <v>0</v>
      </c>
      <c r="AI11" s="8">
        <f>'Debt Service'!AI11</f>
        <v>0</v>
      </c>
      <c r="AJ11" s="8">
        <f>'Debt Service'!AJ11</f>
        <v>0</v>
      </c>
      <c r="AK11" s="8">
        <f>'Debt Service'!AK11</f>
        <v>0</v>
      </c>
      <c r="AL11" s="8">
        <f>'Debt Service'!AL11</f>
        <v>0</v>
      </c>
      <c r="AM11" s="8">
        <f>'Debt Service'!AM11</f>
        <v>0</v>
      </c>
      <c r="AN11" s="8">
        <f>'Debt Service'!AN11</f>
        <v>0</v>
      </c>
      <c r="AO11" s="8">
        <f>'Debt Service'!AO11</f>
        <v>0</v>
      </c>
      <c r="AP11" s="8">
        <f>'Debt Service'!AP11</f>
        <v>0</v>
      </c>
      <c r="AQ11" s="8">
        <f>'Debt Service'!AQ11</f>
        <v>0</v>
      </c>
      <c r="AR11" s="8">
        <f>'Debt Service'!AR11</f>
        <v>0</v>
      </c>
      <c r="AS11" s="8">
        <f>'Debt Service'!AS11</f>
        <v>0</v>
      </c>
      <c r="AU11" s="24">
        <f t="shared" si="0"/>
        <v>2151813.9700000002</v>
      </c>
    </row>
    <row r="12" spans="1:47" s="9" customFormat="1" ht="14.6" x14ac:dyDescent="0.4">
      <c r="A12" s="163" t="s">
        <v>225</v>
      </c>
      <c r="C12" s="8"/>
      <c r="D12" s="8"/>
      <c r="E12" s="8"/>
      <c r="F12" s="8">
        <f>'Debt Service'!F13</f>
        <v>65413</v>
      </c>
      <c r="G12" s="8">
        <f>'Debt Service'!G13</f>
        <v>65322</v>
      </c>
      <c r="H12" s="8">
        <f>'Debt Service'!H13</f>
        <v>65014</v>
      </c>
      <c r="I12" s="8">
        <f>'Debt Service'!I13</f>
        <v>65280</v>
      </c>
      <c r="J12" s="8">
        <f>'Debt Service'!J13</f>
        <v>64913</v>
      </c>
      <c r="K12" s="8">
        <f>'Debt Service'!K13</f>
        <v>35425</v>
      </c>
      <c r="L12" s="8">
        <f>'Debt Service'!L13</f>
        <v>24833</v>
      </c>
      <c r="M12" s="8">
        <f>'Debt Service'!M13</f>
        <v>24774</v>
      </c>
      <c r="N12" s="8">
        <f>'Debt Service'!N13</f>
        <v>13773</v>
      </c>
      <c r="O12" s="8">
        <f>'Debt Service'!O13</f>
        <v>2811</v>
      </c>
      <c r="P12" s="8">
        <f>'Debt Service'!P13</f>
        <v>2804</v>
      </c>
      <c r="Q12" s="8">
        <f>'Debt Service'!Q13</f>
        <v>0</v>
      </c>
      <c r="R12" s="8">
        <f>'Debt Service'!R13</f>
        <v>0</v>
      </c>
      <c r="S12" s="8">
        <f>'Debt Service'!S13</f>
        <v>0</v>
      </c>
      <c r="T12" s="8">
        <f>'Debt Service'!T13</f>
        <v>0</v>
      </c>
      <c r="U12" s="8">
        <f>'Debt Service'!U13</f>
        <v>0</v>
      </c>
      <c r="V12" s="8">
        <f>'Debt Service'!V13</f>
        <v>0</v>
      </c>
      <c r="W12" s="8">
        <f>'Debt Service'!W13</f>
        <v>0</v>
      </c>
      <c r="X12" s="8">
        <f>'Debt Service'!X13</f>
        <v>0</v>
      </c>
      <c r="Y12" s="8">
        <f>'Debt Service'!Y13</f>
        <v>0</v>
      </c>
      <c r="Z12" s="8">
        <f>'Debt Service'!Z13</f>
        <v>0</v>
      </c>
      <c r="AA12" s="8">
        <f>'Debt Service'!AA13</f>
        <v>0</v>
      </c>
      <c r="AB12" s="8">
        <f>'Debt Service'!AB13</f>
        <v>0</v>
      </c>
      <c r="AC12" s="8">
        <f>'Debt Service'!AC13</f>
        <v>0</v>
      </c>
      <c r="AD12" s="8">
        <f>'Debt Service'!AD13</f>
        <v>0</v>
      </c>
      <c r="AE12" s="8">
        <f>'Debt Service'!AE13</f>
        <v>0</v>
      </c>
      <c r="AF12" s="8">
        <f>'Debt Service'!AF13</f>
        <v>0</v>
      </c>
      <c r="AG12" s="8">
        <f>'Debt Service'!AG13</f>
        <v>0</v>
      </c>
      <c r="AH12" s="8">
        <f>'Debt Service'!AH13</f>
        <v>0</v>
      </c>
      <c r="AI12" s="8">
        <f>'Debt Service'!AI13</f>
        <v>0</v>
      </c>
      <c r="AJ12" s="8">
        <f>'Debt Service'!AJ13</f>
        <v>0</v>
      </c>
      <c r="AK12" s="8">
        <f>'Debt Service'!AK13</f>
        <v>0</v>
      </c>
      <c r="AL12" s="8">
        <f>'Debt Service'!AL13</f>
        <v>0</v>
      </c>
      <c r="AM12" s="8">
        <f>'Debt Service'!AM13</f>
        <v>0</v>
      </c>
      <c r="AN12" s="8">
        <f>'Debt Service'!AN13</f>
        <v>0</v>
      </c>
      <c r="AO12" s="8">
        <f>'Debt Service'!AO13</f>
        <v>0</v>
      </c>
      <c r="AP12" s="8">
        <f>'Debt Service'!AP13</f>
        <v>0</v>
      </c>
      <c r="AQ12" s="8">
        <f>'Debt Service'!AQ13</f>
        <v>0</v>
      </c>
      <c r="AR12" s="8">
        <f>'Debt Service'!AR13</f>
        <v>0</v>
      </c>
      <c r="AS12" s="8">
        <f>'Debt Service'!AS13</f>
        <v>0</v>
      </c>
      <c r="AU12" s="24">
        <f t="shared" si="0"/>
        <v>430362</v>
      </c>
    </row>
    <row r="13" spans="1:47" s="1" customFormat="1" ht="17.149999999999999" x14ac:dyDescent="0.4">
      <c r="A13" s="32" t="s">
        <v>226</v>
      </c>
      <c r="C13" s="25"/>
      <c r="D13" s="25"/>
      <c r="E13" s="25"/>
      <c r="F13" s="1">
        <f>'Debt Service'!F24</f>
        <v>571998</v>
      </c>
      <c r="G13" s="1">
        <f>'Debt Service'!G24</f>
        <v>1143996</v>
      </c>
      <c r="H13" s="1">
        <f>'Debt Service'!H24</f>
        <v>1143996</v>
      </c>
      <c r="I13" s="1">
        <f>'Debt Service'!I24</f>
        <v>1143996</v>
      </c>
      <c r="J13" s="1">
        <f>'Debt Service'!J24</f>
        <v>1143996</v>
      </c>
      <c r="K13" s="1">
        <f>'Debt Service'!K24</f>
        <v>1143996</v>
      </c>
      <c r="L13" s="1">
        <f>'Debt Service'!L24</f>
        <v>1143996</v>
      </c>
      <c r="M13" s="1">
        <f>'Debt Service'!M24</f>
        <v>1143996</v>
      </c>
      <c r="N13" s="1">
        <f>'Debt Service'!N24</f>
        <v>1143996</v>
      </c>
      <c r="O13" s="1">
        <f>'Debt Service'!O24</f>
        <v>1143996</v>
      </c>
      <c r="P13" s="1">
        <f>'Debt Service'!P24</f>
        <v>1143996</v>
      </c>
      <c r="Q13" s="1">
        <f>'Debt Service'!Q24</f>
        <v>1143996</v>
      </c>
      <c r="R13" s="1">
        <f>'Debt Service'!R24</f>
        <v>1143996</v>
      </c>
      <c r="S13" s="1">
        <f>'Debt Service'!S24</f>
        <v>1143996</v>
      </c>
      <c r="T13" s="1">
        <f>'Debt Service'!T24</f>
        <v>1143996</v>
      </c>
      <c r="U13" s="1">
        <f>'Debt Service'!U24</f>
        <v>1143996</v>
      </c>
      <c r="V13" s="1">
        <f>'Debt Service'!V24</f>
        <v>1143996</v>
      </c>
      <c r="W13" s="1">
        <f>'Debt Service'!W24</f>
        <v>1143996</v>
      </c>
      <c r="X13" s="1">
        <f>'Debt Service'!X24</f>
        <v>1143996</v>
      </c>
      <c r="Y13" s="1">
        <f>'Debt Service'!Y24</f>
        <v>1143996</v>
      </c>
      <c r="Z13" s="1">
        <f>'Debt Service'!Z24</f>
        <v>1143996</v>
      </c>
      <c r="AA13" s="1">
        <f>'Debt Service'!AA24</f>
        <v>1143996</v>
      </c>
      <c r="AB13" s="1">
        <f>'Debt Service'!AB24</f>
        <v>1143996</v>
      </c>
      <c r="AC13" s="1">
        <f>'Debt Service'!AC24</f>
        <v>1143996</v>
      </c>
      <c r="AD13" s="1">
        <f>'Debt Service'!AD24</f>
        <v>1143996</v>
      </c>
      <c r="AE13" s="1">
        <f>'Debt Service'!AE24</f>
        <v>1143996</v>
      </c>
      <c r="AF13" s="1">
        <f>'Debt Service'!AF24</f>
        <v>1143996</v>
      </c>
      <c r="AG13" s="1">
        <f>'Debt Service'!AG24</f>
        <v>1143996</v>
      </c>
      <c r="AH13" s="1">
        <f>'Debt Service'!AH24</f>
        <v>1143996</v>
      </c>
      <c r="AI13" s="1">
        <f>'Debt Service'!AI24</f>
        <v>1143996</v>
      </c>
      <c r="AJ13" s="1">
        <f>'Debt Service'!AJ24</f>
        <v>1150299</v>
      </c>
      <c r="AK13" s="1">
        <f>'Debt Service'!AK24</f>
        <v>578301</v>
      </c>
      <c r="AL13" s="1">
        <f>'Debt Service'!AL24</f>
        <v>578301</v>
      </c>
      <c r="AM13" s="1">
        <f>'Debt Service'!AM24</f>
        <v>578301</v>
      </c>
      <c r="AN13" s="1">
        <f>'Debt Service'!AN24</f>
        <v>578301</v>
      </c>
      <c r="AO13" s="1">
        <f>'Debt Service'!AO24</f>
        <v>578301</v>
      </c>
      <c r="AP13" s="1">
        <f>'Debt Service'!AP24</f>
        <v>578301</v>
      </c>
      <c r="AQ13" s="1">
        <f>'Debt Service'!AQ24</f>
        <v>578301</v>
      </c>
      <c r="AR13" s="1">
        <f>'Debt Service'!AR24</f>
        <v>578301</v>
      </c>
      <c r="AS13" s="1">
        <f>'Debt Service'!AS24</f>
        <v>578301</v>
      </c>
      <c r="AU13" s="24">
        <f t="shared" si="0"/>
        <v>40102890</v>
      </c>
    </row>
    <row r="14" spans="1:47" s="1" customFormat="1" ht="17.149999999999999" x14ac:dyDescent="0.4">
      <c r="A14" s="32" t="s">
        <v>227</v>
      </c>
      <c r="C14" s="25"/>
      <c r="D14" s="25"/>
      <c r="E14" s="25"/>
      <c r="F14" s="33">
        <f>'Debt Service'!F26</f>
        <v>114400</v>
      </c>
      <c r="G14" s="33">
        <f>'Debt Service'!G26</f>
        <v>228799</v>
      </c>
      <c r="H14" s="33">
        <f>'Debt Service'!H26</f>
        <v>228799</v>
      </c>
      <c r="I14" s="33">
        <f>'Debt Service'!I26</f>
        <v>228799</v>
      </c>
      <c r="J14" s="33">
        <f>'Debt Service'!J26</f>
        <v>228799</v>
      </c>
      <c r="K14" s="33">
        <f>'Debt Service'!K26</f>
        <v>228799</v>
      </c>
      <c r="L14" s="33">
        <f>'Debt Service'!L26</f>
        <v>228799</v>
      </c>
      <c r="M14" s="33">
        <f>'Debt Service'!M26</f>
        <v>228799</v>
      </c>
      <c r="N14" s="33">
        <f>'Debt Service'!N26</f>
        <v>228799</v>
      </c>
      <c r="O14" s="33">
        <f>'Debt Service'!O26</f>
        <v>228799</v>
      </c>
      <c r="P14" s="33">
        <f>'Debt Service'!P26</f>
        <v>228799</v>
      </c>
      <c r="Q14" s="33">
        <f>'Debt Service'!Q26</f>
        <v>228799</v>
      </c>
      <c r="R14" s="33">
        <f>'Debt Service'!R26</f>
        <v>228799</v>
      </c>
      <c r="S14" s="33">
        <f>'Debt Service'!S26</f>
        <v>228799</v>
      </c>
      <c r="T14" s="33">
        <f>'Debt Service'!T26</f>
        <v>228799</v>
      </c>
      <c r="U14" s="33">
        <f>'Debt Service'!U26</f>
        <v>228799</v>
      </c>
      <c r="V14" s="33">
        <f>'Debt Service'!V26</f>
        <v>228799</v>
      </c>
      <c r="W14" s="33">
        <f>'Debt Service'!W26</f>
        <v>228799</v>
      </c>
      <c r="X14" s="33">
        <f>'Debt Service'!X26</f>
        <v>228799</v>
      </c>
      <c r="Y14" s="33">
        <f>'Debt Service'!Y26</f>
        <v>228799</v>
      </c>
      <c r="Z14" s="33">
        <f>'Debt Service'!Z26</f>
        <v>228799</v>
      </c>
      <c r="AA14" s="33">
        <f>'Debt Service'!AA26</f>
        <v>228799</v>
      </c>
      <c r="AB14" s="33">
        <f>'Debt Service'!AB26</f>
        <v>228799</v>
      </c>
      <c r="AC14" s="33">
        <f>'Debt Service'!AC26</f>
        <v>228799</v>
      </c>
      <c r="AD14" s="33">
        <f>'Debt Service'!AD26</f>
        <v>228799</v>
      </c>
      <c r="AE14" s="33">
        <f>'Debt Service'!AE26</f>
        <v>228799</v>
      </c>
      <c r="AF14" s="33">
        <f>'Debt Service'!AF26</f>
        <v>228799</v>
      </c>
      <c r="AG14" s="33">
        <f>'Debt Service'!AG26</f>
        <v>228799</v>
      </c>
      <c r="AH14" s="33">
        <f>'Debt Service'!AH26</f>
        <v>228799</v>
      </c>
      <c r="AI14" s="33">
        <f>'Debt Service'!AI26</f>
        <v>228799</v>
      </c>
      <c r="AJ14" s="33">
        <f>'Debt Service'!AJ26</f>
        <v>230060</v>
      </c>
      <c r="AK14" s="33">
        <f>'Debt Service'!AK26</f>
        <v>115660</v>
      </c>
      <c r="AL14" s="33">
        <f>'Debt Service'!AL26</f>
        <v>115660</v>
      </c>
      <c r="AM14" s="33">
        <f>'Debt Service'!AM26</f>
        <v>115660</v>
      </c>
      <c r="AN14" s="33">
        <f>'Debt Service'!AN26</f>
        <v>115660</v>
      </c>
      <c r="AO14" s="33">
        <f>'Debt Service'!AO26</f>
        <v>115660</v>
      </c>
      <c r="AP14" s="33">
        <f>'Debt Service'!AP26</f>
        <v>115660</v>
      </c>
      <c r="AQ14" s="33">
        <f>'Debt Service'!AQ26</f>
        <v>115660</v>
      </c>
      <c r="AR14" s="33">
        <f>'Debt Service'!AR26</f>
        <v>115660</v>
      </c>
      <c r="AS14" s="33">
        <f>'Debt Service'!AS26</f>
        <v>115660</v>
      </c>
      <c r="AU14" s="192">
        <f t="shared" si="0"/>
        <v>8020571</v>
      </c>
    </row>
    <row r="15" spans="1:47" s="1" customFormat="1" ht="14.6" x14ac:dyDescent="0.4">
      <c r="A15" s="30" t="s">
        <v>228</v>
      </c>
      <c r="B15" s="5"/>
      <c r="C15" s="5"/>
      <c r="D15" s="5"/>
      <c r="E15" s="5"/>
      <c r="F15" s="5">
        <f>SUM(F7:F14)</f>
        <v>5862249.8200000003</v>
      </c>
      <c r="G15" s="5">
        <f t="shared" ref="G15:AS15" si="1">SUM(G7:G14)</f>
        <v>6704125.6799999997</v>
      </c>
      <c r="H15" s="5">
        <f t="shared" si="1"/>
        <v>7245851.1863636365</v>
      </c>
      <c r="I15" s="5">
        <f t="shared" si="1"/>
        <v>7411551.1463636365</v>
      </c>
      <c r="J15" s="5">
        <f t="shared" si="1"/>
        <v>7580920.1863636365</v>
      </c>
      <c r="K15" s="5">
        <f t="shared" si="1"/>
        <v>7639072.6463636365</v>
      </c>
      <c r="L15" s="5">
        <f t="shared" si="1"/>
        <v>7762422.706363637</v>
      </c>
      <c r="M15" s="5">
        <f t="shared" si="1"/>
        <v>7957577.496363637</v>
      </c>
      <c r="N15" s="5">
        <f t="shared" si="1"/>
        <v>8094984.0363636371</v>
      </c>
      <c r="O15" s="5">
        <f t="shared" si="1"/>
        <v>8241907.4363636365</v>
      </c>
      <c r="P15" s="5">
        <f t="shared" si="1"/>
        <v>8464666.3563636355</v>
      </c>
      <c r="Q15" s="5">
        <f t="shared" si="1"/>
        <v>8685005.6363636367</v>
      </c>
      <c r="R15" s="5">
        <f t="shared" si="1"/>
        <v>8933636.6363636367</v>
      </c>
      <c r="S15" s="5">
        <f t="shared" si="1"/>
        <v>9192155.6363636367</v>
      </c>
      <c r="T15" s="5">
        <f t="shared" si="1"/>
        <v>9463137.6363636367</v>
      </c>
      <c r="U15" s="5">
        <f t="shared" si="1"/>
        <v>9746076.6363636367</v>
      </c>
      <c r="V15" s="5">
        <f t="shared" si="1"/>
        <v>10041838.636363637</v>
      </c>
      <c r="W15" s="5">
        <f t="shared" si="1"/>
        <v>10351421.636363637</v>
      </c>
      <c r="X15" s="5">
        <f t="shared" si="1"/>
        <v>10693256.636363637</v>
      </c>
      <c r="Y15" s="5">
        <f t="shared" si="1"/>
        <v>11055285.636363637</v>
      </c>
      <c r="Z15" s="5">
        <f t="shared" si="1"/>
        <v>11435599.636363637</v>
      </c>
      <c r="AA15" s="5">
        <f t="shared" si="1"/>
        <v>11833297.636363637</v>
      </c>
      <c r="AB15" s="5">
        <f t="shared" si="1"/>
        <v>12250227.636363637</v>
      </c>
      <c r="AC15" s="5">
        <f t="shared" si="1"/>
        <v>12688178.636363637</v>
      </c>
      <c r="AD15" s="5">
        <f t="shared" si="1"/>
        <v>13148246.636363637</v>
      </c>
      <c r="AE15" s="5">
        <f t="shared" si="1"/>
        <v>13629347.636363637</v>
      </c>
      <c r="AF15" s="5">
        <f t="shared" si="1"/>
        <v>14134887.636363637</v>
      </c>
      <c r="AG15" s="5">
        <f t="shared" si="1"/>
        <v>14665727.636363637</v>
      </c>
      <c r="AH15" s="5">
        <f t="shared" si="1"/>
        <v>15223138.636363637</v>
      </c>
      <c r="AI15" s="5">
        <f t="shared" si="1"/>
        <v>15699809.818181818</v>
      </c>
      <c r="AJ15" s="5">
        <f t="shared" si="1"/>
        <v>16909668.976836707</v>
      </c>
      <c r="AK15" s="5">
        <f t="shared" si="1"/>
        <v>16864169.976836707</v>
      </c>
      <c r="AL15" s="5">
        <f t="shared" si="1"/>
        <v>17537173.976836707</v>
      </c>
      <c r="AM15" s="5">
        <f t="shared" si="1"/>
        <v>18244908.976836707</v>
      </c>
      <c r="AN15" s="5">
        <f t="shared" si="1"/>
        <v>18987864.976836707</v>
      </c>
      <c r="AO15" s="5">
        <f t="shared" si="1"/>
        <v>19767326.976836707</v>
      </c>
      <c r="AP15" s="5">
        <f t="shared" si="1"/>
        <v>20585376.976836707</v>
      </c>
      <c r="AQ15" s="5">
        <f t="shared" si="1"/>
        <v>21443793.976836707</v>
      </c>
      <c r="AR15" s="5">
        <f t="shared" si="1"/>
        <v>22349852.976836707</v>
      </c>
      <c r="AS15" s="5">
        <f t="shared" si="1"/>
        <v>23117394.976836707</v>
      </c>
      <c r="AU15" s="24">
        <f t="shared" si="0"/>
        <v>501643137.73836672</v>
      </c>
    </row>
    <row r="16" spans="1:47" s="1" customFormat="1" ht="14.6" x14ac:dyDescent="0.4">
      <c r="A16" s="32" t="s">
        <v>229</v>
      </c>
      <c r="F16" s="9">
        <f>'Proforma Income Statement'!F9</f>
        <v>351321</v>
      </c>
      <c r="G16" s="9">
        <f>'Proforma Income Statement'!G9</f>
        <v>360105</v>
      </c>
      <c r="H16" s="9">
        <f>'Proforma Income Statement'!H9</f>
        <v>369109</v>
      </c>
      <c r="I16" s="9">
        <f>'Proforma Income Statement'!I9</f>
        <v>378338</v>
      </c>
      <c r="J16" s="9">
        <f>'Proforma Income Statement'!J9</f>
        <v>387797</v>
      </c>
      <c r="K16" s="9">
        <f>'Proforma Income Statement'!K9</f>
        <v>397493</v>
      </c>
      <c r="L16" s="9">
        <f>'Proforma Income Statement'!L9</f>
        <v>407431</v>
      </c>
      <c r="M16" s="9">
        <f>'Proforma Income Statement'!M9</f>
        <v>417618</v>
      </c>
      <c r="N16" s="9">
        <f>'Proforma Income Statement'!N9</f>
        <v>428059</v>
      </c>
      <c r="O16" s="9">
        <f>'Proforma Income Statement'!O9</f>
        <v>438761</v>
      </c>
      <c r="P16" s="9">
        <f>'Proforma Income Statement'!P9</f>
        <v>449731</v>
      </c>
      <c r="Q16" s="9">
        <f>'Proforma Income Statement'!Q9</f>
        <v>460975</v>
      </c>
      <c r="R16" s="9">
        <f>'Proforma Income Statement'!R9</f>
        <v>472500</v>
      </c>
      <c r="S16" s="9">
        <f>'Proforma Income Statement'!S9</f>
        <v>484314</v>
      </c>
      <c r="T16" s="9">
        <f>'Proforma Income Statement'!T9</f>
        <v>496423</v>
      </c>
      <c r="U16" s="9">
        <f>'Proforma Income Statement'!U9</f>
        <v>508835</v>
      </c>
      <c r="V16" s="9">
        <f>'Proforma Income Statement'!V9</f>
        <v>521557</v>
      </c>
      <c r="W16" s="9">
        <f>'Proforma Income Statement'!W9</f>
        <v>534597</v>
      </c>
      <c r="X16" s="9">
        <f>'Proforma Income Statement'!X9</f>
        <v>547963</v>
      </c>
      <c r="Y16" s="9">
        <f>'Proforma Income Statement'!Y9</f>
        <v>561663</v>
      </c>
      <c r="Z16" s="9">
        <f>'Proforma Income Statement'!Z9</f>
        <v>575706</v>
      </c>
      <c r="AA16" s="9">
        <f>'Proforma Income Statement'!AA9</f>
        <v>590100</v>
      </c>
      <c r="AB16" s="9">
        <f>'Proforma Income Statement'!AB9</f>
        <v>604854</v>
      </c>
      <c r="AC16" s="9">
        <f>'Proforma Income Statement'!AC9</f>
        <v>619976</v>
      </c>
      <c r="AD16" s="9">
        <f>'Proforma Income Statement'!AD9</f>
        <v>635476</v>
      </c>
      <c r="AE16" s="9">
        <f>'Proforma Income Statement'!AE9</f>
        <v>651364</v>
      </c>
      <c r="AF16" s="9">
        <f>'Proforma Income Statement'!AF9</f>
        <v>667649</v>
      </c>
      <c r="AG16" s="9">
        <f>'Proforma Income Statement'!AG9</f>
        <v>684341</v>
      </c>
      <c r="AH16" s="9">
        <f>'Proforma Income Statement'!AH9</f>
        <v>701451</v>
      </c>
      <c r="AI16" s="9">
        <f>'Proforma Income Statement'!AI9</f>
        <v>718988</v>
      </c>
      <c r="AJ16" s="9">
        <f>'Proforma Income Statement'!AJ9</f>
        <v>736964</v>
      </c>
      <c r="AK16" s="9">
        <f>'Proforma Income Statement'!AK9</f>
        <v>755389</v>
      </c>
      <c r="AL16" s="9">
        <f>'Proforma Income Statement'!AL9</f>
        <v>774275</v>
      </c>
      <c r="AM16" s="9">
        <f>'Proforma Income Statement'!AM9</f>
        <v>793633</v>
      </c>
      <c r="AN16" s="9">
        <f>'Proforma Income Statement'!AN9</f>
        <v>813475</v>
      </c>
      <c r="AO16" s="9">
        <f>'Proforma Income Statement'!AO9</f>
        <v>833813</v>
      </c>
      <c r="AP16" s="9">
        <f>'Proforma Income Statement'!AP9</f>
        <v>854659</v>
      </c>
      <c r="AQ16" s="9">
        <f>'Proforma Income Statement'!AQ9</f>
        <v>876026</v>
      </c>
      <c r="AR16" s="9">
        <f>'Proforma Income Statement'!AR9</f>
        <v>897928</v>
      </c>
      <c r="AS16" s="9">
        <f>'Proforma Income Statement'!AS9</f>
        <v>920377</v>
      </c>
      <c r="AT16" s="9"/>
      <c r="AU16" s="24">
        <f t="shared" si="0"/>
        <v>23681034</v>
      </c>
    </row>
    <row r="17" spans="1:47" s="9" customFormat="1" ht="14.6" x14ac:dyDescent="0.4">
      <c r="A17" s="163" t="s">
        <v>230</v>
      </c>
      <c r="F17" s="61">
        <f>(('Financial Plan'!D6+'Financial Plan'!D16)/2)*'Plan Inputs'!F17</f>
        <v>85922.631800000003</v>
      </c>
      <c r="G17" s="61">
        <f>(('Financial Plan'!E6+'Financial Plan'!E16)/2)*'Plan Inputs'!G17</f>
        <v>92980.496799999994</v>
      </c>
      <c r="H17" s="61">
        <f>(('Financial Plan'!F6+'Financial Plan'!F16)/2)*'Plan Inputs'!H17</f>
        <v>104581.18449999999</v>
      </c>
      <c r="I17" s="61">
        <f>(('Financial Plan'!G6+'Financial Plan'!G16)/2)*'Plan Inputs'!I17</f>
        <v>128948.05390000001</v>
      </c>
      <c r="J17" s="61">
        <f>(('Financial Plan'!H6+'Financial Plan'!H16)/2)*'Plan Inputs'!J17</f>
        <v>157224.28330000001</v>
      </c>
      <c r="K17" s="61">
        <f>(('Financial Plan'!I6+'Financial Plan'!I16)/2)*'Plan Inputs'!K17</f>
        <v>186632.34770000004</v>
      </c>
      <c r="L17" s="61">
        <f>(('Financial Plan'!J6+'Financial Plan'!J16)/2)*'Plan Inputs'!L17</f>
        <v>217622.83690000002</v>
      </c>
      <c r="M17" s="61">
        <f>(('Financial Plan'!K6+'Financial Plan'!K16)/2)*'Plan Inputs'!M17</f>
        <v>249214.97760000001</v>
      </c>
      <c r="N17" s="61">
        <f>(('Financial Plan'!L6+'Financial Plan'!L16)/2)*'Plan Inputs'!N17</f>
        <v>281361.435</v>
      </c>
      <c r="O17" s="61">
        <f>(('Financial Plan'!M6+'Financial Plan'!M16)/2)*'Plan Inputs'!O17</f>
        <v>314535.24300000002</v>
      </c>
      <c r="P17" s="61">
        <f>(('Financial Plan'!N6+'Financial Plan'!N16)/2)*'Plan Inputs'!P17</f>
        <v>348095.08780000004</v>
      </c>
      <c r="Q17" s="61">
        <f>(('Financial Plan'!O6+'Financial Plan'!O16)/2)*'Plan Inputs'!Q17</f>
        <v>381493.21060000005</v>
      </c>
      <c r="R17" s="61">
        <f>(('Financial Plan'!P6+'Financial Plan'!P16)/2)*'Plan Inputs'!R17</f>
        <v>414578.39060000004</v>
      </c>
      <c r="S17" s="61">
        <f>(('Financial Plan'!Q6+'Financial Plan'!Q16)/2)*'Plan Inputs'!S17</f>
        <v>447107.00060000003</v>
      </c>
      <c r="T17" s="61">
        <f>(('Financial Plan'!R6+'Financial Plan'!R16)/2)*'Plan Inputs'!T17</f>
        <v>478968.41060000006</v>
      </c>
      <c r="U17" s="61">
        <f>(('Financial Plan'!S6+'Financial Plan'!S16)/2)*'Plan Inputs'!U17</f>
        <v>510034.11060000001</v>
      </c>
      <c r="V17" s="61">
        <f>(('Financial Plan'!T6+'Financial Plan'!T16)/2)*'Plan Inputs'!V17</f>
        <v>540174.88060000003</v>
      </c>
      <c r="W17" s="61">
        <f>(('Financial Plan'!U6+'Financial Plan'!U16)/2)*'Plan Inputs'!W17</f>
        <v>569245.83059999999</v>
      </c>
      <c r="X17" s="61">
        <f>(('Financial Plan'!V6+'Financial Plan'!V16)/2)*'Plan Inputs'!X17</f>
        <v>596910.82060000009</v>
      </c>
      <c r="Y17" s="61">
        <f>(('Financial Plan'!W6+'Financial Plan'!W16)/2)*'Plan Inputs'!Y17</f>
        <v>622773.0906</v>
      </c>
      <c r="Z17" s="61">
        <f>(('Financial Plan'!X6+'Financial Plan'!X16)/2)*'Plan Inputs'!Z17</f>
        <v>646578.75060000003</v>
      </c>
      <c r="AA17" s="61">
        <f>(('Financial Plan'!Y6+'Financial Plan'!Y16)/2)*'Plan Inputs'!AA17</f>
        <v>668105.29060000007</v>
      </c>
      <c r="AB17" s="61">
        <f>(('Financial Plan'!Z6+'Financial Plan'!Z16)/2)*'Plan Inputs'!AB17</f>
        <v>687124.08059999999</v>
      </c>
      <c r="AC17" s="61">
        <f>(('Financial Plan'!AA6+'Financial Plan'!AA16)/2)*'Plan Inputs'!AC17</f>
        <v>703373.54060000007</v>
      </c>
      <c r="AD17" s="61">
        <f>(('Financial Plan'!AB6+'Financial Plan'!AB16)/2)*'Plan Inputs'!AD17</f>
        <v>716566.77060000005</v>
      </c>
      <c r="AE17" s="61">
        <f>(('Financial Plan'!AC6+'Financial Plan'!AC16)/2)*'Plan Inputs'!AE17</f>
        <v>727830.48060000001</v>
      </c>
      <c r="AF17" s="61">
        <f>(('Financial Plan'!AD6+'Financial Plan'!AD16)/2)*'Plan Inputs'!AF17</f>
        <v>738532.92060000007</v>
      </c>
      <c r="AG17" s="61">
        <f>(('Financial Plan'!AE6+'Financial Plan'!AE16)/2)*'Plan Inputs'!AG17</f>
        <v>748762.52060000005</v>
      </c>
      <c r="AH17" s="61">
        <f>(('Financial Plan'!AF6+'Financial Plan'!AF16)/2)*'Plan Inputs'!AH17</f>
        <v>758510.95059999998</v>
      </c>
      <c r="AI17" s="61">
        <f>(('Financial Plan'!AG6+'Financial Plan'!AG16)/2)*'Plan Inputs'!AI17</f>
        <v>767781.25060000003</v>
      </c>
      <c r="AJ17" s="61">
        <f>(('Financial Plan'!AH6+'Financial Plan'!AH16)/2)*'Plan Inputs'!AJ17</f>
        <v>682958.21196990553</v>
      </c>
      <c r="AK17" s="61">
        <f>(('Financial Plan'!AI6+'Financial Plan'!AI16)/2)*'Plan Inputs'!AK17</f>
        <v>609349.54333981092</v>
      </c>
      <c r="AL17" s="61">
        <f>(('Financial Plan'!AJ6+'Financial Plan'!AJ16)/2)*'Plan Inputs'!AL17</f>
        <v>638240.7733398109</v>
      </c>
      <c r="AM17" s="61">
        <f>(('Financial Plan'!AK6+'Financial Plan'!AK16)/2)*'Plan Inputs'!AM17</f>
        <v>661744.86333981098</v>
      </c>
      <c r="AN17" s="61">
        <f>(('Financial Plan'!AL6+'Financial Plan'!AL16)/2)*'Plan Inputs'!AN17</f>
        <v>680484.16333981103</v>
      </c>
      <c r="AO17" s="61">
        <f>(('Financial Plan'!AM6+'Financial Plan'!AM16)/2)*'Plan Inputs'!AO17</f>
        <v>696895.45333981095</v>
      </c>
      <c r="AP17" s="61">
        <f>(('Financial Plan'!AN6+'Financial Plan'!AN16)/2)*'Plan Inputs'!AP17</f>
        <v>712581.57333981094</v>
      </c>
      <c r="AQ17" s="61">
        <f>(('Financial Plan'!AO6+'Financial Plan'!AO16)/2)*'Plan Inputs'!AQ17</f>
        <v>727557.60333981097</v>
      </c>
      <c r="AR17" s="61">
        <f>(('Financial Plan'!AP6+'Financial Plan'!AP16)/2)*'Plan Inputs'!AR17</f>
        <v>741758.69333981094</v>
      </c>
      <c r="AS17" s="61">
        <f>(('Financial Plan'!AQ6+'Financial Plan'!AQ16)/2)*'Plan Inputs'!AS17</f>
        <v>755170.633339811</v>
      </c>
      <c r="AU17" s="192">
        <f t="shared" si="0"/>
        <v>20798312.391728207</v>
      </c>
    </row>
    <row r="18" spans="1:47" s="1" customFormat="1" ht="14.6" x14ac:dyDescent="0.4">
      <c r="A18" s="30" t="s">
        <v>231</v>
      </c>
      <c r="B18" s="5"/>
      <c r="C18" s="5"/>
      <c r="D18" s="5"/>
      <c r="E18" s="5"/>
      <c r="F18" s="1">
        <f>F15-F16-F17</f>
        <v>5425006.1882000007</v>
      </c>
      <c r="G18" s="1">
        <f t="shared" ref="G18:K18" si="2">G15-G16-G17</f>
        <v>6251040.1831999999</v>
      </c>
      <c r="H18" s="1">
        <f t="shared" si="2"/>
        <v>6772161.0018636361</v>
      </c>
      <c r="I18" s="1">
        <f t="shared" si="2"/>
        <v>6904265.0924636368</v>
      </c>
      <c r="J18" s="1">
        <f t="shared" si="2"/>
        <v>7035898.9030636363</v>
      </c>
      <c r="K18" s="1">
        <f t="shared" si="2"/>
        <v>7054947.2986636367</v>
      </c>
      <c r="L18" s="1">
        <f t="shared" ref="L18:AS18" si="3">L15-L16-L17</f>
        <v>7137368.8694636365</v>
      </c>
      <c r="M18" s="1">
        <f t="shared" si="3"/>
        <v>7290744.5187636372</v>
      </c>
      <c r="N18" s="1">
        <f t="shared" si="3"/>
        <v>7385563.6013636375</v>
      </c>
      <c r="O18" s="1">
        <f t="shared" si="3"/>
        <v>7488611.1933636367</v>
      </c>
      <c r="P18" s="1">
        <f t="shared" si="3"/>
        <v>7666840.2685636356</v>
      </c>
      <c r="Q18" s="1">
        <f t="shared" si="3"/>
        <v>7842537.4257636368</v>
      </c>
      <c r="R18" s="1">
        <f t="shared" si="3"/>
        <v>8046558.2457636371</v>
      </c>
      <c r="S18" s="1">
        <f t="shared" si="3"/>
        <v>8260734.6357636368</v>
      </c>
      <c r="T18" s="1">
        <f t="shared" si="3"/>
        <v>8487746.2257636376</v>
      </c>
      <c r="U18" s="1">
        <f t="shared" si="3"/>
        <v>8727207.5257636365</v>
      </c>
      <c r="V18" s="1">
        <f t="shared" si="3"/>
        <v>8980106.7557636369</v>
      </c>
      <c r="W18" s="1">
        <f t="shared" si="3"/>
        <v>9247578.8057636358</v>
      </c>
      <c r="X18" s="1">
        <f t="shared" si="3"/>
        <v>9548382.8157636374</v>
      </c>
      <c r="Y18" s="1">
        <f t="shared" si="3"/>
        <v>9870849.545763636</v>
      </c>
      <c r="Z18" s="1">
        <f t="shared" si="3"/>
        <v>10213314.885763636</v>
      </c>
      <c r="AA18" s="1">
        <f t="shared" si="3"/>
        <v>10575092.345763637</v>
      </c>
      <c r="AB18" s="1">
        <f t="shared" si="3"/>
        <v>10958249.555763636</v>
      </c>
      <c r="AC18" s="1">
        <f t="shared" si="3"/>
        <v>11364829.095763637</v>
      </c>
      <c r="AD18" s="1">
        <f t="shared" si="3"/>
        <v>11796203.865763636</v>
      </c>
      <c r="AE18" s="1">
        <f t="shared" si="3"/>
        <v>12250153.155763637</v>
      </c>
      <c r="AF18" s="1">
        <f t="shared" si="3"/>
        <v>12728705.715763636</v>
      </c>
      <c r="AG18" s="1">
        <f t="shared" si="3"/>
        <v>13232624.115763636</v>
      </c>
      <c r="AH18" s="1">
        <f t="shared" si="3"/>
        <v>13763176.685763637</v>
      </c>
      <c r="AI18" s="1">
        <f t="shared" si="3"/>
        <v>14213040.567581818</v>
      </c>
      <c r="AJ18" s="1">
        <f t="shared" si="3"/>
        <v>15489746.764866803</v>
      </c>
      <c r="AK18" s="1">
        <f t="shared" si="3"/>
        <v>15499431.433496896</v>
      </c>
      <c r="AL18" s="1">
        <f t="shared" si="3"/>
        <v>16124658.203496896</v>
      </c>
      <c r="AM18" s="1">
        <f t="shared" si="3"/>
        <v>16789531.113496896</v>
      </c>
      <c r="AN18" s="1">
        <f t="shared" si="3"/>
        <v>17493905.813496895</v>
      </c>
      <c r="AO18" s="1">
        <f t="shared" si="3"/>
        <v>18236618.523496896</v>
      </c>
      <c r="AP18" s="1">
        <f t="shared" si="3"/>
        <v>19018136.403496895</v>
      </c>
      <c r="AQ18" s="1">
        <f t="shared" si="3"/>
        <v>19840210.373496898</v>
      </c>
      <c r="AR18" s="1">
        <f t="shared" si="3"/>
        <v>20710166.283496898</v>
      </c>
      <c r="AS18" s="1">
        <f t="shared" si="3"/>
        <v>21441847.343496896</v>
      </c>
      <c r="AU18" s="24">
        <f t="shared" si="0"/>
        <v>457163791.3466388</v>
      </c>
    </row>
    <row r="19" spans="1:47" s="27" customFormat="1" ht="14.6" x14ac:dyDescent="0.4">
      <c r="A19" s="29" t="s">
        <v>232</v>
      </c>
      <c r="F19" s="33">
        <f>'Proforma Income Statement'!F8</f>
        <v>5286425</v>
      </c>
      <c r="G19" s="33">
        <f>'Proforma Income Statement'!G8</f>
        <v>5560553</v>
      </c>
      <c r="H19" s="33">
        <f>'Proforma Income Statement'!H8</f>
        <v>6407453</v>
      </c>
      <c r="I19" s="33">
        <f>'Proforma Income Statement'!I8</f>
        <v>6941338</v>
      </c>
      <c r="J19" s="33">
        <f>'Proforma Income Statement'!J8</f>
        <v>7114871</v>
      </c>
      <c r="K19" s="33">
        <f>'Proforma Income Statement'!K8</f>
        <v>7292743</v>
      </c>
      <c r="L19" s="33">
        <f>'Proforma Income Statement'!L8</f>
        <v>7475062</v>
      </c>
      <c r="M19" s="33">
        <f>'Proforma Income Statement'!M8</f>
        <v>7661939</v>
      </c>
      <c r="N19" s="33">
        <f>'Proforma Income Statement'!N8</f>
        <v>7853487</v>
      </c>
      <c r="O19" s="33">
        <f>'Proforma Income Statement'!O8</f>
        <v>8049824</v>
      </c>
      <c r="P19" s="33">
        <f>'Proforma Income Statement'!P8</f>
        <v>8251070</v>
      </c>
      <c r="Q19" s="33">
        <f>'Proforma Income Statement'!Q8</f>
        <v>8457347</v>
      </c>
      <c r="R19" s="33">
        <f>'Proforma Income Statement'!R8</f>
        <v>8668781</v>
      </c>
      <c r="S19" s="33">
        <f>'Proforma Income Statement'!S8</f>
        <v>8885501</v>
      </c>
      <c r="T19" s="33">
        <f>'Proforma Income Statement'!T8</f>
        <v>9107639</v>
      </c>
      <c r="U19" s="33">
        <f>'Proforma Income Statement'!U8</f>
        <v>9335330</v>
      </c>
      <c r="V19" s="33">
        <f>'Proforma Income Statement'!V8</f>
        <v>9568713</v>
      </c>
      <c r="W19" s="33">
        <f>'Proforma Income Statement'!W8</f>
        <v>9807931</v>
      </c>
      <c r="X19" s="33">
        <f>'Proforma Income Statement'!X8</f>
        <v>10053129</v>
      </c>
      <c r="Y19" s="33">
        <f>'Proforma Income Statement'!Y8</f>
        <v>10304457</v>
      </c>
      <c r="Z19" s="33">
        <f>'Proforma Income Statement'!Z8</f>
        <v>10562068</v>
      </c>
      <c r="AA19" s="33">
        <f>'Proforma Income Statement'!AA8</f>
        <v>10826120</v>
      </c>
      <c r="AB19" s="33">
        <f>'Proforma Income Statement'!AB8</f>
        <v>11096773</v>
      </c>
      <c r="AC19" s="33">
        <f>'Proforma Income Statement'!AC8</f>
        <v>11374192</v>
      </c>
      <c r="AD19" s="33">
        <f>'Proforma Income Statement'!AD8</f>
        <v>11658547</v>
      </c>
      <c r="AE19" s="33">
        <f>'Proforma Income Statement'!AE8</f>
        <v>12091021</v>
      </c>
      <c r="AF19" s="33">
        <f>'Proforma Income Statement'!AF8</f>
        <v>12556888</v>
      </c>
      <c r="AG19" s="33">
        <f>'Proforma Income Statement'!AG8</f>
        <v>13047140</v>
      </c>
      <c r="AH19" s="33">
        <f>'Proforma Income Statement'!AH8</f>
        <v>13563220</v>
      </c>
      <c r="AI19" s="33">
        <f>'Proforma Income Statement'!AI8</f>
        <v>14106664</v>
      </c>
      <c r="AJ19" s="33">
        <f>'Proforma Income Statement'!AJ8</f>
        <v>14567776</v>
      </c>
      <c r="AK19" s="33">
        <f>'Proforma Income Statement'!AK8</f>
        <v>15877164</v>
      </c>
      <c r="AL19" s="33">
        <f>'Proforma Income Statement'!AL8</f>
        <v>16274093</v>
      </c>
      <c r="AM19" s="33">
        <f>'Proforma Income Statement'!AM8</f>
        <v>16680945</v>
      </c>
      <c r="AN19" s="33">
        <f>'Proforma Income Statement'!AN8</f>
        <v>17209105</v>
      </c>
      <c r="AO19" s="33">
        <f>'Proforma Income Statement'!AO8</f>
        <v>17930382</v>
      </c>
      <c r="AP19" s="33">
        <f>'Proforma Income Statement'!AP8</f>
        <v>18692916</v>
      </c>
      <c r="AQ19" s="33">
        <f>'Proforma Income Statement'!AQ8</f>
        <v>19493627</v>
      </c>
      <c r="AR19" s="33">
        <f>'Proforma Income Statement'!AR8</f>
        <v>20336629</v>
      </c>
      <c r="AS19" s="33">
        <f>'Proforma Income Statement'!AS8</f>
        <v>21228594</v>
      </c>
      <c r="AU19" s="24"/>
    </row>
    <row r="20" spans="1:47" s="27" customFormat="1" ht="14.6" x14ac:dyDescent="0.4">
      <c r="A20" s="29" t="s">
        <v>233</v>
      </c>
      <c r="F20" s="1">
        <f>F18-F19</f>
        <v>138581.18820000067</v>
      </c>
      <c r="G20" s="1">
        <f t="shared" ref="G20:K20" si="4">G18-G19</f>
        <v>690487.18319999985</v>
      </c>
      <c r="H20" s="1">
        <f t="shared" si="4"/>
        <v>364708.00186363608</v>
      </c>
      <c r="I20" s="1">
        <f t="shared" si="4"/>
        <v>-37072.907536363229</v>
      </c>
      <c r="J20" s="1">
        <f t="shared" si="4"/>
        <v>-78972.096936363727</v>
      </c>
      <c r="K20" s="1">
        <f t="shared" si="4"/>
        <v>-237795.70133636333</v>
      </c>
      <c r="L20" s="1">
        <f t="shared" ref="L20:AS20" si="5">L18-L19</f>
        <v>-337693.13053636346</v>
      </c>
      <c r="M20" s="1">
        <f t="shared" si="5"/>
        <v>-371194.48123636283</v>
      </c>
      <c r="N20" s="1">
        <f t="shared" si="5"/>
        <v>-467923.39863636252</v>
      </c>
      <c r="O20" s="1">
        <f t="shared" si="5"/>
        <v>-561212.80663636327</v>
      </c>
      <c r="P20" s="1">
        <f t="shared" si="5"/>
        <v>-584229.73143636435</v>
      </c>
      <c r="Q20" s="1">
        <f t="shared" si="5"/>
        <v>-614809.57423636317</v>
      </c>
      <c r="R20" s="1">
        <f t="shared" si="5"/>
        <v>-622222.75423636287</v>
      </c>
      <c r="S20" s="1">
        <f t="shared" si="5"/>
        <v>-624766.36423636321</v>
      </c>
      <c r="T20" s="1">
        <f t="shared" si="5"/>
        <v>-619892.77423636243</v>
      </c>
      <c r="U20" s="1">
        <f t="shared" si="5"/>
        <v>-608122.47423636355</v>
      </c>
      <c r="V20" s="1">
        <f t="shared" si="5"/>
        <v>-588606.2442363631</v>
      </c>
      <c r="W20" s="1">
        <f t="shared" si="5"/>
        <v>-560352.19423636422</v>
      </c>
      <c r="X20" s="1">
        <f t="shared" si="5"/>
        <v>-504746.18423636258</v>
      </c>
      <c r="Y20" s="1">
        <f t="shared" si="5"/>
        <v>-433607.45423636399</v>
      </c>
      <c r="Z20" s="1">
        <f t="shared" si="5"/>
        <v>-348753.11423636414</v>
      </c>
      <c r="AA20" s="1">
        <f t="shared" si="5"/>
        <v>-251027.65423636325</v>
      </c>
      <c r="AB20" s="1">
        <f t="shared" si="5"/>
        <v>-138523.44423636422</v>
      </c>
      <c r="AC20" s="1">
        <f t="shared" si="5"/>
        <v>-9362.904236363247</v>
      </c>
      <c r="AD20" s="1">
        <f t="shared" si="5"/>
        <v>137656.86576363631</v>
      </c>
      <c r="AE20" s="1">
        <f t="shared" si="5"/>
        <v>159132.15576363727</v>
      </c>
      <c r="AF20" s="1">
        <f t="shared" si="5"/>
        <v>171817.71576363593</v>
      </c>
      <c r="AG20" s="1">
        <f t="shared" si="5"/>
        <v>185484.11576363631</v>
      </c>
      <c r="AH20" s="1">
        <f t="shared" si="5"/>
        <v>199956.6857636366</v>
      </c>
      <c r="AI20" s="1">
        <f t="shared" si="5"/>
        <v>106376.56758181751</v>
      </c>
      <c r="AJ20" s="1">
        <f t="shared" si="5"/>
        <v>921970.76486680284</v>
      </c>
      <c r="AK20" s="1">
        <f t="shared" si="5"/>
        <v>-377732.56650310382</v>
      </c>
      <c r="AL20" s="1">
        <f t="shared" si="5"/>
        <v>-149434.79650310427</v>
      </c>
      <c r="AM20" s="1">
        <f t="shared" si="5"/>
        <v>108586.11349689588</v>
      </c>
      <c r="AN20" s="1">
        <f t="shared" si="5"/>
        <v>284800.81349689513</v>
      </c>
      <c r="AO20" s="1">
        <f t="shared" si="5"/>
        <v>306236.52349689603</v>
      </c>
      <c r="AP20" s="1">
        <f t="shared" si="5"/>
        <v>325220.40349689499</v>
      </c>
      <c r="AQ20" s="1">
        <f t="shared" si="5"/>
        <v>346583.37349689752</v>
      </c>
      <c r="AR20" s="1">
        <f t="shared" si="5"/>
        <v>373537.28349689767</v>
      </c>
      <c r="AS20" s="1">
        <f t="shared" si="5"/>
        <v>213253.34349689633</v>
      </c>
      <c r="AU20" s="24"/>
    </row>
    <row r="21" spans="1:47" s="27" customFormat="1" ht="14.6" x14ac:dyDescent="0.4">
      <c r="A21" s="34" t="s">
        <v>234</v>
      </c>
      <c r="F21" s="193">
        <f>IF(F20&gt;'Plan Inputs'!F7,ROUND(F20/F19,4),0)</f>
        <v>2.6200000000000001E-2</v>
      </c>
      <c r="G21" s="193">
        <f>IF(G20&gt;'Plan Inputs'!G7,ROUND(G20/G19,4),0)</f>
        <v>0.1242</v>
      </c>
      <c r="H21" s="193">
        <f>IF(H20&gt;'Plan Inputs'!H7,ROUND(H20/H19,4),0)</f>
        <v>5.6899999999999999E-2</v>
      </c>
      <c r="I21" s="193">
        <f>IF(I20&gt;'Plan Inputs'!I7,ROUND(I20/I19,4),0)</f>
        <v>0</v>
      </c>
      <c r="J21" s="193">
        <f>IF(J20&gt;'Plan Inputs'!J7,ROUND(J20/J19,4),0)</f>
        <v>0</v>
      </c>
      <c r="K21" s="193">
        <f>IF(K20&gt;'Plan Inputs'!K7,ROUND(K20/K19,4),0)</f>
        <v>0</v>
      </c>
      <c r="L21" s="193">
        <f>IF(L20&gt;'Plan Inputs'!L7,ROUND(L20/L19,4),0)</f>
        <v>0</v>
      </c>
      <c r="M21" s="193">
        <f>IF(M20&gt;'Plan Inputs'!M7,ROUND(M20/M19,4),0)</f>
        <v>0</v>
      </c>
      <c r="N21" s="193">
        <f>IF(N20&gt;'Plan Inputs'!N7,ROUND(N20/N19,4),0)</f>
        <v>0</v>
      </c>
      <c r="O21" s="193">
        <f>IF(O20&gt;'Plan Inputs'!O7,ROUND(O20/O19,4),0)</f>
        <v>0</v>
      </c>
      <c r="P21" s="193">
        <f>IF(P20&gt;'Plan Inputs'!P7,ROUND(P20/P19,4),0)</f>
        <v>0</v>
      </c>
      <c r="Q21" s="193">
        <f>IF(Q20&gt;'Plan Inputs'!Q7,ROUND(Q20/Q19,4),0)</f>
        <v>0</v>
      </c>
      <c r="R21" s="193">
        <f>IF(R20&gt;'Plan Inputs'!R7,ROUND(R20/R19,4),0)</f>
        <v>0</v>
      </c>
      <c r="S21" s="193">
        <f>IF(S20&gt;'Plan Inputs'!S7,ROUND(S20/S19,4),0)</f>
        <v>0</v>
      </c>
      <c r="T21" s="193">
        <f>IF(T20&gt;'Plan Inputs'!T7,ROUND(T20/T19,4),0)</f>
        <v>0</v>
      </c>
      <c r="U21" s="193">
        <f>IF(U20&gt;'Plan Inputs'!U7,ROUND(U20/U19,4),0)</f>
        <v>0</v>
      </c>
      <c r="V21" s="193">
        <f>IF(V20&gt;'Plan Inputs'!V7,ROUND(V20/V19,4),0)</f>
        <v>0</v>
      </c>
      <c r="W21" s="193">
        <f>IF(W20&gt;'Plan Inputs'!W7,ROUND(W20/W19,4),0)</f>
        <v>0</v>
      </c>
      <c r="X21" s="193">
        <f>IF(X20&gt;'Plan Inputs'!X7,ROUND(X20/X19,4),0)</f>
        <v>0</v>
      </c>
      <c r="Y21" s="193">
        <f>IF(Y20&gt;'Plan Inputs'!Y7,ROUND(Y20/Y19,4),0)</f>
        <v>0</v>
      </c>
      <c r="Z21" s="193">
        <f>IF(Z20&gt;'Plan Inputs'!Z7,ROUND(Z20/Z19,4),0)</f>
        <v>0</v>
      </c>
      <c r="AA21" s="193">
        <f>IF(AA20&gt;'Plan Inputs'!AA7,ROUND(AA20/AA19,4),0)</f>
        <v>0</v>
      </c>
      <c r="AB21" s="193">
        <f>IF(AB20&gt;'Plan Inputs'!AB7,ROUND(AB20/AB19,4),0)</f>
        <v>0</v>
      </c>
      <c r="AC21" s="193">
        <f>IF(AC20&gt;'Plan Inputs'!AC7,ROUND(AC20/AC19,4),0)</f>
        <v>0</v>
      </c>
      <c r="AD21" s="193">
        <f>IF(AD20&gt;'Plan Inputs'!AD7,ROUND(AD20/AD19,4),0)</f>
        <v>1.18E-2</v>
      </c>
      <c r="AE21" s="193">
        <f>IF(AE20&gt;'Plan Inputs'!AE7,ROUND(AE20/AE19,4),0)</f>
        <v>1.32E-2</v>
      </c>
      <c r="AF21" s="193">
        <f>IF(AF20&gt;'Plan Inputs'!AF7,ROUND(AF20/AF19,4),0)</f>
        <v>1.37E-2</v>
      </c>
      <c r="AG21" s="193">
        <f>IF(AG20&gt;'Plan Inputs'!AG7,ROUND(AG20/AG19,4),0)</f>
        <v>1.4200000000000001E-2</v>
      </c>
      <c r="AH21" s="193">
        <f>IF(AH20&gt;'Plan Inputs'!AH7,ROUND(AH20/AH19,4),0)</f>
        <v>1.47E-2</v>
      </c>
      <c r="AI21" s="193">
        <f>IF(AI20&gt;'Plan Inputs'!AI7,ROUND(AI20/AI19,4),0)</f>
        <v>7.4999999999999997E-3</v>
      </c>
      <c r="AJ21" s="193">
        <f>IF(AJ20&gt;'Plan Inputs'!AJ7,ROUND(AJ20/AJ19,4),0)</f>
        <v>6.3299999999999995E-2</v>
      </c>
      <c r="AK21" s="193">
        <f>IF(AK20&gt;'Plan Inputs'!AK7,ROUND(AK20/AK19,4),0)</f>
        <v>0</v>
      </c>
      <c r="AL21" s="193">
        <f>IF(AL20&gt;'Plan Inputs'!AL7,ROUND(AL20/AL19,4),0)</f>
        <v>0</v>
      </c>
      <c r="AM21" s="193">
        <f>IF(AM20&gt;'Plan Inputs'!AM7,ROUND(AM20/AM19,4),0)</f>
        <v>6.4999999999999997E-3</v>
      </c>
      <c r="AN21" s="193">
        <f>IF(AN20&gt;'Plan Inputs'!AN7,ROUND(AN20/AN19,4),0)</f>
        <v>1.6500000000000001E-2</v>
      </c>
      <c r="AO21" s="193">
        <f>IF(AO20&gt;'Plan Inputs'!AO7,ROUND(AO20/AO19,4),0)</f>
        <v>1.7100000000000001E-2</v>
      </c>
      <c r="AP21" s="193">
        <f>IF(AP20&gt;'Plan Inputs'!AP7,ROUND(AP20/AP19,4),0)</f>
        <v>1.7399999999999999E-2</v>
      </c>
      <c r="AQ21" s="193">
        <f>IF(AQ20&gt;'Plan Inputs'!AQ7,ROUND(AQ20/AQ19,4),0)</f>
        <v>1.78E-2</v>
      </c>
      <c r="AR21" s="193">
        <f>IF(AR20&gt;'Plan Inputs'!AR7,ROUND(AR20/AR19,4),0)</f>
        <v>1.84E-2</v>
      </c>
      <c r="AS21" s="193">
        <f>IF(AS20&gt;'Plan Inputs'!AS7,ROUND(AS20/AS19,4),0)</f>
        <v>0.01</v>
      </c>
    </row>
    <row r="22" spans="1:47" s="27" customFormat="1" ht="14.6" x14ac:dyDescent="0.4">
      <c r="A22" s="34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</row>
    <row r="23" spans="1:47" s="27" customFormat="1" ht="14.6" x14ac:dyDescent="0.4">
      <c r="D23" s="197"/>
      <c r="E23" s="196"/>
    </row>
    <row r="24" spans="1:47" s="27" customFormat="1" ht="14.6" x14ac:dyDescent="0.4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</row>
    <row r="25" spans="1:47" s="27" customFormat="1" ht="15.45" x14ac:dyDescent="0.4">
      <c r="A25" s="26"/>
      <c r="B25" s="26"/>
      <c r="C25" s="26"/>
      <c r="D25" s="26"/>
      <c r="E25" s="2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7" s="27" customFormat="1" ht="15.45" x14ac:dyDescent="0.4">
      <c r="A26" s="178"/>
      <c r="B26" s="178"/>
      <c r="C26" s="178"/>
      <c r="D26" s="178"/>
      <c r="E26" s="178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</row>
    <row r="27" spans="1:47" s="27" customFormat="1" ht="18.45" x14ac:dyDescent="0.4">
      <c r="A27" s="226" t="s">
        <v>235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7" s="27" customFormat="1" ht="18.45" x14ac:dyDescent="0.4">
      <c r="A28" s="226" t="str">
        <f>'Plan Inputs'!F2</f>
        <v>2026-2065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7" s="27" customFormat="1" ht="15.9" x14ac:dyDescent="0.4">
      <c r="A29" s="234" t="s">
        <v>163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7" s="27" customFormat="1" ht="15.9" x14ac:dyDescent="0.4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7" ht="15.45" x14ac:dyDescent="0.4">
      <c r="A31" s="3"/>
      <c r="B31" s="4"/>
      <c r="C31" s="4"/>
      <c r="D31" s="4"/>
      <c r="E31" s="4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7" s="179" customFormat="1" ht="15.45" x14ac:dyDescent="0.4">
      <c r="A32" s="3"/>
      <c r="B32" s="4"/>
      <c r="C32" s="4"/>
      <c r="D32" s="4"/>
      <c r="E32" s="4"/>
      <c r="F32" s="21">
        <f>'Plan Inputs'!F5</f>
        <v>2026</v>
      </c>
      <c r="G32" s="21">
        <f>'Plan Inputs'!G5</f>
        <v>2027</v>
      </c>
      <c r="H32" s="21">
        <f>'Plan Inputs'!H5</f>
        <v>2028</v>
      </c>
      <c r="I32" s="21">
        <f>'Plan Inputs'!I5</f>
        <v>2029</v>
      </c>
      <c r="J32" s="21">
        <f>'Plan Inputs'!J5</f>
        <v>2030</v>
      </c>
      <c r="K32" s="21">
        <f>'Plan Inputs'!K5</f>
        <v>2031</v>
      </c>
      <c r="L32" s="21">
        <f>'Plan Inputs'!L5</f>
        <v>2032</v>
      </c>
      <c r="M32" s="21">
        <f>'Plan Inputs'!M5</f>
        <v>2033</v>
      </c>
      <c r="N32" s="21">
        <f>'Plan Inputs'!N5</f>
        <v>2034</v>
      </c>
      <c r="O32" s="21">
        <f>'Plan Inputs'!O5</f>
        <v>2035</v>
      </c>
      <c r="P32" s="21">
        <f>'Plan Inputs'!P5</f>
        <v>2036</v>
      </c>
      <c r="Q32" s="21">
        <f>'Plan Inputs'!Q5</f>
        <v>2037</v>
      </c>
      <c r="R32" s="21">
        <f>'Plan Inputs'!R5</f>
        <v>2038</v>
      </c>
      <c r="S32" s="21">
        <f>'Plan Inputs'!S5</f>
        <v>2039</v>
      </c>
      <c r="T32" s="21">
        <f>'Plan Inputs'!T5</f>
        <v>2040</v>
      </c>
      <c r="U32" s="21">
        <f>'Plan Inputs'!U5</f>
        <v>2041</v>
      </c>
      <c r="V32" s="21">
        <f>'Plan Inputs'!V5</f>
        <v>2042</v>
      </c>
      <c r="W32" s="21">
        <f>'Plan Inputs'!W5</f>
        <v>2043</v>
      </c>
      <c r="X32" s="21">
        <f>'Plan Inputs'!X5</f>
        <v>2044</v>
      </c>
      <c r="Y32" s="21">
        <f>'Plan Inputs'!Y5</f>
        <v>2045</v>
      </c>
      <c r="Z32" s="21">
        <f>'Plan Inputs'!Z5</f>
        <v>2046</v>
      </c>
      <c r="AA32" s="21">
        <f>'Plan Inputs'!AA5</f>
        <v>2047</v>
      </c>
      <c r="AB32" s="21">
        <f>'Plan Inputs'!AB5</f>
        <v>2048</v>
      </c>
      <c r="AC32" s="21">
        <f>'Plan Inputs'!AC5</f>
        <v>2049</v>
      </c>
      <c r="AD32" s="21">
        <f>'Plan Inputs'!AD5</f>
        <v>2050</v>
      </c>
      <c r="AE32" s="21">
        <f>'Plan Inputs'!AE5</f>
        <v>2051</v>
      </c>
      <c r="AF32" s="21">
        <f>'Plan Inputs'!AF5</f>
        <v>2052</v>
      </c>
      <c r="AG32" s="21">
        <f>'Plan Inputs'!AG5</f>
        <v>2053</v>
      </c>
      <c r="AH32" s="21">
        <f>'Plan Inputs'!AH5</f>
        <v>2054</v>
      </c>
      <c r="AI32" s="21">
        <f>'Plan Inputs'!AI5</f>
        <v>2055</v>
      </c>
      <c r="AJ32" s="21">
        <f>'Plan Inputs'!AJ5</f>
        <v>2056</v>
      </c>
      <c r="AK32" s="21">
        <f>'Plan Inputs'!AK5</f>
        <v>2057</v>
      </c>
      <c r="AL32" s="21">
        <f>'Plan Inputs'!AL5</f>
        <v>2058</v>
      </c>
      <c r="AM32" s="21">
        <f>'Plan Inputs'!AM5</f>
        <v>2059</v>
      </c>
      <c r="AN32" s="21">
        <f>'Plan Inputs'!AN5</f>
        <v>2060</v>
      </c>
      <c r="AO32" s="21">
        <f>'Plan Inputs'!AO5</f>
        <v>2061</v>
      </c>
      <c r="AP32" s="21">
        <f>'Plan Inputs'!AP5</f>
        <v>2062</v>
      </c>
      <c r="AQ32" s="21">
        <f>'Plan Inputs'!AQ5</f>
        <v>2063</v>
      </c>
      <c r="AR32" s="21">
        <f>'Plan Inputs'!AR5</f>
        <v>2064</v>
      </c>
      <c r="AS32" s="21">
        <f>'Plan Inputs'!AS5</f>
        <v>2065</v>
      </c>
    </row>
    <row r="33" spans="1:47" ht="15.45" x14ac:dyDescent="0.4">
      <c r="A33" s="32" t="str">
        <f>'Proforma Income Statement'!A68</f>
        <v>Operation and Maintenance Expenses</v>
      </c>
      <c r="B33" s="5"/>
      <c r="C33" s="5"/>
      <c r="D33" s="5"/>
      <c r="E33" s="5"/>
      <c r="F33" s="5">
        <f>'Proforma Income Statement'!F68</f>
        <v>4083369</v>
      </c>
      <c r="G33" s="5">
        <f>'Proforma Income Statement'!G68</f>
        <v>4236989</v>
      </c>
      <c r="H33" s="5">
        <f>'Proforma Income Statement'!H68</f>
        <v>4630157</v>
      </c>
      <c r="I33" s="5">
        <f>'Proforma Income Statement'!I68</f>
        <v>4812417</v>
      </c>
      <c r="J33" s="5">
        <f>'Proforma Income Statement'!J68</f>
        <v>5001806</v>
      </c>
      <c r="K33" s="5">
        <f>'Proforma Income Statement'!K68</f>
        <v>5201586</v>
      </c>
      <c r="L33" s="5">
        <f>'Proforma Income Statement'!L68</f>
        <v>5407638</v>
      </c>
      <c r="M33" s="5">
        <f>'Proforma Income Statement'!M68</f>
        <v>5626394</v>
      </c>
      <c r="N33" s="5">
        <f>'Proforma Income Statement'!N68</f>
        <v>5852078</v>
      </c>
      <c r="O33" s="5">
        <f>'Proforma Income Statement'!O68</f>
        <v>6086740</v>
      </c>
      <c r="P33" s="5">
        <f>'Proforma Income Statement'!P68</f>
        <v>6334655</v>
      </c>
      <c r="Q33" s="5">
        <f>'Proforma Income Statement'!Q68</f>
        <v>6590819</v>
      </c>
      <c r="R33" s="5">
        <f>'Proforma Income Statement'!R68</f>
        <v>6861618</v>
      </c>
      <c r="S33" s="5">
        <f>'Proforma Income Statement'!S68</f>
        <v>7141464</v>
      </c>
      <c r="T33" s="5">
        <f>'Proforma Income Statement'!T68</f>
        <v>7437038</v>
      </c>
      <c r="U33" s="5">
        <f>'Proforma Income Statement'!U68</f>
        <v>7742522</v>
      </c>
      <c r="V33" s="5">
        <f>'Proforma Income Statement'!V68</f>
        <v>8065278</v>
      </c>
      <c r="W33" s="5">
        <f>'Proforma Income Statement'!W68</f>
        <v>8399607</v>
      </c>
      <c r="X33" s="5">
        <f>'Proforma Income Statement'!X68</f>
        <v>8751381</v>
      </c>
      <c r="Y33" s="5">
        <f>'Proforma Income Statement'!Y68</f>
        <v>9116110</v>
      </c>
      <c r="Z33" s="5">
        <f>'Proforma Income Statement'!Z68</f>
        <v>9500378</v>
      </c>
      <c r="AA33" s="5">
        <f>'Proforma Income Statement'!AA68</f>
        <v>9905072</v>
      </c>
      <c r="AB33" s="5">
        <f>'Proforma Income Statement'!AB68</f>
        <v>10323838</v>
      </c>
      <c r="AC33" s="5">
        <f>'Proforma Income Statement'!AC68</f>
        <v>10764564</v>
      </c>
      <c r="AD33" s="5">
        <f>'Proforma Income Statement'!AD68</f>
        <v>11221338</v>
      </c>
      <c r="AE33" s="5">
        <f>'Proforma Income Statement'!AE68</f>
        <v>11702089</v>
      </c>
      <c r="AF33" s="5">
        <f>'Proforma Income Statement'!AF68</f>
        <v>12207868</v>
      </c>
      <c r="AG33" s="5">
        <f>'Proforma Income Statement'!AG68</f>
        <v>12739413</v>
      </c>
      <c r="AH33" s="5">
        <f>'Proforma Income Statement'!AH68</f>
        <v>13290213</v>
      </c>
      <c r="AI33" s="5">
        <f>'Proforma Income Statement'!AI68</f>
        <v>13867983</v>
      </c>
      <c r="AJ33" s="5">
        <f>'Proforma Income Statement'!AJ68</f>
        <v>14474673</v>
      </c>
      <c r="AK33" s="5">
        <f>'Proforma Income Statement'!AK68</f>
        <v>15111928</v>
      </c>
      <c r="AL33" s="5">
        <f>'Proforma Income Statement'!AL68</f>
        <v>15772583</v>
      </c>
      <c r="AM33" s="5">
        <f>'Proforma Income Statement'!AM68</f>
        <v>16467157</v>
      </c>
      <c r="AN33" s="5">
        <f>'Proforma Income Statement'!AN68</f>
        <v>17195974</v>
      </c>
      <c r="AO33" s="5">
        <f>'Proforma Income Statement'!AO68</f>
        <v>17960147</v>
      </c>
      <c r="AP33" s="5">
        <f>'Proforma Income Statement'!AP68</f>
        <v>18761578</v>
      </c>
      <c r="AQ33" s="5">
        <f>'Proforma Income Statement'!AQ68</f>
        <v>19601862</v>
      </c>
      <c r="AR33" s="5">
        <f>'Proforma Income Statement'!AR68</f>
        <v>20482657</v>
      </c>
      <c r="AS33" s="5">
        <f>'Proforma Income Statement'!AS68</f>
        <v>21407151</v>
      </c>
    </row>
    <row r="34" spans="1:47" ht="15.45" x14ac:dyDescent="0.4">
      <c r="A34" s="32" t="str">
        <f>'Proforma Income Statement'!A71</f>
        <v>Other Expenses</v>
      </c>
      <c r="B34" s="1"/>
      <c r="C34" s="5"/>
      <c r="D34" s="5"/>
      <c r="E34" s="5"/>
      <c r="F34" s="5">
        <f>'Proforma Income Statement'!F71</f>
        <v>80094</v>
      </c>
      <c r="G34" s="5">
        <f>'Proforma Income Statement'!G71</f>
        <v>82497</v>
      </c>
      <c r="H34" s="5">
        <f>'Proforma Income Statement'!H71</f>
        <v>84972</v>
      </c>
      <c r="I34" s="5">
        <f>'Proforma Income Statement'!I71</f>
        <v>87521</v>
      </c>
      <c r="J34" s="5">
        <f>'Proforma Income Statement'!J71</f>
        <v>90147</v>
      </c>
      <c r="K34" s="5">
        <f>'Proforma Income Statement'!K71</f>
        <v>92851</v>
      </c>
      <c r="L34" s="5">
        <f>'Proforma Income Statement'!L71</f>
        <v>95637</v>
      </c>
      <c r="M34" s="5">
        <f>'Proforma Income Statement'!M71</f>
        <v>98506</v>
      </c>
      <c r="N34" s="5">
        <f>'Proforma Income Statement'!N71</f>
        <v>101461</v>
      </c>
      <c r="O34" s="5">
        <f>'Proforma Income Statement'!O71</f>
        <v>104505</v>
      </c>
      <c r="P34" s="5">
        <f>'Proforma Income Statement'!P71</f>
        <v>107640</v>
      </c>
      <c r="Q34" s="5">
        <f>'Proforma Income Statement'!Q71</f>
        <v>110869</v>
      </c>
      <c r="R34" s="5">
        <f>'Proforma Income Statement'!R71</f>
        <v>114195</v>
      </c>
      <c r="S34" s="5">
        <f>'Proforma Income Statement'!S71</f>
        <v>117621</v>
      </c>
      <c r="T34" s="5">
        <f>'Proforma Income Statement'!T71</f>
        <v>121150</v>
      </c>
      <c r="U34" s="5">
        <f>'Proforma Income Statement'!U71</f>
        <v>124785</v>
      </c>
      <c r="V34" s="5">
        <f>'Proforma Income Statement'!V71</f>
        <v>128529</v>
      </c>
      <c r="W34" s="5">
        <f>'Proforma Income Statement'!W71</f>
        <v>132385</v>
      </c>
      <c r="X34" s="5">
        <f>'Proforma Income Statement'!X71</f>
        <v>136357</v>
      </c>
      <c r="Y34" s="5">
        <f>'Proforma Income Statement'!Y71</f>
        <v>140448</v>
      </c>
      <c r="Z34" s="5">
        <f>'Proforma Income Statement'!Z71</f>
        <v>144661</v>
      </c>
      <c r="AA34" s="5">
        <f>'Proforma Income Statement'!AA71</f>
        <v>149001</v>
      </c>
      <c r="AB34" s="5">
        <f>'Proforma Income Statement'!AB71</f>
        <v>153471</v>
      </c>
      <c r="AC34" s="5">
        <f>'Proforma Income Statement'!AC71</f>
        <v>158075</v>
      </c>
      <c r="AD34" s="5">
        <f>'Proforma Income Statement'!AD71</f>
        <v>162817</v>
      </c>
      <c r="AE34" s="5">
        <f>'Proforma Income Statement'!AE71</f>
        <v>167702</v>
      </c>
      <c r="AF34" s="5">
        <f>'Proforma Income Statement'!AF71</f>
        <v>172733</v>
      </c>
      <c r="AG34" s="5">
        <f>'Proforma Income Statement'!AG71</f>
        <v>177915</v>
      </c>
      <c r="AH34" s="5">
        <f>'Proforma Income Statement'!AH71</f>
        <v>183252</v>
      </c>
      <c r="AI34" s="5">
        <f>'Proforma Income Statement'!AI71</f>
        <v>188750</v>
      </c>
      <c r="AJ34" s="5">
        <f>'Proforma Income Statement'!AJ71</f>
        <v>194413</v>
      </c>
      <c r="AK34" s="5">
        <f>'Proforma Income Statement'!AK71</f>
        <v>200245</v>
      </c>
      <c r="AL34" s="5">
        <f>'Proforma Income Statement'!AL71</f>
        <v>206252</v>
      </c>
      <c r="AM34" s="5">
        <f>'Proforma Income Statement'!AM71</f>
        <v>212440</v>
      </c>
      <c r="AN34" s="5">
        <f>'Proforma Income Statement'!AN71</f>
        <v>218813</v>
      </c>
      <c r="AO34" s="5">
        <f>'Proforma Income Statement'!AO71</f>
        <v>225377</v>
      </c>
      <c r="AP34" s="5">
        <f>'Proforma Income Statement'!AP71</f>
        <v>232138</v>
      </c>
      <c r="AQ34" s="5">
        <f>'Proforma Income Statement'!AQ71</f>
        <v>239102</v>
      </c>
      <c r="AR34" s="5">
        <f>'Proforma Income Statement'!AR71</f>
        <v>246275</v>
      </c>
      <c r="AS34" s="5">
        <f>'Proforma Income Statement'!AS71</f>
        <v>253663</v>
      </c>
    </row>
    <row r="35" spans="1:47" ht="15.45" x14ac:dyDescent="0.4">
      <c r="A35" s="32" t="s">
        <v>222</v>
      </c>
      <c r="B35" s="1"/>
      <c r="C35" s="5"/>
      <c r="D35" s="5"/>
      <c r="E35" s="5"/>
      <c r="F35" s="5">
        <f>'Proforma Income Statement'!F69</f>
        <v>619912</v>
      </c>
      <c r="G35" s="5">
        <f>'Proforma Income Statement'!G69</f>
        <v>619912</v>
      </c>
      <c r="H35" s="5">
        <f>'Proforma Income Statement'!H69</f>
        <v>619912</v>
      </c>
      <c r="I35" s="5">
        <f>'Proforma Income Statement'!I69</f>
        <v>619912</v>
      </c>
      <c r="J35" s="5">
        <f>'Proforma Income Statement'!J69</f>
        <v>619912</v>
      </c>
      <c r="K35" s="5">
        <f>'Proforma Income Statement'!K69</f>
        <v>619912</v>
      </c>
      <c r="L35" s="5">
        <f>'Proforma Income Statement'!L69</f>
        <v>619912</v>
      </c>
      <c r="M35" s="5">
        <f>'Proforma Income Statement'!M69</f>
        <v>619912</v>
      </c>
      <c r="N35" s="5">
        <f>'Proforma Income Statement'!N69</f>
        <v>619912</v>
      </c>
      <c r="O35" s="5">
        <f>'Proforma Income Statement'!O69</f>
        <v>619912</v>
      </c>
      <c r="P35" s="5">
        <f>'Proforma Income Statement'!P69</f>
        <v>619912</v>
      </c>
      <c r="Q35" s="5">
        <f>'Proforma Income Statement'!Q69</f>
        <v>619912</v>
      </c>
      <c r="R35" s="5">
        <f>'Proforma Income Statement'!R69</f>
        <v>619912</v>
      </c>
      <c r="S35" s="5">
        <f>'Proforma Income Statement'!S69</f>
        <v>619912</v>
      </c>
      <c r="T35" s="5">
        <f>'Proforma Income Statement'!T69</f>
        <v>619912</v>
      </c>
      <c r="U35" s="5">
        <f>'Proforma Income Statement'!U69</f>
        <v>619912</v>
      </c>
      <c r="V35" s="5">
        <f>'Proforma Income Statement'!V69</f>
        <v>619912</v>
      </c>
      <c r="W35" s="5">
        <f>'Proforma Income Statement'!W69</f>
        <v>619912</v>
      </c>
      <c r="X35" s="5">
        <f>'Proforma Income Statement'!X69</f>
        <v>619912</v>
      </c>
      <c r="Y35" s="5">
        <f>'Proforma Income Statement'!Y69</f>
        <v>619912</v>
      </c>
      <c r="Z35" s="5">
        <f>'Proforma Income Statement'!Z69</f>
        <v>619912</v>
      </c>
      <c r="AA35" s="5">
        <f>'Proforma Income Statement'!AA69</f>
        <v>619912</v>
      </c>
      <c r="AB35" s="5">
        <f>'Proforma Income Statement'!AB69</f>
        <v>619912</v>
      </c>
      <c r="AC35" s="5">
        <f>'Proforma Income Statement'!AC69</f>
        <v>619912</v>
      </c>
      <c r="AD35" s="5">
        <f>'Proforma Income Statement'!AD69</f>
        <v>619912</v>
      </c>
      <c r="AE35" s="5">
        <f>'Proforma Income Statement'!AE69</f>
        <v>619912</v>
      </c>
      <c r="AF35" s="5">
        <f>'Proforma Income Statement'!AF69</f>
        <v>619912</v>
      </c>
      <c r="AG35" s="5">
        <f>'Proforma Income Statement'!AG69</f>
        <v>619912</v>
      </c>
      <c r="AH35" s="5">
        <f>'Proforma Income Statement'!AH69</f>
        <v>619912</v>
      </c>
      <c r="AI35" s="5">
        <f>'Proforma Income Statement'!AI69</f>
        <v>619912</v>
      </c>
      <c r="AJ35" s="5">
        <f>'Proforma Income Statement'!AJ69</f>
        <v>619912</v>
      </c>
      <c r="AK35" s="5">
        <f>'Proforma Income Statement'!AK69</f>
        <v>619912</v>
      </c>
      <c r="AL35" s="5">
        <f>'Proforma Income Statement'!AL69</f>
        <v>619912</v>
      </c>
      <c r="AM35" s="5">
        <f>'Proforma Income Statement'!AM69</f>
        <v>619912</v>
      </c>
      <c r="AN35" s="5">
        <f>'Proforma Income Statement'!AN69</f>
        <v>619912</v>
      </c>
      <c r="AO35" s="5">
        <f>'Proforma Income Statement'!AO69</f>
        <v>619912</v>
      </c>
      <c r="AP35" s="5">
        <f>'Proforma Income Statement'!AP69</f>
        <v>619912</v>
      </c>
      <c r="AQ35" s="5">
        <f>'Proforma Income Statement'!AQ69</f>
        <v>619912</v>
      </c>
      <c r="AR35" s="5">
        <f>'Proforma Income Statement'!AR69</f>
        <v>619912</v>
      </c>
      <c r="AS35" s="5">
        <f>'Proforma Income Statement'!AS69</f>
        <v>619912</v>
      </c>
    </row>
    <row r="36" spans="1:47" ht="15.45" x14ac:dyDescent="0.4">
      <c r="A36" s="32" t="s">
        <v>223</v>
      </c>
      <c r="B36" s="1"/>
      <c r="C36" s="5"/>
      <c r="D36" s="5"/>
      <c r="E36" s="5"/>
      <c r="F36" s="5">
        <f>'Proforma Income Statement'!F70</f>
        <v>0</v>
      </c>
      <c r="G36" s="5">
        <f>'Proforma Income Statement'!G70</f>
        <v>0</v>
      </c>
      <c r="H36" s="5">
        <f>'Proforma Income Statement'!H70</f>
        <v>295600</v>
      </c>
      <c r="I36" s="5">
        <f>'Proforma Income Statement'!I70</f>
        <v>295600</v>
      </c>
      <c r="J36" s="5">
        <f>'Proforma Income Statement'!J70</f>
        <v>295600</v>
      </c>
      <c r="K36" s="5">
        <f>'Proforma Income Statement'!K70</f>
        <v>295600</v>
      </c>
      <c r="L36" s="5">
        <f>'Proforma Income Statement'!L70</f>
        <v>295600</v>
      </c>
      <c r="M36" s="5">
        <f>'Proforma Income Statement'!M70</f>
        <v>295600</v>
      </c>
      <c r="N36" s="5">
        <f>'Proforma Income Statement'!N70</f>
        <v>295600</v>
      </c>
      <c r="O36" s="5">
        <f>'Proforma Income Statement'!O70</f>
        <v>295600</v>
      </c>
      <c r="P36" s="5">
        <f>'Proforma Income Statement'!P70</f>
        <v>295600</v>
      </c>
      <c r="Q36" s="5">
        <f>'Proforma Income Statement'!Q70</f>
        <v>295600</v>
      </c>
      <c r="R36" s="5">
        <f>'Proforma Income Statement'!R70</f>
        <v>295600</v>
      </c>
      <c r="S36" s="5">
        <f>'Proforma Income Statement'!S70</f>
        <v>295600</v>
      </c>
      <c r="T36" s="5">
        <f>'Proforma Income Statement'!T70</f>
        <v>295600</v>
      </c>
      <c r="U36" s="5">
        <f>'Proforma Income Statement'!U70</f>
        <v>295600</v>
      </c>
      <c r="V36" s="5">
        <f>'Proforma Income Statement'!V70</f>
        <v>295600</v>
      </c>
      <c r="W36" s="5">
        <f>'Proforma Income Statement'!W70</f>
        <v>295600</v>
      </c>
      <c r="X36" s="5">
        <f>'Proforma Income Statement'!X70</f>
        <v>295600</v>
      </c>
      <c r="Y36" s="5">
        <f>'Proforma Income Statement'!Y70</f>
        <v>295600</v>
      </c>
      <c r="Z36" s="5">
        <f>'Proforma Income Statement'!Z70</f>
        <v>295600</v>
      </c>
      <c r="AA36" s="5">
        <f>'Proforma Income Statement'!AA70</f>
        <v>295600</v>
      </c>
      <c r="AB36" s="5">
        <f>'Proforma Income Statement'!AB70</f>
        <v>295600</v>
      </c>
      <c r="AC36" s="5">
        <f>'Proforma Income Statement'!AC70</f>
        <v>295600</v>
      </c>
      <c r="AD36" s="5">
        <f>'Proforma Income Statement'!AD70</f>
        <v>295600</v>
      </c>
      <c r="AE36" s="5">
        <f>'Proforma Income Statement'!AE70</f>
        <v>295600</v>
      </c>
      <c r="AF36" s="5">
        <f>'Proforma Income Statement'!AF70</f>
        <v>295600</v>
      </c>
      <c r="AG36" s="5">
        <f>'Proforma Income Statement'!AG70</f>
        <v>295600</v>
      </c>
      <c r="AH36" s="5">
        <f>'Proforma Income Statement'!AH70</f>
        <v>295600</v>
      </c>
      <c r="AI36" s="5">
        <f>'Proforma Income Statement'!AI70</f>
        <v>295600</v>
      </c>
      <c r="AJ36" s="5">
        <f>'Proforma Income Statement'!AJ70</f>
        <v>295600</v>
      </c>
      <c r="AK36" s="5">
        <f>'Proforma Income Statement'!AK70</f>
        <v>295600</v>
      </c>
      <c r="AL36" s="5">
        <f>'Proforma Income Statement'!AL70</f>
        <v>295600</v>
      </c>
      <c r="AM36" s="5">
        <f>'Proforma Income Statement'!AM70</f>
        <v>295600</v>
      </c>
      <c r="AN36" s="5">
        <f>'Proforma Income Statement'!AN70</f>
        <v>295600</v>
      </c>
      <c r="AO36" s="5">
        <f>'Proforma Income Statement'!AO70</f>
        <v>295600</v>
      </c>
      <c r="AP36" s="5">
        <f>'Proforma Income Statement'!AP70</f>
        <v>295600</v>
      </c>
      <c r="AQ36" s="5">
        <f>'Proforma Income Statement'!AQ70</f>
        <v>295600</v>
      </c>
      <c r="AR36" s="5">
        <f>'Proforma Income Statement'!AR70</f>
        <v>295600</v>
      </c>
      <c r="AS36" s="5">
        <f>'Proforma Income Statement'!AS70</f>
        <v>295600</v>
      </c>
    </row>
    <row r="37" spans="1:47" ht="15.45" x14ac:dyDescent="0.4">
      <c r="A37" s="163" t="s">
        <v>224</v>
      </c>
      <c r="B37" s="9"/>
      <c r="C37" s="8"/>
      <c r="D37" s="8"/>
      <c r="E37" s="8"/>
      <c r="F37" s="8">
        <f>'Debt Service'!F11</f>
        <v>327063.82</v>
      </c>
      <c r="G37" s="8">
        <f>'Debt Service'!G11</f>
        <v>326610.68</v>
      </c>
      <c r="H37" s="8">
        <f>'Debt Service'!H11</f>
        <v>325070.54999999993</v>
      </c>
      <c r="I37" s="8">
        <f>'Debt Service'!I11</f>
        <v>326397.50999999995</v>
      </c>
      <c r="J37" s="8">
        <f>'Debt Service'!J11</f>
        <v>324566.55</v>
      </c>
      <c r="K37" s="8">
        <f>'Debt Service'!K11</f>
        <v>177127.01</v>
      </c>
      <c r="L37" s="8">
        <f>'Debt Service'!L11</f>
        <v>124167.07</v>
      </c>
      <c r="M37" s="8">
        <f>'Debt Service'!M11</f>
        <v>123871.86</v>
      </c>
      <c r="N37" s="8">
        <f>'Debt Service'!N11</f>
        <v>68863.399999999994</v>
      </c>
      <c r="O37" s="8">
        <f>'Debt Service'!O11</f>
        <v>14054.8</v>
      </c>
      <c r="P37" s="8">
        <f>'Debt Service'!P11</f>
        <v>14020.720000000001</v>
      </c>
      <c r="Q37" s="8">
        <f>'Debt Service'!Q11</f>
        <v>0</v>
      </c>
      <c r="R37" s="8">
        <f>'Debt Service'!R11</f>
        <v>0</v>
      </c>
      <c r="S37" s="8">
        <f>'Debt Service'!S11</f>
        <v>0</v>
      </c>
      <c r="T37" s="8">
        <f>'Debt Service'!T11</f>
        <v>0</v>
      </c>
      <c r="U37" s="8">
        <f>'Debt Service'!U11</f>
        <v>0</v>
      </c>
      <c r="V37" s="8">
        <f>'Debt Service'!V11</f>
        <v>0</v>
      </c>
      <c r="W37" s="8">
        <f>'Debt Service'!W11</f>
        <v>0</v>
      </c>
      <c r="X37" s="8">
        <f>'Debt Service'!X11</f>
        <v>0</v>
      </c>
      <c r="Y37" s="8">
        <f>'Debt Service'!Y11</f>
        <v>0</v>
      </c>
      <c r="Z37" s="8">
        <f>'Debt Service'!Z11</f>
        <v>0</v>
      </c>
      <c r="AA37" s="8">
        <f>'Debt Service'!AA11</f>
        <v>0</v>
      </c>
      <c r="AB37" s="8">
        <f>'Debt Service'!AB11</f>
        <v>0</v>
      </c>
      <c r="AC37" s="8">
        <f>'Debt Service'!AC11</f>
        <v>0</v>
      </c>
      <c r="AD37" s="8">
        <f>'Debt Service'!AD11</f>
        <v>0</v>
      </c>
      <c r="AE37" s="8">
        <f>'Debt Service'!AE11</f>
        <v>0</v>
      </c>
      <c r="AF37" s="8">
        <f>'Debt Service'!AF11</f>
        <v>0</v>
      </c>
      <c r="AG37" s="8">
        <f>'Debt Service'!AG11</f>
        <v>0</v>
      </c>
      <c r="AH37" s="8">
        <f>'Debt Service'!AH11</f>
        <v>0</v>
      </c>
      <c r="AI37" s="8">
        <f>'Debt Service'!AI11</f>
        <v>0</v>
      </c>
      <c r="AJ37" s="8">
        <f>'Debt Service'!AJ11</f>
        <v>0</v>
      </c>
      <c r="AK37" s="8">
        <f>'Debt Service'!AK11</f>
        <v>0</v>
      </c>
      <c r="AL37" s="8">
        <f>'Debt Service'!AL11</f>
        <v>0</v>
      </c>
      <c r="AM37" s="8">
        <f>'Debt Service'!AM11</f>
        <v>0</v>
      </c>
      <c r="AN37" s="8">
        <f>'Debt Service'!AN11</f>
        <v>0</v>
      </c>
      <c r="AO37" s="8">
        <f>'Debt Service'!AO11</f>
        <v>0</v>
      </c>
      <c r="AP37" s="8">
        <f>'Debt Service'!AP11</f>
        <v>0</v>
      </c>
      <c r="AQ37" s="8">
        <f>'Debt Service'!AQ11</f>
        <v>0</v>
      </c>
      <c r="AR37" s="8">
        <f>'Debt Service'!AR11</f>
        <v>0</v>
      </c>
      <c r="AS37" s="8">
        <f>'Debt Service'!AS11</f>
        <v>0</v>
      </c>
    </row>
    <row r="38" spans="1:47" ht="15.45" x14ac:dyDescent="0.4">
      <c r="A38" s="163" t="s">
        <v>225</v>
      </c>
      <c r="B38" s="9"/>
      <c r="C38" s="8"/>
      <c r="D38" s="8"/>
      <c r="E38" s="8"/>
      <c r="F38" s="8">
        <f>'Debt Service'!F13</f>
        <v>65413</v>
      </c>
      <c r="G38" s="8">
        <f>'Debt Service'!G13</f>
        <v>65322</v>
      </c>
      <c r="H38" s="8">
        <f>'Debt Service'!H13</f>
        <v>65014</v>
      </c>
      <c r="I38" s="8">
        <f>'Debt Service'!I13</f>
        <v>65280</v>
      </c>
      <c r="J38" s="8">
        <f>'Debt Service'!J13</f>
        <v>64913</v>
      </c>
      <c r="K38" s="8">
        <f>'Debt Service'!K13</f>
        <v>35425</v>
      </c>
      <c r="L38" s="8">
        <f>'Debt Service'!L13</f>
        <v>24833</v>
      </c>
      <c r="M38" s="8">
        <f>'Debt Service'!M13</f>
        <v>24774</v>
      </c>
      <c r="N38" s="8">
        <f>'Debt Service'!N13</f>
        <v>13773</v>
      </c>
      <c r="O38" s="8">
        <f>'Debt Service'!O13</f>
        <v>2811</v>
      </c>
      <c r="P38" s="8">
        <f>'Debt Service'!P13</f>
        <v>2804</v>
      </c>
      <c r="Q38" s="8">
        <f>'Debt Service'!Q13</f>
        <v>0</v>
      </c>
      <c r="R38" s="8">
        <f>'Debt Service'!R13</f>
        <v>0</v>
      </c>
      <c r="S38" s="8">
        <f>'Debt Service'!S13</f>
        <v>0</v>
      </c>
      <c r="T38" s="8">
        <f>'Debt Service'!T13</f>
        <v>0</v>
      </c>
      <c r="U38" s="8">
        <f>'Debt Service'!U13</f>
        <v>0</v>
      </c>
      <c r="V38" s="8">
        <f>'Debt Service'!V13</f>
        <v>0</v>
      </c>
      <c r="W38" s="8">
        <f>'Debt Service'!W13</f>
        <v>0</v>
      </c>
      <c r="X38" s="8">
        <f>'Debt Service'!X13</f>
        <v>0</v>
      </c>
      <c r="Y38" s="8">
        <f>'Debt Service'!Y13</f>
        <v>0</v>
      </c>
      <c r="Z38" s="8">
        <f>'Debt Service'!Z13</f>
        <v>0</v>
      </c>
      <c r="AA38" s="8">
        <f>'Debt Service'!AA13</f>
        <v>0</v>
      </c>
      <c r="AB38" s="8">
        <f>'Debt Service'!AB13</f>
        <v>0</v>
      </c>
      <c r="AC38" s="8">
        <f>'Debt Service'!AC13</f>
        <v>0</v>
      </c>
      <c r="AD38" s="8">
        <f>'Debt Service'!AD13</f>
        <v>0</v>
      </c>
      <c r="AE38" s="8">
        <f>'Debt Service'!AE13</f>
        <v>0</v>
      </c>
      <c r="AF38" s="8">
        <f>'Debt Service'!AF13</f>
        <v>0</v>
      </c>
      <c r="AG38" s="8">
        <f>'Debt Service'!AG13</f>
        <v>0</v>
      </c>
      <c r="AH38" s="8">
        <f>'Debt Service'!AH13</f>
        <v>0</v>
      </c>
      <c r="AI38" s="8">
        <f>'Debt Service'!AI13</f>
        <v>0</v>
      </c>
      <c r="AJ38" s="8">
        <f>'Debt Service'!AJ13</f>
        <v>0</v>
      </c>
      <c r="AK38" s="8">
        <f>'Debt Service'!AK13</f>
        <v>0</v>
      </c>
      <c r="AL38" s="8">
        <f>'Debt Service'!AL13</f>
        <v>0</v>
      </c>
      <c r="AM38" s="8">
        <f>'Debt Service'!AM13</f>
        <v>0</v>
      </c>
      <c r="AN38" s="8">
        <f>'Debt Service'!AN13</f>
        <v>0</v>
      </c>
      <c r="AO38" s="8">
        <f>'Debt Service'!AO13</f>
        <v>0</v>
      </c>
      <c r="AP38" s="8">
        <f>'Debt Service'!AP13</f>
        <v>0</v>
      </c>
      <c r="AQ38" s="8">
        <f>'Debt Service'!AQ13</f>
        <v>0</v>
      </c>
      <c r="AR38" s="8">
        <f>'Debt Service'!AR13</f>
        <v>0</v>
      </c>
      <c r="AS38" s="8">
        <f>'Debt Service'!AS13</f>
        <v>0</v>
      </c>
    </row>
    <row r="39" spans="1:47" ht="17.149999999999999" x14ac:dyDescent="0.4">
      <c r="A39" s="32" t="s">
        <v>226</v>
      </c>
      <c r="B39" s="1"/>
      <c r="C39" s="25"/>
      <c r="D39" s="25"/>
      <c r="E39" s="25"/>
      <c r="F39" s="1">
        <f>'Debt Service'!F38</f>
        <v>534206</v>
      </c>
      <c r="G39" s="1">
        <f>'Debt Service'!G38</f>
        <v>1068412</v>
      </c>
      <c r="H39" s="1">
        <f>'Debt Service'!H38</f>
        <v>1068412</v>
      </c>
      <c r="I39" s="1">
        <f>'Debt Service'!I38</f>
        <v>1068412</v>
      </c>
      <c r="J39" s="1">
        <f>'Debt Service'!J38</f>
        <v>1068412</v>
      </c>
      <c r="K39" s="1">
        <f>'Debt Service'!K38</f>
        <v>1068412</v>
      </c>
      <c r="L39" s="1">
        <f>'Debt Service'!L38</f>
        <v>1068412</v>
      </c>
      <c r="M39" s="1">
        <f>'Debt Service'!M38</f>
        <v>1068412</v>
      </c>
      <c r="N39" s="1">
        <f>'Debt Service'!N38</f>
        <v>1068412</v>
      </c>
      <c r="O39" s="1">
        <f>'Debt Service'!O38</f>
        <v>1068412</v>
      </c>
      <c r="P39" s="1">
        <f>'Debt Service'!P38</f>
        <v>1068412</v>
      </c>
      <c r="Q39" s="1">
        <f>'Debt Service'!Q38</f>
        <v>1068412</v>
      </c>
      <c r="R39" s="1">
        <f>'Debt Service'!R38</f>
        <v>1068412</v>
      </c>
      <c r="S39" s="1">
        <f>'Debt Service'!S38</f>
        <v>1068412</v>
      </c>
      <c r="T39" s="1">
        <f>'Debt Service'!T38</f>
        <v>1068412</v>
      </c>
      <c r="U39" s="1">
        <f>'Debt Service'!U38</f>
        <v>1068412</v>
      </c>
      <c r="V39" s="1">
        <f>'Debt Service'!V38</f>
        <v>1068412</v>
      </c>
      <c r="W39" s="1">
        <f>'Debt Service'!W38</f>
        <v>1068412</v>
      </c>
      <c r="X39" s="1">
        <f>'Debt Service'!X38</f>
        <v>1068412</v>
      </c>
      <c r="Y39" s="1">
        <f>'Debt Service'!Y38</f>
        <v>1068412</v>
      </c>
      <c r="Z39" s="1">
        <f>'Debt Service'!Z38</f>
        <v>1068412</v>
      </c>
      <c r="AA39" s="1">
        <f>'Debt Service'!AA38</f>
        <v>1068412</v>
      </c>
      <c r="AB39" s="1">
        <f>'Debt Service'!AB38</f>
        <v>1068412</v>
      </c>
      <c r="AC39" s="1">
        <f>'Debt Service'!AC38</f>
        <v>1068412</v>
      </c>
      <c r="AD39" s="1">
        <f>'Debt Service'!AD38</f>
        <v>1068412</v>
      </c>
      <c r="AE39" s="1">
        <f>'Debt Service'!AE38</f>
        <v>1068412</v>
      </c>
      <c r="AF39" s="1">
        <f>'Debt Service'!AF38</f>
        <v>1068412</v>
      </c>
      <c r="AG39" s="1">
        <f>'Debt Service'!AG38</f>
        <v>1068412</v>
      </c>
      <c r="AH39" s="1">
        <f>'Debt Service'!AH38</f>
        <v>1068412</v>
      </c>
      <c r="AI39" s="1">
        <f>'Debt Service'!AI38</f>
        <v>1068412</v>
      </c>
      <c r="AJ39" s="1">
        <f>'Debt Service'!AJ38</f>
        <v>534206</v>
      </c>
      <c r="AK39" s="1">
        <f>'Debt Service'!AK38</f>
        <v>0</v>
      </c>
      <c r="AL39" s="1">
        <f>'Debt Service'!AL38</f>
        <v>0</v>
      </c>
      <c r="AM39" s="1">
        <f>'Debt Service'!AM38</f>
        <v>0</v>
      </c>
      <c r="AN39" s="1">
        <f>'Debt Service'!AN38</f>
        <v>0</v>
      </c>
      <c r="AO39" s="1">
        <f>'Debt Service'!AO38</f>
        <v>0</v>
      </c>
      <c r="AP39" s="1">
        <f>'Debt Service'!AP38</f>
        <v>0</v>
      </c>
      <c r="AQ39" s="1">
        <f>'Debt Service'!AQ38</f>
        <v>0</v>
      </c>
      <c r="AR39" s="1">
        <f>'Debt Service'!AR38</f>
        <v>0</v>
      </c>
      <c r="AS39" s="1">
        <f>'Debt Service'!AS38</f>
        <v>0</v>
      </c>
      <c r="AU39" s="24">
        <f>SUM(F33:AS33)</f>
        <v>420138132</v>
      </c>
    </row>
    <row r="40" spans="1:47" ht="17.149999999999999" x14ac:dyDescent="0.4">
      <c r="A40" s="32" t="s">
        <v>227</v>
      </c>
      <c r="B40" s="1"/>
      <c r="C40" s="25"/>
      <c r="D40" s="25"/>
      <c r="E40" s="25"/>
      <c r="F40" s="33">
        <f>'Debt Service'!F40</f>
        <v>106841</v>
      </c>
      <c r="G40" s="33">
        <f>'Debt Service'!G40</f>
        <v>213682</v>
      </c>
      <c r="H40" s="33">
        <f>'Debt Service'!H40</f>
        <v>213682</v>
      </c>
      <c r="I40" s="33">
        <f>'Debt Service'!I40</f>
        <v>213682</v>
      </c>
      <c r="J40" s="33">
        <f>'Debt Service'!J40</f>
        <v>213682</v>
      </c>
      <c r="K40" s="33">
        <f>'Debt Service'!K40</f>
        <v>213682</v>
      </c>
      <c r="L40" s="33">
        <f>'Debt Service'!L40</f>
        <v>213682</v>
      </c>
      <c r="M40" s="33">
        <f>'Debt Service'!M40</f>
        <v>213682</v>
      </c>
      <c r="N40" s="33">
        <f>'Debt Service'!N40</f>
        <v>213682</v>
      </c>
      <c r="O40" s="33">
        <f>'Debt Service'!O40</f>
        <v>213682</v>
      </c>
      <c r="P40" s="33">
        <f>'Debt Service'!P40</f>
        <v>213682</v>
      </c>
      <c r="Q40" s="33">
        <f>'Debt Service'!Q40</f>
        <v>213682</v>
      </c>
      <c r="R40" s="33">
        <f>'Debt Service'!R40</f>
        <v>213682</v>
      </c>
      <c r="S40" s="33">
        <f>'Debt Service'!S40</f>
        <v>213682</v>
      </c>
      <c r="T40" s="33">
        <f>'Debt Service'!T40</f>
        <v>213682</v>
      </c>
      <c r="U40" s="33">
        <f>'Debt Service'!U40</f>
        <v>213682</v>
      </c>
      <c r="V40" s="33">
        <f>'Debt Service'!V40</f>
        <v>213682</v>
      </c>
      <c r="W40" s="33">
        <f>'Debt Service'!W40</f>
        <v>213682</v>
      </c>
      <c r="X40" s="33">
        <f>'Debt Service'!X40</f>
        <v>213682</v>
      </c>
      <c r="Y40" s="33">
        <f>'Debt Service'!Y40</f>
        <v>213682</v>
      </c>
      <c r="Z40" s="33">
        <f>'Debt Service'!Z40</f>
        <v>213682</v>
      </c>
      <c r="AA40" s="33">
        <f>'Debt Service'!AA40</f>
        <v>213682</v>
      </c>
      <c r="AB40" s="33">
        <f>'Debt Service'!AB40</f>
        <v>213682</v>
      </c>
      <c r="AC40" s="33">
        <f>'Debt Service'!AC40</f>
        <v>213682</v>
      </c>
      <c r="AD40" s="33">
        <f>'Debt Service'!AD40</f>
        <v>213682</v>
      </c>
      <c r="AE40" s="33">
        <f>'Debt Service'!AE40</f>
        <v>213682</v>
      </c>
      <c r="AF40" s="33">
        <f>'Debt Service'!AF40</f>
        <v>213682</v>
      </c>
      <c r="AG40" s="33">
        <f>'Debt Service'!AG40</f>
        <v>213682</v>
      </c>
      <c r="AH40" s="33">
        <f>'Debt Service'!AH40</f>
        <v>213682</v>
      </c>
      <c r="AI40" s="33">
        <f>'Debt Service'!AI40</f>
        <v>213682</v>
      </c>
      <c r="AJ40" s="33">
        <f>'Debt Service'!AJ40</f>
        <v>106841</v>
      </c>
      <c r="AK40" s="33">
        <f>'Debt Service'!AK40</f>
        <v>0</v>
      </c>
      <c r="AL40" s="33">
        <f>'Debt Service'!AL40</f>
        <v>0</v>
      </c>
      <c r="AM40" s="33">
        <f>'Debt Service'!AM40</f>
        <v>0</v>
      </c>
      <c r="AN40" s="33">
        <f>'Debt Service'!AN40</f>
        <v>0</v>
      </c>
      <c r="AO40" s="33">
        <f>'Debt Service'!AO40</f>
        <v>0</v>
      </c>
      <c r="AP40" s="33">
        <f>'Debt Service'!AP40</f>
        <v>0</v>
      </c>
      <c r="AQ40" s="33">
        <f>'Debt Service'!AQ40</f>
        <v>0</v>
      </c>
      <c r="AR40" s="33">
        <f>'Debt Service'!AR40</f>
        <v>0</v>
      </c>
      <c r="AS40" s="33">
        <f>'Debt Service'!AS40</f>
        <v>0</v>
      </c>
      <c r="AU40" s="24">
        <f t="shared" ref="AU40:AU49" si="6">SUM(F34:AS34)</f>
        <v>6039265</v>
      </c>
    </row>
    <row r="41" spans="1:47" ht="15.45" x14ac:dyDescent="0.4">
      <c r="A41" s="30" t="s">
        <v>228</v>
      </c>
      <c r="B41" s="5"/>
      <c r="C41" s="5"/>
      <c r="D41" s="5"/>
      <c r="E41" s="5"/>
      <c r="F41" s="5">
        <f>SUM(F33:F40)</f>
        <v>5816898.8200000003</v>
      </c>
      <c r="G41" s="5">
        <f t="shared" ref="G41:AS41" si="7">SUM(G33:G40)</f>
        <v>6613424.6799999997</v>
      </c>
      <c r="H41" s="5">
        <f t="shared" si="7"/>
        <v>7302819.5499999998</v>
      </c>
      <c r="I41" s="5">
        <f t="shared" si="7"/>
        <v>7489221.5099999998</v>
      </c>
      <c r="J41" s="5">
        <f t="shared" si="7"/>
        <v>7679038.5499999998</v>
      </c>
      <c r="K41" s="5">
        <f t="shared" si="7"/>
        <v>7704595.0099999998</v>
      </c>
      <c r="L41" s="5">
        <f t="shared" si="7"/>
        <v>7849881.0700000003</v>
      </c>
      <c r="M41" s="5">
        <f t="shared" si="7"/>
        <v>8071151.8600000003</v>
      </c>
      <c r="N41" s="5">
        <f t="shared" si="7"/>
        <v>8233781.4000000004</v>
      </c>
      <c r="O41" s="5">
        <f t="shared" si="7"/>
        <v>8405716.8000000007</v>
      </c>
      <c r="P41" s="5">
        <f t="shared" si="7"/>
        <v>8656725.7199999988</v>
      </c>
      <c r="Q41" s="5">
        <f t="shared" si="7"/>
        <v>8899294</v>
      </c>
      <c r="R41" s="5">
        <f t="shared" si="7"/>
        <v>9173419</v>
      </c>
      <c r="S41" s="5">
        <f t="shared" si="7"/>
        <v>9456691</v>
      </c>
      <c r="T41" s="5">
        <f t="shared" si="7"/>
        <v>9755794</v>
      </c>
      <c r="U41" s="5">
        <f t="shared" si="7"/>
        <v>10064913</v>
      </c>
      <c r="V41" s="5">
        <f t="shared" si="7"/>
        <v>10391413</v>
      </c>
      <c r="W41" s="5">
        <f t="shared" si="7"/>
        <v>10729598</v>
      </c>
      <c r="X41" s="5">
        <f t="shared" si="7"/>
        <v>11085344</v>
      </c>
      <c r="Y41" s="5">
        <f t="shared" si="7"/>
        <v>11454164</v>
      </c>
      <c r="Z41" s="5">
        <f t="shared" si="7"/>
        <v>11842645</v>
      </c>
      <c r="AA41" s="5">
        <f t="shared" si="7"/>
        <v>12251679</v>
      </c>
      <c r="AB41" s="5">
        <f t="shared" si="7"/>
        <v>12674915</v>
      </c>
      <c r="AC41" s="5">
        <f t="shared" si="7"/>
        <v>13120245</v>
      </c>
      <c r="AD41" s="5">
        <f t="shared" si="7"/>
        <v>13581761</v>
      </c>
      <c r="AE41" s="5">
        <f t="shared" si="7"/>
        <v>14067397</v>
      </c>
      <c r="AF41" s="5">
        <f t="shared" si="7"/>
        <v>14578207</v>
      </c>
      <c r="AG41" s="5">
        <f t="shared" si="7"/>
        <v>15114934</v>
      </c>
      <c r="AH41" s="5">
        <f t="shared" si="7"/>
        <v>15671071</v>
      </c>
      <c r="AI41" s="5">
        <f t="shared" si="7"/>
        <v>16254339</v>
      </c>
      <c r="AJ41" s="5">
        <f t="shared" si="7"/>
        <v>16225645</v>
      </c>
      <c r="AK41" s="5">
        <f t="shared" si="7"/>
        <v>16227685</v>
      </c>
      <c r="AL41" s="5">
        <f t="shared" si="7"/>
        <v>16894347</v>
      </c>
      <c r="AM41" s="5">
        <f t="shared" si="7"/>
        <v>17595109</v>
      </c>
      <c r="AN41" s="5">
        <f t="shared" si="7"/>
        <v>18330299</v>
      </c>
      <c r="AO41" s="5">
        <f t="shared" si="7"/>
        <v>19101036</v>
      </c>
      <c r="AP41" s="5">
        <f t="shared" si="7"/>
        <v>19909228</v>
      </c>
      <c r="AQ41" s="5">
        <f t="shared" si="7"/>
        <v>20756476</v>
      </c>
      <c r="AR41" s="5">
        <f t="shared" si="7"/>
        <v>21644444</v>
      </c>
      <c r="AS41" s="5">
        <f t="shared" si="7"/>
        <v>22576326</v>
      </c>
      <c r="AU41" s="24">
        <f t="shared" si="6"/>
        <v>24796480</v>
      </c>
    </row>
    <row r="42" spans="1:47" ht="15.45" x14ac:dyDescent="0.4">
      <c r="A42" s="32" t="s">
        <v>229</v>
      </c>
      <c r="B42" s="1"/>
      <c r="C42" s="1"/>
      <c r="D42" s="1"/>
      <c r="E42" s="1"/>
      <c r="F42" s="9">
        <f>'Proforma Income Statement'!F48</f>
        <v>351321</v>
      </c>
      <c r="G42" s="9">
        <f>'Proforma Income Statement'!G48</f>
        <v>366442</v>
      </c>
      <c r="H42" s="9">
        <f>'Proforma Income Statement'!H48</f>
        <v>419135</v>
      </c>
      <c r="I42" s="9">
        <f>'Proforma Income Statement'!I48</f>
        <v>461963</v>
      </c>
      <c r="J42" s="9">
        <f>'Proforma Income Statement'!J48</f>
        <v>473512</v>
      </c>
      <c r="K42" s="9">
        <f>'Proforma Income Statement'!K48</f>
        <v>485350</v>
      </c>
      <c r="L42" s="9">
        <f>'Proforma Income Statement'!L48</f>
        <v>497484</v>
      </c>
      <c r="M42" s="9">
        <f>'Proforma Income Statement'!M48</f>
        <v>509921</v>
      </c>
      <c r="N42" s="9">
        <f>'Proforma Income Statement'!N48</f>
        <v>522669</v>
      </c>
      <c r="O42" s="9">
        <f>'Proforma Income Statement'!O48</f>
        <v>535736</v>
      </c>
      <c r="P42" s="9">
        <f>'Proforma Income Statement'!P48</f>
        <v>549129</v>
      </c>
      <c r="Q42" s="9">
        <f>'Proforma Income Statement'!Q48</f>
        <v>562857</v>
      </c>
      <c r="R42" s="9">
        <f>'Proforma Income Statement'!R48</f>
        <v>576928</v>
      </c>
      <c r="S42" s="9">
        <f>'Proforma Income Statement'!S48</f>
        <v>591351</v>
      </c>
      <c r="T42" s="9">
        <f>'Proforma Income Statement'!T48</f>
        <v>606135</v>
      </c>
      <c r="U42" s="9">
        <f>'Proforma Income Statement'!U48</f>
        <v>621288</v>
      </c>
      <c r="V42" s="9">
        <f>'Proforma Income Statement'!V48</f>
        <v>636820</v>
      </c>
      <c r="W42" s="9">
        <f>'Proforma Income Statement'!W48</f>
        <v>652741</v>
      </c>
      <c r="X42" s="9">
        <f>'Proforma Income Statement'!X48</f>
        <v>669060</v>
      </c>
      <c r="Y42" s="9">
        <f>'Proforma Income Statement'!Y48</f>
        <v>685787</v>
      </c>
      <c r="Z42" s="9">
        <f>'Proforma Income Statement'!Z48</f>
        <v>702932</v>
      </c>
      <c r="AA42" s="9">
        <f>'Proforma Income Statement'!AA48</f>
        <v>725189</v>
      </c>
      <c r="AB42" s="9">
        <f>'Proforma Income Statement'!AB48</f>
        <v>750826</v>
      </c>
      <c r="AC42" s="9">
        <f>'Proforma Income Statement'!AC48</f>
        <v>777216</v>
      </c>
      <c r="AD42" s="9">
        <f>'Proforma Income Statement'!AD48</f>
        <v>805011</v>
      </c>
      <c r="AE42" s="9">
        <f>'Proforma Income Statement'!AE48</f>
        <v>833965</v>
      </c>
      <c r="AF42" s="9">
        <f>'Proforma Income Statement'!AF48</f>
        <v>864474</v>
      </c>
      <c r="AG42" s="9">
        <f>'Proforma Income Statement'!AG48</f>
        <v>896542</v>
      </c>
      <c r="AH42" s="9">
        <f>'Proforma Income Statement'!AH48</f>
        <v>930351</v>
      </c>
      <c r="AI42" s="9">
        <f>'Proforma Income Statement'!AI48</f>
        <v>965435</v>
      </c>
      <c r="AJ42" s="9">
        <f>'Proforma Income Statement'!AJ48</f>
        <v>1002237</v>
      </c>
      <c r="AK42" s="9">
        <f>'Proforma Income Statement'!AK48</f>
        <v>1027293</v>
      </c>
      <c r="AL42" s="9">
        <f>'Proforma Income Statement'!AL48</f>
        <v>1052975</v>
      </c>
      <c r="AM42" s="9">
        <f>'Proforma Income Statement'!AM48</f>
        <v>1079299</v>
      </c>
      <c r="AN42" s="9">
        <f>'Proforma Income Statement'!AN48</f>
        <v>1106281</v>
      </c>
      <c r="AO42" s="9">
        <f>'Proforma Income Statement'!AO48</f>
        <v>1133938</v>
      </c>
      <c r="AP42" s="9">
        <f>'Proforma Income Statement'!AP48</f>
        <v>1179023</v>
      </c>
      <c r="AQ42" s="9">
        <f>'Proforma Income Statement'!AQ48</f>
        <v>1231097</v>
      </c>
      <c r="AR42" s="9">
        <f>'Proforma Income Statement'!AR48</f>
        <v>1285345</v>
      </c>
      <c r="AS42" s="9">
        <f>'Proforma Income Statement'!AS48</f>
        <v>1342247</v>
      </c>
      <c r="AU42" s="24">
        <f t="shared" si="6"/>
        <v>11232800</v>
      </c>
    </row>
    <row r="43" spans="1:47" ht="15.45" x14ac:dyDescent="0.4">
      <c r="A43" s="163" t="s">
        <v>230</v>
      </c>
      <c r="B43" s="9"/>
      <c r="C43" s="9"/>
      <c r="D43" s="9"/>
      <c r="E43" s="9"/>
      <c r="F43" s="61">
        <f>ROUND((('Financial Plan'!D27+'Financial Plan'!D37)/2)*'Plan Inputs'!F17,0)</f>
        <v>86301</v>
      </c>
      <c r="G43" s="61">
        <f>ROUND((('Financial Plan'!E27+'Financial Plan'!E37)/2)*'Plan Inputs'!G17,0)</f>
        <v>94090</v>
      </c>
      <c r="H43" s="61">
        <f>ROUND((('Financial Plan'!F27+'Financial Plan'!F37)/2)*'Plan Inputs'!H17,0)</f>
        <v>101922</v>
      </c>
      <c r="I43" s="61">
        <f>ROUND((('Financial Plan'!G27+'Financial Plan'!G37)/2)*'Plan Inputs'!I17,0)</f>
        <v>119281</v>
      </c>
      <c r="J43" s="61">
        <f>ROUND((('Financial Plan'!H27+'Financial Plan'!H37)/2)*'Plan Inputs'!J17,0)</f>
        <v>141603</v>
      </c>
      <c r="K43" s="61">
        <f>ROUND((('Financial Plan'!I27+'Financial Plan'!I37)/2)*'Plan Inputs'!K17,0)</f>
        <v>165225</v>
      </c>
      <c r="L43" s="61">
        <f>ROUND((('Financial Plan'!J27+'Financial Plan'!J37)/2)*'Plan Inputs'!L17,0)</f>
        <v>190585</v>
      </c>
      <c r="M43" s="61">
        <f>ROUND((('Financial Plan'!K27+'Financial Plan'!K37)/2)*'Plan Inputs'!M17,0)</f>
        <v>216116</v>
      </c>
      <c r="N43" s="61">
        <f>ROUND((('Financial Plan'!L27+'Financial Plan'!L37)/2)*'Plan Inputs'!N17,0)</f>
        <v>241738</v>
      </c>
      <c r="O43" s="61">
        <f>ROUND((('Financial Plan'!M27+'Financial Plan'!M37)/2)*'Plan Inputs'!O17,0)</f>
        <v>267938</v>
      </c>
      <c r="P43" s="61">
        <f>ROUND((('Financial Plan'!N27+'Financial Plan'!N37)/2)*'Plan Inputs'!P17,0)</f>
        <v>294045</v>
      </c>
      <c r="Q43" s="61">
        <f>ROUND((('Financial Plan'!O27+'Financial Plan'!O37)/2)*'Plan Inputs'!Q17,0)</f>
        <v>319541</v>
      </c>
      <c r="R43" s="61">
        <f>ROUND((('Financial Plan'!P27+'Financial Plan'!P37)/2)*'Plan Inputs'!R17,0)</f>
        <v>344302</v>
      </c>
      <c r="S43" s="61">
        <f>ROUND((('Financial Plan'!Q27+'Financial Plan'!Q37)/2)*'Plan Inputs'!S17,0)</f>
        <v>368063</v>
      </c>
      <c r="T43" s="61">
        <f>ROUND((('Financial Plan'!R27+'Financial Plan'!R37)/2)*'Plan Inputs'!T17,0)</f>
        <v>390686</v>
      </c>
      <c r="U43" s="61">
        <f>ROUND((('Financial Plan'!S27+'Financial Plan'!S37)/2)*'Plan Inputs'!U17,0)</f>
        <v>412031</v>
      </c>
      <c r="V43" s="61">
        <f>ROUND((('Financial Plan'!T27+'Financial Plan'!T37)/2)*'Plan Inputs'!V17,0)</f>
        <v>431944</v>
      </c>
      <c r="W43" s="61">
        <f>ROUND((('Financial Plan'!U27+'Financial Plan'!U37)/2)*'Plan Inputs'!W17,0)</f>
        <v>450258</v>
      </c>
      <c r="X43" s="61">
        <f>ROUND((('Financial Plan'!V27+'Financial Plan'!V37)/2)*'Plan Inputs'!X17,0)</f>
        <v>466806</v>
      </c>
      <c r="Y43" s="61">
        <f>ROUND((('Financial Plan'!W27+'Financial Plan'!W37)/2)*'Plan Inputs'!Y17,0)</f>
        <v>481411</v>
      </c>
      <c r="Z43" s="61">
        <f>ROUND((('Financial Plan'!X27+'Financial Plan'!X37)/2)*'Plan Inputs'!Z17,0)</f>
        <v>493879</v>
      </c>
      <c r="AA43" s="61">
        <f>ROUND((('Financial Plan'!Y27+'Financial Plan'!Y37)/2)*'Plan Inputs'!AA17,0)</f>
        <v>504694</v>
      </c>
      <c r="AB43" s="61">
        <f>ROUND((('Financial Plan'!Z27+'Financial Plan'!Z37)/2)*'Plan Inputs'!AB17,0)</f>
        <v>514872</v>
      </c>
      <c r="AC43" s="61">
        <f>ROUND((('Financial Plan'!AA27+'Financial Plan'!AA37)/2)*'Plan Inputs'!AC17,0)</f>
        <v>524714</v>
      </c>
      <c r="AD43" s="61">
        <f>ROUND((('Financial Plan'!AB27+'Financial Plan'!AB37)/2)*'Plan Inputs'!AD17,0)</f>
        <v>534182</v>
      </c>
      <c r="AE43" s="61">
        <f>ROUND((('Financial Plan'!AC27+'Financial Plan'!AC37)/2)*'Plan Inputs'!AE17,0)</f>
        <v>543285</v>
      </c>
      <c r="AF43" s="61">
        <f>ROUND((('Financial Plan'!AD27+'Financial Plan'!AD37)/2)*'Plan Inputs'!AF17,0)</f>
        <v>551966</v>
      </c>
      <c r="AG43" s="61">
        <f>ROUND((('Financial Plan'!AE27+'Financial Plan'!AE37)/2)*'Plan Inputs'!AG17,0)</f>
        <v>560214</v>
      </c>
      <c r="AH43" s="61">
        <f>ROUND((('Financial Plan'!AF27+'Financial Plan'!AF37)/2)*'Plan Inputs'!AH17,0)</f>
        <v>568104</v>
      </c>
      <c r="AI43" s="61">
        <f>ROUND((('Financial Plan'!AG27+'Financial Plan'!AG37)/2)*'Plan Inputs'!AI17,0)</f>
        <v>575655</v>
      </c>
      <c r="AJ43" s="61">
        <f>ROUND((('Financial Plan'!AH27+'Financial Plan'!AH37)/2)*'Plan Inputs'!AJ17,0)</f>
        <v>588128</v>
      </c>
      <c r="AK43" s="61">
        <f>ROUND((('Financial Plan'!AI27+'Financial Plan'!AI37)/2)*'Plan Inputs'!AK17,0)</f>
        <v>608658</v>
      </c>
      <c r="AL43" s="61">
        <f>ROUND((('Financial Plan'!AJ27+'Financial Plan'!AJ37)/2)*'Plan Inputs'!AL17,0)</f>
        <v>629574</v>
      </c>
      <c r="AM43" s="61">
        <f>ROUND((('Financial Plan'!AK27+'Financial Plan'!AK37)/2)*'Plan Inputs'!AM17,0)</f>
        <v>645161</v>
      </c>
      <c r="AN43" s="61">
        <f>ROUND((('Financial Plan'!AL27+'Financial Plan'!AL37)/2)*'Plan Inputs'!AN17,0)</f>
        <v>654943</v>
      </c>
      <c r="AO43" s="61">
        <f>ROUND((('Financial Plan'!AM27+'Financial Plan'!AM37)/2)*'Plan Inputs'!AO17,0)</f>
        <v>658434</v>
      </c>
      <c r="AP43" s="61">
        <f>ROUND((('Financial Plan'!AN27+'Financial Plan'!AN37)/2)*'Plan Inputs'!AP17,0)</f>
        <v>657809</v>
      </c>
      <c r="AQ43" s="61">
        <f>ROUND((('Financial Plan'!AO27+'Financial Plan'!AO37)/2)*'Plan Inputs'!AQ17,0)</f>
        <v>656221</v>
      </c>
      <c r="AR43" s="61">
        <f>ROUND((('Financial Plan'!AP27+'Financial Plan'!AP37)/2)*'Plan Inputs'!AR17,0)</f>
        <v>654343</v>
      </c>
      <c r="AS43" s="61">
        <f>ROUND((('Financial Plan'!AQ27+'Financial Plan'!AQ37)/2)*'Plan Inputs'!AS17,0)</f>
        <v>652103</v>
      </c>
      <c r="AU43" s="24">
        <f t="shared" si="6"/>
        <v>2151813.9700000002</v>
      </c>
    </row>
    <row r="44" spans="1:47" ht="15.45" x14ac:dyDescent="0.4">
      <c r="A44" s="30" t="s">
        <v>231</v>
      </c>
      <c r="B44" s="5"/>
      <c r="C44" s="5"/>
      <c r="D44" s="5"/>
      <c r="E44" s="5"/>
      <c r="F44" s="1">
        <f>F41-F42-F43</f>
        <v>5379276.8200000003</v>
      </c>
      <c r="G44" s="1">
        <f>G41-G42-G43</f>
        <v>6152892.6799999997</v>
      </c>
      <c r="H44" s="1">
        <f t="shared" ref="H44:AS44" si="8">H41-H42-H43</f>
        <v>6781762.5499999998</v>
      </c>
      <c r="I44" s="1">
        <f t="shared" si="8"/>
        <v>6907977.5099999998</v>
      </c>
      <c r="J44" s="1">
        <f t="shared" si="8"/>
        <v>7063923.5499999998</v>
      </c>
      <c r="K44" s="1">
        <f t="shared" si="8"/>
        <v>7054020.0099999998</v>
      </c>
      <c r="L44" s="1">
        <f t="shared" si="8"/>
        <v>7161812.0700000003</v>
      </c>
      <c r="M44" s="1">
        <f t="shared" si="8"/>
        <v>7345114.8600000003</v>
      </c>
      <c r="N44" s="1">
        <f t="shared" si="8"/>
        <v>7469374.4000000004</v>
      </c>
      <c r="O44" s="1">
        <f t="shared" si="8"/>
        <v>7602042.8000000007</v>
      </c>
      <c r="P44" s="1">
        <f t="shared" si="8"/>
        <v>7813551.7199999988</v>
      </c>
      <c r="Q44" s="1">
        <f t="shared" si="8"/>
        <v>8016896</v>
      </c>
      <c r="R44" s="1">
        <f t="shared" si="8"/>
        <v>8252189</v>
      </c>
      <c r="S44" s="1">
        <f t="shared" si="8"/>
        <v>8497277</v>
      </c>
      <c r="T44" s="1">
        <f t="shared" si="8"/>
        <v>8758973</v>
      </c>
      <c r="U44" s="1">
        <f t="shared" si="8"/>
        <v>9031594</v>
      </c>
      <c r="V44" s="1">
        <f t="shared" si="8"/>
        <v>9322649</v>
      </c>
      <c r="W44" s="1">
        <f t="shared" si="8"/>
        <v>9626599</v>
      </c>
      <c r="X44" s="1">
        <f t="shared" si="8"/>
        <v>9949478</v>
      </c>
      <c r="Y44" s="1">
        <f t="shared" si="8"/>
        <v>10286966</v>
      </c>
      <c r="Z44" s="1">
        <f t="shared" si="8"/>
        <v>10645834</v>
      </c>
      <c r="AA44" s="1">
        <f t="shared" si="8"/>
        <v>11021796</v>
      </c>
      <c r="AB44" s="1">
        <f t="shared" si="8"/>
        <v>11409217</v>
      </c>
      <c r="AC44" s="1">
        <f t="shared" si="8"/>
        <v>11818315</v>
      </c>
      <c r="AD44" s="1">
        <f t="shared" si="8"/>
        <v>12242568</v>
      </c>
      <c r="AE44" s="1">
        <f t="shared" si="8"/>
        <v>12690147</v>
      </c>
      <c r="AF44" s="1">
        <f t="shared" si="8"/>
        <v>13161767</v>
      </c>
      <c r="AG44" s="1">
        <f t="shared" si="8"/>
        <v>13658178</v>
      </c>
      <c r="AH44" s="1">
        <f t="shared" si="8"/>
        <v>14172616</v>
      </c>
      <c r="AI44" s="1">
        <f t="shared" si="8"/>
        <v>14713249</v>
      </c>
      <c r="AJ44" s="1">
        <f t="shared" si="8"/>
        <v>14635280</v>
      </c>
      <c r="AK44" s="1">
        <f t="shared" si="8"/>
        <v>14591734</v>
      </c>
      <c r="AL44" s="1">
        <f t="shared" si="8"/>
        <v>15211798</v>
      </c>
      <c r="AM44" s="1">
        <f t="shared" si="8"/>
        <v>15870649</v>
      </c>
      <c r="AN44" s="1">
        <f t="shared" si="8"/>
        <v>16569075</v>
      </c>
      <c r="AO44" s="1">
        <f t="shared" si="8"/>
        <v>17308664</v>
      </c>
      <c r="AP44" s="1">
        <f t="shared" si="8"/>
        <v>18072396</v>
      </c>
      <c r="AQ44" s="1">
        <f t="shared" si="8"/>
        <v>18869158</v>
      </c>
      <c r="AR44" s="1">
        <f t="shared" si="8"/>
        <v>19704756</v>
      </c>
      <c r="AS44" s="1">
        <f t="shared" si="8"/>
        <v>20581976</v>
      </c>
      <c r="AU44" s="24">
        <f t="shared" si="6"/>
        <v>430362</v>
      </c>
    </row>
    <row r="45" spans="1:47" ht="15.45" x14ac:dyDescent="0.4">
      <c r="A45" s="29" t="s">
        <v>232</v>
      </c>
      <c r="B45" s="27"/>
      <c r="C45" s="27"/>
      <c r="D45" s="27"/>
      <c r="E45" s="27"/>
      <c r="F45" s="33">
        <f>'Proforma Income Statement'!F47</f>
        <v>5286425</v>
      </c>
      <c r="G45" s="33">
        <f>'Proforma Income Statement'!G47</f>
        <v>5513953</v>
      </c>
      <c r="H45" s="33">
        <f>'Proforma Income Statement'!H47</f>
        <v>6306846</v>
      </c>
      <c r="I45" s="33">
        <f>'Proforma Income Statement'!I47</f>
        <v>6951295</v>
      </c>
      <c r="J45" s="33">
        <f>'Proforma Income Statement'!J47</f>
        <v>7125077</v>
      </c>
      <c r="K45" s="33">
        <f>'Proforma Income Statement'!K47</f>
        <v>7303204</v>
      </c>
      <c r="L45" s="33">
        <f>'Proforma Income Statement'!L47</f>
        <v>7485784</v>
      </c>
      <c r="M45" s="33">
        <f>'Proforma Income Statement'!M47</f>
        <v>7672929</v>
      </c>
      <c r="N45" s="33">
        <f>'Proforma Income Statement'!N47</f>
        <v>7864752</v>
      </c>
      <c r="O45" s="33">
        <f>'Proforma Income Statement'!O47</f>
        <v>8061371</v>
      </c>
      <c r="P45" s="33">
        <f>'Proforma Income Statement'!P47</f>
        <v>8262905</v>
      </c>
      <c r="Q45" s="33">
        <f>'Proforma Income Statement'!Q47</f>
        <v>8469478</v>
      </c>
      <c r="R45" s="33">
        <f>'Proforma Income Statement'!R47</f>
        <v>8681215</v>
      </c>
      <c r="S45" s="33">
        <f>'Proforma Income Statement'!S47</f>
        <v>8898245</v>
      </c>
      <c r="T45" s="33">
        <f>'Proforma Income Statement'!T47</f>
        <v>9120701</v>
      </c>
      <c r="U45" s="33">
        <f>'Proforma Income Statement'!U47</f>
        <v>9348719</v>
      </c>
      <c r="V45" s="33">
        <f>'Proforma Income Statement'!V47</f>
        <v>9582437</v>
      </c>
      <c r="W45" s="33">
        <f>'Proforma Income Statement'!W47</f>
        <v>9821998</v>
      </c>
      <c r="X45" s="33">
        <f>'Proforma Income Statement'!X47</f>
        <v>10067548</v>
      </c>
      <c r="Y45" s="33">
        <f>'Proforma Income Statement'!Y47</f>
        <v>10319237</v>
      </c>
      <c r="Z45" s="33">
        <f>'Proforma Income Statement'!Z47</f>
        <v>10577218</v>
      </c>
      <c r="AA45" s="33">
        <f>'Proforma Income Statement'!AA47</f>
        <v>10912119</v>
      </c>
      <c r="AB45" s="33">
        <f>'Proforma Income Statement'!AB47</f>
        <v>11297890</v>
      </c>
      <c r="AC45" s="33">
        <f>'Proforma Income Statement'!AC47</f>
        <v>11694983</v>
      </c>
      <c r="AD45" s="33">
        <f>'Proforma Income Statement'!AD47</f>
        <v>12113225</v>
      </c>
      <c r="AE45" s="33">
        <f>'Proforma Income Statement'!AE47</f>
        <v>12548907</v>
      </c>
      <c r="AF45" s="33">
        <f>'Proforma Income Statement'!AF47</f>
        <v>13007977</v>
      </c>
      <c r="AG45" s="33">
        <f>'Proforma Income Statement'!AG47</f>
        <v>13490508</v>
      </c>
      <c r="AH45" s="33">
        <f>'Proforma Income Statement'!AH47</f>
        <v>13999235</v>
      </c>
      <c r="AI45" s="33">
        <f>'Proforma Income Statement'!AI47</f>
        <v>14527146</v>
      </c>
      <c r="AJ45" s="33">
        <f>'Proforma Income Statement'!AJ47</f>
        <v>15080921</v>
      </c>
      <c r="AK45" s="33">
        <f>'Proforma Income Statement'!AK47</f>
        <v>15457944</v>
      </c>
      <c r="AL45" s="33">
        <f>'Proforma Income Statement'!AL47</f>
        <v>15844393</v>
      </c>
      <c r="AM45" s="33">
        <f>'Proforma Income Statement'!AM47</f>
        <v>16240503</v>
      </c>
      <c r="AN45" s="33">
        <f>'Proforma Income Statement'!AN47</f>
        <v>16646516</v>
      </c>
      <c r="AO45" s="33">
        <f>'Proforma Income Statement'!AO47</f>
        <v>17062679</v>
      </c>
      <c r="AP45" s="33">
        <f>'Proforma Income Statement'!AP47</f>
        <v>17741091</v>
      </c>
      <c r="AQ45" s="33">
        <f>'Proforma Income Statement'!AQ47</f>
        <v>18524671</v>
      </c>
      <c r="AR45" s="33">
        <f>'Proforma Income Statement'!AR47</f>
        <v>19340961</v>
      </c>
      <c r="AS45" s="33">
        <f>'Proforma Income Statement'!AS47</f>
        <v>20197185</v>
      </c>
      <c r="AU45" s="24">
        <f t="shared" si="6"/>
        <v>32052360</v>
      </c>
    </row>
    <row r="46" spans="1:47" ht="15.45" x14ac:dyDescent="0.4">
      <c r="A46" s="29" t="s">
        <v>233</v>
      </c>
      <c r="B46" s="27"/>
      <c r="C46" s="27"/>
      <c r="D46" s="27"/>
      <c r="E46" s="27"/>
      <c r="F46" s="1">
        <f>F44-F45</f>
        <v>92851.820000000298</v>
      </c>
      <c r="G46" s="1">
        <f t="shared" ref="G46:AS46" si="9">G44-G45</f>
        <v>638939.6799999997</v>
      </c>
      <c r="H46" s="1">
        <f t="shared" si="9"/>
        <v>474916.54999999981</v>
      </c>
      <c r="I46" s="1">
        <f t="shared" si="9"/>
        <v>-43317.490000000224</v>
      </c>
      <c r="J46" s="1">
        <f t="shared" si="9"/>
        <v>-61153.450000000186</v>
      </c>
      <c r="K46" s="1">
        <f t="shared" si="9"/>
        <v>-249183.99000000022</v>
      </c>
      <c r="L46" s="1">
        <f t="shared" si="9"/>
        <v>-323971.9299999997</v>
      </c>
      <c r="M46" s="1">
        <f t="shared" si="9"/>
        <v>-327814.13999999966</v>
      </c>
      <c r="N46" s="1">
        <f t="shared" si="9"/>
        <v>-395377.59999999963</v>
      </c>
      <c r="O46" s="1">
        <f t="shared" si="9"/>
        <v>-459328.19999999925</v>
      </c>
      <c r="P46" s="1">
        <f t="shared" si="9"/>
        <v>-449353.28000000119</v>
      </c>
      <c r="Q46" s="1">
        <f t="shared" si="9"/>
        <v>-452582</v>
      </c>
      <c r="R46" s="1">
        <f t="shared" si="9"/>
        <v>-429026</v>
      </c>
      <c r="S46" s="1">
        <f t="shared" si="9"/>
        <v>-400968</v>
      </c>
      <c r="T46" s="1">
        <f t="shared" si="9"/>
        <v>-361728</v>
      </c>
      <c r="U46" s="1">
        <f t="shared" si="9"/>
        <v>-317125</v>
      </c>
      <c r="V46" s="1">
        <f t="shared" si="9"/>
        <v>-259788</v>
      </c>
      <c r="W46" s="1">
        <f t="shared" si="9"/>
        <v>-195399</v>
      </c>
      <c r="X46" s="1">
        <f t="shared" si="9"/>
        <v>-118070</v>
      </c>
      <c r="Y46" s="1">
        <f t="shared" si="9"/>
        <v>-32271</v>
      </c>
      <c r="Z46" s="1">
        <f t="shared" si="9"/>
        <v>68616</v>
      </c>
      <c r="AA46" s="1">
        <f t="shared" si="9"/>
        <v>109677</v>
      </c>
      <c r="AB46" s="1">
        <f t="shared" si="9"/>
        <v>111327</v>
      </c>
      <c r="AC46" s="1">
        <f t="shared" si="9"/>
        <v>123332</v>
      </c>
      <c r="AD46" s="1">
        <f t="shared" si="9"/>
        <v>129343</v>
      </c>
      <c r="AE46" s="1">
        <f t="shared" si="9"/>
        <v>141240</v>
      </c>
      <c r="AF46" s="1">
        <f t="shared" si="9"/>
        <v>153790</v>
      </c>
      <c r="AG46" s="1">
        <f t="shared" si="9"/>
        <v>167670</v>
      </c>
      <c r="AH46" s="1">
        <f t="shared" si="9"/>
        <v>173381</v>
      </c>
      <c r="AI46" s="1">
        <f t="shared" si="9"/>
        <v>186103</v>
      </c>
      <c r="AJ46" s="1">
        <f t="shared" si="9"/>
        <v>-445641</v>
      </c>
      <c r="AK46" s="1">
        <f t="shared" si="9"/>
        <v>-866210</v>
      </c>
      <c r="AL46" s="1">
        <f t="shared" si="9"/>
        <v>-632595</v>
      </c>
      <c r="AM46" s="1">
        <f t="shared" si="9"/>
        <v>-369854</v>
      </c>
      <c r="AN46" s="1">
        <f t="shared" si="9"/>
        <v>-77441</v>
      </c>
      <c r="AO46" s="1">
        <f t="shared" si="9"/>
        <v>245985</v>
      </c>
      <c r="AP46" s="1">
        <f t="shared" si="9"/>
        <v>331305</v>
      </c>
      <c r="AQ46" s="1">
        <f t="shared" si="9"/>
        <v>344487</v>
      </c>
      <c r="AR46" s="1">
        <f t="shared" si="9"/>
        <v>363795</v>
      </c>
      <c r="AS46" s="1">
        <f t="shared" si="9"/>
        <v>384791</v>
      </c>
      <c r="AU46" s="192">
        <f t="shared" si="6"/>
        <v>6410460</v>
      </c>
    </row>
    <row r="47" spans="1:47" ht="15.45" x14ac:dyDescent="0.4">
      <c r="A47" s="34" t="s">
        <v>234</v>
      </c>
      <c r="B47" s="27"/>
      <c r="C47" s="27"/>
      <c r="D47" s="27"/>
      <c r="E47" s="27"/>
      <c r="F47" s="193">
        <f>IF(F46&gt;'Plan Inputs'!F33,ROUND(F46/F45,4),0)</f>
        <v>1.7600000000000001E-2</v>
      </c>
      <c r="G47" s="193">
        <f>IF(G46&gt;'Plan Inputs'!G33,ROUND(G46/G45,4),0)</f>
        <v>0.1159</v>
      </c>
      <c r="H47" s="193">
        <f>IF(H46&gt;'Plan Inputs'!H33,ROUND(H46/H45,4),0)</f>
        <v>7.5300000000000006E-2</v>
      </c>
      <c r="I47" s="193">
        <f>IF(I46&gt;'Plan Inputs'!I33,ROUND(I46/I45,4),0)</f>
        <v>0</v>
      </c>
      <c r="J47" s="193">
        <f>IF(J46&gt;'Plan Inputs'!J33,ROUND(J46/J45,4),0)</f>
        <v>0</v>
      </c>
      <c r="K47" s="193">
        <f>IF(K46&gt;'Plan Inputs'!K33,ROUND(K46/K45,4),0)</f>
        <v>0</v>
      </c>
      <c r="L47" s="193">
        <f>IF(L46&gt;'Plan Inputs'!L33,ROUND(L46/L45,4),0)</f>
        <v>0</v>
      </c>
      <c r="M47" s="193">
        <f>IF(M46&gt;'Plan Inputs'!M33,ROUND(M46/M45,4),0)</f>
        <v>0</v>
      </c>
      <c r="N47" s="193">
        <f>IF(N46&gt;'Plan Inputs'!N33,ROUND(N46/N45,4),0)</f>
        <v>0</v>
      </c>
      <c r="O47" s="193">
        <f>IF(O46&gt;'Plan Inputs'!O33,ROUND(O46/O45,4),0)</f>
        <v>0</v>
      </c>
      <c r="P47" s="193">
        <f>IF(P46&gt;'Plan Inputs'!P33,ROUND(P46/P45,4),0)</f>
        <v>0</v>
      </c>
      <c r="Q47" s="193">
        <f>IF(Q46&gt;'Plan Inputs'!Q33,ROUND(Q46/Q45,4),0)</f>
        <v>0</v>
      </c>
      <c r="R47" s="193">
        <f>IF(R46&gt;'Plan Inputs'!R33,ROUND(R46/R45,4),0)</f>
        <v>0</v>
      </c>
      <c r="S47" s="193">
        <f>IF(S46&gt;'Plan Inputs'!S33,ROUND(S46/S45,4),0)</f>
        <v>0</v>
      </c>
      <c r="T47" s="193">
        <f>IF(T46&gt;'Plan Inputs'!T33,ROUND(T46/T45,4),0)</f>
        <v>0</v>
      </c>
      <c r="U47" s="193">
        <f>IF(U46&gt;'Plan Inputs'!U33,ROUND(U46/U45,4),0)</f>
        <v>0</v>
      </c>
      <c r="V47" s="193">
        <f>IF(V46&gt;'Plan Inputs'!V33,ROUND(V46/V45,4),0)</f>
        <v>0</v>
      </c>
      <c r="W47" s="193">
        <f>IF(W46&gt;'Plan Inputs'!W33,ROUND(W46/W45,4),0)</f>
        <v>0</v>
      </c>
      <c r="X47" s="193">
        <f>IF(X46&gt;'Plan Inputs'!X33,ROUND(X46/X45,4),0)</f>
        <v>0</v>
      </c>
      <c r="Y47" s="193">
        <f>IF(Y46&gt;'Plan Inputs'!Y33,ROUND(Y46/Y45,4),0)</f>
        <v>0</v>
      </c>
      <c r="Z47" s="193">
        <f>IF(Z46&gt;'Plan Inputs'!Z33,ROUND(Z46/Z45,4),0)</f>
        <v>6.4999999999999997E-3</v>
      </c>
      <c r="AA47" s="193">
        <f>IF(AA46&gt;'Plan Inputs'!AA33,ROUND(AA46/AA45,4),0)</f>
        <v>1.01E-2</v>
      </c>
      <c r="AB47" s="193">
        <f>IF(AB46&gt;'Plan Inputs'!AB33,ROUND(AB46/AB45,4),0)</f>
        <v>9.9000000000000008E-3</v>
      </c>
      <c r="AC47" s="193">
        <f>IF(AC46&gt;'Plan Inputs'!AC33,ROUND(AC46/AC45,4),0)</f>
        <v>1.0500000000000001E-2</v>
      </c>
      <c r="AD47" s="193">
        <f>IF(AD46&gt;'Plan Inputs'!AD33,ROUND(AD46/AD45,4),0)</f>
        <v>1.0699999999999999E-2</v>
      </c>
      <c r="AE47" s="193">
        <f>IF(AE46&gt;'Plan Inputs'!AE33,ROUND(AE46/AE45,4),0)</f>
        <v>1.1299999999999999E-2</v>
      </c>
      <c r="AF47" s="193">
        <f>IF(AF46&gt;'Plan Inputs'!AF33,ROUND(AF46/AF45,4),0)</f>
        <v>1.18E-2</v>
      </c>
      <c r="AG47" s="193">
        <f>IF(AG46&gt;'Plan Inputs'!AG33,ROUND(AG46/AG45,4),0)</f>
        <v>1.24E-2</v>
      </c>
      <c r="AH47" s="193">
        <f>IF(AH46&gt;'Plan Inputs'!AH33,ROUND(AH46/AH45,4),0)</f>
        <v>1.24E-2</v>
      </c>
      <c r="AI47" s="193">
        <f>IF(AI46&gt;'Plan Inputs'!AI33,ROUND(AI46/AI45,4),0)</f>
        <v>1.2800000000000001E-2</v>
      </c>
      <c r="AJ47" s="193">
        <f>IF(AJ46&gt;'Plan Inputs'!AJ33,ROUND(AJ46/AJ45,4),0)</f>
        <v>0</v>
      </c>
      <c r="AK47" s="193">
        <f>IF(AK46&gt;'Plan Inputs'!AK33,ROUND(AK46/AK45,4),0)</f>
        <v>0</v>
      </c>
      <c r="AL47" s="193">
        <f>IF(AL46&gt;'Plan Inputs'!AL33,ROUND(AL46/AL45,4),0)</f>
        <v>0</v>
      </c>
      <c r="AM47" s="193">
        <f>IF(AM46&gt;'Plan Inputs'!AM33,ROUND(AM46/AM45,4),0)</f>
        <v>0</v>
      </c>
      <c r="AN47" s="193">
        <f>IF(AN46&gt;'Plan Inputs'!AN33,ROUND(AN46/AN45,4),0)</f>
        <v>0</v>
      </c>
      <c r="AO47" s="193">
        <f>IF(AO46&gt;'Plan Inputs'!AO33,ROUND(AO46/AO45,4),0)</f>
        <v>1.44E-2</v>
      </c>
      <c r="AP47" s="193">
        <f>IF(AP46&gt;'Plan Inputs'!AP33,ROUND(AP46/AP45,4),0)</f>
        <v>1.8700000000000001E-2</v>
      </c>
      <c r="AQ47" s="193">
        <f>IF(AQ46&gt;'Plan Inputs'!AQ33,ROUND(AQ46/AQ45,4),0)</f>
        <v>1.8599999999999998E-2</v>
      </c>
      <c r="AR47" s="193">
        <f>IF(AR46&gt;'Plan Inputs'!AR33,ROUND(AR46/AR45,4),0)</f>
        <v>1.8800000000000001E-2</v>
      </c>
      <c r="AS47" s="193">
        <f>IF(AS46&gt;'Plan Inputs'!AS33,ROUND(AS46/AS45,4),0)</f>
        <v>1.9099999999999999E-2</v>
      </c>
      <c r="AU47" s="24">
        <f t="shared" si="6"/>
        <v>503251672.97000003</v>
      </c>
    </row>
    <row r="48" spans="1:47" ht="15.45" x14ac:dyDescent="0.4">
      <c r="A48" s="34"/>
      <c r="B48" s="27"/>
      <c r="C48" s="27"/>
      <c r="D48" s="27"/>
      <c r="E48" s="27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U48" s="24">
        <f t="shared" si="6"/>
        <v>30467305</v>
      </c>
    </row>
    <row r="49" spans="1:47" ht="15.45" x14ac:dyDescent="0.4">
      <c r="AU49" s="192">
        <f t="shared" si="6"/>
        <v>17360825</v>
      </c>
    </row>
    <row r="50" spans="1:47" ht="15.45" x14ac:dyDescent="0.4">
      <c r="A50" s="27" t="s">
        <v>236</v>
      </c>
      <c r="B50" s="27"/>
      <c r="C50" s="27"/>
      <c r="D50" s="27"/>
      <c r="E50" s="27"/>
      <c r="F50" s="40">
        <f>F18</f>
        <v>5425006.1882000007</v>
      </c>
      <c r="G50" s="40">
        <f t="shared" ref="G50:AS50" si="10">F50+G18</f>
        <v>11676046.371400001</v>
      </c>
      <c r="H50" s="40">
        <f t="shared" si="10"/>
        <v>18448207.373263635</v>
      </c>
      <c r="I50" s="40">
        <f t="shared" si="10"/>
        <v>25352472.46572727</v>
      </c>
      <c r="J50" s="40">
        <f t="shared" si="10"/>
        <v>32388371.368790906</v>
      </c>
      <c r="K50" s="40">
        <f t="shared" si="10"/>
        <v>39443318.667454541</v>
      </c>
      <c r="L50" s="40">
        <f t="shared" si="10"/>
        <v>46580687.536918178</v>
      </c>
      <c r="M50" s="40">
        <f t="shared" si="10"/>
        <v>53871432.055681817</v>
      </c>
      <c r="N50" s="40">
        <f t="shared" si="10"/>
        <v>61256995.657045454</v>
      </c>
      <c r="O50" s="40">
        <f t="shared" si="10"/>
        <v>68745606.850409091</v>
      </c>
      <c r="P50" s="40">
        <f t="shared" si="10"/>
        <v>76412447.118972719</v>
      </c>
      <c r="Q50" s="40">
        <f t="shared" si="10"/>
        <v>84254984.544736356</v>
      </c>
      <c r="R50" s="40">
        <f t="shared" si="10"/>
        <v>92301542.790499985</v>
      </c>
      <c r="S50" s="40">
        <f t="shared" si="10"/>
        <v>100562277.42626362</v>
      </c>
      <c r="T50" s="40">
        <f t="shared" si="10"/>
        <v>109050023.65202725</v>
      </c>
      <c r="U50" s="40">
        <f t="shared" si="10"/>
        <v>117777231.17779088</v>
      </c>
      <c r="V50" s="40">
        <f t="shared" si="10"/>
        <v>126757337.93355452</v>
      </c>
      <c r="W50" s="40">
        <f t="shared" si="10"/>
        <v>136004916.73931816</v>
      </c>
      <c r="X50" s="40">
        <f t="shared" si="10"/>
        <v>145553299.55508178</v>
      </c>
      <c r="Y50" s="40">
        <f t="shared" si="10"/>
        <v>155424149.10084543</v>
      </c>
      <c r="Z50" s="40">
        <f t="shared" si="10"/>
        <v>165637463.98660907</v>
      </c>
      <c r="AA50" s="40">
        <f t="shared" si="10"/>
        <v>176212556.3323727</v>
      </c>
      <c r="AB50" s="40">
        <f t="shared" si="10"/>
        <v>187170805.88813633</v>
      </c>
      <c r="AC50" s="40">
        <f t="shared" si="10"/>
        <v>198535634.98389995</v>
      </c>
      <c r="AD50" s="40">
        <f t="shared" si="10"/>
        <v>210331838.84966359</v>
      </c>
      <c r="AE50" s="40">
        <f t="shared" si="10"/>
        <v>222581992.00542721</v>
      </c>
      <c r="AF50" s="40">
        <f t="shared" si="10"/>
        <v>235310697.72119084</v>
      </c>
      <c r="AG50" s="40">
        <f t="shared" si="10"/>
        <v>248543321.83695447</v>
      </c>
      <c r="AH50" s="40">
        <f t="shared" si="10"/>
        <v>262306498.5227181</v>
      </c>
      <c r="AI50" s="40">
        <f t="shared" si="10"/>
        <v>276519539.0902999</v>
      </c>
      <c r="AJ50" s="40">
        <f t="shared" si="10"/>
        <v>292009285.85516673</v>
      </c>
      <c r="AK50" s="40">
        <f t="shared" si="10"/>
        <v>307508717.28866363</v>
      </c>
      <c r="AL50" s="40">
        <f t="shared" si="10"/>
        <v>323633375.4921605</v>
      </c>
      <c r="AM50" s="40">
        <f t="shared" si="10"/>
        <v>340422906.6056574</v>
      </c>
      <c r="AN50" s="40">
        <f t="shared" si="10"/>
        <v>357916812.41915429</v>
      </c>
      <c r="AO50" s="40">
        <f t="shared" si="10"/>
        <v>376153430.94265115</v>
      </c>
      <c r="AP50" s="40">
        <f t="shared" si="10"/>
        <v>395171567.34614807</v>
      </c>
      <c r="AQ50" s="40">
        <f t="shared" si="10"/>
        <v>415011777.71964496</v>
      </c>
      <c r="AR50" s="40">
        <f t="shared" si="10"/>
        <v>435721944.00314188</v>
      </c>
      <c r="AS50" s="40">
        <f t="shared" si="10"/>
        <v>457163791.3466388</v>
      </c>
      <c r="AU50" s="24">
        <f>SUM(F44:AS44)</f>
        <v>455423542.97000003</v>
      </c>
    </row>
    <row r="51" spans="1:47" ht="15.45" x14ac:dyDescent="0.4">
      <c r="A51" s="16" t="s">
        <v>237</v>
      </c>
      <c r="B51" s="16"/>
      <c r="C51" s="16"/>
      <c r="D51" s="199">
        <v>0</v>
      </c>
      <c r="E51" s="198">
        <f>NPV(D51,F18:AS18)</f>
        <v>457163791.3466388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</row>
    <row r="52" spans="1:47" ht="15.45" x14ac:dyDescent="0.4">
      <c r="A52" s="16"/>
      <c r="B52" s="16"/>
      <c r="C52" s="16"/>
      <c r="D52" s="199">
        <v>0.04</v>
      </c>
      <c r="E52" s="200">
        <f>NPV(D52,F18:AS18)</f>
        <v>191241577.08938977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U52" s="24"/>
    </row>
    <row r="53" spans="1:47" ht="15.45" x14ac:dyDescent="0.4">
      <c r="A53" s="16"/>
      <c r="B53" s="16"/>
      <c r="C53" s="16"/>
      <c r="D53" s="89">
        <v>4.4999999999999998E-2</v>
      </c>
      <c r="E53" s="200">
        <f>NPV(D53,F18:AS18)</f>
        <v>174412302.92451593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</row>
    <row r="54" spans="1:47" ht="15.45" x14ac:dyDescent="0.4">
      <c r="A54" s="16"/>
      <c r="B54" s="16"/>
      <c r="C54" s="16"/>
      <c r="D54" s="89">
        <v>0.05</v>
      </c>
      <c r="E54" s="200">
        <f>NPV(D54,F18:AS18)</f>
        <v>159631239.73781854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</row>
    <row r="55" spans="1:47" ht="15.45" x14ac:dyDescent="0.4">
      <c r="A55" s="16"/>
      <c r="B55" s="16"/>
      <c r="C55" s="16"/>
      <c r="D55" s="89">
        <v>5.5E-2</v>
      </c>
      <c r="E55" s="200">
        <f>NPV(D55,F18:AS18)</f>
        <v>146611478.36683345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</row>
    <row r="56" spans="1:47" s="27" customFormat="1" ht="14.6" x14ac:dyDescent="0.4">
      <c r="A56" s="27" t="s">
        <v>236</v>
      </c>
      <c r="F56" s="40">
        <f>F44</f>
        <v>5379276.8200000003</v>
      </c>
      <c r="G56" s="40">
        <f t="shared" ref="G56:AS56" si="11">F56+G44</f>
        <v>11532169.5</v>
      </c>
      <c r="H56" s="40">
        <f t="shared" si="11"/>
        <v>18313932.050000001</v>
      </c>
      <c r="I56" s="40">
        <f t="shared" si="11"/>
        <v>25221909.560000002</v>
      </c>
      <c r="J56" s="40">
        <f t="shared" si="11"/>
        <v>32285833.110000003</v>
      </c>
      <c r="K56" s="40">
        <f t="shared" si="11"/>
        <v>39339853.120000005</v>
      </c>
      <c r="L56" s="40">
        <f t="shared" si="11"/>
        <v>46501665.190000005</v>
      </c>
      <c r="M56" s="40">
        <f t="shared" si="11"/>
        <v>53846780.050000004</v>
      </c>
      <c r="N56" s="40">
        <f t="shared" si="11"/>
        <v>61316154.450000003</v>
      </c>
      <c r="O56" s="40">
        <f t="shared" si="11"/>
        <v>68918197.25</v>
      </c>
      <c r="P56" s="40">
        <f t="shared" si="11"/>
        <v>76731748.969999999</v>
      </c>
      <c r="Q56" s="40">
        <f t="shared" si="11"/>
        <v>84748644.969999999</v>
      </c>
      <c r="R56" s="40">
        <f t="shared" si="11"/>
        <v>93000833.969999999</v>
      </c>
      <c r="S56" s="40">
        <f t="shared" si="11"/>
        <v>101498110.97</v>
      </c>
      <c r="T56" s="40">
        <f t="shared" si="11"/>
        <v>110257083.97</v>
      </c>
      <c r="U56" s="40">
        <f t="shared" si="11"/>
        <v>119288677.97</v>
      </c>
      <c r="V56" s="40">
        <f t="shared" si="11"/>
        <v>128611326.97</v>
      </c>
      <c r="W56" s="40">
        <f t="shared" si="11"/>
        <v>138237925.97</v>
      </c>
      <c r="X56" s="40">
        <f t="shared" si="11"/>
        <v>148187403.97</v>
      </c>
      <c r="Y56" s="40">
        <f t="shared" si="11"/>
        <v>158474369.97</v>
      </c>
      <c r="Z56" s="40">
        <f t="shared" si="11"/>
        <v>169120203.97</v>
      </c>
      <c r="AA56" s="40">
        <f t="shared" si="11"/>
        <v>180141999.97</v>
      </c>
      <c r="AB56" s="40">
        <f t="shared" si="11"/>
        <v>191551216.97</v>
      </c>
      <c r="AC56" s="40">
        <f t="shared" si="11"/>
        <v>203369531.97</v>
      </c>
      <c r="AD56" s="40">
        <f t="shared" si="11"/>
        <v>215612099.97</v>
      </c>
      <c r="AE56" s="40">
        <f t="shared" si="11"/>
        <v>228302246.97</v>
      </c>
      <c r="AF56" s="40">
        <f t="shared" si="11"/>
        <v>241464013.97</v>
      </c>
      <c r="AG56" s="40">
        <f t="shared" si="11"/>
        <v>255122191.97</v>
      </c>
      <c r="AH56" s="40">
        <f t="shared" si="11"/>
        <v>269294807.97000003</v>
      </c>
      <c r="AI56" s="40">
        <f t="shared" si="11"/>
        <v>284008056.97000003</v>
      </c>
      <c r="AJ56" s="40">
        <f t="shared" si="11"/>
        <v>298643336.97000003</v>
      </c>
      <c r="AK56" s="40">
        <f t="shared" si="11"/>
        <v>313235070.97000003</v>
      </c>
      <c r="AL56" s="40">
        <f t="shared" si="11"/>
        <v>328446868.97000003</v>
      </c>
      <c r="AM56" s="40">
        <f t="shared" si="11"/>
        <v>344317517.97000003</v>
      </c>
      <c r="AN56" s="40">
        <f t="shared" si="11"/>
        <v>360886592.97000003</v>
      </c>
      <c r="AO56" s="40">
        <f t="shared" si="11"/>
        <v>378195256.97000003</v>
      </c>
      <c r="AP56" s="40">
        <f t="shared" si="11"/>
        <v>396267652.97000003</v>
      </c>
      <c r="AQ56" s="40">
        <f t="shared" si="11"/>
        <v>415136810.97000003</v>
      </c>
      <c r="AR56" s="40">
        <f t="shared" si="11"/>
        <v>434841566.97000003</v>
      </c>
      <c r="AS56" s="40">
        <f t="shared" si="11"/>
        <v>455423542.97000003</v>
      </c>
    </row>
    <row r="57" spans="1:47" ht="15.45" x14ac:dyDescent="0.4">
      <c r="A57" s="16" t="s">
        <v>238</v>
      </c>
      <c r="B57" s="16"/>
      <c r="C57" s="16"/>
      <c r="D57" s="199">
        <v>0</v>
      </c>
      <c r="E57" s="200">
        <f>NPV(D57,F44:AS44)</f>
        <v>455423542.97000003</v>
      </c>
    </row>
    <row r="58" spans="1:47" ht="15.45" x14ac:dyDescent="0.4">
      <c r="A58" s="16"/>
      <c r="B58" s="16"/>
      <c r="C58" s="16"/>
      <c r="D58" s="199">
        <v>0.04</v>
      </c>
      <c r="E58" s="200">
        <f>NPV(D58,F44:AS44)</f>
        <v>192195107.13457423</v>
      </c>
    </row>
    <row r="59" spans="1:47" ht="15.45" x14ac:dyDescent="0.4">
      <c r="A59" s="16"/>
      <c r="B59" s="16"/>
      <c r="C59" s="16"/>
      <c r="D59" s="89">
        <v>4.4999999999999998E-2</v>
      </c>
      <c r="E59" s="200">
        <f>NPV(D59,F44:AS44)</f>
        <v>175416164.72153738</v>
      </c>
    </row>
    <row r="60" spans="1:47" ht="15.45" x14ac:dyDescent="0.4">
      <c r="A60" s="16"/>
      <c r="B60" s="16"/>
      <c r="C60" s="16"/>
      <c r="D60" s="89">
        <v>0.05</v>
      </c>
      <c r="E60" s="200">
        <f>NPV(D60,F44:AS44)</f>
        <v>160659895.89815882</v>
      </c>
    </row>
    <row r="61" spans="1:47" ht="15.45" x14ac:dyDescent="0.4">
      <c r="A61" s="16"/>
      <c r="B61" s="16"/>
      <c r="C61" s="16"/>
      <c r="D61" s="89">
        <v>5.5E-2</v>
      </c>
      <c r="E61" s="200">
        <f>NPV(D61,F44:AS44)</f>
        <v>147645240.24093002</v>
      </c>
    </row>
    <row r="62" spans="1:47" ht="15.45" x14ac:dyDescent="0.4">
      <c r="A62" s="27" t="s">
        <v>239</v>
      </c>
      <c r="B62" s="27"/>
      <c r="C62" s="27"/>
      <c r="D62" s="27"/>
      <c r="E62" s="27"/>
      <c r="F62" s="40">
        <f>F18-F9-F10</f>
        <v>4805094.1882000007</v>
      </c>
      <c r="G62" s="40">
        <f>G18-G9-G10</f>
        <v>5631128.1831999999</v>
      </c>
      <c r="H62" s="40">
        <f t="shared" ref="H62:AS62" si="12">H18-H9-H10</f>
        <v>5567181.3654999994</v>
      </c>
      <c r="I62" s="40">
        <f t="shared" si="12"/>
        <v>5699285.4561000001</v>
      </c>
      <c r="J62" s="40">
        <f t="shared" si="12"/>
        <v>5830919.2666999996</v>
      </c>
      <c r="K62" s="40">
        <f t="shared" si="12"/>
        <v>5849967.6623</v>
      </c>
      <c r="L62" s="40">
        <f t="shared" si="12"/>
        <v>5932389.2330999998</v>
      </c>
      <c r="M62" s="40">
        <f t="shared" si="12"/>
        <v>6085764.8824000005</v>
      </c>
      <c r="N62" s="40">
        <f t="shared" si="12"/>
        <v>6180583.9650000008</v>
      </c>
      <c r="O62" s="40">
        <f t="shared" si="12"/>
        <v>6283631.557</v>
      </c>
      <c r="P62" s="40">
        <f t="shared" si="12"/>
        <v>6461860.6321999989</v>
      </c>
      <c r="Q62" s="40">
        <f t="shared" si="12"/>
        <v>6637557.7894000001</v>
      </c>
      <c r="R62" s="40">
        <f t="shared" si="12"/>
        <v>6841578.6094000004</v>
      </c>
      <c r="S62" s="40">
        <f t="shared" si="12"/>
        <v>7055754.9994000001</v>
      </c>
      <c r="T62" s="40">
        <f t="shared" si="12"/>
        <v>7282766.5894000009</v>
      </c>
      <c r="U62" s="40">
        <f t="shared" si="12"/>
        <v>7522227.8893999998</v>
      </c>
      <c r="V62" s="40">
        <f t="shared" si="12"/>
        <v>7775127.1194000002</v>
      </c>
      <c r="W62" s="40">
        <f t="shared" si="12"/>
        <v>8042599.1693999991</v>
      </c>
      <c r="X62" s="40">
        <f t="shared" si="12"/>
        <v>8343403.1794000007</v>
      </c>
      <c r="Y62" s="40">
        <f t="shared" si="12"/>
        <v>8665869.9093999993</v>
      </c>
      <c r="Z62" s="40">
        <f t="shared" si="12"/>
        <v>9008335.2493999992</v>
      </c>
      <c r="AA62" s="40">
        <f t="shared" si="12"/>
        <v>9370112.7094000001</v>
      </c>
      <c r="AB62" s="40">
        <f t="shared" si="12"/>
        <v>9753269.9193999991</v>
      </c>
      <c r="AC62" s="40">
        <f t="shared" si="12"/>
        <v>10159849.4594</v>
      </c>
      <c r="AD62" s="40">
        <f t="shared" si="12"/>
        <v>10591224.2294</v>
      </c>
      <c r="AE62" s="40">
        <f t="shared" si="12"/>
        <v>11045173.519400001</v>
      </c>
      <c r="AF62" s="40">
        <f t="shared" si="12"/>
        <v>11523726.079399999</v>
      </c>
      <c r="AG62" s="40">
        <f t="shared" si="12"/>
        <v>12027644.4794</v>
      </c>
      <c r="AH62" s="40">
        <f t="shared" si="12"/>
        <v>12558197.0494</v>
      </c>
      <c r="AI62" s="40">
        <f t="shared" si="12"/>
        <v>13115962.749399999</v>
      </c>
      <c r="AJ62" s="40">
        <f t="shared" si="12"/>
        <v>13800633.788030095</v>
      </c>
      <c r="AK62" s="40">
        <f t="shared" si="12"/>
        <v>13810318.456660189</v>
      </c>
      <c r="AL62" s="40">
        <f t="shared" si="12"/>
        <v>14435545.226660188</v>
      </c>
      <c r="AM62" s="40">
        <f t="shared" si="12"/>
        <v>15100418.136660188</v>
      </c>
      <c r="AN62" s="40">
        <f t="shared" si="12"/>
        <v>15804792.836660188</v>
      </c>
      <c r="AO62" s="40">
        <f t="shared" si="12"/>
        <v>16547505.546660189</v>
      </c>
      <c r="AP62" s="40">
        <f t="shared" si="12"/>
        <v>17329023.426660188</v>
      </c>
      <c r="AQ62" s="40">
        <f t="shared" si="12"/>
        <v>18151097.39666019</v>
      </c>
      <c r="AR62" s="40">
        <f t="shared" si="12"/>
        <v>19021053.30666019</v>
      </c>
      <c r="AS62" s="40">
        <f t="shared" si="12"/>
        <v>19937366.366660189</v>
      </c>
      <c r="AU62" s="201"/>
    </row>
    <row r="63" spans="1:47" ht="15.45" x14ac:dyDescent="0.4">
      <c r="A63" s="16" t="s">
        <v>237</v>
      </c>
      <c r="B63" s="16"/>
      <c r="C63" s="16"/>
      <c r="D63" s="199">
        <v>0</v>
      </c>
      <c r="E63" s="200">
        <f>NPV(D63,F$62:AS$62)</f>
        <v>405585941.57827187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</row>
    <row r="64" spans="1:47" ht="15.45" x14ac:dyDescent="0.4">
      <c r="A64" s="16"/>
      <c r="B64" s="16"/>
      <c r="C64" s="16"/>
      <c r="D64" s="199">
        <v>0.04</v>
      </c>
      <c r="E64" s="200">
        <f t="shared" ref="E64:E67" si="13">NPV(D64,F$62:AS$62)</f>
        <v>167356213.64167029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</row>
    <row r="65" spans="1:45" ht="15.45" x14ac:dyDescent="0.4">
      <c r="A65" s="16"/>
      <c r="B65" s="16"/>
      <c r="C65" s="16"/>
      <c r="D65" s="89">
        <v>4.4999999999999998E-2</v>
      </c>
      <c r="E65" s="200">
        <f t="shared" si="13"/>
        <v>152372132.5308232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</row>
    <row r="66" spans="1:45" ht="15.45" x14ac:dyDescent="0.4">
      <c r="A66" s="16"/>
      <c r="B66" s="16"/>
      <c r="C66" s="16"/>
      <c r="D66" s="89">
        <v>0.05</v>
      </c>
      <c r="E66" s="200">
        <f t="shared" si="13"/>
        <v>139228993.46513996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</row>
    <row r="67" spans="1:45" ht="15.45" x14ac:dyDescent="0.4">
      <c r="A67" s="16"/>
      <c r="B67" s="16"/>
      <c r="C67" s="16"/>
      <c r="D67" s="89">
        <v>5.5E-2</v>
      </c>
      <c r="E67" s="200">
        <f t="shared" si="13"/>
        <v>127667590.75230293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</row>
    <row r="68" spans="1:45" ht="15.45" x14ac:dyDescent="0.4">
      <c r="A68" s="27" t="s">
        <v>239</v>
      </c>
      <c r="B68" s="27"/>
      <c r="C68" s="27"/>
      <c r="D68" s="27"/>
      <c r="E68" s="27"/>
      <c r="F68" s="40">
        <f>F44-F35-F36</f>
        <v>4759364.82</v>
      </c>
      <c r="G68" s="40">
        <f t="shared" ref="G68:AS68" si="14">G44-G35-G36</f>
        <v>5532980.6799999997</v>
      </c>
      <c r="H68" s="40">
        <f t="shared" si="14"/>
        <v>5866250.5499999998</v>
      </c>
      <c r="I68" s="40">
        <f t="shared" si="14"/>
        <v>5992465.5099999998</v>
      </c>
      <c r="J68" s="40">
        <f t="shared" si="14"/>
        <v>6148411.5499999998</v>
      </c>
      <c r="K68" s="40">
        <f t="shared" si="14"/>
        <v>6138508.0099999998</v>
      </c>
      <c r="L68" s="40">
        <f t="shared" si="14"/>
        <v>6246300.0700000003</v>
      </c>
      <c r="M68" s="40">
        <f t="shared" si="14"/>
        <v>6429602.8600000003</v>
      </c>
      <c r="N68" s="40">
        <f t="shared" si="14"/>
        <v>6553862.4000000004</v>
      </c>
      <c r="O68" s="40">
        <f t="shared" si="14"/>
        <v>6686530.8000000007</v>
      </c>
      <c r="P68" s="40">
        <f t="shared" si="14"/>
        <v>6898039.7199999988</v>
      </c>
      <c r="Q68" s="40">
        <f t="shared" si="14"/>
        <v>7101384</v>
      </c>
      <c r="R68" s="40">
        <f t="shared" si="14"/>
        <v>7336677</v>
      </c>
      <c r="S68" s="40">
        <f t="shared" si="14"/>
        <v>7581765</v>
      </c>
      <c r="T68" s="40">
        <f t="shared" si="14"/>
        <v>7843461</v>
      </c>
      <c r="U68" s="40">
        <f t="shared" si="14"/>
        <v>8116082</v>
      </c>
      <c r="V68" s="40">
        <f t="shared" si="14"/>
        <v>8407137</v>
      </c>
      <c r="W68" s="40">
        <f t="shared" si="14"/>
        <v>8711087</v>
      </c>
      <c r="X68" s="40">
        <f t="shared" si="14"/>
        <v>9033966</v>
      </c>
      <c r="Y68" s="40">
        <f t="shared" si="14"/>
        <v>9371454</v>
      </c>
      <c r="Z68" s="40">
        <f t="shared" si="14"/>
        <v>9730322</v>
      </c>
      <c r="AA68" s="40">
        <f t="shared" si="14"/>
        <v>10106284</v>
      </c>
      <c r="AB68" s="40">
        <f t="shared" si="14"/>
        <v>10493705</v>
      </c>
      <c r="AC68" s="40">
        <f t="shared" si="14"/>
        <v>10902803</v>
      </c>
      <c r="AD68" s="40">
        <f t="shared" si="14"/>
        <v>11327056</v>
      </c>
      <c r="AE68" s="40">
        <f t="shared" si="14"/>
        <v>11774635</v>
      </c>
      <c r="AF68" s="40">
        <f t="shared" si="14"/>
        <v>12246255</v>
      </c>
      <c r="AG68" s="40">
        <f t="shared" si="14"/>
        <v>12742666</v>
      </c>
      <c r="AH68" s="40">
        <f t="shared" si="14"/>
        <v>13257104</v>
      </c>
      <c r="AI68" s="40">
        <f t="shared" si="14"/>
        <v>13797737</v>
      </c>
      <c r="AJ68" s="40">
        <f t="shared" si="14"/>
        <v>13719768</v>
      </c>
      <c r="AK68" s="40">
        <f t="shared" si="14"/>
        <v>13676222</v>
      </c>
      <c r="AL68" s="40">
        <f t="shared" si="14"/>
        <v>14296286</v>
      </c>
      <c r="AM68" s="40">
        <f t="shared" si="14"/>
        <v>14955137</v>
      </c>
      <c r="AN68" s="40">
        <f t="shared" si="14"/>
        <v>15653563</v>
      </c>
      <c r="AO68" s="40">
        <f t="shared" si="14"/>
        <v>16393152</v>
      </c>
      <c r="AP68" s="40">
        <f t="shared" si="14"/>
        <v>17156884</v>
      </c>
      <c r="AQ68" s="40">
        <f t="shared" si="14"/>
        <v>17953646</v>
      </c>
      <c r="AR68" s="40">
        <f t="shared" si="14"/>
        <v>18789244</v>
      </c>
      <c r="AS68" s="40">
        <f t="shared" si="14"/>
        <v>19666464</v>
      </c>
    </row>
    <row r="69" spans="1:45" ht="15.45" x14ac:dyDescent="0.4">
      <c r="A69" s="16" t="s">
        <v>238</v>
      </c>
      <c r="B69" s="16"/>
      <c r="C69" s="16"/>
      <c r="D69" s="199">
        <v>0</v>
      </c>
      <c r="E69" s="200">
        <f>NPV(D69,F$68:AS$68)</f>
        <v>419394262.97000003</v>
      </c>
    </row>
    <row r="70" spans="1:45" ht="15.45" x14ac:dyDescent="0.4">
      <c r="A70" s="16"/>
      <c r="B70" s="16"/>
      <c r="C70" s="16"/>
      <c r="D70" s="199">
        <v>0.04</v>
      </c>
      <c r="E70" s="200">
        <f t="shared" ref="E70:E73" si="15">NPV(D70,F$68:AS$68)</f>
        <v>174632114.71680963</v>
      </c>
    </row>
    <row r="71" spans="1:45" ht="15.45" x14ac:dyDescent="0.4">
      <c r="A71" s="16"/>
      <c r="B71" s="16"/>
      <c r="C71" s="16"/>
      <c r="D71" s="89">
        <v>4.4999999999999998E-2</v>
      </c>
      <c r="E71" s="200">
        <f t="shared" si="15"/>
        <v>159122853.95274103</v>
      </c>
    </row>
    <row r="72" spans="1:45" ht="15.45" x14ac:dyDescent="0.4">
      <c r="A72" s="16"/>
      <c r="B72" s="16"/>
      <c r="C72" s="16"/>
      <c r="D72" s="89">
        <v>0.05</v>
      </c>
      <c r="E72" s="200">
        <f t="shared" si="15"/>
        <v>145500188.15539661</v>
      </c>
    </row>
    <row r="73" spans="1:45" ht="15.45" x14ac:dyDescent="0.4">
      <c r="A73" s="16"/>
      <c r="B73" s="16"/>
      <c r="C73" s="16"/>
      <c r="D73" s="89">
        <v>5.5E-2</v>
      </c>
      <c r="E73" s="200">
        <f t="shared" si="15"/>
        <v>133500592.64552031</v>
      </c>
    </row>
    <row r="74" spans="1:45" ht="15.45" x14ac:dyDescent="0.4">
      <c r="A74" s="16"/>
      <c r="B74" s="16"/>
      <c r="C74" s="16"/>
      <c r="D74" s="16"/>
      <c r="E74" s="16"/>
    </row>
    <row r="75" spans="1:45" ht="15.45" x14ac:dyDescent="0.4">
      <c r="A75" s="16"/>
      <c r="B75" s="16"/>
      <c r="C75" s="16"/>
      <c r="D75" s="16"/>
      <c r="E75" s="16"/>
    </row>
    <row r="76" spans="1:45" ht="15.45" x14ac:dyDescent="0.4">
      <c r="A76" s="16"/>
      <c r="B76" s="16"/>
      <c r="C76" s="16"/>
      <c r="D76" s="16"/>
      <c r="E76" s="16"/>
    </row>
    <row r="77" spans="1:45" ht="15.45" x14ac:dyDescent="0.4">
      <c r="A77" s="16"/>
      <c r="B77" s="16"/>
      <c r="C77" s="16"/>
      <c r="D77" s="16"/>
      <c r="E77" s="16"/>
    </row>
    <row r="78" spans="1:45" ht="15.45" x14ac:dyDescent="0.4">
      <c r="A78" s="16"/>
      <c r="B78" s="16"/>
      <c r="C78" s="16"/>
      <c r="D78" s="16"/>
      <c r="E78" s="16"/>
    </row>
    <row r="79" spans="1:45" ht="15.45" x14ac:dyDescent="0.4">
      <c r="A79" s="16"/>
      <c r="B79" s="16"/>
      <c r="C79" s="16"/>
      <c r="D79" s="16"/>
      <c r="E79" s="16"/>
    </row>
    <row r="80" spans="1:45" ht="15.45" x14ac:dyDescent="0.4">
      <c r="A80" s="16"/>
      <c r="B80" s="16"/>
      <c r="C80" s="16"/>
      <c r="D80" s="16"/>
      <c r="E80" s="16"/>
    </row>
    <row r="81" spans="1:5" ht="15.45" x14ac:dyDescent="0.4">
      <c r="A81" s="16"/>
      <c r="B81" s="16"/>
      <c r="C81" s="16"/>
      <c r="D81" s="16"/>
      <c r="E81" s="16"/>
    </row>
    <row r="82" spans="1:5" ht="15.45" x14ac:dyDescent="0.4">
      <c r="A82" s="16"/>
      <c r="B82" s="16"/>
      <c r="C82" s="16"/>
      <c r="D82" s="16"/>
      <c r="E82" s="16"/>
    </row>
    <row r="83" spans="1:5" ht="15.45" x14ac:dyDescent="0.4">
      <c r="A83" s="16"/>
      <c r="B83" s="16"/>
      <c r="C83" s="16"/>
      <c r="D83" s="16"/>
      <c r="E83" s="16"/>
    </row>
    <row r="84" spans="1:5" ht="15.45" x14ac:dyDescent="0.4">
      <c r="A84" s="16"/>
      <c r="B84" s="16"/>
      <c r="C84" s="16"/>
      <c r="D84" s="16"/>
      <c r="E84" s="16"/>
    </row>
    <row r="85" spans="1:5" ht="15.45" x14ac:dyDescent="0.4">
      <c r="A85" s="16"/>
      <c r="B85" s="16"/>
      <c r="C85" s="16"/>
      <c r="D85" s="16"/>
      <c r="E85" s="16"/>
    </row>
  </sheetData>
  <mergeCells count="6">
    <mergeCell ref="A29:K29"/>
    <mergeCell ref="A1:K1"/>
    <mergeCell ref="A2:K2"/>
    <mergeCell ref="A3:K3"/>
    <mergeCell ref="A27:K27"/>
    <mergeCell ref="A28:K28"/>
  </mergeCells>
  <printOptions verticalCentered="1"/>
  <pageMargins left="0.7" right="0.7" top="0.75" bottom="0.75" header="0.3" footer="0.3"/>
  <pageSetup scale="57" fitToWidth="5" orientation="landscape" r:id="rId1"/>
  <headerFooter>
    <oddHeader>&amp;LDRAFT&amp;CNOT FOR DISTIBUTION&amp;R&amp;D</oddHeader>
    <oddFooter>&amp;LDRAFT&amp;CNOT FOR DISTRIBUTION&amp;RPAGE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E171-54FB-4B9A-BD6D-2A8732840F1C}">
  <dimension ref="A1:AS79"/>
  <sheetViews>
    <sheetView topLeftCell="A30" zoomScaleNormal="100" workbookViewId="0">
      <selection sqref="A1:K1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5" width="12.5625" customWidth="1"/>
  </cols>
  <sheetData>
    <row r="1" spans="1:45" s="1" customFormat="1" ht="18.45" x14ac:dyDescent="0.4">
      <c r="A1" s="226" t="s">
        <v>240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45" s="1" customFormat="1" ht="18.45" x14ac:dyDescent="0.4">
      <c r="A2" s="226" t="str">
        <f>'Plan Inputs'!$F$2</f>
        <v>2026-2065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45" s="1" customFormat="1" ht="15.9" x14ac:dyDescent="0.4">
      <c r="A3" s="234" t="s">
        <v>91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45" s="1" customFormat="1" ht="15.9" x14ac:dyDescent="0.4">
      <c r="A4" s="208"/>
      <c r="B4" s="208"/>
      <c r="C4" s="208"/>
      <c r="D4" s="208"/>
      <c r="E4" s="208"/>
      <c r="F4" s="208"/>
      <c r="G4" s="208"/>
      <c r="H4" s="208"/>
      <c r="I4" s="208"/>
      <c r="J4" s="208"/>
    </row>
    <row r="5" spans="1:45" s="1" customFormat="1" ht="14.6" x14ac:dyDescent="0.4">
      <c r="A5" s="3"/>
      <c r="B5" s="4"/>
      <c r="C5" s="4"/>
      <c r="D5" s="4"/>
      <c r="E5" s="4"/>
      <c r="F5" s="4"/>
    </row>
    <row r="6" spans="1:45" s="1" customFormat="1" ht="14.6" x14ac:dyDescent="0.4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5" s="1" customFormat="1" ht="14.6" x14ac:dyDescent="0.4">
      <c r="A7" s="28" t="s">
        <v>95</v>
      </c>
      <c r="B7" s="5"/>
      <c r="C7" s="5"/>
      <c r="D7" s="5"/>
      <c r="E7" s="5"/>
      <c r="F7" s="5"/>
      <c r="G7" s="216"/>
    </row>
    <row r="8" spans="1:45" s="1" customFormat="1" ht="14.6" x14ac:dyDescent="0.4">
      <c r="A8" s="29" t="s">
        <v>96</v>
      </c>
      <c r="B8" s="23"/>
      <c r="C8" s="5"/>
      <c r="D8" s="5"/>
      <c r="E8" s="5"/>
      <c r="F8" s="8">
        <f>ROUND('Financial Base'!F8*(1+'Demand Inputs'!C$7)+(1+'Plan Inputs'!F$8),0)</f>
        <v>5286425</v>
      </c>
      <c r="G8" s="216">
        <f>ROUND(F8*(1+'Plan Inputs'!G8)*(1+'Demand Inputs'!D7),0)</f>
        <v>5560553</v>
      </c>
      <c r="H8" s="216">
        <f>ROUND(G8*(1+'Plan Inputs'!H8)*(1+'Demand Inputs'!E7),0)</f>
        <v>6407453</v>
      </c>
      <c r="I8" s="216">
        <f>ROUND(H8*(1+'Plan Inputs'!I8)*(1+'Demand Inputs'!F7),0)</f>
        <v>6941338</v>
      </c>
      <c r="J8" s="216">
        <f>ROUND(I8*(1+'Plan Inputs'!J8)*(1+'Demand Inputs'!G7),0)</f>
        <v>7114871</v>
      </c>
      <c r="K8" s="216">
        <f>ROUND(J8*(1+'Plan Inputs'!K8)*(1+'Demand Inputs'!H7),0)</f>
        <v>7292743</v>
      </c>
      <c r="L8" s="216">
        <f>ROUND(K8*(1+'Plan Inputs'!L8)*(1+'Demand Inputs'!I7),0)</f>
        <v>7475062</v>
      </c>
      <c r="M8" s="216">
        <f>ROUND(L8*(1+'Plan Inputs'!M8)*(1+'Demand Inputs'!J7),0)</f>
        <v>7661939</v>
      </c>
      <c r="N8" s="216">
        <f>ROUND(M8*(1+'Plan Inputs'!N8)*(1+'Demand Inputs'!K7),0)</f>
        <v>7853487</v>
      </c>
      <c r="O8" s="216">
        <f>ROUND(N8*(1+'Plan Inputs'!O8)*(1+'Demand Inputs'!L7),0)</f>
        <v>8049824</v>
      </c>
      <c r="P8" s="216">
        <f>ROUND(O8*(1+'Plan Inputs'!P8)*(1+'Demand Inputs'!M7),0)</f>
        <v>8251070</v>
      </c>
      <c r="Q8" s="216">
        <f>ROUND(P8*(1+'Plan Inputs'!Q8)*(1+'Demand Inputs'!N7),0)</f>
        <v>8457347</v>
      </c>
      <c r="R8" s="216">
        <f>ROUND(Q8*(1+'Plan Inputs'!R8)*(1+'Demand Inputs'!O7),0)</f>
        <v>8668781</v>
      </c>
      <c r="S8" s="216">
        <f>ROUND(R8*(1+'Plan Inputs'!S8)*(1+'Demand Inputs'!P7),0)</f>
        <v>8885501</v>
      </c>
      <c r="T8" s="216">
        <f>ROUND(S8*(1+'Plan Inputs'!T8)*(1+'Demand Inputs'!Q7),0)</f>
        <v>9107639</v>
      </c>
      <c r="U8" s="216">
        <f>ROUND(T8*(1+'Plan Inputs'!U8)*(1+'Demand Inputs'!R7),0)</f>
        <v>9335330</v>
      </c>
      <c r="V8" s="216">
        <f>ROUND(U8*(1+'Plan Inputs'!V8)*(1+'Demand Inputs'!S7),0)</f>
        <v>9568713</v>
      </c>
      <c r="W8" s="216">
        <f>ROUND(V8*(1+'Plan Inputs'!W8)*(1+'Demand Inputs'!T7),0)</f>
        <v>9807931</v>
      </c>
      <c r="X8" s="216">
        <f>ROUND(W8*(1+'Plan Inputs'!X8)*(1+'Demand Inputs'!U7),0)</f>
        <v>10053129</v>
      </c>
      <c r="Y8" s="216">
        <f>ROUND(X8*(1+'Plan Inputs'!Y8)*(1+'Demand Inputs'!V7),0)</f>
        <v>10304457</v>
      </c>
      <c r="Z8" s="216">
        <f>ROUND(Y8*(1+'Plan Inputs'!Z8)*(1+'Demand Inputs'!W7),0)</f>
        <v>10562068</v>
      </c>
      <c r="AA8" s="216">
        <f>ROUND(Z8*(1+'Plan Inputs'!AA8)*(1+'Demand Inputs'!X7),0)</f>
        <v>10826120</v>
      </c>
      <c r="AB8" s="216">
        <f>ROUND(AA8*(1+'Plan Inputs'!AB8)*(1+'Demand Inputs'!Y7),0)</f>
        <v>11096773</v>
      </c>
      <c r="AC8" s="216">
        <f>ROUND(AB8*(1+'Plan Inputs'!AC8)*(1+'Demand Inputs'!Z7),0)</f>
        <v>11374192</v>
      </c>
      <c r="AD8" s="216">
        <f>ROUND(AC8*(1+'Plan Inputs'!AD8)*(1+'Demand Inputs'!AA7),0)</f>
        <v>11658547</v>
      </c>
      <c r="AE8" s="216">
        <f>ROUND(AD8*(1+'Plan Inputs'!AE8)*(1+'Demand Inputs'!AB7),0)</f>
        <v>12091021</v>
      </c>
      <c r="AF8" s="216">
        <f>ROUND(AE8*(1+'Plan Inputs'!AF8)*(1+'Demand Inputs'!AC7),0)</f>
        <v>12556888</v>
      </c>
      <c r="AG8" s="216">
        <f>ROUND(AF8*(1+'Plan Inputs'!AG8)*(1+'Demand Inputs'!AD7),0)</f>
        <v>13047140</v>
      </c>
      <c r="AH8" s="216">
        <f>ROUND(AG8*(1+'Plan Inputs'!AH8)*(1+'Demand Inputs'!AE7),0)</f>
        <v>13563220</v>
      </c>
      <c r="AI8" s="216">
        <f>ROUND(AH8*(1+'Plan Inputs'!AI8)*(1+'Demand Inputs'!AF7),0)</f>
        <v>14106664</v>
      </c>
      <c r="AJ8" s="216">
        <f>ROUND(AI8*(1+'Plan Inputs'!AJ8)*(1+'Demand Inputs'!AG7),0)</f>
        <v>14567776</v>
      </c>
      <c r="AK8" s="216">
        <f>ROUND(AJ8*(1+'Plan Inputs'!AK8)*(1+'Demand Inputs'!AH7),0)</f>
        <v>15877164</v>
      </c>
      <c r="AL8" s="216">
        <f>ROUND(AK8*(1+'Plan Inputs'!AL8)*(1+'Demand Inputs'!AI7),0)</f>
        <v>16274093</v>
      </c>
      <c r="AM8" s="216">
        <f>ROUND(AL8*(1+'Plan Inputs'!AM8)*(1+'Demand Inputs'!AJ7),0)</f>
        <v>16680945</v>
      </c>
      <c r="AN8" s="216">
        <f>ROUND(AM8*(1+'Plan Inputs'!AN8)*(1+'Demand Inputs'!AK7),0)</f>
        <v>17209105</v>
      </c>
      <c r="AO8" s="216">
        <f>ROUND(AN8*(1+'Plan Inputs'!AO8)*(1+'Demand Inputs'!AL7),0)</f>
        <v>17930382</v>
      </c>
      <c r="AP8" s="216">
        <f>ROUND(AO8*(1+'Plan Inputs'!AP8)*(1+'Demand Inputs'!AM7),0)</f>
        <v>18692916</v>
      </c>
      <c r="AQ8" s="216">
        <f>ROUND(AP8*(1+'Plan Inputs'!AQ8)*(1+'Demand Inputs'!AN7),0)</f>
        <v>19493627</v>
      </c>
      <c r="AR8" s="216">
        <f>ROUND(AQ8*(1+'Plan Inputs'!AR8)*(1+'Demand Inputs'!AO7),0)</f>
        <v>20336629</v>
      </c>
      <c r="AS8" s="216">
        <f>ROUND(AR8*(1+'Plan Inputs'!AS8)*(1+'Demand Inputs'!AP7),0)</f>
        <v>21228594</v>
      </c>
    </row>
    <row r="9" spans="1:45" s="1" customFormat="1" ht="17.149999999999999" x14ac:dyDescent="0.7">
      <c r="A9" s="29" t="s">
        <v>241</v>
      </c>
      <c r="E9" s="2"/>
      <c r="F9" s="124">
        <f>ROUND('Financial Base'!F9*(1+'Demand Inputs'!C$7)+(1+'Plan Inputs'!F$8),0)</f>
        <v>351321</v>
      </c>
      <c r="G9" s="124">
        <f>ROUND(F9*(1+'Demand Inputs'!D$7)+(1+'Plan Inputs'!G$8),0)</f>
        <v>360105</v>
      </c>
      <c r="H9" s="124">
        <f>ROUND(G9*(1+'Demand Inputs'!E$7)+(1+'Plan Inputs'!H$8),0)</f>
        <v>369109</v>
      </c>
      <c r="I9" s="124">
        <f>ROUND(H9*(1+'Demand Inputs'!F$7)+(1+'Plan Inputs'!I$8),0)</f>
        <v>378338</v>
      </c>
      <c r="J9" s="124">
        <f>ROUND(I9*(1+'Demand Inputs'!G$7)+(1+'Plan Inputs'!J$8),0)</f>
        <v>387797</v>
      </c>
      <c r="K9" s="124">
        <f>ROUND(J9*(1+'Demand Inputs'!H$7)+(1+'Plan Inputs'!K$8),0)</f>
        <v>397493</v>
      </c>
      <c r="L9" s="124">
        <f>ROUND(K9*(1+'Demand Inputs'!I$7)+(1+'Plan Inputs'!L$8),0)</f>
        <v>407431</v>
      </c>
      <c r="M9" s="124">
        <f>ROUND(L9*(1+'Demand Inputs'!J$7)+(1+'Plan Inputs'!M$8),0)</f>
        <v>417618</v>
      </c>
      <c r="N9" s="124">
        <f>ROUND(M9*(1+'Demand Inputs'!K$7)+(1+'Plan Inputs'!N$8),0)</f>
        <v>428059</v>
      </c>
      <c r="O9" s="124">
        <f>ROUND(N9*(1+'Demand Inputs'!L$7)+(1+'Plan Inputs'!O$8),0)</f>
        <v>438761</v>
      </c>
      <c r="P9" s="124">
        <f>ROUND(O9*(1+'Demand Inputs'!M$7)+(1+'Plan Inputs'!P$8),0)</f>
        <v>449731</v>
      </c>
      <c r="Q9" s="124">
        <f>ROUND(P9*(1+'Demand Inputs'!N$7)+(1+'Plan Inputs'!Q$8),0)</f>
        <v>460975</v>
      </c>
      <c r="R9" s="124">
        <f>ROUND(Q9*(1+'Demand Inputs'!O$7)+(1+'Plan Inputs'!R$8),0)</f>
        <v>472500</v>
      </c>
      <c r="S9" s="124">
        <f>ROUND(R9*(1+'Demand Inputs'!P$7)+(1+'Plan Inputs'!S$8),0)</f>
        <v>484314</v>
      </c>
      <c r="T9" s="124">
        <f>ROUND(S9*(1+'Demand Inputs'!Q$7)+(1+'Plan Inputs'!T$8),0)</f>
        <v>496423</v>
      </c>
      <c r="U9" s="124">
        <f>ROUND(T9*(1+'Demand Inputs'!R$7)+(1+'Plan Inputs'!U$8),0)</f>
        <v>508835</v>
      </c>
      <c r="V9" s="124">
        <f>ROUND(U9*(1+'Demand Inputs'!S$7)+(1+'Plan Inputs'!V$8),0)</f>
        <v>521557</v>
      </c>
      <c r="W9" s="124">
        <f>ROUND(V9*(1+'Demand Inputs'!T$7)+(1+'Plan Inputs'!W$8),0)</f>
        <v>534597</v>
      </c>
      <c r="X9" s="124">
        <f>ROUND(W9*(1+'Demand Inputs'!U$7)+(1+'Plan Inputs'!X$8),0)</f>
        <v>547963</v>
      </c>
      <c r="Y9" s="124">
        <f>ROUND(X9*(1+'Demand Inputs'!V$7)+(1+'Plan Inputs'!Y$8),0)</f>
        <v>561663</v>
      </c>
      <c r="Z9" s="124">
        <f>ROUND(Y9*(1+'Demand Inputs'!W$7)+(1+'Plan Inputs'!Z$8),0)</f>
        <v>575706</v>
      </c>
      <c r="AA9" s="124">
        <f>ROUND(Z9*(1+'Demand Inputs'!X$7)+(1+'Plan Inputs'!AA$8),0)</f>
        <v>590100</v>
      </c>
      <c r="AB9" s="124">
        <f>ROUND(AA9*(1+'Demand Inputs'!Y$7)+(1+'Plan Inputs'!AB$8),0)</f>
        <v>604854</v>
      </c>
      <c r="AC9" s="124">
        <f>ROUND(AB9*(1+'Demand Inputs'!Z$7)+(1+'Plan Inputs'!AC$8),0)</f>
        <v>619976</v>
      </c>
      <c r="AD9" s="124">
        <f>ROUND(AC9*(1+'Demand Inputs'!AA$7)+(1+'Plan Inputs'!AD$8),0)</f>
        <v>635476</v>
      </c>
      <c r="AE9" s="124">
        <f>ROUND(AD9*(1+'Demand Inputs'!AB$7)+(1+'Plan Inputs'!AE$8),0)</f>
        <v>651364</v>
      </c>
      <c r="AF9" s="124">
        <f>ROUND(AE9*(1+'Demand Inputs'!AC$7)+(1+'Plan Inputs'!AF$8),0)</f>
        <v>667649</v>
      </c>
      <c r="AG9" s="124">
        <f>ROUND(AF9*(1+'Demand Inputs'!AD$7)+(1+'Plan Inputs'!AG$8),0)</f>
        <v>684341</v>
      </c>
      <c r="AH9" s="124">
        <f>ROUND(AG9*(1+'Demand Inputs'!AE$7)+(1+'Plan Inputs'!AH$8),0)</f>
        <v>701451</v>
      </c>
      <c r="AI9" s="124">
        <f>ROUND(AH9*(1+'Demand Inputs'!AF$7)+(1+'Plan Inputs'!AI$8),0)</f>
        <v>718988</v>
      </c>
      <c r="AJ9" s="124">
        <f>ROUND(AI9*(1+'Demand Inputs'!AG$7)+(1+'Plan Inputs'!AJ$8),0)</f>
        <v>736964</v>
      </c>
      <c r="AK9" s="124">
        <f>ROUND(AJ9*(1+'Demand Inputs'!AH$7)+(1+'Plan Inputs'!AK$8),0)</f>
        <v>755389</v>
      </c>
      <c r="AL9" s="124">
        <f>ROUND(AK9*(1+'Demand Inputs'!AI$7)+(1+'Plan Inputs'!AL$8),0)</f>
        <v>774275</v>
      </c>
      <c r="AM9" s="124">
        <f>ROUND(AL9*(1+'Demand Inputs'!AJ$7)+(1+'Plan Inputs'!AM$8),0)</f>
        <v>793633</v>
      </c>
      <c r="AN9" s="124">
        <f>ROUND(AM9*(1+'Demand Inputs'!AK$7)+(1+'Plan Inputs'!AN$8),0)</f>
        <v>813475</v>
      </c>
      <c r="AO9" s="124">
        <f>ROUND(AN9*(1+'Demand Inputs'!AL$7)+(1+'Plan Inputs'!AO$8),0)</f>
        <v>833813</v>
      </c>
      <c r="AP9" s="124">
        <f>ROUND(AO9*(1+'Demand Inputs'!AM$7)+(1+'Plan Inputs'!AP$8),0)</f>
        <v>854659</v>
      </c>
      <c r="AQ9" s="124">
        <f>ROUND(AP9*(1+'Demand Inputs'!AN$7)+(1+'Plan Inputs'!AQ$8),0)</f>
        <v>876026</v>
      </c>
      <c r="AR9" s="124">
        <f>ROUND(AQ9*(1+'Demand Inputs'!AO$7)+(1+'Plan Inputs'!AR$8),0)</f>
        <v>897928</v>
      </c>
      <c r="AS9" s="124">
        <f>ROUND(AR9*(1+'Demand Inputs'!AP$7)+(1+'Plan Inputs'!AS$8),0)</f>
        <v>920377</v>
      </c>
    </row>
    <row r="10" spans="1:45" s="1" customFormat="1" ht="14.6" x14ac:dyDescent="0.4">
      <c r="A10" s="30" t="s">
        <v>101</v>
      </c>
      <c r="B10" s="5"/>
      <c r="C10" s="5"/>
      <c r="D10" s="5"/>
      <c r="E10" s="5"/>
      <c r="F10" s="8">
        <f>SUM(F8:F9)</f>
        <v>5637746</v>
      </c>
      <c r="G10" s="5">
        <f t="shared" ref="G10" si="0">SUM(G8:G9)</f>
        <v>5920658</v>
      </c>
      <c r="H10" s="5">
        <f t="shared" ref="H10:AS10" si="1">SUM(H8:H9)</f>
        <v>6776562</v>
      </c>
      <c r="I10" s="5">
        <f t="shared" si="1"/>
        <v>7319676</v>
      </c>
      <c r="J10" s="5">
        <f t="shared" si="1"/>
        <v>7502668</v>
      </c>
      <c r="K10" s="5">
        <f t="shared" si="1"/>
        <v>7690236</v>
      </c>
      <c r="L10" s="5">
        <f t="shared" si="1"/>
        <v>7882493</v>
      </c>
      <c r="M10" s="5">
        <f t="shared" si="1"/>
        <v>8079557</v>
      </c>
      <c r="N10" s="5">
        <f t="shared" si="1"/>
        <v>8281546</v>
      </c>
      <c r="O10" s="5">
        <f t="shared" si="1"/>
        <v>8488585</v>
      </c>
      <c r="P10" s="5">
        <f t="shared" si="1"/>
        <v>8700801</v>
      </c>
      <c r="Q10" s="5">
        <f t="shared" si="1"/>
        <v>8918322</v>
      </c>
      <c r="R10" s="5">
        <f t="shared" si="1"/>
        <v>9141281</v>
      </c>
      <c r="S10" s="5">
        <f t="shared" si="1"/>
        <v>9369815</v>
      </c>
      <c r="T10" s="5">
        <f t="shared" si="1"/>
        <v>9604062</v>
      </c>
      <c r="U10" s="5">
        <f t="shared" si="1"/>
        <v>9844165</v>
      </c>
      <c r="V10" s="5">
        <f t="shared" si="1"/>
        <v>10090270</v>
      </c>
      <c r="W10" s="5">
        <f t="shared" si="1"/>
        <v>10342528</v>
      </c>
      <c r="X10" s="5">
        <f t="shared" si="1"/>
        <v>10601092</v>
      </c>
      <c r="Y10" s="5">
        <f t="shared" si="1"/>
        <v>10866120</v>
      </c>
      <c r="Z10" s="5">
        <f t="shared" si="1"/>
        <v>11137774</v>
      </c>
      <c r="AA10" s="5">
        <f t="shared" si="1"/>
        <v>11416220</v>
      </c>
      <c r="AB10" s="5">
        <f t="shared" si="1"/>
        <v>11701627</v>
      </c>
      <c r="AC10" s="5">
        <f t="shared" si="1"/>
        <v>11994168</v>
      </c>
      <c r="AD10" s="5">
        <f t="shared" si="1"/>
        <v>12294023</v>
      </c>
      <c r="AE10" s="5">
        <f t="shared" si="1"/>
        <v>12742385</v>
      </c>
      <c r="AF10" s="5">
        <f t="shared" si="1"/>
        <v>13224537</v>
      </c>
      <c r="AG10" s="5">
        <f t="shared" si="1"/>
        <v>13731481</v>
      </c>
      <c r="AH10" s="5">
        <f t="shared" si="1"/>
        <v>14264671</v>
      </c>
      <c r="AI10" s="5">
        <f t="shared" si="1"/>
        <v>14825652</v>
      </c>
      <c r="AJ10" s="5">
        <f t="shared" si="1"/>
        <v>15304740</v>
      </c>
      <c r="AK10" s="5">
        <f t="shared" si="1"/>
        <v>16632553</v>
      </c>
      <c r="AL10" s="5">
        <f t="shared" si="1"/>
        <v>17048368</v>
      </c>
      <c r="AM10" s="5">
        <f t="shared" si="1"/>
        <v>17474578</v>
      </c>
      <c r="AN10" s="5">
        <f t="shared" si="1"/>
        <v>18022580</v>
      </c>
      <c r="AO10" s="5">
        <f t="shared" si="1"/>
        <v>18764195</v>
      </c>
      <c r="AP10" s="5">
        <f t="shared" si="1"/>
        <v>19547575</v>
      </c>
      <c r="AQ10" s="5">
        <f t="shared" si="1"/>
        <v>20369653</v>
      </c>
      <c r="AR10" s="5">
        <f t="shared" si="1"/>
        <v>21234557</v>
      </c>
      <c r="AS10" s="5">
        <f t="shared" si="1"/>
        <v>22148971</v>
      </c>
    </row>
    <row r="11" spans="1:45" s="1" customFormat="1" ht="14.6" x14ac:dyDescent="0.4">
      <c r="A11" s="30"/>
      <c r="B11" s="5"/>
      <c r="C11" s="5"/>
      <c r="D11" s="5"/>
      <c r="E11" s="5"/>
      <c r="F11" s="5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spans="1:45" s="1" customFormat="1" ht="14.6" x14ac:dyDescent="0.4">
      <c r="A12" s="28" t="s">
        <v>102</v>
      </c>
      <c r="B12" s="5"/>
      <c r="C12" s="5"/>
      <c r="D12" s="5"/>
      <c r="E12" s="5"/>
      <c r="F12" s="5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</row>
    <row r="13" spans="1:45" s="1" customFormat="1" ht="14.6" x14ac:dyDescent="0.4">
      <c r="A13" s="31" t="s">
        <v>103</v>
      </c>
      <c r="B13" s="9"/>
      <c r="C13" s="9"/>
      <c r="D13" s="9"/>
      <c r="E13" s="9"/>
      <c r="F13" s="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</row>
    <row r="14" spans="1:45" s="1" customFormat="1" ht="14.6" x14ac:dyDescent="0.4">
      <c r="A14" s="31"/>
      <c r="B14" s="67" t="s">
        <v>104</v>
      </c>
      <c r="C14" s="9"/>
      <c r="D14" s="9"/>
      <c r="E14" s="9"/>
      <c r="F14" s="5">
        <f>ROUND('Financial Base'!F14*(1+'Plan Inputs'!F$10),0)</f>
        <v>154820</v>
      </c>
      <c r="G14" s="216">
        <f>ROUND(F14*(1+'Plan Inputs'!G$10),0)</f>
        <v>159465</v>
      </c>
      <c r="H14" s="216">
        <v>0</v>
      </c>
      <c r="I14" s="216">
        <f>ROUND(H14*(1+'Plan Inputs'!I$10),0)</f>
        <v>0</v>
      </c>
      <c r="J14" s="216">
        <f>ROUND(I14*(1+'Plan Inputs'!J$10),0)</f>
        <v>0</v>
      </c>
      <c r="K14" s="216">
        <f>ROUND(J14*(1+'Plan Inputs'!K$10),0)</f>
        <v>0</v>
      </c>
      <c r="L14" s="216">
        <f>ROUND(K14*(1+'Plan Inputs'!L$10),0)</f>
        <v>0</v>
      </c>
      <c r="M14" s="216">
        <f>ROUND(L14*(1+'Plan Inputs'!M$10),0)</f>
        <v>0</v>
      </c>
      <c r="N14" s="216">
        <f>ROUND(M14*(1+'Plan Inputs'!N$10),0)</f>
        <v>0</v>
      </c>
      <c r="O14" s="216">
        <f>ROUND(N14*(1+'Plan Inputs'!O$10),0)</f>
        <v>0</v>
      </c>
      <c r="P14" s="216">
        <f>ROUND(O14*(1+'Plan Inputs'!P$10),0)</f>
        <v>0</v>
      </c>
      <c r="Q14" s="216">
        <f>ROUND(P14*(1+'Plan Inputs'!Q$10),0)</f>
        <v>0</v>
      </c>
      <c r="R14" s="216">
        <f>ROUND(Q14*(1+'Plan Inputs'!R$10),0)</f>
        <v>0</v>
      </c>
      <c r="S14" s="216">
        <f>ROUND(R14*(1+'Plan Inputs'!S$10),0)</f>
        <v>0</v>
      </c>
      <c r="T14" s="216">
        <f>ROUND(S14*(1+'Plan Inputs'!T$10),0)</f>
        <v>0</v>
      </c>
      <c r="U14" s="216">
        <f>ROUND(T14*(1+'Plan Inputs'!U$10),0)</f>
        <v>0</v>
      </c>
      <c r="V14" s="216">
        <f>ROUND(U14*(1+'Plan Inputs'!V$10),0)</f>
        <v>0</v>
      </c>
      <c r="W14" s="216">
        <f>ROUND(V14*(1+'Plan Inputs'!W$10),0)</f>
        <v>0</v>
      </c>
      <c r="X14" s="216">
        <f>ROUND(W14*(1+'Plan Inputs'!X$10),0)</f>
        <v>0</v>
      </c>
      <c r="Y14" s="216">
        <f>ROUND(X14*(1+'Plan Inputs'!Y$10),0)</f>
        <v>0</v>
      </c>
      <c r="Z14" s="216">
        <f>ROUND(Y14*(1+'Plan Inputs'!Z$10),0)</f>
        <v>0</v>
      </c>
      <c r="AA14" s="216">
        <f>ROUND(Z14*(1+'Plan Inputs'!AA$10),0)</f>
        <v>0</v>
      </c>
      <c r="AB14" s="216">
        <f>ROUND(AA14*(1+'Plan Inputs'!AB$10),0)</f>
        <v>0</v>
      </c>
      <c r="AC14" s="216">
        <f>ROUND(AB14*(1+'Plan Inputs'!AC$10),0)</f>
        <v>0</v>
      </c>
      <c r="AD14" s="216">
        <f>ROUND(AC14*(1+'Plan Inputs'!AD$10),0)</f>
        <v>0</v>
      </c>
      <c r="AE14" s="216">
        <f>ROUND(AD14*(1+'Plan Inputs'!AE$10),0)</f>
        <v>0</v>
      </c>
      <c r="AF14" s="216">
        <f>ROUND(AE14*(1+'Plan Inputs'!AF$10),0)</f>
        <v>0</v>
      </c>
      <c r="AG14" s="216">
        <f>ROUND(AF14*(1+'Plan Inputs'!AG$10),0)</f>
        <v>0</v>
      </c>
      <c r="AH14" s="216">
        <f>ROUND(AG14*(1+'Plan Inputs'!AH$10),0)</f>
        <v>0</v>
      </c>
      <c r="AI14" s="216">
        <f>ROUND(AH14*(1+'Plan Inputs'!AI$10),0)</f>
        <v>0</v>
      </c>
      <c r="AJ14" s="216">
        <f>ROUND(AI14*(1+'Plan Inputs'!AJ$10),0)</f>
        <v>0</v>
      </c>
      <c r="AK14" s="216">
        <f>ROUND(AJ14*(1+'Plan Inputs'!AK$10),0)</f>
        <v>0</v>
      </c>
      <c r="AL14" s="216">
        <f>ROUND(AK14*(1+'Plan Inputs'!AL$10),0)</f>
        <v>0</v>
      </c>
      <c r="AM14" s="216">
        <f>ROUND(AL14*(1+'Plan Inputs'!AM$10),0)</f>
        <v>0</v>
      </c>
      <c r="AN14" s="216">
        <f>ROUND(AM14*(1+'Plan Inputs'!AN$10),0)</f>
        <v>0</v>
      </c>
      <c r="AO14" s="216">
        <f>ROUND(AN14*(1+'Plan Inputs'!AO$10),0)</f>
        <v>0</v>
      </c>
      <c r="AP14" s="216">
        <f>ROUND(AO14*(1+'Plan Inputs'!AP$10),0)</f>
        <v>0</v>
      </c>
      <c r="AQ14" s="216">
        <f>ROUND(AP14*(1+'Plan Inputs'!AQ$10),0)</f>
        <v>0</v>
      </c>
      <c r="AR14" s="216">
        <f>ROUND(AQ14*(1+'Plan Inputs'!AR$10),0)</f>
        <v>0</v>
      </c>
      <c r="AS14" s="216">
        <f>ROUND(AR14*(1+'Plan Inputs'!AS$10),0)</f>
        <v>0</v>
      </c>
    </row>
    <row r="15" spans="1:45" s="1" customFormat="1" ht="14.6" x14ac:dyDescent="0.4">
      <c r="A15" s="31"/>
      <c r="B15" s="67" t="s">
        <v>106</v>
      </c>
      <c r="C15" s="9"/>
      <c r="D15" s="9"/>
      <c r="E15" s="9"/>
      <c r="F15" s="5">
        <f>'Water Purchase Costs'!F48</f>
        <v>439038</v>
      </c>
      <c r="G15" s="5">
        <f>'Water Purchase Costs'!G48</f>
        <v>460817</v>
      </c>
      <c r="H15" s="5">
        <f>'Water Purchase Costs'!H48</f>
        <v>139065</v>
      </c>
      <c r="I15" s="5">
        <f>'Water Purchase Costs'!I48</f>
        <v>143080</v>
      </c>
      <c r="J15" s="5">
        <f>'Water Purchase Costs'!J48</f>
        <v>147460</v>
      </c>
      <c r="K15" s="5">
        <f>'Water Purchase Costs'!K48</f>
        <v>151840</v>
      </c>
      <c r="L15" s="5">
        <f>'Water Purchase Costs'!L48</f>
        <v>156220</v>
      </c>
      <c r="M15" s="5">
        <f>'Water Purchase Costs'!M48</f>
        <v>160965</v>
      </c>
      <c r="N15" s="5">
        <f>'Water Purchase Costs'!N48</f>
        <v>165710</v>
      </c>
      <c r="O15" s="5">
        <f>'Water Purchase Costs'!O48</f>
        <v>170820</v>
      </c>
      <c r="P15" s="5">
        <f>'Water Purchase Costs'!P48</f>
        <v>175930</v>
      </c>
      <c r="Q15" s="5">
        <f>'Water Purchase Costs'!Q48</f>
        <v>181040</v>
      </c>
      <c r="R15" s="5">
        <f>'Water Purchase Costs'!R48</f>
        <v>186515</v>
      </c>
      <c r="S15" s="5">
        <f>'Water Purchase Costs'!S48</f>
        <v>191990</v>
      </c>
      <c r="T15" s="5">
        <f>'Water Purchase Costs'!T48</f>
        <v>197830</v>
      </c>
      <c r="U15" s="5">
        <f>'Water Purchase Costs'!U48</f>
        <v>203670</v>
      </c>
      <c r="V15" s="5">
        <f>'Water Purchase Costs'!V48</f>
        <v>209875</v>
      </c>
      <c r="W15" s="5">
        <f>'Water Purchase Costs'!W48</f>
        <v>216080</v>
      </c>
      <c r="X15" s="5">
        <f>'Water Purchase Costs'!X48</f>
        <v>222650</v>
      </c>
      <c r="Y15" s="5">
        <f>'Water Purchase Costs'!Y48</f>
        <v>229220</v>
      </c>
      <c r="Z15" s="5">
        <f>'Water Purchase Costs'!Z48</f>
        <v>236155</v>
      </c>
      <c r="AA15" s="5">
        <f>'Water Purchase Costs'!AA48</f>
        <v>243090</v>
      </c>
      <c r="AB15" s="5">
        <f>'Water Purchase Costs'!AB48</f>
        <v>250390</v>
      </c>
      <c r="AC15" s="5">
        <f>'Water Purchase Costs'!AC48</f>
        <v>258055</v>
      </c>
      <c r="AD15" s="5">
        <f>'Water Purchase Costs'!AD48</f>
        <v>265720</v>
      </c>
      <c r="AE15" s="5">
        <f>'Water Purchase Costs'!AE48</f>
        <v>273750</v>
      </c>
      <c r="AF15" s="5">
        <f>'Water Purchase Costs'!AF48</f>
        <v>282145</v>
      </c>
      <c r="AG15" s="5">
        <f>'Water Purchase Costs'!AG48</f>
        <v>290540</v>
      </c>
      <c r="AH15" s="5">
        <f>'Water Purchase Costs'!AH48</f>
        <v>299300</v>
      </c>
      <c r="AI15" s="5">
        <f>'Water Purchase Costs'!AI48</f>
        <v>308425</v>
      </c>
      <c r="AJ15" s="5">
        <f>'Water Purchase Costs'!AJ48</f>
        <v>317550</v>
      </c>
      <c r="AK15" s="5">
        <f>'Water Purchase Costs'!AK48</f>
        <v>327040</v>
      </c>
      <c r="AL15" s="5">
        <f>'Water Purchase Costs'!AL48</f>
        <v>336895</v>
      </c>
      <c r="AM15" s="5">
        <f>'Water Purchase Costs'!AM48</f>
        <v>347115</v>
      </c>
      <c r="AN15" s="5">
        <f>'Water Purchase Costs'!AN48</f>
        <v>357700</v>
      </c>
      <c r="AO15" s="5">
        <f>'Water Purchase Costs'!AO48</f>
        <v>368285</v>
      </c>
      <c r="AP15" s="5">
        <f>'Water Purchase Costs'!AP48</f>
        <v>379235</v>
      </c>
      <c r="AQ15" s="5">
        <f>'Water Purchase Costs'!AQ48</f>
        <v>390550</v>
      </c>
      <c r="AR15" s="5">
        <f>'Water Purchase Costs'!AR48</f>
        <v>402230</v>
      </c>
      <c r="AS15" s="5">
        <f>'Water Purchase Costs'!AS48</f>
        <v>414275</v>
      </c>
    </row>
    <row r="16" spans="1:45" s="1" customFormat="1" ht="14.6" x14ac:dyDescent="0.4">
      <c r="A16" s="31"/>
      <c r="B16" s="67" t="s">
        <v>107</v>
      </c>
      <c r="C16" s="9"/>
      <c r="D16" s="9"/>
      <c r="E16" s="9"/>
      <c r="F16" s="5">
        <f>'Water Purchase Costs'!F49</f>
        <v>308353</v>
      </c>
      <c r="G16" s="5">
        <f>'Water Purchase Costs'!G49</f>
        <v>323284</v>
      </c>
      <c r="H16" s="5">
        <f>'Water Purchase Costs'!H49</f>
        <v>170820</v>
      </c>
      <c r="I16" s="5">
        <f>'Water Purchase Costs'!I49</f>
        <v>175930</v>
      </c>
      <c r="J16" s="5">
        <f>'Water Purchase Costs'!J49</f>
        <v>181040</v>
      </c>
      <c r="K16" s="5">
        <f>'Water Purchase Costs'!K49</f>
        <v>186515</v>
      </c>
      <c r="L16" s="5">
        <f>'Water Purchase Costs'!L49</f>
        <v>191990</v>
      </c>
      <c r="M16" s="5">
        <f>'Water Purchase Costs'!M49</f>
        <v>197830</v>
      </c>
      <c r="N16" s="5">
        <f>'Water Purchase Costs'!N49</f>
        <v>203670</v>
      </c>
      <c r="O16" s="5">
        <f>'Water Purchase Costs'!O49</f>
        <v>209875</v>
      </c>
      <c r="P16" s="5">
        <f>'Water Purchase Costs'!P49</f>
        <v>216080</v>
      </c>
      <c r="Q16" s="5">
        <f>'Water Purchase Costs'!Q49</f>
        <v>222650</v>
      </c>
      <c r="R16" s="5">
        <f>'Water Purchase Costs'!R49</f>
        <v>229220</v>
      </c>
      <c r="S16" s="5">
        <f>'Water Purchase Costs'!S49</f>
        <v>236155</v>
      </c>
      <c r="T16" s="5">
        <f>'Water Purchase Costs'!T49</f>
        <v>243090</v>
      </c>
      <c r="U16" s="5">
        <f>'Water Purchase Costs'!U49</f>
        <v>250390</v>
      </c>
      <c r="V16" s="5">
        <f>'Water Purchase Costs'!V49</f>
        <v>258055</v>
      </c>
      <c r="W16" s="5">
        <f>'Water Purchase Costs'!W49</f>
        <v>265720</v>
      </c>
      <c r="X16" s="5">
        <f>'Water Purchase Costs'!X49</f>
        <v>273750</v>
      </c>
      <c r="Y16" s="5">
        <f>'Water Purchase Costs'!Y49</f>
        <v>282145</v>
      </c>
      <c r="Z16" s="5">
        <f>'Water Purchase Costs'!Z49</f>
        <v>290540</v>
      </c>
      <c r="AA16" s="5">
        <f>'Water Purchase Costs'!AA49</f>
        <v>299300</v>
      </c>
      <c r="AB16" s="5">
        <f>'Water Purchase Costs'!AB49</f>
        <v>308425</v>
      </c>
      <c r="AC16" s="5">
        <f>'Water Purchase Costs'!AC49</f>
        <v>317550</v>
      </c>
      <c r="AD16" s="5">
        <f>'Water Purchase Costs'!AD49</f>
        <v>327040</v>
      </c>
      <c r="AE16" s="5">
        <f>'Water Purchase Costs'!AE49</f>
        <v>336895</v>
      </c>
      <c r="AF16" s="5">
        <f>'Water Purchase Costs'!AF49</f>
        <v>347115</v>
      </c>
      <c r="AG16" s="5">
        <f>'Water Purchase Costs'!AG49</f>
        <v>357700</v>
      </c>
      <c r="AH16" s="5">
        <f>'Water Purchase Costs'!AH49</f>
        <v>368285</v>
      </c>
      <c r="AI16" s="5">
        <f>'Water Purchase Costs'!AI49</f>
        <v>379235</v>
      </c>
      <c r="AJ16" s="5">
        <f>'Water Purchase Costs'!AJ49</f>
        <v>390550</v>
      </c>
      <c r="AK16" s="5">
        <f>'Water Purchase Costs'!AK49</f>
        <v>402230</v>
      </c>
      <c r="AL16" s="5">
        <f>'Water Purchase Costs'!AL49</f>
        <v>414275</v>
      </c>
      <c r="AM16" s="5">
        <f>'Water Purchase Costs'!AM49</f>
        <v>426685</v>
      </c>
      <c r="AN16" s="5">
        <f>'Water Purchase Costs'!AN49</f>
        <v>439460</v>
      </c>
      <c r="AO16" s="5">
        <f>'Water Purchase Costs'!AO49</f>
        <v>452600</v>
      </c>
      <c r="AP16" s="5">
        <f>'Water Purchase Costs'!AP49</f>
        <v>466105</v>
      </c>
      <c r="AQ16" s="5">
        <f>'Water Purchase Costs'!AQ49</f>
        <v>479975</v>
      </c>
      <c r="AR16" s="5">
        <f>'Water Purchase Costs'!AR49</f>
        <v>494210</v>
      </c>
      <c r="AS16" s="5">
        <f>'Water Purchase Costs'!AS49</f>
        <v>509175</v>
      </c>
    </row>
    <row r="17" spans="1:45" s="1" customFormat="1" ht="14.6" x14ac:dyDescent="0.4">
      <c r="A17" s="31"/>
      <c r="B17" s="67" t="s">
        <v>108</v>
      </c>
      <c r="C17" s="9"/>
      <c r="D17" s="9"/>
      <c r="E17" s="9"/>
      <c r="F17" s="5">
        <f>'Water Purchase Costs'!F50</f>
        <v>58182</v>
      </c>
      <c r="G17" s="5">
        <f>'Water Purchase Costs'!G50</f>
        <v>60988</v>
      </c>
      <c r="H17" s="5">
        <f>'Water Purchase Costs'!H50</f>
        <v>0</v>
      </c>
      <c r="I17" s="5">
        <f>'Water Purchase Costs'!I50</f>
        <v>0</v>
      </c>
      <c r="J17" s="5">
        <f>'Water Purchase Costs'!J50</f>
        <v>0</v>
      </c>
      <c r="K17" s="5">
        <f>'Water Purchase Costs'!K50</f>
        <v>0</v>
      </c>
      <c r="L17" s="5">
        <f>'Water Purchase Costs'!L50</f>
        <v>0</v>
      </c>
      <c r="M17" s="5">
        <f>'Water Purchase Costs'!M50</f>
        <v>0</v>
      </c>
      <c r="N17" s="5">
        <f>'Water Purchase Costs'!N50</f>
        <v>0</v>
      </c>
      <c r="O17" s="5">
        <f>'Water Purchase Costs'!O50</f>
        <v>0</v>
      </c>
      <c r="P17" s="5">
        <f>'Water Purchase Costs'!P50</f>
        <v>0</v>
      </c>
      <c r="Q17" s="5">
        <f>'Water Purchase Costs'!Q50</f>
        <v>0</v>
      </c>
      <c r="R17" s="5">
        <f>'Water Purchase Costs'!R50</f>
        <v>0</v>
      </c>
      <c r="S17" s="5">
        <f>'Water Purchase Costs'!S50</f>
        <v>0</v>
      </c>
      <c r="T17" s="5">
        <f>'Water Purchase Costs'!T50</f>
        <v>0</v>
      </c>
      <c r="U17" s="5">
        <f>'Water Purchase Costs'!U50</f>
        <v>0</v>
      </c>
      <c r="V17" s="5">
        <f>'Water Purchase Costs'!V50</f>
        <v>0</v>
      </c>
      <c r="W17" s="5">
        <f>'Water Purchase Costs'!W50</f>
        <v>0</v>
      </c>
      <c r="X17" s="5">
        <f>'Water Purchase Costs'!X50</f>
        <v>0</v>
      </c>
      <c r="Y17" s="5">
        <f>'Water Purchase Costs'!Y50</f>
        <v>0</v>
      </c>
      <c r="Z17" s="5">
        <f>'Water Purchase Costs'!Z50</f>
        <v>0</v>
      </c>
      <c r="AA17" s="5">
        <f>'Water Purchase Costs'!AA50</f>
        <v>0</v>
      </c>
      <c r="AB17" s="5">
        <f>'Water Purchase Costs'!AB50</f>
        <v>0</v>
      </c>
      <c r="AC17" s="5">
        <f>'Water Purchase Costs'!AC50</f>
        <v>0</v>
      </c>
      <c r="AD17" s="5">
        <f>'Water Purchase Costs'!AD50</f>
        <v>0</v>
      </c>
      <c r="AE17" s="5">
        <f>'Water Purchase Costs'!AE50</f>
        <v>0</v>
      </c>
      <c r="AF17" s="5">
        <f>'Water Purchase Costs'!AF50</f>
        <v>0</v>
      </c>
      <c r="AG17" s="5">
        <f>'Water Purchase Costs'!AG50</f>
        <v>0</v>
      </c>
      <c r="AH17" s="5">
        <f>'Water Purchase Costs'!AH50</f>
        <v>0</v>
      </c>
      <c r="AI17" s="5">
        <f>'Water Purchase Costs'!AI50</f>
        <v>0</v>
      </c>
      <c r="AJ17" s="5">
        <f>'Water Purchase Costs'!AJ50</f>
        <v>0</v>
      </c>
      <c r="AK17" s="5">
        <f>'Water Purchase Costs'!AK50</f>
        <v>0</v>
      </c>
      <c r="AL17" s="5">
        <f>'Water Purchase Costs'!AL50</f>
        <v>0</v>
      </c>
      <c r="AM17" s="5">
        <f>'Water Purchase Costs'!AM50</f>
        <v>0</v>
      </c>
      <c r="AN17" s="5">
        <f>'Water Purchase Costs'!AN50</f>
        <v>0</v>
      </c>
      <c r="AO17" s="5">
        <f>'Water Purchase Costs'!AO50</f>
        <v>0</v>
      </c>
      <c r="AP17" s="5">
        <f>'Water Purchase Costs'!AP50</f>
        <v>0</v>
      </c>
      <c r="AQ17" s="5">
        <f>'Water Purchase Costs'!AQ50</f>
        <v>0</v>
      </c>
      <c r="AR17" s="5">
        <f>'Water Purchase Costs'!AR50</f>
        <v>0</v>
      </c>
      <c r="AS17" s="5">
        <f>'Water Purchase Costs'!AS50</f>
        <v>0</v>
      </c>
    </row>
    <row r="18" spans="1:45" s="1" customFormat="1" ht="14.6" x14ac:dyDescent="0.4">
      <c r="A18" s="31"/>
      <c r="B18" s="67" t="s">
        <v>109</v>
      </c>
      <c r="C18" s="9"/>
      <c r="D18" s="9"/>
      <c r="E18" s="9"/>
      <c r="F18" s="5">
        <f>'Water Purchase Costs'!F51</f>
        <v>850351</v>
      </c>
      <c r="G18" s="5">
        <f>'Water Purchase Costs'!G51</f>
        <v>891630</v>
      </c>
      <c r="H18" s="5">
        <f>'Water Purchase Costs'!H51</f>
        <v>549690</v>
      </c>
      <c r="I18" s="5">
        <f>'Water Purchase Costs'!I51</f>
        <v>566115</v>
      </c>
      <c r="J18" s="5">
        <f>'Water Purchase Costs'!J51</f>
        <v>583635</v>
      </c>
      <c r="K18" s="5">
        <f>'Water Purchase Costs'!K51</f>
        <v>601155</v>
      </c>
      <c r="L18" s="5">
        <f>'Water Purchase Costs'!L51</f>
        <v>618675</v>
      </c>
      <c r="M18" s="5">
        <f>'Water Purchase Costs'!M51</f>
        <v>637290</v>
      </c>
      <c r="N18" s="5">
        <f>'Water Purchase Costs'!N51</f>
        <v>655905</v>
      </c>
      <c r="O18" s="5">
        <f>'Water Purchase Costs'!O51</f>
        <v>675615</v>
      </c>
      <c r="P18" s="5">
        <f>'Water Purchase Costs'!P51</f>
        <v>696420</v>
      </c>
      <c r="Q18" s="5">
        <f>'Water Purchase Costs'!Q51</f>
        <v>717225</v>
      </c>
      <c r="R18" s="5">
        <f>'Water Purchase Costs'!R51</f>
        <v>739125</v>
      </c>
      <c r="S18" s="5">
        <f>'Water Purchase Costs'!S51</f>
        <v>761025</v>
      </c>
      <c r="T18" s="5">
        <f>'Water Purchase Costs'!T51</f>
        <v>784020</v>
      </c>
      <c r="U18" s="5">
        <f>'Water Purchase Costs'!U51</f>
        <v>807015</v>
      </c>
      <c r="V18" s="5">
        <f>'Water Purchase Costs'!V51</f>
        <v>831105</v>
      </c>
      <c r="W18" s="5">
        <f>'Water Purchase Costs'!W51</f>
        <v>856290</v>
      </c>
      <c r="X18" s="5">
        <f>'Water Purchase Costs'!X51</f>
        <v>881475</v>
      </c>
      <c r="Y18" s="5">
        <f>'Water Purchase Costs'!Y51</f>
        <v>907755</v>
      </c>
      <c r="Z18" s="5">
        <f>'Water Purchase Costs'!Z51</f>
        <v>935130</v>
      </c>
      <c r="AA18" s="5">
        <f>'Water Purchase Costs'!AA51</f>
        <v>963600</v>
      </c>
      <c r="AB18" s="5">
        <f>'Water Purchase Costs'!AB51</f>
        <v>992070</v>
      </c>
      <c r="AC18" s="5">
        <f>'Water Purchase Costs'!AC51</f>
        <v>1021635</v>
      </c>
      <c r="AD18" s="5">
        <f>'Water Purchase Costs'!AD51</f>
        <v>1052295</v>
      </c>
      <c r="AE18" s="5">
        <f>'Water Purchase Costs'!AE51</f>
        <v>1084050</v>
      </c>
      <c r="AF18" s="5">
        <f>'Water Purchase Costs'!AF51</f>
        <v>1116900</v>
      </c>
      <c r="AG18" s="5">
        <f>'Water Purchase Costs'!AG51</f>
        <v>1150845</v>
      </c>
      <c r="AH18" s="5">
        <f>'Water Purchase Costs'!AH51</f>
        <v>1185885</v>
      </c>
      <c r="AI18" s="5">
        <f>'Water Purchase Costs'!AI51</f>
        <v>1220925</v>
      </c>
      <c r="AJ18" s="5">
        <f>'Water Purchase Costs'!AJ51</f>
        <v>1257060</v>
      </c>
      <c r="AK18" s="5">
        <f>'Water Purchase Costs'!AK51</f>
        <v>1294290</v>
      </c>
      <c r="AL18" s="5">
        <f>'Water Purchase Costs'!AL51</f>
        <v>1332615</v>
      </c>
      <c r="AM18" s="5">
        <f>'Water Purchase Costs'!AM51</f>
        <v>1373130</v>
      </c>
      <c r="AN18" s="5">
        <f>'Water Purchase Costs'!AN51</f>
        <v>1414740</v>
      </c>
      <c r="AO18" s="5">
        <f>'Water Purchase Costs'!AO51</f>
        <v>1457445</v>
      </c>
      <c r="AP18" s="5">
        <f>'Water Purchase Costs'!AP51</f>
        <v>1501245</v>
      </c>
      <c r="AQ18" s="5">
        <f>'Water Purchase Costs'!AQ51</f>
        <v>1546140</v>
      </c>
      <c r="AR18" s="5">
        <f>'Water Purchase Costs'!AR51</f>
        <v>1592130</v>
      </c>
      <c r="AS18" s="5">
        <f>'Water Purchase Costs'!AS51</f>
        <v>1640310</v>
      </c>
    </row>
    <row r="19" spans="1:45" s="14" customFormat="1" ht="14.6" x14ac:dyDescent="0.4">
      <c r="A19" s="125"/>
      <c r="B19" s="189" t="s">
        <v>242</v>
      </c>
      <c r="C19" s="190"/>
      <c r="D19" s="190"/>
      <c r="E19" s="190"/>
      <c r="F19" s="6">
        <v>0</v>
      </c>
      <c r="G19" s="6">
        <v>0</v>
      </c>
      <c r="H19" s="6">
        <f>'Water Production Costs'!H11</f>
        <v>1047116</v>
      </c>
      <c r="I19" s="6">
        <f>'Water Production Costs'!I11</f>
        <v>1105413</v>
      </c>
      <c r="J19" s="6">
        <f>'Water Production Costs'!J11</f>
        <v>1166958</v>
      </c>
      <c r="K19" s="6">
        <f>'Water Production Costs'!K11</f>
        <v>1123390</v>
      </c>
      <c r="L19" s="6">
        <f>'Water Production Costs'!L11</f>
        <v>1188726</v>
      </c>
      <c r="M19" s="6">
        <f>'Water Production Costs'!M11</f>
        <v>1257785</v>
      </c>
      <c r="N19" s="6">
        <f>'Water Production Costs'!N11</f>
        <v>1330778</v>
      </c>
      <c r="O19" s="6">
        <f>'Water Production Costs'!O11</f>
        <v>1407927</v>
      </c>
      <c r="P19" s="6">
        <f>'Water Production Costs'!P11</f>
        <v>1488776</v>
      </c>
      <c r="Q19" s="6">
        <f>'Water Production Costs'!Q11</f>
        <v>1563036</v>
      </c>
      <c r="R19" s="6">
        <f>'Water Production Costs'!R11</f>
        <v>1641173</v>
      </c>
      <c r="S19" s="6">
        <f>'Water Production Costs'!S11</f>
        <v>1723398</v>
      </c>
      <c r="T19" s="6">
        <f>'Water Production Costs'!T11</f>
        <v>1809929</v>
      </c>
      <c r="U19" s="6">
        <f>'Water Production Costs'!U11</f>
        <v>1900997</v>
      </c>
      <c r="V19" s="6">
        <f>'Water Production Costs'!V11</f>
        <v>1996847</v>
      </c>
      <c r="W19" s="6">
        <f>'Water Production Costs'!W11</f>
        <v>2097736</v>
      </c>
      <c r="X19" s="6">
        <f>'Water Production Costs'!X11</f>
        <v>2166331</v>
      </c>
      <c r="Y19" s="6">
        <f>'Water Production Costs'!Y11</f>
        <v>2231323</v>
      </c>
      <c r="Z19" s="6">
        <f>'Water Production Costs'!Z11</f>
        <v>2298262</v>
      </c>
      <c r="AA19" s="6">
        <f>'Water Production Costs'!AA11</f>
        <v>2367210</v>
      </c>
      <c r="AB19" s="6">
        <f>'Water Production Costs'!AB11</f>
        <v>2438225</v>
      </c>
      <c r="AC19" s="6">
        <f>'Water Production Costs'!AC11</f>
        <v>2511371</v>
      </c>
      <c r="AD19" s="6">
        <f>'Water Production Costs'!AD11</f>
        <v>2586710</v>
      </c>
      <c r="AE19" s="6">
        <f>'Water Production Costs'!AE11</f>
        <v>2664310</v>
      </c>
      <c r="AF19" s="6">
        <f>'Water Production Costs'!AF11</f>
        <v>2744237</v>
      </c>
      <c r="AG19" s="6">
        <f>'Water Production Costs'!AG11</f>
        <v>2826564</v>
      </c>
      <c r="AH19" s="6">
        <f>'Water Production Costs'!AH11</f>
        <v>2911362</v>
      </c>
      <c r="AI19" s="6">
        <f>'Water Production Costs'!AI11</f>
        <v>2998702</v>
      </c>
      <c r="AJ19" s="6">
        <f>'Water Production Costs'!AJ11</f>
        <v>3088663</v>
      </c>
      <c r="AK19" s="6">
        <f>'Water Production Costs'!AK11</f>
        <v>3181323</v>
      </c>
      <c r="AL19" s="6">
        <f>'Water Production Costs'!AL11</f>
        <v>3276763</v>
      </c>
      <c r="AM19" s="6">
        <f>'Water Production Costs'!AM11</f>
        <v>3375066</v>
      </c>
      <c r="AN19" s="6">
        <f>'Water Production Costs'!AN11</f>
        <v>3476319</v>
      </c>
      <c r="AO19" s="6">
        <f>'Water Production Costs'!AO11</f>
        <v>3580609</v>
      </c>
      <c r="AP19" s="6">
        <f>'Water Production Costs'!AP11</f>
        <v>3688029</v>
      </c>
      <c r="AQ19" s="6">
        <f>'Water Production Costs'!AQ11</f>
        <v>3798669</v>
      </c>
      <c r="AR19" s="6">
        <f>'Water Production Costs'!AR11</f>
        <v>3912629</v>
      </c>
      <c r="AS19" s="6">
        <f>'Water Production Costs'!AS11</f>
        <v>4030006</v>
      </c>
    </row>
    <row r="20" spans="1:45" s="14" customFormat="1" ht="14.6" x14ac:dyDescent="0.4">
      <c r="A20" s="125"/>
      <c r="B20" s="189" t="s">
        <v>243</v>
      </c>
      <c r="C20" s="190"/>
      <c r="D20" s="190"/>
      <c r="E20" s="190"/>
      <c r="F20" s="6">
        <f>'Water Purchase Costs'!F23</f>
        <v>0</v>
      </c>
      <c r="G20" s="6">
        <f>'Water Purchase Costs'!G23</f>
        <v>0</v>
      </c>
      <c r="H20" s="6">
        <f>'Water Purchase Costs'!H23</f>
        <v>166828</v>
      </c>
      <c r="I20" s="6">
        <f>'Water Purchase Costs'!I23</f>
        <v>180954</v>
      </c>
      <c r="J20" s="6">
        <f>'Water Purchase Costs'!J23</f>
        <v>195848</v>
      </c>
      <c r="K20" s="6">
        <f>'Water Purchase Costs'!K23</f>
        <v>376960</v>
      </c>
      <c r="L20" s="6">
        <f>'Water Purchase Costs'!L23</f>
        <v>398884</v>
      </c>
      <c r="M20" s="6">
        <f>'Water Purchase Costs'!M23</f>
        <v>421699</v>
      </c>
      <c r="N20" s="6">
        <f>'Water Purchase Costs'!N23</f>
        <v>446254</v>
      </c>
      <c r="O20" s="6">
        <f>'Water Purchase Costs'!O23</f>
        <v>471806</v>
      </c>
      <c r="P20" s="6">
        <f>'Water Purchase Costs'!P23</f>
        <v>500300</v>
      </c>
      <c r="Q20" s="6">
        <f>'Water Purchase Costs'!Q23</f>
        <v>546942</v>
      </c>
      <c r="R20" s="6">
        <f>'Water Purchase Costs'!R23</f>
        <v>597201</v>
      </c>
      <c r="S20" s="6">
        <f>'Water Purchase Costs'!S23</f>
        <v>650306</v>
      </c>
      <c r="T20" s="6">
        <f>'Water Purchase Costs'!T23</f>
        <v>707441</v>
      </c>
      <c r="U20" s="6">
        <f>'Water Purchase Costs'!U23</f>
        <v>768884</v>
      </c>
      <c r="V20" s="6">
        <f>'Water Purchase Costs'!V23</f>
        <v>833715</v>
      </c>
      <c r="W20" s="6">
        <f>'Water Purchase Costs'!W23</f>
        <v>903320</v>
      </c>
      <c r="X20" s="6">
        <f>'Water Purchase Costs'!X23</f>
        <v>1033740</v>
      </c>
      <c r="Y20" s="6">
        <f>'Water Purchase Costs'!Y23</f>
        <v>1183405</v>
      </c>
      <c r="Z20" s="6">
        <f>'Water Purchase Costs'!Z23</f>
        <v>1344766</v>
      </c>
      <c r="AA20" s="6">
        <f>'Water Purchase Costs'!AA23</f>
        <v>1516762</v>
      </c>
      <c r="AB20" s="6">
        <f>'Water Purchase Costs'!AB23</f>
        <v>1701815</v>
      </c>
      <c r="AC20" s="6">
        <f>'Water Purchase Costs'!AC23</f>
        <v>1900819</v>
      </c>
      <c r="AD20" s="6">
        <f>'Water Purchase Costs'!AD23</f>
        <v>2114704</v>
      </c>
      <c r="AE20" s="6">
        <f>'Water Purchase Costs'!AE23</f>
        <v>2341843</v>
      </c>
      <c r="AF20" s="6">
        <f>'Water Purchase Costs'!AF23</f>
        <v>2585469</v>
      </c>
      <c r="AG20" s="6">
        <f>'Water Purchase Costs'!AG23</f>
        <v>2846620</v>
      </c>
      <c r="AH20" s="6">
        <f>'Water Purchase Costs'!AH23</f>
        <v>3126378</v>
      </c>
      <c r="AI20" s="6">
        <f>'Water Purchase Costs'!AI23</f>
        <v>3425870</v>
      </c>
      <c r="AJ20" s="6">
        <f>'Water Purchase Costs'!AJ23</f>
        <v>3742691</v>
      </c>
      <c r="AK20" s="6">
        <f>'Water Purchase Costs'!AK23</f>
        <v>4081219</v>
      </c>
      <c r="AL20" s="6">
        <f>'Water Purchase Costs'!AL23</f>
        <v>4442709</v>
      </c>
      <c r="AM20" s="6">
        <f>'Water Purchase Costs'!AM23</f>
        <v>4828470</v>
      </c>
      <c r="AN20" s="6">
        <f>'Water Purchase Costs'!AN23</f>
        <v>5239863</v>
      </c>
      <c r="AO20" s="6">
        <f>'Water Purchase Costs'!AO23</f>
        <v>5678305</v>
      </c>
      <c r="AP20" s="6">
        <f>'Water Purchase Costs'!AP23</f>
        <v>6145270</v>
      </c>
      <c r="AQ20" s="6">
        <f>'Water Purchase Costs'!AQ23</f>
        <v>6642294</v>
      </c>
      <c r="AR20" s="6">
        <f>'Water Purchase Costs'!AR23</f>
        <v>7176396</v>
      </c>
      <c r="AS20" s="6">
        <f>'Water Purchase Costs'!AS23</f>
        <v>7744328</v>
      </c>
    </row>
    <row r="21" spans="1:45" s="1" customFormat="1" ht="14.6" x14ac:dyDescent="0.4">
      <c r="A21" s="31"/>
      <c r="B21" s="67" t="s">
        <v>111</v>
      </c>
      <c r="C21" s="9"/>
      <c r="D21" s="9"/>
      <c r="E21" s="9"/>
      <c r="F21" s="5">
        <f>ROUND('Financial Base'!F20*(1+'Plan Inputs'!F$10),0)</f>
        <v>9124</v>
      </c>
      <c r="G21" s="216">
        <f>ROUND(F21*(1+'Plan Inputs'!G$10),0)</f>
        <v>9398</v>
      </c>
      <c r="H21" s="216">
        <v>0</v>
      </c>
      <c r="I21" s="216">
        <f>ROUND(H21*(1+'Plan Inputs'!I$10),0)</f>
        <v>0</v>
      </c>
      <c r="J21" s="216">
        <f>ROUND(I21*(1+'Plan Inputs'!J$10),0)</f>
        <v>0</v>
      </c>
      <c r="K21" s="216">
        <f>ROUND(J21*(1+'Plan Inputs'!K$10),0)</f>
        <v>0</v>
      </c>
      <c r="L21" s="216">
        <f>ROUND(K21*(1+'Plan Inputs'!L$10),0)</f>
        <v>0</v>
      </c>
      <c r="M21" s="216">
        <f>ROUND(L21*(1+'Plan Inputs'!M$10),0)</f>
        <v>0</v>
      </c>
      <c r="N21" s="216">
        <f>ROUND(M21*(1+'Plan Inputs'!N$10),0)</f>
        <v>0</v>
      </c>
      <c r="O21" s="216">
        <f>ROUND(N21*(1+'Plan Inputs'!O$10),0)</f>
        <v>0</v>
      </c>
      <c r="P21" s="216">
        <f>ROUND(O21*(1+'Plan Inputs'!P$10),0)</f>
        <v>0</v>
      </c>
      <c r="Q21" s="216">
        <f>ROUND(P21*(1+'Plan Inputs'!Q$10),0)</f>
        <v>0</v>
      </c>
      <c r="R21" s="216">
        <f>ROUND(Q21*(1+'Plan Inputs'!R$10),0)</f>
        <v>0</v>
      </c>
      <c r="S21" s="216">
        <f>ROUND(R21*(1+'Plan Inputs'!S$10),0)</f>
        <v>0</v>
      </c>
      <c r="T21" s="216">
        <f>ROUND(S21*(1+'Plan Inputs'!T$10),0)</f>
        <v>0</v>
      </c>
      <c r="U21" s="216">
        <f>ROUND(T21*(1+'Plan Inputs'!U$10),0)</f>
        <v>0</v>
      </c>
      <c r="V21" s="216">
        <f>ROUND(U21*(1+'Plan Inputs'!V$10),0)</f>
        <v>0</v>
      </c>
      <c r="W21" s="216">
        <f>ROUND(V21*(1+'Plan Inputs'!W$10),0)</f>
        <v>0</v>
      </c>
      <c r="X21" s="216">
        <f>ROUND(W21*(1+'Plan Inputs'!X$10),0)</f>
        <v>0</v>
      </c>
      <c r="Y21" s="216">
        <f>ROUND(X21*(1+'Plan Inputs'!Y$10),0)</f>
        <v>0</v>
      </c>
      <c r="Z21" s="216">
        <f>ROUND(Y21*(1+'Plan Inputs'!Z$10),0)</f>
        <v>0</v>
      </c>
      <c r="AA21" s="216">
        <f>ROUND(Z21*(1+'Plan Inputs'!AA$10),0)</f>
        <v>0</v>
      </c>
      <c r="AB21" s="216">
        <f>ROUND(AA21*(1+'Plan Inputs'!AB$10),0)</f>
        <v>0</v>
      </c>
      <c r="AC21" s="216">
        <f>ROUND(AB21*(1+'Plan Inputs'!AC$10),0)</f>
        <v>0</v>
      </c>
      <c r="AD21" s="216">
        <f>ROUND(AC21*(1+'Plan Inputs'!AD$10),0)</f>
        <v>0</v>
      </c>
      <c r="AE21" s="216">
        <f>ROUND(AD21*(1+'Plan Inputs'!AE$10),0)</f>
        <v>0</v>
      </c>
      <c r="AF21" s="216">
        <f>ROUND(AE21*(1+'Plan Inputs'!AF$10),0)</f>
        <v>0</v>
      </c>
      <c r="AG21" s="216">
        <f>ROUND(AF21*(1+'Plan Inputs'!AG$10),0)</f>
        <v>0</v>
      </c>
      <c r="AH21" s="216">
        <f>ROUND(AG21*(1+'Plan Inputs'!AH$10),0)</f>
        <v>0</v>
      </c>
      <c r="AI21" s="216">
        <f>ROUND(AH21*(1+'Plan Inputs'!AI$10),0)</f>
        <v>0</v>
      </c>
      <c r="AJ21" s="216">
        <f>ROUND(AI21*(1+'Plan Inputs'!AJ$10),0)</f>
        <v>0</v>
      </c>
      <c r="AK21" s="216">
        <f>ROUND(AJ21*(1+'Plan Inputs'!AK$10),0)</f>
        <v>0</v>
      </c>
      <c r="AL21" s="216">
        <f>ROUND(AK21*(1+'Plan Inputs'!AL$10),0)</f>
        <v>0</v>
      </c>
      <c r="AM21" s="216">
        <f>ROUND(AL21*(1+'Plan Inputs'!AM$10),0)</f>
        <v>0</v>
      </c>
      <c r="AN21" s="216">
        <f>ROUND(AM21*(1+'Plan Inputs'!AN$10),0)</f>
        <v>0</v>
      </c>
      <c r="AO21" s="216">
        <f>ROUND(AN21*(1+'Plan Inputs'!AO$10),0)</f>
        <v>0</v>
      </c>
      <c r="AP21" s="216">
        <f>ROUND(AO21*(1+'Plan Inputs'!AP$10),0)</f>
        <v>0</v>
      </c>
      <c r="AQ21" s="216">
        <f>ROUND(AP21*(1+'Plan Inputs'!AQ$10),0)</f>
        <v>0</v>
      </c>
      <c r="AR21" s="216">
        <f>ROUND(AQ21*(1+'Plan Inputs'!AR$10),0)</f>
        <v>0</v>
      </c>
      <c r="AS21" s="216">
        <f>ROUND(AR21*(1+'Plan Inputs'!AS$10),0)</f>
        <v>0</v>
      </c>
    </row>
    <row r="22" spans="1:45" s="1" customFormat="1" ht="14.6" x14ac:dyDescent="0.4">
      <c r="A22" s="31"/>
      <c r="B22" s="67" t="s">
        <v>112</v>
      </c>
      <c r="C22" s="9"/>
      <c r="D22" s="9"/>
      <c r="E22" s="9"/>
      <c r="F22" s="5">
        <f>ROUND('Financial Base'!F21*(1+'Plan Inputs'!F$10),0)</f>
        <v>236237</v>
      </c>
      <c r="G22" s="216">
        <f>ROUND(F22*(1+'Plan Inputs'!G$10),0)</f>
        <v>243324</v>
      </c>
      <c r="H22" s="216">
        <v>0</v>
      </c>
      <c r="I22" s="216">
        <f>ROUND(H22*(1+'Plan Inputs'!I$10),0)</f>
        <v>0</v>
      </c>
      <c r="J22" s="216">
        <f>ROUND(I22*(1+'Plan Inputs'!J$10),0)</f>
        <v>0</v>
      </c>
      <c r="K22" s="216">
        <f>ROUND(J22*(1+'Plan Inputs'!K$10),0)</f>
        <v>0</v>
      </c>
      <c r="L22" s="216">
        <f>ROUND(K22*(1+'Plan Inputs'!L$10),0)</f>
        <v>0</v>
      </c>
      <c r="M22" s="216">
        <f>ROUND(L22*(1+'Plan Inputs'!M$10),0)</f>
        <v>0</v>
      </c>
      <c r="N22" s="216">
        <f>ROUND(M22*(1+'Plan Inputs'!N$10),0)</f>
        <v>0</v>
      </c>
      <c r="O22" s="216">
        <f>ROUND(N22*(1+'Plan Inputs'!O$10),0)</f>
        <v>0</v>
      </c>
      <c r="P22" s="216">
        <f>ROUND(O22*(1+'Plan Inputs'!P$10),0)</f>
        <v>0</v>
      </c>
      <c r="Q22" s="216">
        <f>ROUND(P22*(1+'Plan Inputs'!Q$10),0)</f>
        <v>0</v>
      </c>
      <c r="R22" s="216">
        <f>ROUND(Q22*(1+'Plan Inputs'!R$10),0)</f>
        <v>0</v>
      </c>
      <c r="S22" s="216">
        <f>ROUND(R22*(1+'Plan Inputs'!S$10),0)</f>
        <v>0</v>
      </c>
      <c r="T22" s="216">
        <f>ROUND(S22*(1+'Plan Inputs'!T$10),0)</f>
        <v>0</v>
      </c>
      <c r="U22" s="216">
        <f>ROUND(T22*(1+'Plan Inputs'!U$10),0)</f>
        <v>0</v>
      </c>
      <c r="V22" s="216">
        <f>ROUND(U22*(1+'Plan Inputs'!V$10),0)</f>
        <v>0</v>
      </c>
      <c r="W22" s="216">
        <f>ROUND(V22*(1+'Plan Inputs'!W$10),0)</f>
        <v>0</v>
      </c>
      <c r="X22" s="216">
        <f>ROUND(W22*(1+'Plan Inputs'!X$10),0)</f>
        <v>0</v>
      </c>
      <c r="Y22" s="216">
        <f>ROUND(X22*(1+'Plan Inputs'!Y$10),0)</f>
        <v>0</v>
      </c>
      <c r="Z22" s="216">
        <f>ROUND(Y22*(1+'Plan Inputs'!Z$10),0)</f>
        <v>0</v>
      </c>
      <c r="AA22" s="216">
        <f>ROUND(Z22*(1+'Plan Inputs'!AA$10),0)</f>
        <v>0</v>
      </c>
      <c r="AB22" s="216">
        <f>ROUND(AA22*(1+'Plan Inputs'!AB$10),0)</f>
        <v>0</v>
      </c>
      <c r="AC22" s="216">
        <f>ROUND(AB22*(1+'Plan Inputs'!AC$10),0)</f>
        <v>0</v>
      </c>
      <c r="AD22" s="216">
        <f>ROUND(AC22*(1+'Plan Inputs'!AD$10),0)</f>
        <v>0</v>
      </c>
      <c r="AE22" s="216">
        <f>ROUND(AD22*(1+'Plan Inputs'!AE$10),0)</f>
        <v>0</v>
      </c>
      <c r="AF22" s="216">
        <f>ROUND(AE22*(1+'Plan Inputs'!AF$10),0)</f>
        <v>0</v>
      </c>
      <c r="AG22" s="216">
        <f>ROUND(AF22*(1+'Plan Inputs'!AG$10),0)</f>
        <v>0</v>
      </c>
      <c r="AH22" s="216">
        <f>ROUND(AG22*(1+'Plan Inputs'!AH$10),0)</f>
        <v>0</v>
      </c>
      <c r="AI22" s="216">
        <f>ROUND(AH22*(1+'Plan Inputs'!AI$10),0)</f>
        <v>0</v>
      </c>
      <c r="AJ22" s="216">
        <f>ROUND(AI22*(1+'Plan Inputs'!AJ$10),0)</f>
        <v>0</v>
      </c>
      <c r="AK22" s="216">
        <f>ROUND(AJ22*(1+'Plan Inputs'!AK$10),0)</f>
        <v>0</v>
      </c>
      <c r="AL22" s="216">
        <f>ROUND(AK22*(1+'Plan Inputs'!AL$10),0)</f>
        <v>0</v>
      </c>
      <c r="AM22" s="216">
        <f>ROUND(AL22*(1+'Plan Inputs'!AM$10),0)</f>
        <v>0</v>
      </c>
      <c r="AN22" s="216">
        <f>ROUND(AM22*(1+'Plan Inputs'!AN$10),0)</f>
        <v>0</v>
      </c>
      <c r="AO22" s="216">
        <f>ROUND(AN22*(1+'Plan Inputs'!AO$10),0)</f>
        <v>0</v>
      </c>
      <c r="AP22" s="216">
        <f>ROUND(AO22*(1+'Plan Inputs'!AP$10),0)</f>
        <v>0</v>
      </c>
      <c r="AQ22" s="216">
        <f>ROUND(AP22*(1+'Plan Inputs'!AQ$10),0)</f>
        <v>0</v>
      </c>
      <c r="AR22" s="216">
        <f>ROUND(AQ22*(1+'Plan Inputs'!AR$10),0)</f>
        <v>0</v>
      </c>
      <c r="AS22" s="216">
        <f>ROUND(AR22*(1+'Plan Inputs'!AS$10),0)</f>
        <v>0</v>
      </c>
    </row>
    <row r="23" spans="1:45" s="1" customFormat="1" ht="14.6" x14ac:dyDescent="0.4">
      <c r="A23" s="31"/>
      <c r="B23" s="67" t="s">
        <v>113</v>
      </c>
      <c r="C23" s="9"/>
      <c r="D23" s="9"/>
      <c r="E23" s="9"/>
      <c r="F23" s="5">
        <f>ROUND('Financial Base'!F22*(1+'Plan Inputs'!F$10),0)</f>
        <v>29433</v>
      </c>
      <c r="G23" s="216">
        <f>ROUND(F23*(1+'Plan Inputs'!G$10),0)</f>
        <v>30316</v>
      </c>
      <c r="H23" s="216">
        <v>0</v>
      </c>
      <c r="I23" s="216">
        <f>ROUND(H23*(1+'Plan Inputs'!I$10),0)</f>
        <v>0</v>
      </c>
      <c r="J23" s="216">
        <f>ROUND(I23*(1+'Plan Inputs'!J$10),0)</f>
        <v>0</v>
      </c>
      <c r="K23" s="216">
        <f>ROUND(J23*(1+'Plan Inputs'!K$10),0)</f>
        <v>0</v>
      </c>
      <c r="L23" s="216">
        <f>ROUND(K23*(1+'Plan Inputs'!L$10),0)</f>
        <v>0</v>
      </c>
      <c r="M23" s="216">
        <f>ROUND(L23*(1+'Plan Inputs'!M$10),0)</f>
        <v>0</v>
      </c>
      <c r="N23" s="216">
        <f>ROUND(M23*(1+'Plan Inputs'!N$10),0)</f>
        <v>0</v>
      </c>
      <c r="O23" s="216">
        <f>ROUND(N23*(1+'Plan Inputs'!O$10),0)</f>
        <v>0</v>
      </c>
      <c r="P23" s="216">
        <f>ROUND(O23*(1+'Plan Inputs'!P$10),0)</f>
        <v>0</v>
      </c>
      <c r="Q23" s="216">
        <f>ROUND(P23*(1+'Plan Inputs'!Q$10),0)</f>
        <v>0</v>
      </c>
      <c r="R23" s="216">
        <f>ROUND(Q23*(1+'Plan Inputs'!R$10),0)</f>
        <v>0</v>
      </c>
      <c r="S23" s="216">
        <f>ROUND(R23*(1+'Plan Inputs'!S$10),0)</f>
        <v>0</v>
      </c>
      <c r="T23" s="216">
        <f>ROUND(S23*(1+'Plan Inputs'!T$10),0)</f>
        <v>0</v>
      </c>
      <c r="U23" s="216">
        <f>ROUND(T23*(1+'Plan Inputs'!U$10),0)</f>
        <v>0</v>
      </c>
      <c r="V23" s="216">
        <f>ROUND(U23*(1+'Plan Inputs'!V$10),0)</f>
        <v>0</v>
      </c>
      <c r="W23" s="216">
        <f>ROUND(V23*(1+'Plan Inputs'!W$10),0)</f>
        <v>0</v>
      </c>
      <c r="X23" s="216">
        <f>ROUND(W23*(1+'Plan Inputs'!X$10),0)</f>
        <v>0</v>
      </c>
      <c r="Y23" s="216">
        <f>ROUND(X23*(1+'Plan Inputs'!Y$10),0)</f>
        <v>0</v>
      </c>
      <c r="Z23" s="216">
        <f>ROUND(Y23*(1+'Plan Inputs'!Z$10),0)</f>
        <v>0</v>
      </c>
      <c r="AA23" s="216">
        <f>ROUND(Z23*(1+'Plan Inputs'!AA$10),0)</f>
        <v>0</v>
      </c>
      <c r="AB23" s="216">
        <f>ROUND(AA23*(1+'Plan Inputs'!AB$10),0)</f>
        <v>0</v>
      </c>
      <c r="AC23" s="216">
        <f>ROUND(AB23*(1+'Plan Inputs'!AC$10),0)</f>
        <v>0</v>
      </c>
      <c r="AD23" s="216">
        <f>ROUND(AC23*(1+'Plan Inputs'!AD$10),0)</f>
        <v>0</v>
      </c>
      <c r="AE23" s="216">
        <f>ROUND(AD23*(1+'Plan Inputs'!AE$10),0)</f>
        <v>0</v>
      </c>
      <c r="AF23" s="216">
        <f>ROUND(AE23*(1+'Plan Inputs'!AF$10),0)</f>
        <v>0</v>
      </c>
      <c r="AG23" s="216">
        <f>ROUND(AF23*(1+'Plan Inputs'!AG$10),0)</f>
        <v>0</v>
      </c>
      <c r="AH23" s="216">
        <f>ROUND(AG23*(1+'Plan Inputs'!AH$10),0)</f>
        <v>0</v>
      </c>
      <c r="AI23" s="216">
        <f>ROUND(AH23*(1+'Plan Inputs'!AI$10),0)</f>
        <v>0</v>
      </c>
      <c r="AJ23" s="216">
        <f>ROUND(AI23*(1+'Plan Inputs'!AJ$10),0)</f>
        <v>0</v>
      </c>
      <c r="AK23" s="216">
        <f>ROUND(AJ23*(1+'Plan Inputs'!AK$10),0)</f>
        <v>0</v>
      </c>
      <c r="AL23" s="216">
        <f>ROUND(AK23*(1+'Plan Inputs'!AL$10),0)</f>
        <v>0</v>
      </c>
      <c r="AM23" s="216">
        <f>ROUND(AL23*(1+'Plan Inputs'!AM$10),0)</f>
        <v>0</v>
      </c>
      <c r="AN23" s="216">
        <f>ROUND(AM23*(1+'Plan Inputs'!AN$10),0)</f>
        <v>0</v>
      </c>
      <c r="AO23" s="216">
        <f>ROUND(AN23*(1+'Plan Inputs'!AO$10),0)</f>
        <v>0</v>
      </c>
      <c r="AP23" s="216">
        <f>ROUND(AO23*(1+'Plan Inputs'!AP$10),0)</f>
        <v>0</v>
      </c>
      <c r="AQ23" s="216">
        <f>ROUND(AP23*(1+'Plan Inputs'!AQ$10),0)</f>
        <v>0</v>
      </c>
      <c r="AR23" s="216">
        <f>ROUND(AQ23*(1+'Plan Inputs'!AR$10),0)</f>
        <v>0</v>
      </c>
      <c r="AS23" s="216">
        <f>ROUND(AR23*(1+'Plan Inputs'!AS$10),0)</f>
        <v>0</v>
      </c>
    </row>
    <row r="24" spans="1:45" s="1" customFormat="1" ht="14.6" x14ac:dyDescent="0.4">
      <c r="A24" s="31"/>
      <c r="B24" s="67" t="s">
        <v>114</v>
      </c>
      <c r="C24" s="9"/>
      <c r="D24" s="9"/>
      <c r="E24" s="9"/>
      <c r="F24" s="5">
        <f>ROUND('Financial Base'!F23*(1+'Plan Inputs'!F$10),0)</f>
        <v>279887</v>
      </c>
      <c r="G24" s="216">
        <f>ROUND(F24*(1+'Plan Inputs'!G$10),0)</f>
        <v>288284</v>
      </c>
      <c r="H24" s="216">
        <f>ROUND(G24*(1+'Plan Inputs'!H$10),0)</f>
        <v>296933</v>
      </c>
      <c r="I24" s="216">
        <f>ROUND(H24*(1+'Plan Inputs'!I$10),0)</f>
        <v>305841</v>
      </c>
      <c r="J24" s="216">
        <f>ROUND(I24*(1+'Plan Inputs'!J$10),0)</f>
        <v>315016</v>
      </c>
      <c r="K24" s="216">
        <f>ROUND(J24*(1+'Plan Inputs'!K$10),0)</f>
        <v>324466</v>
      </c>
      <c r="L24" s="216">
        <f>ROUND(K24*(1+'Plan Inputs'!L$10),0)</f>
        <v>334200</v>
      </c>
      <c r="M24" s="216">
        <f>ROUND(L24*(1+'Plan Inputs'!M$10),0)</f>
        <v>344226</v>
      </c>
      <c r="N24" s="216">
        <f>ROUND(M24*(1+'Plan Inputs'!N$10),0)</f>
        <v>354553</v>
      </c>
      <c r="O24" s="216">
        <f>ROUND(N24*(1+'Plan Inputs'!O$10),0)</f>
        <v>365190</v>
      </c>
      <c r="P24" s="216">
        <f>ROUND(O24*(1+'Plan Inputs'!P$10),0)</f>
        <v>376146</v>
      </c>
      <c r="Q24" s="216">
        <f>ROUND(P24*(1+'Plan Inputs'!Q$10),0)</f>
        <v>387430</v>
      </c>
      <c r="R24" s="216">
        <f>ROUND(Q24*(1+'Plan Inputs'!R$10),0)</f>
        <v>399053</v>
      </c>
      <c r="S24" s="216">
        <f>ROUND(R24*(1+'Plan Inputs'!S$10),0)</f>
        <v>411025</v>
      </c>
      <c r="T24" s="216">
        <f>ROUND(S24*(1+'Plan Inputs'!T$10),0)</f>
        <v>423356</v>
      </c>
      <c r="U24" s="216">
        <f>ROUND(T24*(1+'Plan Inputs'!U$10),0)</f>
        <v>436057</v>
      </c>
      <c r="V24" s="216">
        <f>ROUND(U24*(1+'Plan Inputs'!V$10),0)</f>
        <v>449139</v>
      </c>
      <c r="W24" s="216">
        <f>ROUND(V24*(1+'Plan Inputs'!W$10),0)</f>
        <v>462613</v>
      </c>
      <c r="X24" s="216">
        <f>ROUND(W24*(1+'Plan Inputs'!X$10),0)</f>
        <v>476491</v>
      </c>
      <c r="Y24" s="216">
        <f>ROUND(X24*(1+'Plan Inputs'!Y$10),0)</f>
        <v>490786</v>
      </c>
      <c r="Z24" s="216">
        <f>ROUND(Y24*(1+'Plan Inputs'!Z$10),0)</f>
        <v>505510</v>
      </c>
      <c r="AA24" s="216">
        <f>ROUND(Z24*(1+'Plan Inputs'!AA$10),0)</f>
        <v>520675</v>
      </c>
      <c r="AB24" s="216">
        <f>ROUND(AA24*(1+'Plan Inputs'!AB$10),0)</f>
        <v>536295</v>
      </c>
      <c r="AC24" s="216">
        <f>ROUND(AB24*(1+'Plan Inputs'!AC$10),0)</f>
        <v>552384</v>
      </c>
      <c r="AD24" s="216">
        <f>ROUND(AC24*(1+'Plan Inputs'!AD$10),0)</f>
        <v>568956</v>
      </c>
      <c r="AE24" s="216">
        <f>ROUND(AD24*(1+'Plan Inputs'!AE$10),0)</f>
        <v>586025</v>
      </c>
      <c r="AF24" s="216">
        <f>ROUND(AE24*(1+'Plan Inputs'!AF$10),0)</f>
        <v>603606</v>
      </c>
      <c r="AG24" s="216">
        <f>ROUND(AF24*(1+'Plan Inputs'!AG$10),0)</f>
        <v>621714</v>
      </c>
      <c r="AH24" s="216">
        <f>ROUND(AG24*(1+'Plan Inputs'!AH$10),0)</f>
        <v>640365</v>
      </c>
      <c r="AI24" s="216">
        <f>ROUND(AH24*(1+'Plan Inputs'!AI$10),0)</f>
        <v>659576</v>
      </c>
      <c r="AJ24" s="216">
        <f>ROUND(AI24*(1+'Plan Inputs'!AJ$10),0)</f>
        <v>679363</v>
      </c>
      <c r="AK24" s="216">
        <f>ROUND(AJ24*(1+'Plan Inputs'!AK$10),0)</f>
        <v>699744</v>
      </c>
      <c r="AL24" s="216">
        <f>ROUND(AK24*(1+'Plan Inputs'!AL$10),0)</f>
        <v>720736</v>
      </c>
      <c r="AM24" s="216">
        <f>ROUND(AL24*(1+'Plan Inputs'!AM$10),0)</f>
        <v>742358</v>
      </c>
      <c r="AN24" s="216">
        <f>ROUND(AM24*(1+'Plan Inputs'!AN$10),0)</f>
        <v>764629</v>
      </c>
      <c r="AO24" s="216">
        <f>ROUND(AN24*(1+'Plan Inputs'!AO$10),0)</f>
        <v>787568</v>
      </c>
      <c r="AP24" s="216">
        <f>ROUND(AO24*(1+'Plan Inputs'!AP$10),0)</f>
        <v>811195</v>
      </c>
      <c r="AQ24" s="216">
        <f>ROUND(AP24*(1+'Plan Inputs'!AQ$10),0)</f>
        <v>835531</v>
      </c>
      <c r="AR24" s="216">
        <f>ROUND(AQ24*(1+'Plan Inputs'!AR$10),0)</f>
        <v>860597</v>
      </c>
      <c r="AS24" s="216">
        <f>ROUND(AR24*(1+'Plan Inputs'!AS$10),0)</f>
        <v>886415</v>
      </c>
    </row>
    <row r="25" spans="1:45" s="1" customFormat="1" ht="14.6" x14ac:dyDescent="0.4">
      <c r="A25" s="31"/>
      <c r="B25" s="67" t="s">
        <v>115</v>
      </c>
      <c r="C25" s="9"/>
      <c r="D25" s="9"/>
      <c r="E25" s="9"/>
      <c r="F25" s="5">
        <f>ROUND('Financial Base'!F24*(1+'Plan Inputs'!F$10),0)</f>
        <v>879654</v>
      </c>
      <c r="G25" s="216">
        <f>ROUND(F25*(1+'Plan Inputs'!G$10),0)</f>
        <v>906044</v>
      </c>
      <c r="H25" s="216">
        <f>ROUND(G25*(1+'Plan Inputs'!H$10),0)</f>
        <v>933225</v>
      </c>
      <c r="I25" s="216">
        <f>ROUND(H25*(1+'Plan Inputs'!I$10),0)</f>
        <v>961222</v>
      </c>
      <c r="J25" s="216">
        <f>ROUND(I25*(1+'Plan Inputs'!J$10),0)</f>
        <v>990059</v>
      </c>
      <c r="K25" s="216">
        <f>ROUND(J25*(1+'Plan Inputs'!K$10),0)</f>
        <v>1019761</v>
      </c>
      <c r="L25" s="216">
        <f>ROUND(K25*(1+'Plan Inputs'!L$10),0)</f>
        <v>1050354</v>
      </c>
      <c r="M25" s="216">
        <f>ROUND(L25*(1+'Plan Inputs'!M$10),0)</f>
        <v>1081865</v>
      </c>
      <c r="N25" s="216">
        <f>ROUND(M25*(1+'Plan Inputs'!N$10),0)</f>
        <v>1114321</v>
      </c>
      <c r="O25" s="216">
        <f>ROUND(N25*(1+'Plan Inputs'!O$10),0)</f>
        <v>1147751</v>
      </c>
      <c r="P25" s="216">
        <f>ROUND(O25*(1+'Plan Inputs'!P$10),0)</f>
        <v>1182184</v>
      </c>
      <c r="Q25" s="216">
        <f>ROUND(P25*(1+'Plan Inputs'!Q$10),0)</f>
        <v>1217650</v>
      </c>
      <c r="R25" s="216">
        <f>ROUND(Q25*(1+'Plan Inputs'!R$10),0)</f>
        <v>1254180</v>
      </c>
      <c r="S25" s="216">
        <f>ROUND(R25*(1+'Plan Inputs'!S$10),0)</f>
        <v>1291805</v>
      </c>
      <c r="T25" s="216">
        <f>ROUND(S25*(1+'Plan Inputs'!T$10),0)</f>
        <v>1330559</v>
      </c>
      <c r="U25" s="216">
        <f>ROUND(T25*(1+'Plan Inputs'!U$10),0)</f>
        <v>1370476</v>
      </c>
      <c r="V25" s="216">
        <f>ROUND(U25*(1+'Plan Inputs'!V$10),0)</f>
        <v>1411590</v>
      </c>
      <c r="W25" s="216">
        <f>ROUND(V25*(1+'Plan Inputs'!W$10),0)</f>
        <v>1453938</v>
      </c>
      <c r="X25" s="216">
        <f>ROUND(W25*(1+'Plan Inputs'!X$10),0)</f>
        <v>1497556</v>
      </c>
      <c r="Y25" s="216">
        <f>ROUND(X25*(1+'Plan Inputs'!Y$10),0)</f>
        <v>1542483</v>
      </c>
      <c r="Z25" s="216">
        <f>ROUND(Y25*(1+'Plan Inputs'!Z$10),0)</f>
        <v>1588757</v>
      </c>
      <c r="AA25" s="216">
        <f>ROUND(Z25*(1+'Plan Inputs'!AA$10),0)</f>
        <v>1636420</v>
      </c>
      <c r="AB25" s="216">
        <f>ROUND(AA25*(1+'Plan Inputs'!AB$10),0)</f>
        <v>1685513</v>
      </c>
      <c r="AC25" s="216">
        <f>ROUND(AB25*(1+'Plan Inputs'!AC$10),0)</f>
        <v>1736078</v>
      </c>
      <c r="AD25" s="216">
        <f>ROUND(AC25*(1+'Plan Inputs'!AD$10),0)</f>
        <v>1788160</v>
      </c>
      <c r="AE25" s="216">
        <f>ROUND(AD25*(1+'Plan Inputs'!AE$10),0)</f>
        <v>1841805</v>
      </c>
      <c r="AF25" s="216">
        <f>ROUND(AE25*(1+'Plan Inputs'!AF$10),0)</f>
        <v>1897059</v>
      </c>
      <c r="AG25" s="216">
        <f>ROUND(AF25*(1+'Plan Inputs'!AG$10),0)</f>
        <v>1953971</v>
      </c>
      <c r="AH25" s="216">
        <f>ROUND(AG25*(1+'Plan Inputs'!AH$10),0)</f>
        <v>2012590</v>
      </c>
      <c r="AI25" s="216">
        <f>ROUND(AH25*(1+'Plan Inputs'!AI$10),0)</f>
        <v>2072968</v>
      </c>
      <c r="AJ25" s="216">
        <f>ROUND(AI25*(1+'Plan Inputs'!AJ$10),0)</f>
        <v>2135157</v>
      </c>
      <c r="AK25" s="216">
        <f>ROUND(AJ25*(1+'Plan Inputs'!AK$10),0)</f>
        <v>2199212</v>
      </c>
      <c r="AL25" s="216">
        <f>ROUND(AK25*(1+'Plan Inputs'!AL$10),0)</f>
        <v>2265188</v>
      </c>
      <c r="AM25" s="216">
        <f>ROUND(AL25*(1+'Plan Inputs'!AM$10),0)</f>
        <v>2333144</v>
      </c>
      <c r="AN25" s="216">
        <f>ROUND(AM25*(1+'Plan Inputs'!AN$10),0)</f>
        <v>2403138</v>
      </c>
      <c r="AO25" s="216">
        <f>ROUND(AN25*(1+'Plan Inputs'!AO$10),0)</f>
        <v>2475232</v>
      </c>
      <c r="AP25" s="216">
        <f>ROUND(AO25*(1+'Plan Inputs'!AP$10),0)</f>
        <v>2549489</v>
      </c>
      <c r="AQ25" s="216">
        <f>ROUND(AP25*(1+'Plan Inputs'!AQ$10),0)</f>
        <v>2625974</v>
      </c>
      <c r="AR25" s="216">
        <f>ROUND(AQ25*(1+'Plan Inputs'!AR$10),0)</f>
        <v>2704753</v>
      </c>
      <c r="AS25" s="216">
        <f>ROUND(AR25*(1+'Plan Inputs'!AS$10),0)</f>
        <v>2785896</v>
      </c>
    </row>
    <row r="26" spans="1:45" s="14" customFormat="1" ht="14.6" x14ac:dyDescent="0.4">
      <c r="A26" s="125"/>
      <c r="B26" s="189" t="s">
        <v>244</v>
      </c>
      <c r="C26" s="190"/>
      <c r="D26" s="190"/>
      <c r="E26" s="190"/>
      <c r="F26" s="6">
        <f>'Trans and Dist Costs'!E42</f>
        <v>0</v>
      </c>
      <c r="G26" s="6">
        <f>'Trans and Dist Costs'!F42</f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</row>
    <row r="27" spans="1:45" s="1" customFormat="1" ht="14.6" x14ac:dyDescent="0.4">
      <c r="A27" s="31"/>
      <c r="B27" s="67" t="s">
        <v>116</v>
      </c>
      <c r="C27" s="9"/>
      <c r="D27" s="9"/>
      <c r="E27" s="9"/>
      <c r="F27" s="5">
        <f>ROUND('Financial Base'!F25*(1+'Plan Inputs'!F$10),0)</f>
        <v>351054</v>
      </c>
      <c r="G27" s="216">
        <f>ROUND(F27*(1+'Plan Inputs'!G$10),0)</f>
        <v>361586</v>
      </c>
      <c r="H27" s="216">
        <f>ROUND(G27*(1+'Plan Inputs'!H$10),0)</f>
        <v>372434</v>
      </c>
      <c r="I27" s="216">
        <f>ROUND(H27*(1+'Plan Inputs'!I$10),0)</f>
        <v>383607</v>
      </c>
      <c r="J27" s="216">
        <f>ROUND(I27*(1+'Plan Inputs'!J$10),0)</f>
        <v>395115</v>
      </c>
      <c r="K27" s="216">
        <f>ROUND(J27*(1+'Plan Inputs'!K$10),0)</f>
        <v>406968</v>
      </c>
      <c r="L27" s="216">
        <f>ROUND(K27*(1+'Plan Inputs'!L$10),0)</f>
        <v>419177</v>
      </c>
      <c r="M27" s="216">
        <f>ROUND(L27*(1+'Plan Inputs'!M$10),0)</f>
        <v>431752</v>
      </c>
      <c r="N27" s="216">
        <f>ROUND(M27*(1+'Plan Inputs'!N$10),0)</f>
        <v>444705</v>
      </c>
      <c r="O27" s="216">
        <f>ROUND(N27*(1+'Plan Inputs'!O$10),0)</f>
        <v>458046</v>
      </c>
      <c r="P27" s="216">
        <f>ROUND(O27*(1+'Plan Inputs'!P$10),0)</f>
        <v>471787</v>
      </c>
      <c r="Q27" s="216">
        <f>ROUND(P27*(1+'Plan Inputs'!Q$10),0)</f>
        <v>485941</v>
      </c>
      <c r="R27" s="216">
        <f>ROUND(Q27*(1+'Plan Inputs'!R$10),0)</f>
        <v>500519</v>
      </c>
      <c r="S27" s="216">
        <f>ROUND(R27*(1+'Plan Inputs'!S$10),0)</f>
        <v>515535</v>
      </c>
      <c r="T27" s="216">
        <f>ROUND(S27*(1+'Plan Inputs'!T$10),0)</f>
        <v>531001</v>
      </c>
      <c r="U27" s="216">
        <f>ROUND(T27*(1+'Plan Inputs'!U$10),0)</f>
        <v>546931</v>
      </c>
      <c r="V27" s="216">
        <f>ROUND(U27*(1+'Plan Inputs'!V$10),0)</f>
        <v>563339</v>
      </c>
      <c r="W27" s="216">
        <f>ROUND(V27*(1+'Plan Inputs'!W$10),0)</f>
        <v>580239</v>
      </c>
      <c r="X27" s="216">
        <f>ROUND(W27*(1+'Plan Inputs'!X$10),0)</f>
        <v>597646</v>
      </c>
      <c r="Y27" s="216">
        <f>ROUND(X27*(1+'Plan Inputs'!Y$10),0)</f>
        <v>615575</v>
      </c>
      <c r="Z27" s="216">
        <f>ROUND(Y27*(1+'Plan Inputs'!Z$10),0)</f>
        <v>634042</v>
      </c>
      <c r="AA27" s="216">
        <f>ROUND(Z27*(1+'Plan Inputs'!AA$10),0)</f>
        <v>653063</v>
      </c>
      <c r="AB27" s="216">
        <f>ROUND(AA27*(1+'Plan Inputs'!AB$10),0)</f>
        <v>672655</v>
      </c>
      <c r="AC27" s="216">
        <f>ROUND(AB27*(1+'Plan Inputs'!AC$10),0)</f>
        <v>692835</v>
      </c>
      <c r="AD27" s="216">
        <f>ROUND(AC27*(1+'Plan Inputs'!AD$10),0)</f>
        <v>713620</v>
      </c>
      <c r="AE27" s="216">
        <f>ROUND(AD27*(1+'Plan Inputs'!AE$10),0)</f>
        <v>735029</v>
      </c>
      <c r="AF27" s="216">
        <f>ROUND(AE27*(1+'Plan Inputs'!AF$10),0)</f>
        <v>757080</v>
      </c>
      <c r="AG27" s="216">
        <f>ROUND(AF27*(1+'Plan Inputs'!AG$10),0)</f>
        <v>779792</v>
      </c>
      <c r="AH27" s="216">
        <f>ROUND(AG27*(1+'Plan Inputs'!AH$10),0)</f>
        <v>803186</v>
      </c>
      <c r="AI27" s="216">
        <f>ROUND(AH27*(1+'Plan Inputs'!AI$10),0)</f>
        <v>827282</v>
      </c>
      <c r="AJ27" s="216">
        <f>ROUND(AI27*(1+'Plan Inputs'!AJ$10),0)</f>
        <v>852100</v>
      </c>
      <c r="AK27" s="216">
        <f>ROUND(AJ27*(1+'Plan Inputs'!AK$10),0)</f>
        <v>877663</v>
      </c>
      <c r="AL27" s="216">
        <f>ROUND(AK27*(1+'Plan Inputs'!AL$10),0)</f>
        <v>903993</v>
      </c>
      <c r="AM27" s="216">
        <f>ROUND(AL27*(1+'Plan Inputs'!AM$10),0)</f>
        <v>931113</v>
      </c>
      <c r="AN27" s="216">
        <f>ROUND(AM27*(1+'Plan Inputs'!AN$10),0)</f>
        <v>959046</v>
      </c>
      <c r="AO27" s="216">
        <f>ROUND(AN27*(1+'Plan Inputs'!AO$10),0)</f>
        <v>987817</v>
      </c>
      <c r="AP27" s="216">
        <f>ROUND(AO27*(1+'Plan Inputs'!AP$10),0)</f>
        <v>1017452</v>
      </c>
      <c r="AQ27" s="216">
        <f>ROUND(AP27*(1+'Plan Inputs'!AQ$10),0)</f>
        <v>1047976</v>
      </c>
      <c r="AR27" s="216">
        <f>ROUND(AQ27*(1+'Plan Inputs'!AR$10),0)</f>
        <v>1079415</v>
      </c>
      <c r="AS27" s="216">
        <f>ROUND(AR27*(1+'Plan Inputs'!AS$10),0)</f>
        <v>1111797</v>
      </c>
    </row>
    <row r="28" spans="1:45" s="1" customFormat="1" ht="17.149999999999999" x14ac:dyDescent="0.7">
      <c r="A28" s="31"/>
      <c r="B28" s="67" t="s">
        <v>117</v>
      </c>
      <c r="C28" s="9"/>
      <c r="D28" s="9"/>
      <c r="E28" s="162"/>
      <c r="F28" s="25">
        <f>ROUND('Financial Base'!F26*(1+'Plan Inputs'!F$10),0)</f>
        <v>487236</v>
      </c>
      <c r="G28" s="13">
        <f>ROUND(F28*(1+'Plan Inputs'!G$10),0)</f>
        <v>501853</v>
      </c>
      <c r="H28" s="13">
        <f>ROUND(G28*(1+'Plan Inputs'!H$10),0)</f>
        <v>516909</v>
      </c>
      <c r="I28" s="13">
        <f>ROUND(H28*(1+'Plan Inputs'!I$10),0)</f>
        <v>532416</v>
      </c>
      <c r="J28" s="13">
        <f>ROUND(I28*(1+'Plan Inputs'!J$10),0)</f>
        <v>548388</v>
      </c>
      <c r="K28" s="13">
        <f>ROUND(J28*(1+'Plan Inputs'!K$10),0)</f>
        <v>564840</v>
      </c>
      <c r="L28" s="13">
        <f>ROUND(K28*(1+'Plan Inputs'!L$10),0)</f>
        <v>581785</v>
      </c>
      <c r="M28" s="13">
        <f>ROUND(L28*(1+'Plan Inputs'!M$10),0)</f>
        <v>599239</v>
      </c>
      <c r="N28" s="13">
        <f>ROUND(M28*(1+'Plan Inputs'!N$10),0)</f>
        <v>617216</v>
      </c>
      <c r="O28" s="13">
        <f>ROUND(N28*(1+'Plan Inputs'!O$10),0)</f>
        <v>635732</v>
      </c>
      <c r="P28" s="13">
        <f>ROUND(O28*(1+'Plan Inputs'!P$10),0)</f>
        <v>654804</v>
      </c>
      <c r="Q28" s="13">
        <f>ROUND(P28*(1+'Plan Inputs'!Q$10),0)</f>
        <v>674448</v>
      </c>
      <c r="R28" s="13">
        <f>ROUND(Q28*(1+'Plan Inputs'!R$10),0)</f>
        <v>694681</v>
      </c>
      <c r="S28" s="13">
        <f>ROUND(R28*(1+'Plan Inputs'!S$10),0)</f>
        <v>715521</v>
      </c>
      <c r="T28" s="13">
        <f>ROUND(S28*(1+'Plan Inputs'!T$10),0)</f>
        <v>736987</v>
      </c>
      <c r="U28" s="13">
        <f>ROUND(T28*(1+'Plan Inputs'!U$10),0)</f>
        <v>759097</v>
      </c>
      <c r="V28" s="13">
        <f>ROUND(U28*(1+'Plan Inputs'!V$10),0)</f>
        <v>781870</v>
      </c>
      <c r="W28" s="13">
        <f>ROUND(V28*(1+'Plan Inputs'!W$10),0)</f>
        <v>805326</v>
      </c>
      <c r="X28" s="13">
        <f>ROUND(W28*(1+'Plan Inputs'!X$10),0)</f>
        <v>829486</v>
      </c>
      <c r="Y28" s="13">
        <f>ROUND(X28*(1+'Plan Inputs'!Y$10),0)</f>
        <v>854371</v>
      </c>
      <c r="Z28" s="13">
        <f>ROUND(Y28*(1+'Plan Inputs'!Z$10),0)</f>
        <v>880002</v>
      </c>
      <c r="AA28" s="13">
        <f>ROUND(Z28*(1+'Plan Inputs'!AA$10),0)</f>
        <v>906402</v>
      </c>
      <c r="AB28" s="13">
        <f>ROUND(AA28*(1+'Plan Inputs'!AB$10),0)</f>
        <v>933594</v>
      </c>
      <c r="AC28" s="13">
        <f>ROUND(AB28*(1+'Plan Inputs'!AC$10),0)</f>
        <v>961602</v>
      </c>
      <c r="AD28" s="13">
        <f>ROUND(AC28*(1+'Plan Inputs'!AD$10),0)</f>
        <v>990450</v>
      </c>
      <c r="AE28" s="13">
        <f>ROUND(AD28*(1+'Plan Inputs'!AE$10),0)</f>
        <v>1020164</v>
      </c>
      <c r="AF28" s="13">
        <f>ROUND(AE28*(1+'Plan Inputs'!AF$10),0)</f>
        <v>1050769</v>
      </c>
      <c r="AG28" s="13">
        <f>ROUND(AF28*(1+'Plan Inputs'!AG$10),0)</f>
        <v>1082292</v>
      </c>
      <c r="AH28" s="13">
        <f>ROUND(AG28*(1+'Plan Inputs'!AH$10),0)</f>
        <v>1114761</v>
      </c>
      <c r="AI28" s="13">
        <f>ROUND(AH28*(1+'Plan Inputs'!AI$10),0)</f>
        <v>1148204</v>
      </c>
      <c r="AJ28" s="13">
        <f>ROUND(AI28*(1+'Plan Inputs'!AJ$10),0)</f>
        <v>1182650</v>
      </c>
      <c r="AK28" s="13">
        <f>ROUND(AJ28*(1+'Plan Inputs'!AK$10),0)</f>
        <v>1218130</v>
      </c>
      <c r="AL28" s="13">
        <f>ROUND(AK28*(1+'Plan Inputs'!AL$10),0)</f>
        <v>1254674</v>
      </c>
      <c r="AM28" s="13">
        <f>ROUND(AL28*(1+'Plan Inputs'!AM$10),0)</f>
        <v>1292314</v>
      </c>
      <c r="AN28" s="13">
        <f>ROUND(AM28*(1+'Plan Inputs'!AN$10),0)</f>
        <v>1331083</v>
      </c>
      <c r="AO28" s="13">
        <f>ROUND(AN28*(1+'Plan Inputs'!AO$10),0)</f>
        <v>1371015</v>
      </c>
      <c r="AP28" s="13">
        <f>ROUND(AO28*(1+'Plan Inputs'!AP$10),0)</f>
        <v>1412145</v>
      </c>
      <c r="AQ28" s="13">
        <f>ROUND(AP28*(1+'Plan Inputs'!AQ$10),0)</f>
        <v>1454509</v>
      </c>
      <c r="AR28" s="13">
        <f>ROUND(AQ28*(1+'Plan Inputs'!AR$10),0)</f>
        <v>1498144</v>
      </c>
      <c r="AS28" s="13">
        <f>ROUND(AR28*(1+'Plan Inputs'!AS$10),0)</f>
        <v>1543088</v>
      </c>
    </row>
    <row r="29" spans="1:45" s="1" customFormat="1" ht="14.6" x14ac:dyDescent="0.4">
      <c r="A29" s="125" t="s">
        <v>103</v>
      </c>
      <c r="B29" s="23"/>
      <c r="C29" s="5"/>
      <c r="D29" s="5"/>
      <c r="E29" s="5"/>
      <c r="F29" s="8">
        <f>SUM(F14:F28)</f>
        <v>4083369</v>
      </c>
      <c r="G29" s="8">
        <f>SUM(G14:G28)</f>
        <v>4236989</v>
      </c>
      <c r="H29" s="8">
        <f>SUM(H14:H28)</f>
        <v>4193020</v>
      </c>
      <c r="I29" s="8">
        <f t="shared" ref="I29:AS29" si="2">SUM(I14:I28)</f>
        <v>4354578</v>
      </c>
      <c r="J29" s="8">
        <f t="shared" si="2"/>
        <v>4523519</v>
      </c>
      <c r="K29" s="8">
        <f t="shared" si="2"/>
        <v>4755895</v>
      </c>
      <c r="L29" s="8">
        <f t="shared" si="2"/>
        <v>4940011</v>
      </c>
      <c r="M29" s="8">
        <f t="shared" si="2"/>
        <v>5132651</v>
      </c>
      <c r="N29" s="8">
        <f t="shared" si="2"/>
        <v>5333112</v>
      </c>
      <c r="O29" s="8">
        <f t="shared" si="2"/>
        <v>5542762</v>
      </c>
      <c r="P29" s="8">
        <f t="shared" si="2"/>
        <v>5762427</v>
      </c>
      <c r="Q29" s="8">
        <f t="shared" si="2"/>
        <v>5996362</v>
      </c>
      <c r="R29" s="8">
        <f t="shared" si="2"/>
        <v>6241667</v>
      </c>
      <c r="S29" s="8">
        <f t="shared" si="2"/>
        <v>6496760</v>
      </c>
      <c r="T29" s="8">
        <f t="shared" si="2"/>
        <v>6764213</v>
      </c>
      <c r="U29" s="8">
        <f t="shared" si="2"/>
        <v>7043517</v>
      </c>
      <c r="V29" s="8">
        <f t="shared" si="2"/>
        <v>7335535</v>
      </c>
      <c r="W29" s="8">
        <f t="shared" si="2"/>
        <v>7641262</v>
      </c>
      <c r="X29" s="8">
        <f t="shared" si="2"/>
        <v>7979125</v>
      </c>
      <c r="Y29" s="8">
        <f t="shared" si="2"/>
        <v>8337063</v>
      </c>
      <c r="Z29" s="8">
        <f t="shared" si="2"/>
        <v>8713164</v>
      </c>
      <c r="AA29" s="8">
        <f t="shared" si="2"/>
        <v>9106522</v>
      </c>
      <c r="AB29" s="8">
        <f t="shared" si="2"/>
        <v>9518982</v>
      </c>
      <c r="AC29" s="8">
        <f t="shared" si="2"/>
        <v>9952329</v>
      </c>
      <c r="AD29" s="8">
        <f t="shared" si="2"/>
        <v>10407655</v>
      </c>
      <c r="AE29" s="8">
        <f t="shared" si="2"/>
        <v>10883871</v>
      </c>
      <c r="AF29" s="8">
        <f t="shared" si="2"/>
        <v>11384380</v>
      </c>
      <c r="AG29" s="8">
        <f t="shared" si="2"/>
        <v>11910038</v>
      </c>
      <c r="AH29" s="8">
        <f t="shared" si="2"/>
        <v>12462112</v>
      </c>
      <c r="AI29" s="8">
        <f t="shared" si="2"/>
        <v>13041187</v>
      </c>
      <c r="AJ29" s="8">
        <f t="shared" si="2"/>
        <v>13645784</v>
      </c>
      <c r="AK29" s="8">
        <f t="shared" si="2"/>
        <v>14280851</v>
      </c>
      <c r="AL29" s="8">
        <f t="shared" si="2"/>
        <v>14947848</v>
      </c>
      <c r="AM29" s="8">
        <f t="shared" si="2"/>
        <v>15649395</v>
      </c>
      <c r="AN29" s="8">
        <f t="shared" si="2"/>
        <v>16385978</v>
      </c>
      <c r="AO29" s="8">
        <f t="shared" si="2"/>
        <v>17158876</v>
      </c>
      <c r="AP29" s="8">
        <f t="shared" si="2"/>
        <v>17970165</v>
      </c>
      <c r="AQ29" s="8">
        <f t="shared" si="2"/>
        <v>18821618</v>
      </c>
      <c r="AR29" s="8">
        <f t="shared" si="2"/>
        <v>19720504</v>
      </c>
      <c r="AS29" s="8">
        <f t="shared" si="2"/>
        <v>20665290</v>
      </c>
    </row>
    <row r="30" spans="1:45" s="1" customFormat="1" ht="14.6" x14ac:dyDescent="0.4">
      <c r="A30" s="29" t="s">
        <v>222</v>
      </c>
      <c r="B30" s="5"/>
      <c r="C30" s="8"/>
      <c r="D30" s="8"/>
      <c r="E30" s="8"/>
      <c r="F30" s="8">
        <f>'Financial Base'!F28</f>
        <v>619912</v>
      </c>
      <c r="G30" s="216">
        <f>F30</f>
        <v>619912</v>
      </c>
      <c r="H30" s="216">
        <f>G30</f>
        <v>619912</v>
      </c>
      <c r="I30" s="216">
        <f t="shared" ref="I30:AS30" si="3">H30</f>
        <v>619912</v>
      </c>
      <c r="J30" s="216">
        <f t="shared" si="3"/>
        <v>619912</v>
      </c>
      <c r="K30" s="216">
        <f t="shared" si="3"/>
        <v>619912</v>
      </c>
      <c r="L30" s="216">
        <f t="shared" si="3"/>
        <v>619912</v>
      </c>
      <c r="M30" s="216">
        <f t="shared" si="3"/>
        <v>619912</v>
      </c>
      <c r="N30" s="216">
        <f t="shared" si="3"/>
        <v>619912</v>
      </c>
      <c r="O30" s="216">
        <f t="shared" si="3"/>
        <v>619912</v>
      </c>
      <c r="P30" s="216">
        <f t="shared" si="3"/>
        <v>619912</v>
      </c>
      <c r="Q30" s="216">
        <f t="shared" si="3"/>
        <v>619912</v>
      </c>
      <c r="R30" s="216">
        <f t="shared" si="3"/>
        <v>619912</v>
      </c>
      <c r="S30" s="216">
        <f t="shared" si="3"/>
        <v>619912</v>
      </c>
      <c r="T30" s="216">
        <f t="shared" si="3"/>
        <v>619912</v>
      </c>
      <c r="U30" s="216">
        <f t="shared" si="3"/>
        <v>619912</v>
      </c>
      <c r="V30" s="216">
        <f t="shared" si="3"/>
        <v>619912</v>
      </c>
      <c r="W30" s="216">
        <f t="shared" si="3"/>
        <v>619912</v>
      </c>
      <c r="X30" s="216">
        <f t="shared" si="3"/>
        <v>619912</v>
      </c>
      <c r="Y30" s="216">
        <f t="shared" si="3"/>
        <v>619912</v>
      </c>
      <c r="Z30" s="216">
        <f t="shared" si="3"/>
        <v>619912</v>
      </c>
      <c r="AA30" s="216">
        <f t="shared" si="3"/>
        <v>619912</v>
      </c>
      <c r="AB30" s="216">
        <f t="shared" si="3"/>
        <v>619912</v>
      </c>
      <c r="AC30" s="216">
        <f t="shared" si="3"/>
        <v>619912</v>
      </c>
      <c r="AD30" s="216">
        <f t="shared" si="3"/>
        <v>619912</v>
      </c>
      <c r="AE30" s="216">
        <f t="shared" si="3"/>
        <v>619912</v>
      </c>
      <c r="AF30" s="216">
        <f t="shared" si="3"/>
        <v>619912</v>
      </c>
      <c r="AG30" s="216">
        <f t="shared" si="3"/>
        <v>619912</v>
      </c>
      <c r="AH30" s="216">
        <f t="shared" si="3"/>
        <v>619912</v>
      </c>
      <c r="AI30" s="216">
        <f t="shared" si="3"/>
        <v>619912</v>
      </c>
      <c r="AJ30" s="216">
        <f t="shared" si="3"/>
        <v>619912</v>
      </c>
      <c r="AK30" s="216">
        <f t="shared" si="3"/>
        <v>619912</v>
      </c>
      <c r="AL30" s="216">
        <f t="shared" si="3"/>
        <v>619912</v>
      </c>
      <c r="AM30" s="216">
        <f t="shared" si="3"/>
        <v>619912</v>
      </c>
      <c r="AN30" s="216">
        <f t="shared" si="3"/>
        <v>619912</v>
      </c>
      <c r="AO30" s="216">
        <f t="shared" si="3"/>
        <v>619912</v>
      </c>
      <c r="AP30" s="216">
        <f t="shared" si="3"/>
        <v>619912</v>
      </c>
      <c r="AQ30" s="216">
        <f t="shared" si="3"/>
        <v>619912</v>
      </c>
      <c r="AR30" s="216">
        <f t="shared" si="3"/>
        <v>619912</v>
      </c>
      <c r="AS30" s="216">
        <f t="shared" si="3"/>
        <v>619912</v>
      </c>
    </row>
    <row r="31" spans="1:45" s="1" customFormat="1" ht="14.6" x14ac:dyDescent="0.4">
      <c r="A31" s="29" t="s">
        <v>223</v>
      </c>
      <c r="B31" s="5"/>
      <c r="C31" s="8"/>
      <c r="D31" s="8"/>
      <c r="E31" s="8"/>
      <c r="F31" s="8">
        <f>'New Depreciation'!B23</f>
        <v>0</v>
      </c>
      <c r="G31" s="8">
        <f>'New Depreciation'!C23</f>
        <v>0</v>
      </c>
      <c r="H31" s="8">
        <f>'New Depreciation'!D23</f>
        <v>585067.63636363647</v>
      </c>
      <c r="I31" s="8">
        <f>'New Depreciation'!E23</f>
        <v>585067.63636363647</v>
      </c>
      <c r="J31" s="8">
        <f>'New Depreciation'!F23</f>
        <v>585067.63636363647</v>
      </c>
      <c r="K31" s="8">
        <f>'New Depreciation'!G23</f>
        <v>585067.63636363647</v>
      </c>
      <c r="L31" s="8">
        <f>'New Depreciation'!H23</f>
        <v>585067.63636363647</v>
      </c>
      <c r="M31" s="8">
        <f>'New Depreciation'!I23</f>
        <v>585067.63636363647</v>
      </c>
      <c r="N31" s="8">
        <f>'New Depreciation'!J23</f>
        <v>585067.63636363647</v>
      </c>
      <c r="O31" s="8">
        <f>'New Depreciation'!K23</f>
        <v>585067.63636363647</v>
      </c>
      <c r="P31" s="8">
        <f>'New Depreciation'!L23</f>
        <v>585067.63636363647</v>
      </c>
      <c r="Q31" s="8">
        <f>'New Depreciation'!M23</f>
        <v>585067.63636363647</v>
      </c>
      <c r="R31" s="8">
        <f>'New Depreciation'!N23</f>
        <v>585067.63636363647</v>
      </c>
      <c r="S31" s="8">
        <f>'New Depreciation'!O23</f>
        <v>585067.63636363647</v>
      </c>
      <c r="T31" s="8">
        <f>'New Depreciation'!P23</f>
        <v>585067.63636363647</v>
      </c>
      <c r="U31" s="8">
        <f>'New Depreciation'!Q23</f>
        <v>585067.63636363647</v>
      </c>
      <c r="V31" s="8">
        <f>'New Depreciation'!R23</f>
        <v>585067.63636363647</v>
      </c>
      <c r="W31" s="8">
        <f>'New Depreciation'!S23</f>
        <v>585067.63636363647</v>
      </c>
      <c r="X31" s="8">
        <f>'New Depreciation'!T23</f>
        <v>585067.63636363647</v>
      </c>
      <c r="Y31" s="8">
        <f>'New Depreciation'!U23</f>
        <v>585067.63636363647</v>
      </c>
      <c r="Z31" s="8">
        <f>'New Depreciation'!V23</f>
        <v>585067.63636363647</v>
      </c>
      <c r="AA31" s="8">
        <f>'New Depreciation'!W23</f>
        <v>585067.63636363647</v>
      </c>
      <c r="AB31" s="8">
        <f>'New Depreciation'!X23</f>
        <v>585067.63636363647</v>
      </c>
      <c r="AC31" s="8">
        <f>'New Depreciation'!Y23</f>
        <v>585067.63636363647</v>
      </c>
      <c r="AD31" s="8">
        <f>'New Depreciation'!Z23</f>
        <v>585067.63636363647</v>
      </c>
      <c r="AE31" s="8">
        <f>'New Depreciation'!AA23</f>
        <v>585067.63636363647</v>
      </c>
      <c r="AF31" s="8">
        <f>'New Depreciation'!AB23</f>
        <v>585067.63636363647</v>
      </c>
      <c r="AG31" s="8">
        <f>'New Depreciation'!AC23</f>
        <v>585067.63636363647</v>
      </c>
      <c r="AH31" s="8">
        <f>'New Depreciation'!AD23</f>
        <v>585067.63636363647</v>
      </c>
      <c r="AI31" s="8">
        <f>'New Depreciation'!AE23</f>
        <v>477165.81818181823</v>
      </c>
      <c r="AJ31" s="8">
        <f>'New Depreciation'!AF23</f>
        <v>1069200.9768367074</v>
      </c>
      <c r="AK31" s="8">
        <f>'New Depreciation'!AG23</f>
        <v>1069200.9768367074</v>
      </c>
      <c r="AL31" s="8">
        <f>'New Depreciation'!AH23</f>
        <v>1069200.9768367074</v>
      </c>
      <c r="AM31" s="8">
        <f>'New Depreciation'!AI23</f>
        <v>1069200.9768367074</v>
      </c>
      <c r="AN31" s="8">
        <f>'New Depreciation'!AJ23</f>
        <v>1069200.9768367074</v>
      </c>
      <c r="AO31" s="8">
        <f>'New Depreciation'!AK23</f>
        <v>1069200.9768367074</v>
      </c>
      <c r="AP31" s="8">
        <f>'New Depreciation'!AL23</f>
        <v>1069200.9768367074</v>
      </c>
      <c r="AQ31" s="8">
        <f>'New Depreciation'!AM23</f>
        <v>1069200.9768367074</v>
      </c>
      <c r="AR31" s="8">
        <f>'New Depreciation'!AN23</f>
        <v>1069200.9768367074</v>
      </c>
      <c r="AS31" s="8">
        <f>'New Depreciation'!AO23</f>
        <v>884568.97683670756</v>
      </c>
    </row>
    <row r="32" spans="1:45" s="1" customFormat="1" ht="17.149999999999999" x14ac:dyDescent="0.4">
      <c r="A32" s="29" t="s">
        <v>245</v>
      </c>
      <c r="B32" s="5"/>
      <c r="C32" s="8"/>
      <c r="D32" s="8"/>
      <c r="E32" s="124"/>
      <c r="F32" s="124">
        <f>'Financial Base'!F29</f>
        <v>80094</v>
      </c>
      <c r="G32" s="13">
        <f>ROUND(F32*(1+'Plan Inputs'!$G$10),0)</f>
        <v>82497</v>
      </c>
      <c r="H32" s="13">
        <f>ROUND(G32*(1+'Plan Inputs'!$G$10),0)</f>
        <v>84972</v>
      </c>
      <c r="I32" s="13">
        <f>ROUND(H32*(1+'Plan Inputs'!$G$10),0)</f>
        <v>87521</v>
      </c>
      <c r="J32" s="13">
        <f>ROUND(I32*(1+'Plan Inputs'!$G$10),0)</f>
        <v>90147</v>
      </c>
      <c r="K32" s="13">
        <f>ROUND(J32*(1+'Plan Inputs'!$G$10),0)</f>
        <v>92851</v>
      </c>
      <c r="L32" s="13">
        <f>ROUND(K32*(1+'Plan Inputs'!$G$10),0)</f>
        <v>95637</v>
      </c>
      <c r="M32" s="13">
        <f>ROUND(L32*(1+'Plan Inputs'!$G$10),0)</f>
        <v>98506</v>
      </c>
      <c r="N32" s="13">
        <f>ROUND(M32*(1+'Plan Inputs'!$G$10),0)</f>
        <v>101461</v>
      </c>
      <c r="O32" s="13">
        <f>ROUND(N32*(1+'Plan Inputs'!$G$10),0)</f>
        <v>104505</v>
      </c>
      <c r="P32" s="13">
        <f>ROUND(O32*(1+'Plan Inputs'!$G$10),0)</f>
        <v>107640</v>
      </c>
      <c r="Q32" s="13">
        <f>ROUND(P32*(1+'Plan Inputs'!$G$10),0)</f>
        <v>110869</v>
      </c>
      <c r="R32" s="13">
        <f>ROUND(Q32*(1+'Plan Inputs'!$G$10),0)</f>
        <v>114195</v>
      </c>
      <c r="S32" s="13">
        <f>ROUND(R32*(1+'Plan Inputs'!$G$10),0)</f>
        <v>117621</v>
      </c>
      <c r="T32" s="13">
        <f>ROUND(S32*(1+'Plan Inputs'!$G$10),0)</f>
        <v>121150</v>
      </c>
      <c r="U32" s="13">
        <f>ROUND(T32*(1+'Plan Inputs'!$G$10),0)</f>
        <v>124785</v>
      </c>
      <c r="V32" s="13">
        <f>ROUND(U32*(1+'Plan Inputs'!$G$10),0)</f>
        <v>128529</v>
      </c>
      <c r="W32" s="13">
        <f>ROUND(V32*(1+'Plan Inputs'!$G$10),0)</f>
        <v>132385</v>
      </c>
      <c r="X32" s="13">
        <f>ROUND(W32*(1+'Plan Inputs'!$G$10),0)</f>
        <v>136357</v>
      </c>
      <c r="Y32" s="13">
        <f>ROUND(X32*(1+'Plan Inputs'!$G$10),0)</f>
        <v>140448</v>
      </c>
      <c r="Z32" s="13">
        <f>ROUND(Y32*(1+'Plan Inputs'!$G$10),0)</f>
        <v>144661</v>
      </c>
      <c r="AA32" s="13">
        <f>ROUND(Z32*(1+'Plan Inputs'!$G$10),0)</f>
        <v>149001</v>
      </c>
      <c r="AB32" s="13">
        <f>ROUND(AA32*(1+'Plan Inputs'!$G$10),0)</f>
        <v>153471</v>
      </c>
      <c r="AC32" s="13">
        <f>ROUND(AB32*(1+'Plan Inputs'!$G$10),0)</f>
        <v>158075</v>
      </c>
      <c r="AD32" s="13">
        <f>ROUND(AC32*(1+'Plan Inputs'!$G$10),0)</f>
        <v>162817</v>
      </c>
      <c r="AE32" s="13">
        <f>ROUND(AD32*(1+'Plan Inputs'!$G$10),0)</f>
        <v>167702</v>
      </c>
      <c r="AF32" s="13">
        <f>ROUND(AE32*(1+'Plan Inputs'!$G$10),0)</f>
        <v>172733</v>
      </c>
      <c r="AG32" s="13">
        <f>ROUND(AF32*(1+'Plan Inputs'!$G$10),0)</f>
        <v>177915</v>
      </c>
      <c r="AH32" s="13">
        <f>ROUND(AG32*(1+'Plan Inputs'!$G$10),0)</f>
        <v>183252</v>
      </c>
      <c r="AI32" s="13">
        <f>ROUND(AH32*(1+'Plan Inputs'!$G$10),0)</f>
        <v>188750</v>
      </c>
      <c r="AJ32" s="13">
        <f>ROUND(AI32*(1+'Plan Inputs'!$G$10),0)</f>
        <v>194413</v>
      </c>
      <c r="AK32" s="13">
        <f>ROUND(AJ32*(1+'Plan Inputs'!$G$10),0)</f>
        <v>200245</v>
      </c>
      <c r="AL32" s="13">
        <f>ROUND(AK32*(1+'Plan Inputs'!$G$10),0)</f>
        <v>206252</v>
      </c>
      <c r="AM32" s="13">
        <f>ROUND(AL32*(1+'Plan Inputs'!$G$10),0)</f>
        <v>212440</v>
      </c>
      <c r="AN32" s="13">
        <f>ROUND(AM32*(1+'Plan Inputs'!$G$10),0)</f>
        <v>218813</v>
      </c>
      <c r="AO32" s="13">
        <f>ROUND(AN32*(1+'Plan Inputs'!$G$10),0)</f>
        <v>225377</v>
      </c>
      <c r="AP32" s="13">
        <f>ROUND(AO32*(1+'Plan Inputs'!$G$10),0)</f>
        <v>232138</v>
      </c>
      <c r="AQ32" s="13">
        <f>ROUND(AP32*(1+'Plan Inputs'!$G$10),0)</f>
        <v>239102</v>
      </c>
      <c r="AR32" s="13">
        <f>ROUND(AQ32*(1+'Plan Inputs'!$G$10),0)</f>
        <v>246275</v>
      </c>
      <c r="AS32" s="13">
        <f>ROUND(AR32*(1+'Plan Inputs'!$G$10),0)</f>
        <v>253663</v>
      </c>
    </row>
    <row r="33" spans="1:45" s="1" customFormat="1" ht="17.149999999999999" x14ac:dyDescent="0.4">
      <c r="A33" s="30" t="s">
        <v>121</v>
      </c>
      <c r="B33" s="5"/>
      <c r="C33" s="5"/>
      <c r="D33" s="5"/>
      <c r="E33" s="25"/>
      <c r="F33" s="7">
        <f>SUM(F29:F32)</f>
        <v>4783375</v>
      </c>
      <c r="G33" s="7">
        <f t="shared" ref="G33" si="4">SUM(G29:G32)</f>
        <v>4939398</v>
      </c>
      <c r="H33" s="7">
        <f t="shared" ref="H33:AS33" si="5">SUM(H29:H32)</f>
        <v>5482971.6363636367</v>
      </c>
      <c r="I33" s="7">
        <f t="shared" si="5"/>
        <v>5647078.6363636367</v>
      </c>
      <c r="J33" s="7">
        <f t="shared" si="5"/>
        <v>5818645.6363636367</v>
      </c>
      <c r="K33" s="7">
        <f t="shared" si="5"/>
        <v>6053725.6363636367</v>
      </c>
      <c r="L33" s="7">
        <f t="shared" si="5"/>
        <v>6240627.6363636367</v>
      </c>
      <c r="M33" s="7">
        <f t="shared" si="5"/>
        <v>6436136.6363636367</v>
      </c>
      <c r="N33" s="7">
        <f t="shared" si="5"/>
        <v>6639552.6363636367</v>
      </c>
      <c r="O33" s="7">
        <f t="shared" si="5"/>
        <v>6852246.6363636367</v>
      </c>
      <c r="P33" s="7">
        <f t="shared" si="5"/>
        <v>7075046.6363636367</v>
      </c>
      <c r="Q33" s="7">
        <f t="shared" si="5"/>
        <v>7312210.6363636367</v>
      </c>
      <c r="R33" s="7">
        <f t="shared" si="5"/>
        <v>7560841.6363636367</v>
      </c>
      <c r="S33" s="7">
        <f t="shared" si="5"/>
        <v>7819360.6363636367</v>
      </c>
      <c r="T33" s="7">
        <f t="shared" si="5"/>
        <v>8090342.6363636367</v>
      </c>
      <c r="U33" s="7">
        <f t="shared" si="5"/>
        <v>8373281.6363636367</v>
      </c>
      <c r="V33" s="7">
        <f t="shared" si="5"/>
        <v>8669043.6363636367</v>
      </c>
      <c r="W33" s="7">
        <f t="shared" si="5"/>
        <v>8978626.6363636367</v>
      </c>
      <c r="X33" s="7">
        <f t="shared" si="5"/>
        <v>9320461.6363636367</v>
      </c>
      <c r="Y33" s="7">
        <f t="shared" si="5"/>
        <v>9682490.6363636367</v>
      </c>
      <c r="Z33" s="7">
        <f t="shared" si="5"/>
        <v>10062804.636363637</v>
      </c>
      <c r="AA33" s="7">
        <f t="shared" si="5"/>
        <v>10460502.636363637</v>
      </c>
      <c r="AB33" s="7">
        <f t="shared" si="5"/>
        <v>10877432.636363637</v>
      </c>
      <c r="AC33" s="7">
        <f t="shared" si="5"/>
        <v>11315383.636363637</v>
      </c>
      <c r="AD33" s="7">
        <f t="shared" si="5"/>
        <v>11775451.636363637</v>
      </c>
      <c r="AE33" s="7">
        <f t="shared" si="5"/>
        <v>12256552.636363637</v>
      </c>
      <c r="AF33" s="7">
        <f t="shared" si="5"/>
        <v>12762092.636363637</v>
      </c>
      <c r="AG33" s="7">
        <f t="shared" si="5"/>
        <v>13292932.636363637</v>
      </c>
      <c r="AH33" s="7">
        <f t="shared" si="5"/>
        <v>13850343.636363637</v>
      </c>
      <c r="AI33" s="7">
        <f t="shared" si="5"/>
        <v>14327014.818181818</v>
      </c>
      <c r="AJ33" s="7">
        <f t="shared" si="5"/>
        <v>15529309.976836707</v>
      </c>
      <c r="AK33" s="7">
        <f t="shared" si="5"/>
        <v>16170208.976836707</v>
      </c>
      <c r="AL33" s="7">
        <f t="shared" si="5"/>
        <v>16843212.976836707</v>
      </c>
      <c r="AM33" s="7">
        <f t="shared" si="5"/>
        <v>17550947.976836707</v>
      </c>
      <c r="AN33" s="7">
        <f t="shared" si="5"/>
        <v>18293903.976836707</v>
      </c>
      <c r="AO33" s="7">
        <f t="shared" si="5"/>
        <v>19073365.976836707</v>
      </c>
      <c r="AP33" s="7">
        <f t="shared" si="5"/>
        <v>19891415.976836707</v>
      </c>
      <c r="AQ33" s="7">
        <f t="shared" si="5"/>
        <v>20749832.976836707</v>
      </c>
      <c r="AR33" s="7">
        <f t="shared" si="5"/>
        <v>21655891.976836707</v>
      </c>
      <c r="AS33" s="7">
        <f t="shared" si="5"/>
        <v>22423433.976836707</v>
      </c>
    </row>
    <row r="34" spans="1:45" s="1" customFormat="1" ht="4.2" customHeight="1" x14ac:dyDescent="0.4">
      <c r="A34" s="30"/>
      <c r="B34" s="5"/>
      <c r="C34" s="5"/>
      <c r="D34" s="5"/>
      <c r="E34" s="5"/>
      <c r="F34" s="5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spans="1:45" s="1" customFormat="1" ht="14.6" x14ac:dyDescent="0.4">
      <c r="A35" s="30" t="s">
        <v>122</v>
      </c>
      <c r="B35" s="5"/>
      <c r="C35" s="5"/>
      <c r="D35" s="5"/>
      <c r="E35" s="5"/>
      <c r="F35" s="5">
        <f t="shared" ref="F35:G35" si="6">F10-F33</f>
        <v>854371</v>
      </c>
      <c r="G35" s="5">
        <f t="shared" si="6"/>
        <v>981260</v>
      </c>
      <c r="H35" s="5">
        <f t="shared" ref="H35:AS35" si="7">H10-H33</f>
        <v>1293590.3636363633</v>
      </c>
      <c r="I35" s="5">
        <f t="shared" si="7"/>
        <v>1672597.3636363633</v>
      </c>
      <c r="J35" s="5">
        <f t="shared" si="7"/>
        <v>1684022.3636363633</v>
      </c>
      <c r="K35" s="5">
        <f t="shared" si="7"/>
        <v>1636510.3636363633</v>
      </c>
      <c r="L35" s="5">
        <f t="shared" si="7"/>
        <v>1641865.3636363633</v>
      </c>
      <c r="M35" s="5">
        <f t="shared" si="7"/>
        <v>1643420.3636363633</v>
      </c>
      <c r="N35" s="5">
        <f t="shared" si="7"/>
        <v>1641993.3636363633</v>
      </c>
      <c r="O35" s="5">
        <f t="shared" si="7"/>
        <v>1636338.3636363633</v>
      </c>
      <c r="P35" s="5">
        <f t="shared" si="7"/>
        <v>1625754.3636363633</v>
      </c>
      <c r="Q35" s="5">
        <f t="shared" si="7"/>
        <v>1606111.3636363633</v>
      </c>
      <c r="R35" s="5">
        <f t="shared" si="7"/>
        <v>1580439.3636363633</v>
      </c>
      <c r="S35" s="5">
        <f t="shared" si="7"/>
        <v>1550454.3636363633</v>
      </c>
      <c r="T35" s="5">
        <f t="shared" si="7"/>
        <v>1513719.3636363633</v>
      </c>
      <c r="U35" s="5">
        <f t="shared" si="7"/>
        <v>1470883.3636363633</v>
      </c>
      <c r="V35" s="5">
        <f t="shared" si="7"/>
        <v>1421226.3636363633</v>
      </c>
      <c r="W35" s="5">
        <f t="shared" si="7"/>
        <v>1363901.3636363633</v>
      </c>
      <c r="X35" s="5">
        <f t="shared" si="7"/>
        <v>1280630.3636363633</v>
      </c>
      <c r="Y35" s="5">
        <f t="shared" si="7"/>
        <v>1183629.3636363633</v>
      </c>
      <c r="Z35" s="5">
        <f t="shared" si="7"/>
        <v>1074969.3636363633</v>
      </c>
      <c r="AA35" s="5">
        <f t="shared" si="7"/>
        <v>955717.3636363633</v>
      </c>
      <c r="AB35" s="5">
        <f t="shared" si="7"/>
        <v>824194.3636363633</v>
      </c>
      <c r="AC35" s="5">
        <f t="shared" si="7"/>
        <v>678784.3636363633</v>
      </c>
      <c r="AD35" s="5">
        <f t="shared" si="7"/>
        <v>518571.3636363633</v>
      </c>
      <c r="AE35" s="5">
        <f t="shared" si="7"/>
        <v>485832.3636363633</v>
      </c>
      <c r="AF35" s="5">
        <f t="shared" si="7"/>
        <v>462444.3636363633</v>
      </c>
      <c r="AG35" s="5">
        <f t="shared" si="7"/>
        <v>438548.3636363633</v>
      </c>
      <c r="AH35" s="5">
        <f t="shared" si="7"/>
        <v>414327.3636363633</v>
      </c>
      <c r="AI35" s="5">
        <f t="shared" si="7"/>
        <v>498637.18181818165</v>
      </c>
      <c r="AJ35" s="5">
        <f t="shared" si="7"/>
        <v>-224569.97683670744</v>
      </c>
      <c r="AK35" s="5">
        <f t="shared" si="7"/>
        <v>462344.02316329256</v>
      </c>
      <c r="AL35" s="5">
        <f t="shared" si="7"/>
        <v>205155.02316329256</v>
      </c>
      <c r="AM35" s="5">
        <f t="shared" si="7"/>
        <v>-76369.976836707443</v>
      </c>
      <c r="AN35" s="5">
        <f t="shared" si="7"/>
        <v>-271323.97683670744</v>
      </c>
      <c r="AO35" s="5">
        <f t="shared" si="7"/>
        <v>-309170.97683670744</v>
      </c>
      <c r="AP35" s="5">
        <f t="shared" si="7"/>
        <v>-343840.97683670744</v>
      </c>
      <c r="AQ35" s="5">
        <f t="shared" si="7"/>
        <v>-380179.97683670744</v>
      </c>
      <c r="AR35" s="5">
        <f t="shared" si="7"/>
        <v>-421334.97683670744</v>
      </c>
      <c r="AS35" s="5">
        <f t="shared" si="7"/>
        <v>-274462.97683670744</v>
      </c>
    </row>
    <row r="36" spans="1:45" s="1" customFormat="1" ht="14.6" x14ac:dyDescent="0.4">
      <c r="A36" s="30"/>
      <c r="B36" s="5"/>
      <c r="C36" s="5"/>
      <c r="D36" s="5"/>
      <c r="E36" s="5"/>
      <c r="F36" s="9"/>
    </row>
    <row r="37" spans="1:45" s="27" customFormat="1" ht="14.6" x14ac:dyDescent="0.4">
      <c r="A37" s="165"/>
      <c r="B37" s="48"/>
      <c r="C37" s="48"/>
      <c r="D37" s="48"/>
      <c r="E37" s="48"/>
      <c r="F37" s="52"/>
      <c r="G37" s="52"/>
      <c r="H37" s="52"/>
      <c r="I37" s="52"/>
      <c r="J37" s="52"/>
      <c r="K37" s="52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s="27" customFormat="1" ht="14.6" x14ac:dyDescent="0.4">
      <c r="A38" s="29"/>
      <c r="F38" s="1"/>
      <c r="G38" s="1"/>
      <c r="H38" s="1"/>
      <c r="I38" s="1"/>
      <c r="J38" s="1"/>
      <c r="K38" s="1"/>
    </row>
    <row r="39" spans="1:45" s="27" customFormat="1" ht="14.6" x14ac:dyDescent="0.4"/>
    <row r="40" spans="1:45" s="27" customFormat="1" ht="18.45" x14ac:dyDescent="0.4">
      <c r="A40" s="226" t="s">
        <v>246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s="27" customFormat="1" ht="18.45" x14ac:dyDescent="0.4">
      <c r="A41" s="226" t="str">
        <f>'Plan Inputs'!$F$2</f>
        <v>2026-2065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s="27" customFormat="1" ht="15.9" x14ac:dyDescent="0.4">
      <c r="A42" s="234" t="s">
        <v>163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s="27" customFormat="1" ht="15.9" x14ac:dyDescent="0.4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45" x14ac:dyDescent="0.4">
      <c r="A44" s="3"/>
      <c r="B44" s="4"/>
      <c r="C44" s="4"/>
      <c r="D44" s="4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45" x14ac:dyDescent="0.4">
      <c r="A45" s="3"/>
      <c r="B45" s="4"/>
      <c r="C45" s="4"/>
      <c r="D45" s="4"/>
      <c r="E45" s="4"/>
      <c r="F45" s="21">
        <f>'Plan Inputs'!F5</f>
        <v>2026</v>
      </c>
      <c r="G45" s="21">
        <f>'Plan Inputs'!G5</f>
        <v>2027</v>
      </c>
      <c r="H45" s="21">
        <f>'Plan Inputs'!H5</f>
        <v>2028</v>
      </c>
      <c r="I45" s="21">
        <f>'Plan Inputs'!I5</f>
        <v>2029</v>
      </c>
      <c r="J45" s="21">
        <f>'Plan Inputs'!J5</f>
        <v>2030</v>
      </c>
      <c r="K45" s="21">
        <f>'Plan Inputs'!K5</f>
        <v>2031</v>
      </c>
      <c r="L45" s="21">
        <f>'Plan Inputs'!L5</f>
        <v>2032</v>
      </c>
      <c r="M45" s="21">
        <f>'Plan Inputs'!M5</f>
        <v>2033</v>
      </c>
      <c r="N45" s="21">
        <f>'Plan Inputs'!N5</f>
        <v>2034</v>
      </c>
      <c r="O45" s="21">
        <f>'Plan Inputs'!O5</f>
        <v>2035</v>
      </c>
      <c r="P45" s="21">
        <f>'Plan Inputs'!P5</f>
        <v>2036</v>
      </c>
      <c r="Q45" s="21">
        <f>'Plan Inputs'!Q5</f>
        <v>2037</v>
      </c>
      <c r="R45" s="21">
        <f>'Plan Inputs'!R5</f>
        <v>2038</v>
      </c>
      <c r="S45" s="21">
        <f>'Plan Inputs'!S5</f>
        <v>2039</v>
      </c>
      <c r="T45" s="21">
        <f>'Plan Inputs'!T5</f>
        <v>2040</v>
      </c>
      <c r="U45" s="21">
        <f>'Plan Inputs'!U5</f>
        <v>2041</v>
      </c>
      <c r="V45" s="21">
        <f>'Plan Inputs'!V5</f>
        <v>2042</v>
      </c>
      <c r="W45" s="21">
        <f>'Plan Inputs'!W5</f>
        <v>2043</v>
      </c>
      <c r="X45" s="21">
        <f>'Plan Inputs'!X5</f>
        <v>2044</v>
      </c>
      <c r="Y45" s="21">
        <f>'Plan Inputs'!Y5</f>
        <v>2045</v>
      </c>
      <c r="Z45" s="21">
        <f>'Plan Inputs'!Z5</f>
        <v>2046</v>
      </c>
      <c r="AA45" s="21">
        <f>'Plan Inputs'!AA5</f>
        <v>2047</v>
      </c>
      <c r="AB45" s="21">
        <f>'Plan Inputs'!AB5</f>
        <v>2048</v>
      </c>
      <c r="AC45" s="21">
        <f>'Plan Inputs'!AC5</f>
        <v>2049</v>
      </c>
      <c r="AD45" s="21">
        <f>'Plan Inputs'!AD5</f>
        <v>2050</v>
      </c>
      <c r="AE45" s="21">
        <f>'Plan Inputs'!AE5</f>
        <v>2051</v>
      </c>
      <c r="AF45" s="21">
        <f>'Plan Inputs'!AF5</f>
        <v>2052</v>
      </c>
      <c r="AG45" s="21">
        <f>'Plan Inputs'!AG5</f>
        <v>2053</v>
      </c>
      <c r="AH45" s="21">
        <f>'Plan Inputs'!AH5</f>
        <v>2054</v>
      </c>
      <c r="AI45" s="21">
        <f>'Plan Inputs'!AI5</f>
        <v>2055</v>
      </c>
      <c r="AJ45" s="21">
        <f>'Plan Inputs'!AJ5</f>
        <v>2056</v>
      </c>
      <c r="AK45" s="21">
        <f>'Plan Inputs'!AK5</f>
        <v>2057</v>
      </c>
      <c r="AL45" s="21">
        <f>'Plan Inputs'!AL5</f>
        <v>2058</v>
      </c>
      <c r="AM45" s="21">
        <f>'Plan Inputs'!AM5</f>
        <v>2059</v>
      </c>
      <c r="AN45" s="21">
        <f>'Plan Inputs'!AN5</f>
        <v>2060</v>
      </c>
      <c r="AO45" s="21">
        <f>'Plan Inputs'!AO5</f>
        <v>2061</v>
      </c>
      <c r="AP45" s="21">
        <f>'Plan Inputs'!AP5</f>
        <v>2062</v>
      </c>
      <c r="AQ45" s="21">
        <f>'Plan Inputs'!AQ5</f>
        <v>2063</v>
      </c>
      <c r="AR45" s="21">
        <f>'Plan Inputs'!AR5</f>
        <v>2064</v>
      </c>
      <c r="AS45" s="21">
        <f>'Plan Inputs'!AS5</f>
        <v>2065</v>
      </c>
    </row>
    <row r="46" spans="1:45" ht="15.45" x14ac:dyDescent="0.4">
      <c r="A46" s="28" t="s">
        <v>95</v>
      </c>
      <c r="B46" s="5"/>
      <c r="C46" s="5"/>
      <c r="D46" s="5"/>
      <c r="E46" s="5"/>
      <c r="F46" s="5"/>
      <c r="G46" s="21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35">
      <c r="A47" s="29" t="s">
        <v>96</v>
      </c>
      <c r="B47" s="23"/>
      <c r="C47" s="5"/>
      <c r="D47" s="5"/>
      <c r="E47" s="5"/>
      <c r="F47" s="8">
        <f>ROUND('Financial Base'!F8*(1+'Demand Inputs'!C$7)+(1+'Plan Inputs'!F$9),0)</f>
        <v>5286425</v>
      </c>
      <c r="G47" s="216">
        <f>ROUND(F47*(1+'Plan Inputs'!G9)*(1+'Demand Inputs'!D7),0)</f>
        <v>5513953</v>
      </c>
      <c r="H47" s="216">
        <f>ROUND(G47*(1+'Plan Inputs'!H9)*(1+'Demand Inputs'!E7),0)</f>
        <v>6306846</v>
      </c>
      <c r="I47" s="216">
        <f>ROUND(H47*(1+'Plan Inputs'!I9)*(1+'Demand Inputs'!F7),0)</f>
        <v>6951295</v>
      </c>
      <c r="J47" s="216">
        <f>ROUND(I47*(1+'Plan Inputs'!J9)*(1+'Demand Inputs'!G7),0)</f>
        <v>7125077</v>
      </c>
      <c r="K47" s="216">
        <f>ROUND(J47*(1+'Plan Inputs'!K9)*(1+'Demand Inputs'!H7),0)</f>
        <v>7303204</v>
      </c>
      <c r="L47" s="216">
        <f>ROUND(K47*(1+'Plan Inputs'!L9)*(1+'Demand Inputs'!I7),0)</f>
        <v>7485784</v>
      </c>
      <c r="M47" s="216">
        <f>ROUND(L47*(1+'Plan Inputs'!M9)*(1+'Demand Inputs'!J7),0)</f>
        <v>7672929</v>
      </c>
      <c r="N47" s="216">
        <f>ROUND(M47*(1+'Plan Inputs'!N9)*(1+'Demand Inputs'!K7),0)</f>
        <v>7864752</v>
      </c>
      <c r="O47" s="216">
        <f>ROUND(N47*(1+'Plan Inputs'!O9)*(1+'Demand Inputs'!L7),0)</f>
        <v>8061371</v>
      </c>
      <c r="P47" s="216">
        <f>ROUND(O47*(1+'Plan Inputs'!P9)*(1+'Demand Inputs'!M7),0)</f>
        <v>8262905</v>
      </c>
      <c r="Q47" s="216">
        <f>ROUND(P47*(1+'Plan Inputs'!Q9)*(1+'Demand Inputs'!N7),0)</f>
        <v>8469478</v>
      </c>
      <c r="R47" s="216">
        <f>ROUND(Q47*(1+'Plan Inputs'!R9)*(1+'Demand Inputs'!O7),0)</f>
        <v>8681215</v>
      </c>
      <c r="S47" s="216">
        <f>ROUND(R47*(1+'Plan Inputs'!S9)*(1+'Demand Inputs'!P7),0)</f>
        <v>8898245</v>
      </c>
      <c r="T47" s="216">
        <f>ROUND(S47*(1+'Plan Inputs'!T9)*(1+'Demand Inputs'!Q7),0)</f>
        <v>9120701</v>
      </c>
      <c r="U47" s="216">
        <f>ROUND(T47*(1+'Plan Inputs'!U9)*(1+'Demand Inputs'!R7),0)</f>
        <v>9348719</v>
      </c>
      <c r="V47" s="216">
        <f>ROUND(U47*(1+'Plan Inputs'!V9)*(1+'Demand Inputs'!S7),0)</f>
        <v>9582437</v>
      </c>
      <c r="W47" s="216">
        <f>ROUND(V47*(1+'Plan Inputs'!W9)*(1+'Demand Inputs'!T7),0)</f>
        <v>9821998</v>
      </c>
      <c r="X47" s="216">
        <f>ROUND(W47*(1+'Plan Inputs'!X9)*(1+'Demand Inputs'!U7),0)</f>
        <v>10067548</v>
      </c>
      <c r="Y47" s="216">
        <f>ROUND(X47*(1+'Plan Inputs'!Y9)*(1+'Demand Inputs'!V7),0)</f>
        <v>10319237</v>
      </c>
      <c r="Z47" s="216">
        <f>ROUND(Y47*(1+'Plan Inputs'!Z9)*(1+'Demand Inputs'!W7),0)</f>
        <v>10577218</v>
      </c>
      <c r="AA47" s="216">
        <f>ROUND(Z47*(1+'Plan Inputs'!AA9)*(1+'Demand Inputs'!X7),0)</f>
        <v>10912119</v>
      </c>
      <c r="AB47" s="216">
        <f>ROUND(AA47*(1+'Plan Inputs'!AB9)*(1+'Demand Inputs'!Y7),0)</f>
        <v>11297890</v>
      </c>
      <c r="AC47" s="216">
        <f>ROUND(AB47*(1+'Plan Inputs'!AC9)*(1+'Demand Inputs'!Z7),0)</f>
        <v>11694983</v>
      </c>
      <c r="AD47" s="216">
        <f>ROUND(AC47*(1+'Plan Inputs'!AD9)*(1+'Demand Inputs'!AA7),0)</f>
        <v>12113225</v>
      </c>
      <c r="AE47" s="216">
        <f>ROUND(AD47*(1+'Plan Inputs'!AE9)*(1+'Demand Inputs'!AB7),0)</f>
        <v>12548907</v>
      </c>
      <c r="AF47" s="216">
        <f>ROUND(AE47*(1+'Plan Inputs'!AF9)*(1+'Demand Inputs'!AC7),0)</f>
        <v>13007977</v>
      </c>
      <c r="AG47" s="216">
        <f>ROUND(AF47*(1+'Plan Inputs'!AG9)*(1+'Demand Inputs'!AD7),0)</f>
        <v>13490508</v>
      </c>
      <c r="AH47" s="216">
        <f>ROUND(AG47*(1+'Plan Inputs'!AH9)*(1+'Demand Inputs'!AE7),0)</f>
        <v>13999235</v>
      </c>
      <c r="AI47" s="216">
        <f>ROUND(AH47*(1+'Plan Inputs'!AI9)*(1+'Demand Inputs'!AF7),0)</f>
        <v>14527146</v>
      </c>
      <c r="AJ47" s="216">
        <f>ROUND(AI47*(1+'Plan Inputs'!AJ9)*(1+'Demand Inputs'!AG7),0)</f>
        <v>15080921</v>
      </c>
      <c r="AK47" s="216">
        <f>ROUND(AJ47*(1+'Plan Inputs'!AK9)*(1+'Demand Inputs'!AH7),0)</f>
        <v>15457944</v>
      </c>
      <c r="AL47" s="216">
        <f>ROUND(AK47*(1+'Plan Inputs'!AL9)*(1+'Demand Inputs'!AI7),0)</f>
        <v>15844393</v>
      </c>
      <c r="AM47" s="216">
        <f>ROUND(AL47*(1+'Plan Inputs'!AM9)*(1+'Demand Inputs'!AJ7),0)</f>
        <v>16240503</v>
      </c>
      <c r="AN47" s="216">
        <f>ROUND(AM47*(1+'Plan Inputs'!AN9)*(1+'Demand Inputs'!AK7),0)</f>
        <v>16646516</v>
      </c>
      <c r="AO47" s="216">
        <f>ROUND(AN47*(1+'Plan Inputs'!AO9)*(1+'Demand Inputs'!AL7),0)</f>
        <v>17062679</v>
      </c>
      <c r="AP47" s="216">
        <f>ROUND(AO47*(1+'Plan Inputs'!AP9)*(1+'Demand Inputs'!AM7),0)</f>
        <v>17741091</v>
      </c>
      <c r="AQ47" s="216">
        <f>ROUND(AP47*(1+'Plan Inputs'!AQ9)*(1+'Demand Inputs'!AN7),0)</f>
        <v>18524671</v>
      </c>
      <c r="AR47" s="216">
        <f>ROUND(AQ47*(1+'Plan Inputs'!AR9)*(1+'Demand Inputs'!AO7),0)</f>
        <v>19340961</v>
      </c>
      <c r="AS47" s="216">
        <f>ROUND(AR47*(1+'Plan Inputs'!AS9)*(1+'Demand Inputs'!AP7),0)</f>
        <v>20197185</v>
      </c>
    </row>
    <row r="48" spans="1:45" ht="18" x14ac:dyDescent="0.7">
      <c r="A48" s="29" t="s">
        <v>241</v>
      </c>
      <c r="B48" s="1"/>
      <c r="C48" s="1"/>
      <c r="D48" s="1"/>
      <c r="E48" s="2"/>
      <c r="F48" s="124">
        <f>ROUND('Financial Base'!F9*(1+'Demand Inputs'!C$7)+(1+'Plan Inputs'!F$9),0)</f>
        <v>351321</v>
      </c>
      <c r="G48" s="13">
        <f>ROUND(F48*(1+'Plan Inputs'!G9)*(1+'Demand Inputs'!D7),0)</f>
        <v>366442</v>
      </c>
      <c r="H48" s="13">
        <f>ROUND(G48*(1+'Plan Inputs'!H9)*(1+'Demand Inputs'!E7),0)</f>
        <v>419135</v>
      </c>
      <c r="I48" s="13">
        <f>ROUND(H48*(1+'Plan Inputs'!I9)*(1+'Demand Inputs'!F7),0)</f>
        <v>461963</v>
      </c>
      <c r="J48" s="13">
        <f>ROUND(I48*(1+'Plan Inputs'!J9)*(1+'Demand Inputs'!G7),0)</f>
        <v>473512</v>
      </c>
      <c r="K48" s="13">
        <f>ROUND(J48*(1+'Plan Inputs'!K9)*(1+'Demand Inputs'!H7),0)</f>
        <v>485350</v>
      </c>
      <c r="L48" s="13">
        <f>ROUND(K48*(1+'Plan Inputs'!L9)*(1+'Demand Inputs'!I7),0)</f>
        <v>497484</v>
      </c>
      <c r="M48" s="13">
        <f>ROUND(L48*(1+'Plan Inputs'!M9)*(1+'Demand Inputs'!J7),0)</f>
        <v>509921</v>
      </c>
      <c r="N48" s="13">
        <f>ROUND(M48*(1+'Plan Inputs'!N9)*(1+'Demand Inputs'!K7),0)</f>
        <v>522669</v>
      </c>
      <c r="O48" s="13">
        <f>ROUND(N48*(1+'Plan Inputs'!O9)*(1+'Demand Inputs'!L7),0)</f>
        <v>535736</v>
      </c>
      <c r="P48" s="13">
        <f>ROUND(O48*(1+'Plan Inputs'!P9)*(1+'Demand Inputs'!M7),0)</f>
        <v>549129</v>
      </c>
      <c r="Q48" s="13">
        <f>ROUND(P48*(1+'Plan Inputs'!Q9)*(1+'Demand Inputs'!N7),0)</f>
        <v>562857</v>
      </c>
      <c r="R48" s="13">
        <f>ROUND(Q48*(1+'Plan Inputs'!R9)*(1+'Demand Inputs'!O7),0)</f>
        <v>576928</v>
      </c>
      <c r="S48" s="13">
        <f>ROUND(R48*(1+'Plan Inputs'!S9)*(1+'Demand Inputs'!P7),0)</f>
        <v>591351</v>
      </c>
      <c r="T48" s="13">
        <f>ROUND(S48*(1+'Plan Inputs'!T9)*(1+'Demand Inputs'!Q7),0)</f>
        <v>606135</v>
      </c>
      <c r="U48" s="13">
        <f>ROUND(T48*(1+'Plan Inputs'!U9)*(1+'Demand Inputs'!R7),0)</f>
        <v>621288</v>
      </c>
      <c r="V48" s="13">
        <f>ROUND(U48*(1+'Plan Inputs'!V9)*(1+'Demand Inputs'!S7),0)</f>
        <v>636820</v>
      </c>
      <c r="W48" s="13">
        <f>ROUND(V48*(1+'Plan Inputs'!W9)*(1+'Demand Inputs'!T7),0)</f>
        <v>652741</v>
      </c>
      <c r="X48" s="13">
        <f>ROUND(W48*(1+'Plan Inputs'!X9)*(1+'Demand Inputs'!U7),0)</f>
        <v>669060</v>
      </c>
      <c r="Y48" s="13">
        <f>ROUND(X48*(1+'Plan Inputs'!Y9)*(1+'Demand Inputs'!V7),0)</f>
        <v>685787</v>
      </c>
      <c r="Z48" s="13">
        <f>ROUND(Y48*(1+'Plan Inputs'!Z9)*(1+'Demand Inputs'!W7),0)</f>
        <v>702932</v>
      </c>
      <c r="AA48" s="13">
        <f>ROUND(Z48*(1+'Plan Inputs'!AA9)*(1+'Demand Inputs'!X7),0)</f>
        <v>725189</v>
      </c>
      <c r="AB48" s="13">
        <f>ROUND(AA48*(1+'Plan Inputs'!AB9)*(1+'Demand Inputs'!Y7),0)</f>
        <v>750826</v>
      </c>
      <c r="AC48" s="13">
        <f>ROUND(AB48*(1+'Plan Inputs'!AC9)*(1+'Demand Inputs'!Z7),0)</f>
        <v>777216</v>
      </c>
      <c r="AD48" s="13">
        <f>ROUND(AC48*(1+'Plan Inputs'!AD9)*(1+'Demand Inputs'!AA7),0)</f>
        <v>805011</v>
      </c>
      <c r="AE48" s="13">
        <f>ROUND(AD48*(1+'Plan Inputs'!AE9)*(1+'Demand Inputs'!AB7),0)</f>
        <v>833965</v>
      </c>
      <c r="AF48" s="13">
        <f>ROUND(AE48*(1+'Plan Inputs'!AF9)*(1+'Demand Inputs'!AC7),0)</f>
        <v>864474</v>
      </c>
      <c r="AG48" s="13">
        <f>ROUND(AF48*(1+'Plan Inputs'!AG9)*(1+'Demand Inputs'!AD7),0)</f>
        <v>896542</v>
      </c>
      <c r="AH48" s="13">
        <f>ROUND(AG48*(1+'Plan Inputs'!AH9)*(1+'Demand Inputs'!AE7),0)</f>
        <v>930351</v>
      </c>
      <c r="AI48" s="13">
        <f>ROUND(AH48*(1+'Plan Inputs'!AI9)*(1+'Demand Inputs'!AF7),0)</f>
        <v>965435</v>
      </c>
      <c r="AJ48" s="13">
        <f>ROUND(AI48*(1+'Plan Inputs'!AJ9)*(1+'Demand Inputs'!AG7),0)</f>
        <v>1002237</v>
      </c>
      <c r="AK48" s="13">
        <f>ROUND(AJ48*(1+'Plan Inputs'!AK9)*(1+'Demand Inputs'!AH7),0)</f>
        <v>1027293</v>
      </c>
      <c r="AL48" s="13">
        <f>ROUND(AK48*(1+'Plan Inputs'!AL9)*(1+'Demand Inputs'!AI7),0)</f>
        <v>1052975</v>
      </c>
      <c r="AM48" s="13">
        <f>ROUND(AL48*(1+'Plan Inputs'!AM9)*(1+'Demand Inputs'!AJ7),0)</f>
        <v>1079299</v>
      </c>
      <c r="AN48" s="13">
        <f>ROUND(AM48*(1+'Plan Inputs'!AN9)*(1+'Demand Inputs'!AK7),0)</f>
        <v>1106281</v>
      </c>
      <c r="AO48" s="13">
        <f>ROUND(AN48*(1+'Plan Inputs'!AO9)*(1+'Demand Inputs'!AL7),0)</f>
        <v>1133938</v>
      </c>
      <c r="AP48" s="13">
        <f>ROUND(AO48*(1+'Plan Inputs'!AP9)*(1+'Demand Inputs'!AM7),0)</f>
        <v>1179023</v>
      </c>
      <c r="AQ48" s="13">
        <f>ROUND(AP48*(1+'Plan Inputs'!AQ9)*(1+'Demand Inputs'!AN7),0)</f>
        <v>1231097</v>
      </c>
      <c r="AR48" s="13">
        <f>ROUND(AQ48*(1+'Plan Inputs'!AR9)*(1+'Demand Inputs'!AO7),0)</f>
        <v>1285345</v>
      </c>
      <c r="AS48" s="13">
        <f>ROUND(AR48*(1+'Plan Inputs'!AS9)*(1+'Demand Inputs'!AP7),0)</f>
        <v>1342247</v>
      </c>
    </row>
    <row r="49" spans="1:45" x14ac:dyDescent="0.35">
      <c r="A49" s="30" t="s">
        <v>101</v>
      </c>
      <c r="B49" s="5"/>
      <c r="C49" s="5"/>
      <c r="D49" s="5"/>
      <c r="E49" s="5"/>
      <c r="F49" s="8">
        <f>SUM(F47:F48)</f>
        <v>5637746</v>
      </c>
      <c r="G49" s="5">
        <f t="shared" ref="G49:AS49" si="8">SUM(G47:G48)</f>
        <v>5880395</v>
      </c>
      <c r="H49" s="5">
        <f t="shared" si="8"/>
        <v>6725981</v>
      </c>
      <c r="I49" s="5">
        <f t="shared" si="8"/>
        <v>7413258</v>
      </c>
      <c r="J49" s="5">
        <f t="shared" si="8"/>
        <v>7598589</v>
      </c>
      <c r="K49" s="5">
        <f t="shared" si="8"/>
        <v>7788554</v>
      </c>
      <c r="L49" s="5">
        <f t="shared" si="8"/>
        <v>7983268</v>
      </c>
      <c r="M49" s="5">
        <f t="shared" si="8"/>
        <v>8182850</v>
      </c>
      <c r="N49" s="5">
        <f t="shared" si="8"/>
        <v>8387421</v>
      </c>
      <c r="O49" s="5">
        <f t="shared" si="8"/>
        <v>8597107</v>
      </c>
      <c r="P49" s="5">
        <f t="shared" si="8"/>
        <v>8812034</v>
      </c>
      <c r="Q49" s="5">
        <f t="shared" si="8"/>
        <v>9032335</v>
      </c>
      <c r="R49" s="5">
        <f t="shared" si="8"/>
        <v>9258143</v>
      </c>
      <c r="S49" s="5">
        <f t="shared" si="8"/>
        <v>9489596</v>
      </c>
      <c r="T49" s="5">
        <f t="shared" si="8"/>
        <v>9726836</v>
      </c>
      <c r="U49" s="5">
        <f t="shared" si="8"/>
        <v>9970007</v>
      </c>
      <c r="V49" s="5">
        <f t="shared" si="8"/>
        <v>10219257</v>
      </c>
      <c r="W49" s="5">
        <f t="shared" si="8"/>
        <v>10474739</v>
      </c>
      <c r="X49" s="5">
        <f t="shared" si="8"/>
        <v>10736608</v>
      </c>
      <c r="Y49" s="5">
        <f t="shared" si="8"/>
        <v>11005024</v>
      </c>
      <c r="Z49" s="5">
        <f t="shared" si="8"/>
        <v>11280150</v>
      </c>
      <c r="AA49" s="5">
        <f t="shared" si="8"/>
        <v>11637308</v>
      </c>
      <c r="AB49" s="5">
        <f t="shared" si="8"/>
        <v>12048716</v>
      </c>
      <c r="AC49" s="5">
        <f t="shared" si="8"/>
        <v>12472199</v>
      </c>
      <c r="AD49" s="5">
        <f t="shared" si="8"/>
        <v>12918236</v>
      </c>
      <c r="AE49" s="5">
        <f t="shared" si="8"/>
        <v>13382872</v>
      </c>
      <c r="AF49" s="5">
        <f t="shared" si="8"/>
        <v>13872451</v>
      </c>
      <c r="AG49" s="5">
        <f t="shared" si="8"/>
        <v>14387050</v>
      </c>
      <c r="AH49" s="5">
        <f t="shared" si="8"/>
        <v>14929586</v>
      </c>
      <c r="AI49" s="5">
        <f t="shared" si="8"/>
        <v>15492581</v>
      </c>
      <c r="AJ49" s="5">
        <f t="shared" si="8"/>
        <v>16083158</v>
      </c>
      <c r="AK49" s="5">
        <f t="shared" si="8"/>
        <v>16485237</v>
      </c>
      <c r="AL49" s="5">
        <f t="shared" si="8"/>
        <v>16897368</v>
      </c>
      <c r="AM49" s="5">
        <f t="shared" si="8"/>
        <v>17319802</v>
      </c>
      <c r="AN49" s="5">
        <f t="shared" si="8"/>
        <v>17752797</v>
      </c>
      <c r="AO49" s="5">
        <f t="shared" si="8"/>
        <v>18196617</v>
      </c>
      <c r="AP49" s="5">
        <f t="shared" si="8"/>
        <v>18920114</v>
      </c>
      <c r="AQ49" s="5">
        <f t="shared" si="8"/>
        <v>19755768</v>
      </c>
      <c r="AR49" s="5">
        <f t="shared" si="8"/>
        <v>20626306</v>
      </c>
      <c r="AS49" s="5">
        <f t="shared" si="8"/>
        <v>21539432</v>
      </c>
    </row>
    <row r="50" spans="1:45" x14ac:dyDescent="0.35">
      <c r="A50" s="30"/>
      <c r="B50" s="5"/>
      <c r="C50" s="5"/>
      <c r="D50" s="5"/>
      <c r="E50" s="5"/>
      <c r="F50" s="5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spans="1:45" x14ac:dyDescent="0.35">
      <c r="A51" s="28" t="s">
        <v>102</v>
      </c>
      <c r="B51" s="5"/>
      <c r="C51" s="5"/>
      <c r="D51" s="5"/>
      <c r="E51" s="5"/>
      <c r="F51" s="5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spans="1:45" ht="15.45" x14ac:dyDescent="0.4">
      <c r="A52" s="31" t="s">
        <v>103</v>
      </c>
      <c r="B52" s="9"/>
      <c r="C52" s="9"/>
      <c r="D52" s="9"/>
      <c r="E52" s="9"/>
      <c r="F52" s="5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spans="1:45" ht="15.45" x14ac:dyDescent="0.4">
      <c r="A53" s="31"/>
      <c r="B53" s="67" t="s">
        <v>104</v>
      </c>
      <c r="C53" s="9"/>
      <c r="D53" s="9"/>
      <c r="E53" s="9"/>
      <c r="F53" s="5">
        <f>ROUND('Financial Base'!F14*(1+'Plan Inputs'!F$10),0)</f>
        <v>154820</v>
      </c>
      <c r="G53" s="216">
        <f>ROUND(F53*(1+'Plan Inputs'!G$10),0)</f>
        <v>159465</v>
      </c>
      <c r="H53" s="216">
        <v>0</v>
      </c>
      <c r="I53" s="216">
        <f>ROUND(H53*(1+'Plan Inputs'!I$10),0)</f>
        <v>0</v>
      </c>
      <c r="J53" s="216">
        <f>ROUND(I53*(1+'Plan Inputs'!J$10),0)</f>
        <v>0</v>
      </c>
      <c r="K53" s="216">
        <f>ROUND(J53*(1+'Plan Inputs'!K$10),0)</f>
        <v>0</v>
      </c>
      <c r="L53" s="216">
        <f>ROUND(K53*(1+'Plan Inputs'!L$10),0)</f>
        <v>0</v>
      </c>
      <c r="M53" s="216">
        <f>ROUND(L53*(1+'Plan Inputs'!M$10),0)</f>
        <v>0</v>
      </c>
      <c r="N53" s="216">
        <f>ROUND(M53*(1+'Plan Inputs'!N$10),0)</f>
        <v>0</v>
      </c>
      <c r="O53" s="216">
        <f>ROUND(N53*(1+'Plan Inputs'!O$10),0)</f>
        <v>0</v>
      </c>
      <c r="P53" s="216">
        <f>ROUND(O53*(1+'Plan Inputs'!P$10),0)</f>
        <v>0</v>
      </c>
      <c r="Q53" s="216">
        <f>ROUND(P53*(1+'Plan Inputs'!Q$10),0)</f>
        <v>0</v>
      </c>
      <c r="R53" s="216">
        <f>ROUND(Q53*(1+'Plan Inputs'!R$10),0)</f>
        <v>0</v>
      </c>
      <c r="S53" s="216">
        <f>ROUND(R53*(1+'Plan Inputs'!S$10),0)</f>
        <v>0</v>
      </c>
      <c r="T53" s="216">
        <f>ROUND(S53*(1+'Plan Inputs'!T$10),0)</f>
        <v>0</v>
      </c>
      <c r="U53" s="216">
        <f>ROUND(T53*(1+'Plan Inputs'!U$10),0)</f>
        <v>0</v>
      </c>
      <c r="V53" s="216">
        <f>ROUND(U53*(1+'Plan Inputs'!V$10),0)</f>
        <v>0</v>
      </c>
      <c r="W53" s="216">
        <f>ROUND(V53*(1+'Plan Inputs'!W$10),0)</f>
        <v>0</v>
      </c>
      <c r="X53" s="216">
        <f>ROUND(W53*(1+'Plan Inputs'!X$10),0)</f>
        <v>0</v>
      </c>
      <c r="Y53" s="216">
        <f>ROUND(X53*(1+'Plan Inputs'!Y$10),0)</f>
        <v>0</v>
      </c>
      <c r="Z53" s="216">
        <f>ROUND(Y53*(1+'Plan Inputs'!Z$10),0)</f>
        <v>0</v>
      </c>
      <c r="AA53" s="216">
        <f>ROUND(Z53*(1+'Plan Inputs'!AA$10),0)</f>
        <v>0</v>
      </c>
      <c r="AB53" s="216">
        <f>ROUND(AA53*(1+'Plan Inputs'!AB$10),0)</f>
        <v>0</v>
      </c>
      <c r="AC53" s="216">
        <f>ROUND(AB53*(1+'Plan Inputs'!AC$10),0)</f>
        <v>0</v>
      </c>
      <c r="AD53" s="216">
        <f>ROUND(AC53*(1+'Plan Inputs'!AD$10),0)</f>
        <v>0</v>
      </c>
      <c r="AE53" s="216">
        <f>ROUND(AD53*(1+'Plan Inputs'!AE$10),0)</f>
        <v>0</v>
      </c>
      <c r="AF53" s="216">
        <f>ROUND(AE53*(1+'Plan Inputs'!AF$10),0)</f>
        <v>0</v>
      </c>
      <c r="AG53" s="216">
        <f>ROUND(AF53*(1+'Plan Inputs'!AG$10),0)</f>
        <v>0</v>
      </c>
      <c r="AH53" s="216">
        <f>ROUND(AG53*(1+'Plan Inputs'!AH$10),0)</f>
        <v>0</v>
      </c>
      <c r="AI53" s="216">
        <f>ROUND(AH53*(1+'Plan Inputs'!AI$10),0)</f>
        <v>0</v>
      </c>
      <c r="AJ53" s="216">
        <f>ROUND(AI53*(1+'Plan Inputs'!AJ$10),0)</f>
        <v>0</v>
      </c>
      <c r="AK53" s="216">
        <f>ROUND(AJ53*(1+'Plan Inputs'!AK$10),0)</f>
        <v>0</v>
      </c>
      <c r="AL53" s="216">
        <f>ROUND(AK53*(1+'Plan Inputs'!AL$10),0)</f>
        <v>0</v>
      </c>
      <c r="AM53" s="216">
        <f>ROUND(AL53*(1+'Plan Inputs'!AM$10),0)</f>
        <v>0</v>
      </c>
      <c r="AN53" s="216">
        <f>ROUND(AM53*(1+'Plan Inputs'!AN$10),0)</f>
        <v>0</v>
      </c>
      <c r="AO53" s="216">
        <f>ROUND(AN53*(1+'Plan Inputs'!AO$10),0)</f>
        <v>0</v>
      </c>
      <c r="AP53" s="216">
        <f>ROUND(AO53*(1+'Plan Inputs'!AP$10),0)</f>
        <v>0</v>
      </c>
      <c r="AQ53" s="216">
        <f>ROUND(AP53*(1+'Plan Inputs'!AQ$10),0)</f>
        <v>0</v>
      </c>
      <c r="AR53" s="216">
        <f>ROUND(AQ53*(1+'Plan Inputs'!AR$10),0)</f>
        <v>0</v>
      </c>
      <c r="AS53" s="216">
        <f>ROUND(AR53*(1+'Plan Inputs'!AS$10),0)</f>
        <v>0</v>
      </c>
    </row>
    <row r="54" spans="1:45" ht="15.45" x14ac:dyDescent="0.4">
      <c r="A54" s="31"/>
      <c r="B54" s="67" t="s">
        <v>106</v>
      </c>
      <c r="C54" s="9"/>
      <c r="D54" s="9"/>
      <c r="E54" s="9"/>
      <c r="F54" s="5">
        <f>'Water Purchase Costs'!F48</f>
        <v>439038</v>
      </c>
      <c r="G54" s="5">
        <f>'Water Purchase Costs'!G48</f>
        <v>460817</v>
      </c>
      <c r="H54" s="5">
        <f>'Water Purchase Costs'!H48</f>
        <v>139065</v>
      </c>
      <c r="I54" s="5">
        <f>'Water Purchase Costs'!I48</f>
        <v>143080</v>
      </c>
      <c r="J54" s="5">
        <f>'Water Purchase Costs'!J48</f>
        <v>147460</v>
      </c>
      <c r="K54" s="5">
        <f>'Water Purchase Costs'!K48</f>
        <v>151840</v>
      </c>
      <c r="L54" s="5">
        <f>'Water Purchase Costs'!L48</f>
        <v>156220</v>
      </c>
      <c r="M54" s="5">
        <f>'Water Purchase Costs'!M48</f>
        <v>160965</v>
      </c>
      <c r="N54" s="5">
        <f>'Water Purchase Costs'!N48</f>
        <v>165710</v>
      </c>
      <c r="O54" s="5">
        <f>'Water Purchase Costs'!O48</f>
        <v>170820</v>
      </c>
      <c r="P54" s="5">
        <f>'Water Purchase Costs'!P48</f>
        <v>175930</v>
      </c>
      <c r="Q54" s="5">
        <f>'Water Purchase Costs'!Q48</f>
        <v>181040</v>
      </c>
      <c r="R54" s="5">
        <f>'Water Purchase Costs'!R48</f>
        <v>186515</v>
      </c>
      <c r="S54" s="5">
        <f>'Water Purchase Costs'!S48</f>
        <v>191990</v>
      </c>
      <c r="T54" s="5">
        <f>'Water Purchase Costs'!T48</f>
        <v>197830</v>
      </c>
      <c r="U54" s="5">
        <f>'Water Purchase Costs'!U48</f>
        <v>203670</v>
      </c>
      <c r="V54" s="5">
        <f>'Water Purchase Costs'!V48</f>
        <v>209875</v>
      </c>
      <c r="W54" s="5">
        <f>'Water Purchase Costs'!W48</f>
        <v>216080</v>
      </c>
      <c r="X54" s="5">
        <f>'Water Purchase Costs'!X48</f>
        <v>222650</v>
      </c>
      <c r="Y54" s="5">
        <f>'Water Purchase Costs'!Y48</f>
        <v>229220</v>
      </c>
      <c r="Z54" s="5">
        <f>'Water Purchase Costs'!Z48</f>
        <v>236155</v>
      </c>
      <c r="AA54" s="5">
        <f>'Water Purchase Costs'!AA48</f>
        <v>243090</v>
      </c>
      <c r="AB54" s="5">
        <f>'Water Purchase Costs'!AB48</f>
        <v>250390</v>
      </c>
      <c r="AC54" s="5">
        <f>'Water Purchase Costs'!AC48</f>
        <v>258055</v>
      </c>
      <c r="AD54" s="5">
        <f>'Water Purchase Costs'!AD48</f>
        <v>265720</v>
      </c>
      <c r="AE54" s="5">
        <f>'Water Purchase Costs'!AE48</f>
        <v>273750</v>
      </c>
      <c r="AF54" s="5">
        <f>'Water Purchase Costs'!AF48</f>
        <v>282145</v>
      </c>
      <c r="AG54" s="5">
        <f>'Water Purchase Costs'!AG48</f>
        <v>290540</v>
      </c>
      <c r="AH54" s="5">
        <f>'Water Purchase Costs'!AH48</f>
        <v>299300</v>
      </c>
      <c r="AI54" s="5">
        <f>'Water Purchase Costs'!AI48</f>
        <v>308425</v>
      </c>
      <c r="AJ54" s="5">
        <f>'Water Purchase Costs'!AJ48</f>
        <v>317550</v>
      </c>
      <c r="AK54" s="5">
        <f>'Water Purchase Costs'!AK48</f>
        <v>327040</v>
      </c>
      <c r="AL54" s="5">
        <f>'Water Purchase Costs'!AL48</f>
        <v>336895</v>
      </c>
      <c r="AM54" s="5">
        <f>'Water Purchase Costs'!AM48</f>
        <v>347115</v>
      </c>
      <c r="AN54" s="5">
        <f>'Water Purchase Costs'!AN48</f>
        <v>357700</v>
      </c>
      <c r="AO54" s="5">
        <f>'Water Purchase Costs'!AO48</f>
        <v>368285</v>
      </c>
      <c r="AP54" s="5">
        <f>'Water Purchase Costs'!AP48</f>
        <v>379235</v>
      </c>
      <c r="AQ54" s="5">
        <f>'Water Purchase Costs'!AQ48</f>
        <v>390550</v>
      </c>
      <c r="AR54" s="5">
        <f>'Water Purchase Costs'!AR48</f>
        <v>402230</v>
      </c>
      <c r="AS54" s="5">
        <f>'Water Purchase Costs'!AS48</f>
        <v>414275</v>
      </c>
    </row>
    <row r="55" spans="1:45" ht="15.45" x14ac:dyDescent="0.4">
      <c r="A55" s="31"/>
      <c r="B55" s="67" t="s">
        <v>107</v>
      </c>
      <c r="C55" s="9"/>
      <c r="D55" s="9"/>
      <c r="E55" s="9"/>
      <c r="F55" s="5">
        <f>'Water Purchase Costs'!F49</f>
        <v>308353</v>
      </c>
      <c r="G55" s="5">
        <f>'Water Purchase Costs'!G49</f>
        <v>323284</v>
      </c>
      <c r="H55" s="5">
        <f>'Water Purchase Costs'!H49</f>
        <v>170820</v>
      </c>
      <c r="I55" s="5">
        <f>'Water Purchase Costs'!I49</f>
        <v>175930</v>
      </c>
      <c r="J55" s="5">
        <f>'Water Purchase Costs'!J49</f>
        <v>181040</v>
      </c>
      <c r="K55" s="5">
        <f>'Water Purchase Costs'!K49</f>
        <v>186515</v>
      </c>
      <c r="L55" s="5">
        <f>'Water Purchase Costs'!L49</f>
        <v>191990</v>
      </c>
      <c r="M55" s="5">
        <f>'Water Purchase Costs'!M49</f>
        <v>197830</v>
      </c>
      <c r="N55" s="5">
        <f>'Water Purchase Costs'!N49</f>
        <v>203670</v>
      </c>
      <c r="O55" s="5">
        <f>'Water Purchase Costs'!O49</f>
        <v>209875</v>
      </c>
      <c r="P55" s="5">
        <f>'Water Purchase Costs'!P49</f>
        <v>216080</v>
      </c>
      <c r="Q55" s="5">
        <f>'Water Purchase Costs'!Q49</f>
        <v>222650</v>
      </c>
      <c r="R55" s="5">
        <f>'Water Purchase Costs'!R49</f>
        <v>229220</v>
      </c>
      <c r="S55" s="5">
        <f>'Water Purchase Costs'!S49</f>
        <v>236155</v>
      </c>
      <c r="T55" s="5">
        <f>'Water Purchase Costs'!T49</f>
        <v>243090</v>
      </c>
      <c r="U55" s="5">
        <f>'Water Purchase Costs'!U49</f>
        <v>250390</v>
      </c>
      <c r="V55" s="5">
        <f>'Water Purchase Costs'!V49</f>
        <v>258055</v>
      </c>
      <c r="W55" s="5">
        <f>'Water Purchase Costs'!W49</f>
        <v>265720</v>
      </c>
      <c r="X55" s="5">
        <f>'Water Purchase Costs'!X49</f>
        <v>273750</v>
      </c>
      <c r="Y55" s="5">
        <f>'Water Purchase Costs'!Y49</f>
        <v>282145</v>
      </c>
      <c r="Z55" s="5">
        <f>'Water Purchase Costs'!Z49</f>
        <v>290540</v>
      </c>
      <c r="AA55" s="5">
        <f>'Water Purchase Costs'!AA49</f>
        <v>299300</v>
      </c>
      <c r="AB55" s="5">
        <f>'Water Purchase Costs'!AB49</f>
        <v>308425</v>
      </c>
      <c r="AC55" s="5">
        <f>'Water Purchase Costs'!AC49</f>
        <v>317550</v>
      </c>
      <c r="AD55" s="5">
        <f>'Water Purchase Costs'!AD49</f>
        <v>327040</v>
      </c>
      <c r="AE55" s="5">
        <f>'Water Purchase Costs'!AE49</f>
        <v>336895</v>
      </c>
      <c r="AF55" s="5">
        <f>'Water Purchase Costs'!AF49</f>
        <v>347115</v>
      </c>
      <c r="AG55" s="5">
        <f>'Water Purchase Costs'!AG49</f>
        <v>357700</v>
      </c>
      <c r="AH55" s="5">
        <f>'Water Purchase Costs'!AH49</f>
        <v>368285</v>
      </c>
      <c r="AI55" s="5">
        <f>'Water Purchase Costs'!AI49</f>
        <v>379235</v>
      </c>
      <c r="AJ55" s="5">
        <f>'Water Purchase Costs'!AJ49</f>
        <v>390550</v>
      </c>
      <c r="AK55" s="5">
        <f>'Water Purchase Costs'!AK49</f>
        <v>402230</v>
      </c>
      <c r="AL55" s="5">
        <f>'Water Purchase Costs'!AL49</f>
        <v>414275</v>
      </c>
      <c r="AM55" s="5">
        <f>'Water Purchase Costs'!AM49</f>
        <v>426685</v>
      </c>
      <c r="AN55" s="5">
        <f>'Water Purchase Costs'!AN49</f>
        <v>439460</v>
      </c>
      <c r="AO55" s="5">
        <f>'Water Purchase Costs'!AO49</f>
        <v>452600</v>
      </c>
      <c r="AP55" s="5">
        <f>'Water Purchase Costs'!AP49</f>
        <v>466105</v>
      </c>
      <c r="AQ55" s="5">
        <f>'Water Purchase Costs'!AQ49</f>
        <v>479975</v>
      </c>
      <c r="AR55" s="5">
        <f>'Water Purchase Costs'!AR49</f>
        <v>494210</v>
      </c>
      <c r="AS55" s="5">
        <f>'Water Purchase Costs'!AS49</f>
        <v>509175</v>
      </c>
    </row>
    <row r="56" spans="1:45" ht="15.45" x14ac:dyDescent="0.4">
      <c r="A56" s="31"/>
      <c r="B56" s="67" t="s">
        <v>108</v>
      </c>
      <c r="C56" s="9"/>
      <c r="D56" s="9"/>
      <c r="E56" s="9"/>
      <c r="F56" s="5">
        <f>'Water Purchase Costs'!F50</f>
        <v>58182</v>
      </c>
      <c r="G56" s="5">
        <f>'Water Purchase Costs'!G50</f>
        <v>60988</v>
      </c>
      <c r="H56" s="5">
        <f>'Water Purchase Costs'!H50</f>
        <v>0</v>
      </c>
      <c r="I56" s="5">
        <f>'Water Purchase Costs'!I50</f>
        <v>0</v>
      </c>
      <c r="J56" s="5">
        <f>'Water Purchase Costs'!J50</f>
        <v>0</v>
      </c>
      <c r="K56" s="5">
        <f>'Water Purchase Costs'!K50</f>
        <v>0</v>
      </c>
      <c r="L56" s="5">
        <f>'Water Purchase Costs'!L50</f>
        <v>0</v>
      </c>
      <c r="M56" s="5">
        <f>'Water Purchase Costs'!M50</f>
        <v>0</v>
      </c>
      <c r="N56" s="5">
        <f>'Water Purchase Costs'!N50</f>
        <v>0</v>
      </c>
      <c r="O56" s="5">
        <f>'Water Purchase Costs'!O50</f>
        <v>0</v>
      </c>
      <c r="P56" s="5">
        <f>'Water Purchase Costs'!P50</f>
        <v>0</v>
      </c>
      <c r="Q56" s="5">
        <f>'Water Purchase Costs'!Q50</f>
        <v>0</v>
      </c>
      <c r="R56" s="5">
        <f>'Water Purchase Costs'!R50</f>
        <v>0</v>
      </c>
      <c r="S56" s="5">
        <f>'Water Purchase Costs'!S50</f>
        <v>0</v>
      </c>
      <c r="T56" s="5">
        <f>'Water Purchase Costs'!T50</f>
        <v>0</v>
      </c>
      <c r="U56" s="5">
        <f>'Water Purchase Costs'!U50</f>
        <v>0</v>
      </c>
      <c r="V56" s="5">
        <f>'Water Purchase Costs'!V50</f>
        <v>0</v>
      </c>
      <c r="W56" s="5">
        <f>'Water Purchase Costs'!W50</f>
        <v>0</v>
      </c>
      <c r="X56" s="5">
        <f>'Water Purchase Costs'!X50</f>
        <v>0</v>
      </c>
      <c r="Y56" s="5">
        <f>'Water Purchase Costs'!Y50</f>
        <v>0</v>
      </c>
      <c r="Z56" s="5">
        <f>'Water Purchase Costs'!Z50</f>
        <v>0</v>
      </c>
      <c r="AA56" s="5">
        <f>'Water Purchase Costs'!AA50</f>
        <v>0</v>
      </c>
      <c r="AB56" s="5">
        <f>'Water Purchase Costs'!AB50</f>
        <v>0</v>
      </c>
      <c r="AC56" s="5">
        <f>'Water Purchase Costs'!AC50</f>
        <v>0</v>
      </c>
      <c r="AD56" s="5">
        <f>'Water Purchase Costs'!AD50</f>
        <v>0</v>
      </c>
      <c r="AE56" s="5">
        <f>'Water Purchase Costs'!AE50</f>
        <v>0</v>
      </c>
      <c r="AF56" s="5">
        <f>'Water Purchase Costs'!AF50</f>
        <v>0</v>
      </c>
      <c r="AG56" s="5">
        <f>'Water Purchase Costs'!AG50</f>
        <v>0</v>
      </c>
      <c r="AH56" s="5">
        <f>'Water Purchase Costs'!AH50</f>
        <v>0</v>
      </c>
      <c r="AI56" s="5">
        <f>'Water Purchase Costs'!AI50</f>
        <v>0</v>
      </c>
      <c r="AJ56" s="5">
        <f>'Water Purchase Costs'!AJ50</f>
        <v>0</v>
      </c>
      <c r="AK56" s="5">
        <f>'Water Purchase Costs'!AK50</f>
        <v>0</v>
      </c>
      <c r="AL56" s="5">
        <f>'Water Purchase Costs'!AL50</f>
        <v>0</v>
      </c>
      <c r="AM56" s="5">
        <f>'Water Purchase Costs'!AM50</f>
        <v>0</v>
      </c>
      <c r="AN56" s="5">
        <f>'Water Purchase Costs'!AN50</f>
        <v>0</v>
      </c>
      <c r="AO56" s="5">
        <f>'Water Purchase Costs'!AO50</f>
        <v>0</v>
      </c>
      <c r="AP56" s="5">
        <f>'Water Purchase Costs'!AP50</f>
        <v>0</v>
      </c>
      <c r="AQ56" s="5">
        <f>'Water Purchase Costs'!AQ50</f>
        <v>0</v>
      </c>
      <c r="AR56" s="5">
        <f>'Water Purchase Costs'!AR50</f>
        <v>0</v>
      </c>
      <c r="AS56" s="5">
        <f>'Water Purchase Costs'!AS50</f>
        <v>0</v>
      </c>
    </row>
    <row r="57" spans="1:45" ht="15.45" x14ac:dyDescent="0.4">
      <c r="A57" s="31"/>
      <c r="B57" s="67" t="s">
        <v>109</v>
      </c>
      <c r="C57" s="9"/>
      <c r="D57" s="9"/>
      <c r="E57" s="9"/>
      <c r="F57" s="5">
        <f>'Water Purchase Costs'!F51</f>
        <v>850351</v>
      </c>
      <c r="G57" s="5">
        <f>'Water Purchase Costs'!G51</f>
        <v>891630</v>
      </c>
      <c r="H57" s="5">
        <f>'Water Purchase Costs'!H51</f>
        <v>549690</v>
      </c>
      <c r="I57" s="5">
        <f>'Water Purchase Costs'!I51</f>
        <v>566115</v>
      </c>
      <c r="J57" s="5">
        <f>'Water Purchase Costs'!J51</f>
        <v>583635</v>
      </c>
      <c r="K57" s="5">
        <f>'Water Purchase Costs'!K51</f>
        <v>601155</v>
      </c>
      <c r="L57" s="5">
        <f>'Water Purchase Costs'!L51</f>
        <v>618675</v>
      </c>
      <c r="M57" s="5">
        <f>'Water Purchase Costs'!M51</f>
        <v>637290</v>
      </c>
      <c r="N57" s="5">
        <f>'Water Purchase Costs'!N51</f>
        <v>655905</v>
      </c>
      <c r="O57" s="5">
        <f>'Water Purchase Costs'!O51</f>
        <v>675615</v>
      </c>
      <c r="P57" s="5">
        <f>'Water Purchase Costs'!P51</f>
        <v>696420</v>
      </c>
      <c r="Q57" s="5">
        <f>'Water Purchase Costs'!Q51</f>
        <v>717225</v>
      </c>
      <c r="R57" s="5">
        <f>'Water Purchase Costs'!R51</f>
        <v>739125</v>
      </c>
      <c r="S57" s="5">
        <f>'Water Purchase Costs'!S51</f>
        <v>761025</v>
      </c>
      <c r="T57" s="5">
        <f>'Water Purchase Costs'!T51</f>
        <v>784020</v>
      </c>
      <c r="U57" s="5">
        <f>'Water Purchase Costs'!U51</f>
        <v>807015</v>
      </c>
      <c r="V57" s="5">
        <f>'Water Purchase Costs'!V51</f>
        <v>831105</v>
      </c>
      <c r="W57" s="5">
        <f>'Water Purchase Costs'!W51</f>
        <v>856290</v>
      </c>
      <c r="X57" s="5">
        <f>'Water Purchase Costs'!X51</f>
        <v>881475</v>
      </c>
      <c r="Y57" s="5">
        <f>'Water Purchase Costs'!Y51</f>
        <v>907755</v>
      </c>
      <c r="Z57" s="5">
        <f>'Water Purchase Costs'!Z51</f>
        <v>935130</v>
      </c>
      <c r="AA57" s="5">
        <f>'Water Purchase Costs'!AA51</f>
        <v>963600</v>
      </c>
      <c r="AB57" s="5">
        <f>'Water Purchase Costs'!AB51</f>
        <v>992070</v>
      </c>
      <c r="AC57" s="5">
        <f>'Water Purchase Costs'!AC51</f>
        <v>1021635</v>
      </c>
      <c r="AD57" s="5">
        <f>'Water Purchase Costs'!AD51</f>
        <v>1052295</v>
      </c>
      <c r="AE57" s="5">
        <f>'Water Purchase Costs'!AE51</f>
        <v>1084050</v>
      </c>
      <c r="AF57" s="5">
        <f>'Water Purchase Costs'!AF51</f>
        <v>1116900</v>
      </c>
      <c r="AG57" s="5">
        <f>'Water Purchase Costs'!AG51</f>
        <v>1150845</v>
      </c>
      <c r="AH57" s="5">
        <f>'Water Purchase Costs'!AH51</f>
        <v>1185885</v>
      </c>
      <c r="AI57" s="5">
        <f>'Water Purchase Costs'!AI51</f>
        <v>1220925</v>
      </c>
      <c r="AJ57" s="5">
        <f>'Water Purchase Costs'!AJ51</f>
        <v>1257060</v>
      </c>
      <c r="AK57" s="5">
        <f>'Water Purchase Costs'!AK51</f>
        <v>1294290</v>
      </c>
      <c r="AL57" s="5">
        <f>'Water Purchase Costs'!AL51</f>
        <v>1332615</v>
      </c>
      <c r="AM57" s="5">
        <f>'Water Purchase Costs'!AM51</f>
        <v>1373130</v>
      </c>
      <c r="AN57" s="5">
        <f>'Water Purchase Costs'!AN51</f>
        <v>1414740</v>
      </c>
      <c r="AO57" s="5">
        <f>'Water Purchase Costs'!AO51</f>
        <v>1457445</v>
      </c>
      <c r="AP57" s="5">
        <f>'Water Purchase Costs'!AP51</f>
        <v>1501245</v>
      </c>
      <c r="AQ57" s="5">
        <f>'Water Purchase Costs'!AQ51</f>
        <v>1546140</v>
      </c>
      <c r="AR57" s="5">
        <f>'Water Purchase Costs'!AR51</f>
        <v>1592130</v>
      </c>
      <c r="AS57" s="5">
        <f>'Water Purchase Costs'!AS51</f>
        <v>1640310</v>
      </c>
    </row>
    <row r="58" spans="1:45" s="14" customFormat="1" ht="14.6" x14ac:dyDescent="0.4">
      <c r="A58" s="125"/>
      <c r="B58" s="189" t="s">
        <v>242</v>
      </c>
      <c r="C58" s="190"/>
      <c r="D58" s="190"/>
      <c r="E58" s="190"/>
      <c r="F58" s="6">
        <v>0</v>
      </c>
      <c r="G58" s="6">
        <v>0</v>
      </c>
      <c r="H58" s="6">
        <f>'Water Production Costs'!H31</f>
        <v>0</v>
      </c>
      <c r="I58" s="6">
        <f>'Water Production Costs'!I31</f>
        <v>0</v>
      </c>
      <c r="J58" s="6">
        <f>'Water Production Costs'!J31</f>
        <v>0</v>
      </c>
      <c r="K58" s="6">
        <f>'Water Production Costs'!K31</f>
        <v>0</v>
      </c>
      <c r="L58" s="6">
        <f>'Water Production Costs'!L31</f>
        <v>0</v>
      </c>
      <c r="M58" s="6">
        <f>'Water Production Costs'!M31</f>
        <v>0</v>
      </c>
      <c r="N58" s="6">
        <f>'Water Production Costs'!N31</f>
        <v>0</v>
      </c>
      <c r="O58" s="6">
        <f>'Water Production Costs'!O31</f>
        <v>0</v>
      </c>
      <c r="P58" s="6">
        <f>'Water Production Costs'!P31</f>
        <v>0</v>
      </c>
      <c r="Q58" s="6">
        <f>'Water Production Costs'!Q31</f>
        <v>0</v>
      </c>
      <c r="R58" s="6">
        <f>'Water Production Costs'!R31</f>
        <v>0</v>
      </c>
      <c r="S58" s="6">
        <f>'Water Production Costs'!S31</f>
        <v>0</v>
      </c>
      <c r="T58" s="6">
        <f>'Water Production Costs'!T31</f>
        <v>0</v>
      </c>
      <c r="U58" s="6">
        <f>'Water Production Costs'!U31</f>
        <v>0</v>
      </c>
      <c r="V58" s="6">
        <f>'Water Production Costs'!V31</f>
        <v>0</v>
      </c>
      <c r="W58" s="6">
        <f>'Water Production Costs'!W31</f>
        <v>0</v>
      </c>
      <c r="X58" s="6">
        <f>'Water Production Costs'!X31</f>
        <v>0</v>
      </c>
      <c r="Y58" s="6">
        <f>'Water Production Costs'!Y31</f>
        <v>0</v>
      </c>
      <c r="Z58" s="6">
        <f>'Water Production Costs'!Z31</f>
        <v>0</v>
      </c>
      <c r="AA58" s="6">
        <f>'Water Production Costs'!AA31</f>
        <v>0</v>
      </c>
      <c r="AB58" s="6">
        <f>'Water Production Costs'!AB31</f>
        <v>0</v>
      </c>
      <c r="AC58" s="6">
        <f>'Water Production Costs'!AC31</f>
        <v>0</v>
      </c>
      <c r="AD58" s="6">
        <f>'Water Production Costs'!AD31</f>
        <v>0</v>
      </c>
      <c r="AE58" s="6">
        <f>'Water Production Costs'!AE31</f>
        <v>0</v>
      </c>
      <c r="AF58" s="6">
        <f>'Water Production Costs'!AF31</f>
        <v>0</v>
      </c>
      <c r="AG58" s="6">
        <f>'Water Production Costs'!AG31</f>
        <v>0</v>
      </c>
      <c r="AH58" s="6">
        <f>'Water Production Costs'!AH31</f>
        <v>0</v>
      </c>
      <c r="AI58" s="6">
        <f>'Water Production Costs'!AI31</f>
        <v>0</v>
      </c>
      <c r="AJ58" s="6">
        <f>'Water Production Costs'!AJ31</f>
        <v>0</v>
      </c>
      <c r="AK58" s="6">
        <f>'Water Production Costs'!AK31</f>
        <v>0</v>
      </c>
      <c r="AL58" s="6">
        <f>'Water Production Costs'!AL31</f>
        <v>0</v>
      </c>
      <c r="AM58" s="6">
        <f>'Water Production Costs'!AM31</f>
        <v>0</v>
      </c>
      <c r="AN58" s="6">
        <f>'Water Production Costs'!AN31</f>
        <v>0</v>
      </c>
      <c r="AO58" s="6">
        <f>'Water Production Costs'!AO31</f>
        <v>0</v>
      </c>
      <c r="AP58" s="6">
        <f>'Water Production Costs'!AP31</f>
        <v>0</v>
      </c>
      <c r="AQ58" s="6">
        <f>'Water Production Costs'!AQ31</f>
        <v>0</v>
      </c>
      <c r="AR58" s="6">
        <f>'Water Production Costs'!AR31</f>
        <v>0</v>
      </c>
      <c r="AS58" s="6">
        <f>'Water Production Costs'!AS31</f>
        <v>0</v>
      </c>
    </row>
    <row r="59" spans="1:45" s="191" customFormat="1" ht="15.45" x14ac:dyDescent="0.4">
      <c r="A59" s="125"/>
      <c r="B59" s="189" t="s">
        <v>247</v>
      </c>
      <c r="C59" s="190"/>
      <c r="D59" s="190"/>
      <c r="E59" s="190"/>
      <c r="F59" s="6">
        <f>'Water Purchase Costs'!F52</f>
        <v>0</v>
      </c>
      <c r="G59" s="6">
        <f>'Water Purchase Costs'!G52</f>
        <v>0</v>
      </c>
      <c r="H59" s="6">
        <f>'Water Purchase Costs'!H52</f>
        <v>1545225</v>
      </c>
      <c r="I59" s="6">
        <f>'Water Purchase Costs'!I52</f>
        <v>1635174</v>
      </c>
      <c r="J59" s="6">
        <f>'Water Purchase Costs'!J52</f>
        <v>1728790</v>
      </c>
      <c r="K59" s="6">
        <f>'Water Purchase Costs'!K52</f>
        <v>1830369</v>
      </c>
      <c r="L59" s="6">
        <f>'Water Purchase Costs'!L52</f>
        <v>1936095</v>
      </c>
      <c r="M59" s="6">
        <f>'Water Purchase Costs'!M52</f>
        <v>2050511</v>
      </c>
      <c r="N59" s="6">
        <f>'Water Purchase Costs'!N52</f>
        <v>2169600</v>
      </c>
      <c r="O59" s="6">
        <f>'Water Purchase Costs'!O52</f>
        <v>2293521</v>
      </c>
      <c r="P59" s="6">
        <f>'Water Purchase Costs'!P52</f>
        <v>2427208</v>
      </c>
      <c r="Q59" s="6">
        <f>'Water Purchase Costs'!Q52</f>
        <v>2566317</v>
      </c>
      <c r="R59" s="6">
        <f>'Water Purchase Costs'!R52</f>
        <v>2716064</v>
      </c>
      <c r="S59" s="6">
        <f>'Water Purchase Costs'!S52</f>
        <v>2871878</v>
      </c>
      <c r="T59" s="6">
        <f>'Water Purchase Costs'!T52</f>
        <v>3039269</v>
      </c>
      <c r="U59" s="6">
        <f>'Water Purchase Costs'!U52</f>
        <v>3213432</v>
      </c>
      <c r="V59" s="6">
        <f>'Water Purchase Costs'!V52</f>
        <v>3400187</v>
      </c>
      <c r="W59" s="6">
        <f>'Water Purchase Costs'!W52</f>
        <v>3594480</v>
      </c>
      <c r="X59" s="6">
        <f>'Water Purchase Costs'!X52</f>
        <v>3802459</v>
      </c>
      <c r="Y59" s="6">
        <f>'Water Purchase Costs'!Y52</f>
        <v>4018810</v>
      </c>
      <c r="Z59" s="6">
        <f>'Water Purchase Costs'!Z52</f>
        <v>4250028</v>
      </c>
      <c r="AA59" s="6">
        <f>'Water Purchase Costs'!AA52</f>
        <v>4496902</v>
      </c>
      <c r="AB59" s="6">
        <f>'Water Purchase Costs'!AB52</f>
        <v>4753707</v>
      </c>
      <c r="AC59" s="6">
        <f>'Water Purchase Costs'!AC52</f>
        <v>5027501</v>
      </c>
      <c r="AD59" s="6">
        <f>'Water Purchase Costs'!AD52</f>
        <v>5312265</v>
      </c>
      <c r="AE59" s="6">
        <f>'Water Purchase Costs'!AE52</f>
        <v>5615453</v>
      </c>
      <c r="AF59" s="6">
        <f>'Water Purchase Costs'!AF52</f>
        <v>5938010</v>
      </c>
      <c r="AG59" s="6">
        <f>'Water Purchase Costs'!AG52</f>
        <v>6280919</v>
      </c>
      <c r="AH59" s="6">
        <f>'Water Purchase Costs'!AH52</f>
        <v>6637552</v>
      </c>
      <c r="AI59" s="6">
        <f>'Water Purchase Costs'!AI52</f>
        <v>7016229</v>
      </c>
      <c r="AJ59" s="6">
        <f>'Water Purchase Costs'!AJ52</f>
        <v>7418051</v>
      </c>
      <c r="AK59" s="6">
        <f>'Water Purchase Costs'!AK52</f>
        <v>7844162</v>
      </c>
      <c r="AL59" s="6">
        <f>'Water Purchase Costs'!AL52</f>
        <v>8287265</v>
      </c>
      <c r="AM59" s="6">
        <f>'Water Purchase Costs'!AM52</f>
        <v>8756648</v>
      </c>
      <c r="AN59" s="6">
        <f>'Water Purchase Costs'!AN52</f>
        <v>9253589</v>
      </c>
      <c r="AO59" s="6">
        <f>'Water Purchase Costs'!AO52</f>
        <v>9779419</v>
      </c>
      <c r="AP59" s="6">
        <f>'Water Purchase Costs'!AP52</f>
        <v>10335522</v>
      </c>
      <c r="AQ59" s="6">
        <f>'Water Purchase Costs'!AQ52</f>
        <v>10923341</v>
      </c>
      <c r="AR59" s="6">
        <f>'Water Purchase Costs'!AR52</f>
        <v>11544376</v>
      </c>
      <c r="AS59" s="6">
        <f>'Water Purchase Costs'!AS52</f>
        <v>12200190</v>
      </c>
    </row>
    <row r="60" spans="1:45" ht="15.45" x14ac:dyDescent="0.4">
      <c r="A60" s="31"/>
      <c r="B60" s="67" t="s">
        <v>111</v>
      </c>
      <c r="C60" s="9"/>
      <c r="D60" s="9"/>
      <c r="E60" s="9"/>
      <c r="F60" s="5">
        <f>ROUND('Financial Base'!F20*(1+'Plan Inputs'!F$10),0)</f>
        <v>9124</v>
      </c>
      <c r="G60" s="216">
        <f>ROUND(F60*(1+'Plan Inputs'!G$10),0)</f>
        <v>9398</v>
      </c>
      <c r="H60" s="216">
        <v>0</v>
      </c>
      <c r="I60" s="216">
        <f>ROUND(H60*(1+'Plan Inputs'!I$10),0)</f>
        <v>0</v>
      </c>
      <c r="J60" s="216">
        <f>ROUND(I60*(1+'Plan Inputs'!J$10),0)</f>
        <v>0</v>
      </c>
      <c r="K60" s="216">
        <f>ROUND(J60*(1+'Plan Inputs'!K$10),0)</f>
        <v>0</v>
      </c>
      <c r="L60" s="216">
        <f>ROUND(K60*(1+'Plan Inputs'!L$10),0)</f>
        <v>0</v>
      </c>
      <c r="M60" s="216">
        <f>ROUND(L60*(1+'Plan Inputs'!M$10),0)</f>
        <v>0</v>
      </c>
      <c r="N60" s="216">
        <f>ROUND(M60*(1+'Plan Inputs'!N$10),0)</f>
        <v>0</v>
      </c>
      <c r="O60" s="216">
        <f>ROUND(N60*(1+'Plan Inputs'!O$10),0)</f>
        <v>0</v>
      </c>
      <c r="P60" s="216">
        <f>ROUND(O60*(1+'Plan Inputs'!P$10),0)</f>
        <v>0</v>
      </c>
      <c r="Q60" s="216">
        <f>ROUND(P60*(1+'Plan Inputs'!Q$10),0)</f>
        <v>0</v>
      </c>
      <c r="R60" s="216">
        <f>ROUND(Q60*(1+'Plan Inputs'!R$10),0)</f>
        <v>0</v>
      </c>
      <c r="S60" s="216">
        <f>ROUND(R60*(1+'Plan Inputs'!S$10),0)</f>
        <v>0</v>
      </c>
      <c r="T60" s="216">
        <f>ROUND(S60*(1+'Plan Inputs'!T$10),0)</f>
        <v>0</v>
      </c>
      <c r="U60" s="216">
        <f>ROUND(T60*(1+'Plan Inputs'!U$10),0)</f>
        <v>0</v>
      </c>
      <c r="V60" s="216">
        <f>ROUND(U60*(1+'Plan Inputs'!V$10),0)</f>
        <v>0</v>
      </c>
      <c r="W60" s="216">
        <f>ROUND(V60*(1+'Plan Inputs'!W$10),0)</f>
        <v>0</v>
      </c>
      <c r="X60" s="216">
        <f>ROUND(W60*(1+'Plan Inputs'!X$10),0)</f>
        <v>0</v>
      </c>
      <c r="Y60" s="216">
        <f>ROUND(X60*(1+'Plan Inputs'!Y$10),0)</f>
        <v>0</v>
      </c>
      <c r="Z60" s="216">
        <f>ROUND(Y60*(1+'Plan Inputs'!Z$10),0)</f>
        <v>0</v>
      </c>
      <c r="AA60" s="216">
        <f>ROUND(Z60*(1+'Plan Inputs'!AA$10),0)</f>
        <v>0</v>
      </c>
      <c r="AB60" s="216">
        <f>ROUND(AA60*(1+'Plan Inputs'!AB$10),0)</f>
        <v>0</v>
      </c>
      <c r="AC60" s="216">
        <f>ROUND(AB60*(1+'Plan Inputs'!AC$10),0)</f>
        <v>0</v>
      </c>
      <c r="AD60" s="216">
        <f>ROUND(AC60*(1+'Plan Inputs'!AD$10),0)</f>
        <v>0</v>
      </c>
      <c r="AE60" s="216">
        <f>ROUND(AD60*(1+'Plan Inputs'!AE$10),0)</f>
        <v>0</v>
      </c>
      <c r="AF60" s="216">
        <f>ROUND(AE60*(1+'Plan Inputs'!AF$10),0)</f>
        <v>0</v>
      </c>
      <c r="AG60" s="216">
        <f>ROUND(AF60*(1+'Plan Inputs'!AG$10),0)</f>
        <v>0</v>
      </c>
      <c r="AH60" s="216">
        <f>ROUND(AG60*(1+'Plan Inputs'!AH$10),0)</f>
        <v>0</v>
      </c>
      <c r="AI60" s="216">
        <f>ROUND(AH60*(1+'Plan Inputs'!AI$10),0)</f>
        <v>0</v>
      </c>
      <c r="AJ60" s="216">
        <f>ROUND(AI60*(1+'Plan Inputs'!AJ$10),0)</f>
        <v>0</v>
      </c>
      <c r="AK60" s="216">
        <f>ROUND(AJ60*(1+'Plan Inputs'!AK$10),0)</f>
        <v>0</v>
      </c>
      <c r="AL60" s="216">
        <f>ROUND(AK60*(1+'Plan Inputs'!AL$10),0)</f>
        <v>0</v>
      </c>
      <c r="AM60" s="216">
        <f>ROUND(AL60*(1+'Plan Inputs'!AM$10),0)</f>
        <v>0</v>
      </c>
      <c r="AN60" s="216">
        <f>ROUND(AM60*(1+'Plan Inputs'!AN$10),0)</f>
        <v>0</v>
      </c>
      <c r="AO60" s="216">
        <f>ROUND(AN60*(1+'Plan Inputs'!AO$10),0)</f>
        <v>0</v>
      </c>
      <c r="AP60" s="216">
        <f>ROUND(AO60*(1+'Plan Inputs'!AP$10),0)</f>
        <v>0</v>
      </c>
      <c r="AQ60" s="216">
        <f>ROUND(AP60*(1+'Plan Inputs'!AQ$10),0)</f>
        <v>0</v>
      </c>
      <c r="AR60" s="216">
        <f>ROUND(AQ60*(1+'Plan Inputs'!AR$10),0)</f>
        <v>0</v>
      </c>
      <c r="AS60" s="216">
        <f>ROUND(AR60*(1+'Plan Inputs'!AS$10),0)</f>
        <v>0</v>
      </c>
    </row>
    <row r="61" spans="1:45" ht="15.45" x14ac:dyDescent="0.4">
      <c r="A61" s="31"/>
      <c r="B61" s="67" t="s">
        <v>112</v>
      </c>
      <c r="C61" s="9"/>
      <c r="D61" s="9"/>
      <c r="E61" s="9"/>
      <c r="F61" s="5">
        <f>ROUND('Financial Base'!F21*(1+'Plan Inputs'!F$10),0)</f>
        <v>236237</v>
      </c>
      <c r="G61" s="216">
        <f>ROUND(F61*(1+'Plan Inputs'!G$10),0)</f>
        <v>243324</v>
      </c>
      <c r="H61" s="216">
        <v>0</v>
      </c>
      <c r="I61" s="216">
        <f>ROUND(H61*(1+'Plan Inputs'!I$10),0)</f>
        <v>0</v>
      </c>
      <c r="J61" s="216">
        <f>ROUND(I61*(1+'Plan Inputs'!J$10),0)</f>
        <v>0</v>
      </c>
      <c r="K61" s="216">
        <f>ROUND(J61*(1+'Plan Inputs'!K$10),0)</f>
        <v>0</v>
      </c>
      <c r="L61" s="216">
        <f>ROUND(K61*(1+'Plan Inputs'!L$10),0)</f>
        <v>0</v>
      </c>
      <c r="M61" s="216">
        <f>ROUND(L61*(1+'Plan Inputs'!M$10),0)</f>
        <v>0</v>
      </c>
      <c r="N61" s="216">
        <f>ROUND(M61*(1+'Plan Inputs'!N$10),0)</f>
        <v>0</v>
      </c>
      <c r="O61" s="216">
        <f>ROUND(N61*(1+'Plan Inputs'!O$10),0)</f>
        <v>0</v>
      </c>
      <c r="P61" s="216">
        <f>ROUND(O61*(1+'Plan Inputs'!P$10),0)</f>
        <v>0</v>
      </c>
      <c r="Q61" s="216">
        <f>ROUND(P61*(1+'Plan Inputs'!Q$10),0)</f>
        <v>0</v>
      </c>
      <c r="R61" s="216">
        <f>ROUND(Q61*(1+'Plan Inputs'!R$10),0)</f>
        <v>0</v>
      </c>
      <c r="S61" s="216">
        <f>ROUND(R61*(1+'Plan Inputs'!S$10),0)</f>
        <v>0</v>
      </c>
      <c r="T61" s="216">
        <f>ROUND(S61*(1+'Plan Inputs'!T$10),0)</f>
        <v>0</v>
      </c>
      <c r="U61" s="216">
        <f>ROUND(T61*(1+'Plan Inputs'!U$10),0)</f>
        <v>0</v>
      </c>
      <c r="V61" s="216">
        <f>ROUND(U61*(1+'Plan Inputs'!V$10),0)</f>
        <v>0</v>
      </c>
      <c r="W61" s="216">
        <f>ROUND(V61*(1+'Plan Inputs'!W$10),0)</f>
        <v>0</v>
      </c>
      <c r="X61" s="216">
        <f>ROUND(W61*(1+'Plan Inputs'!X$10),0)</f>
        <v>0</v>
      </c>
      <c r="Y61" s="216">
        <f>ROUND(X61*(1+'Plan Inputs'!Y$10),0)</f>
        <v>0</v>
      </c>
      <c r="Z61" s="216">
        <f>ROUND(Y61*(1+'Plan Inputs'!Z$10),0)</f>
        <v>0</v>
      </c>
      <c r="AA61" s="216">
        <f>ROUND(Z61*(1+'Plan Inputs'!AA$10),0)</f>
        <v>0</v>
      </c>
      <c r="AB61" s="216">
        <f>ROUND(AA61*(1+'Plan Inputs'!AB$10),0)</f>
        <v>0</v>
      </c>
      <c r="AC61" s="216">
        <f>ROUND(AB61*(1+'Plan Inputs'!AC$10),0)</f>
        <v>0</v>
      </c>
      <c r="AD61" s="216">
        <f>ROUND(AC61*(1+'Plan Inputs'!AD$10),0)</f>
        <v>0</v>
      </c>
      <c r="AE61" s="216">
        <f>ROUND(AD61*(1+'Plan Inputs'!AE$10),0)</f>
        <v>0</v>
      </c>
      <c r="AF61" s="216">
        <f>ROUND(AE61*(1+'Plan Inputs'!AF$10),0)</f>
        <v>0</v>
      </c>
      <c r="AG61" s="216">
        <f>ROUND(AF61*(1+'Plan Inputs'!AG$10),0)</f>
        <v>0</v>
      </c>
      <c r="AH61" s="216">
        <f>ROUND(AG61*(1+'Plan Inputs'!AH$10),0)</f>
        <v>0</v>
      </c>
      <c r="AI61" s="216">
        <f>ROUND(AH61*(1+'Plan Inputs'!AI$10),0)</f>
        <v>0</v>
      </c>
      <c r="AJ61" s="216">
        <f>ROUND(AI61*(1+'Plan Inputs'!AJ$10),0)</f>
        <v>0</v>
      </c>
      <c r="AK61" s="216">
        <f>ROUND(AJ61*(1+'Plan Inputs'!AK$10),0)</f>
        <v>0</v>
      </c>
      <c r="AL61" s="216">
        <f>ROUND(AK61*(1+'Plan Inputs'!AL$10),0)</f>
        <v>0</v>
      </c>
      <c r="AM61" s="216">
        <f>ROUND(AL61*(1+'Plan Inputs'!AM$10),0)</f>
        <v>0</v>
      </c>
      <c r="AN61" s="216">
        <f>ROUND(AM61*(1+'Plan Inputs'!AN$10),0)</f>
        <v>0</v>
      </c>
      <c r="AO61" s="216">
        <f>ROUND(AN61*(1+'Plan Inputs'!AO$10),0)</f>
        <v>0</v>
      </c>
      <c r="AP61" s="216">
        <f>ROUND(AO61*(1+'Plan Inputs'!AP$10),0)</f>
        <v>0</v>
      </c>
      <c r="AQ61" s="216">
        <f>ROUND(AP61*(1+'Plan Inputs'!AQ$10),0)</f>
        <v>0</v>
      </c>
      <c r="AR61" s="216">
        <f>ROUND(AQ61*(1+'Plan Inputs'!AR$10),0)</f>
        <v>0</v>
      </c>
      <c r="AS61" s="216">
        <f>ROUND(AR61*(1+'Plan Inputs'!AS$10),0)</f>
        <v>0</v>
      </c>
    </row>
    <row r="62" spans="1:45" ht="15.45" x14ac:dyDescent="0.4">
      <c r="A62" s="31"/>
      <c r="B62" s="67" t="s">
        <v>113</v>
      </c>
      <c r="C62" s="9"/>
      <c r="D62" s="9"/>
      <c r="E62" s="9"/>
      <c r="F62" s="5">
        <f>ROUND('Financial Base'!F22*(1+'Plan Inputs'!F$10),0)</f>
        <v>29433</v>
      </c>
      <c r="G62" s="216">
        <f>ROUND(F62*(1+'Plan Inputs'!G$10),0)</f>
        <v>30316</v>
      </c>
      <c r="H62" s="216">
        <v>0</v>
      </c>
      <c r="I62" s="216">
        <f>ROUND(H62*(1+'Plan Inputs'!I$10),0)</f>
        <v>0</v>
      </c>
      <c r="J62" s="216">
        <f>ROUND(I62*(1+'Plan Inputs'!J$10),0)</f>
        <v>0</v>
      </c>
      <c r="K62" s="216">
        <f>ROUND(J62*(1+'Plan Inputs'!K$10),0)</f>
        <v>0</v>
      </c>
      <c r="L62" s="216">
        <f>ROUND(K62*(1+'Plan Inputs'!L$10),0)</f>
        <v>0</v>
      </c>
      <c r="M62" s="216">
        <f>ROUND(L62*(1+'Plan Inputs'!M$10),0)</f>
        <v>0</v>
      </c>
      <c r="N62" s="216">
        <f>ROUND(M62*(1+'Plan Inputs'!N$10),0)</f>
        <v>0</v>
      </c>
      <c r="O62" s="216">
        <f>ROUND(N62*(1+'Plan Inputs'!O$10),0)</f>
        <v>0</v>
      </c>
      <c r="P62" s="216">
        <f>ROUND(O62*(1+'Plan Inputs'!P$10),0)</f>
        <v>0</v>
      </c>
      <c r="Q62" s="216">
        <f>ROUND(P62*(1+'Plan Inputs'!Q$10),0)</f>
        <v>0</v>
      </c>
      <c r="R62" s="216">
        <f>ROUND(Q62*(1+'Plan Inputs'!R$10),0)</f>
        <v>0</v>
      </c>
      <c r="S62" s="216">
        <f>ROUND(R62*(1+'Plan Inputs'!S$10),0)</f>
        <v>0</v>
      </c>
      <c r="T62" s="216">
        <f>ROUND(S62*(1+'Plan Inputs'!T$10),0)</f>
        <v>0</v>
      </c>
      <c r="U62" s="216">
        <f>ROUND(T62*(1+'Plan Inputs'!U$10),0)</f>
        <v>0</v>
      </c>
      <c r="V62" s="216">
        <f>ROUND(U62*(1+'Plan Inputs'!V$10),0)</f>
        <v>0</v>
      </c>
      <c r="W62" s="216">
        <f>ROUND(V62*(1+'Plan Inputs'!W$10),0)</f>
        <v>0</v>
      </c>
      <c r="X62" s="216">
        <f>ROUND(W62*(1+'Plan Inputs'!X$10),0)</f>
        <v>0</v>
      </c>
      <c r="Y62" s="216">
        <f>ROUND(X62*(1+'Plan Inputs'!Y$10),0)</f>
        <v>0</v>
      </c>
      <c r="Z62" s="216">
        <f>ROUND(Y62*(1+'Plan Inputs'!Z$10),0)</f>
        <v>0</v>
      </c>
      <c r="AA62" s="216">
        <f>ROUND(Z62*(1+'Plan Inputs'!AA$10),0)</f>
        <v>0</v>
      </c>
      <c r="AB62" s="216">
        <f>ROUND(AA62*(1+'Plan Inputs'!AB$10),0)</f>
        <v>0</v>
      </c>
      <c r="AC62" s="216">
        <f>ROUND(AB62*(1+'Plan Inputs'!AC$10),0)</f>
        <v>0</v>
      </c>
      <c r="AD62" s="216">
        <f>ROUND(AC62*(1+'Plan Inputs'!AD$10),0)</f>
        <v>0</v>
      </c>
      <c r="AE62" s="216">
        <f>ROUND(AD62*(1+'Plan Inputs'!AE$10),0)</f>
        <v>0</v>
      </c>
      <c r="AF62" s="216">
        <f>ROUND(AE62*(1+'Plan Inputs'!AF$10),0)</f>
        <v>0</v>
      </c>
      <c r="AG62" s="216">
        <f>ROUND(AF62*(1+'Plan Inputs'!AG$10),0)</f>
        <v>0</v>
      </c>
      <c r="AH62" s="216">
        <f>ROUND(AG62*(1+'Plan Inputs'!AH$10),0)</f>
        <v>0</v>
      </c>
      <c r="AI62" s="216">
        <f>ROUND(AH62*(1+'Plan Inputs'!AI$10),0)</f>
        <v>0</v>
      </c>
      <c r="AJ62" s="216">
        <f>ROUND(AI62*(1+'Plan Inputs'!AJ$10),0)</f>
        <v>0</v>
      </c>
      <c r="AK62" s="216">
        <f>ROUND(AJ62*(1+'Plan Inputs'!AK$10),0)</f>
        <v>0</v>
      </c>
      <c r="AL62" s="216">
        <f>ROUND(AK62*(1+'Plan Inputs'!AL$10),0)</f>
        <v>0</v>
      </c>
      <c r="AM62" s="216">
        <f>ROUND(AL62*(1+'Plan Inputs'!AM$10),0)</f>
        <v>0</v>
      </c>
      <c r="AN62" s="216">
        <f>ROUND(AM62*(1+'Plan Inputs'!AN$10),0)</f>
        <v>0</v>
      </c>
      <c r="AO62" s="216">
        <f>ROUND(AN62*(1+'Plan Inputs'!AO$10),0)</f>
        <v>0</v>
      </c>
      <c r="AP62" s="216">
        <f>ROUND(AO62*(1+'Plan Inputs'!AP$10),0)</f>
        <v>0</v>
      </c>
      <c r="AQ62" s="216">
        <f>ROUND(AP62*(1+'Plan Inputs'!AQ$10),0)</f>
        <v>0</v>
      </c>
      <c r="AR62" s="216">
        <f>ROUND(AQ62*(1+'Plan Inputs'!AR$10),0)</f>
        <v>0</v>
      </c>
      <c r="AS62" s="216">
        <f>ROUND(AR62*(1+'Plan Inputs'!AS$10),0)</f>
        <v>0</v>
      </c>
    </row>
    <row r="63" spans="1:45" ht="15.45" x14ac:dyDescent="0.4">
      <c r="A63" s="31"/>
      <c r="B63" s="67" t="s">
        <v>114</v>
      </c>
      <c r="C63" s="9"/>
      <c r="D63" s="9"/>
      <c r="E63" s="9"/>
      <c r="F63" s="5">
        <f>ROUND('Financial Base'!F23*(1+'Plan Inputs'!F$10),0)</f>
        <v>279887</v>
      </c>
      <c r="G63" s="216">
        <f>ROUND(F63*(1+'Plan Inputs'!G$10),0)</f>
        <v>288284</v>
      </c>
      <c r="H63" s="216">
        <f>ROUND(G63*(1+'Plan Inputs'!H$10),0)</f>
        <v>296933</v>
      </c>
      <c r="I63" s="216">
        <f>ROUND(H63*(1+'Plan Inputs'!I$10),0)</f>
        <v>305841</v>
      </c>
      <c r="J63" s="216">
        <f>ROUND(I63*(1+'Plan Inputs'!J$10),0)</f>
        <v>315016</v>
      </c>
      <c r="K63" s="216">
        <f>ROUND(J63*(1+'Plan Inputs'!K$10),0)</f>
        <v>324466</v>
      </c>
      <c r="L63" s="216">
        <f>ROUND(K63*(1+'Plan Inputs'!L$10),0)</f>
        <v>334200</v>
      </c>
      <c r="M63" s="216">
        <f>ROUND(L63*(1+'Plan Inputs'!M$10),0)</f>
        <v>344226</v>
      </c>
      <c r="N63" s="216">
        <f>ROUND(M63*(1+'Plan Inputs'!N$10),0)</f>
        <v>354553</v>
      </c>
      <c r="O63" s="216">
        <f>ROUND(N63*(1+'Plan Inputs'!O$10),0)</f>
        <v>365190</v>
      </c>
      <c r="P63" s="216">
        <f>ROUND(O63*(1+'Plan Inputs'!P$10),0)</f>
        <v>376146</v>
      </c>
      <c r="Q63" s="216">
        <f>ROUND(P63*(1+'Plan Inputs'!Q$10),0)</f>
        <v>387430</v>
      </c>
      <c r="R63" s="216">
        <f>ROUND(Q63*(1+'Plan Inputs'!R$10),0)</f>
        <v>399053</v>
      </c>
      <c r="S63" s="216">
        <f>ROUND(R63*(1+'Plan Inputs'!S$10),0)</f>
        <v>411025</v>
      </c>
      <c r="T63" s="216">
        <f>ROUND(S63*(1+'Plan Inputs'!T$10),0)</f>
        <v>423356</v>
      </c>
      <c r="U63" s="216">
        <f>ROUND(T63*(1+'Plan Inputs'!U$10),0)</f>
        <v>436057</v>
      </c>
      <c r="V63" s="216">
        <f>ROUND(U63*(1+'Plan Inputs'!V$10),0)</f>
        <v>449139</v>
      </c>
      <c r="W63" s="216">
        <f>ROUND(V63*(1+'Plan Inputs'!W$10),0)</f>
        <v>462613</v>
      </c>
      <c r="X63" s="216">
        <f>ROUND(W63*(1+'Plan Inputs'!X$10),0)</f>
        <v>476491</v>
      </c>
      <c r="Y63" s="216">
        <f>ROUND(X63*(1+'Plan Inputs'!Y$10),0)</f>
        <v>490786</v>
      </c>
      <c r="Z63" s="216">
        <f>ROUND(Y63*(1+'Plan Inputs'!Z$10),0)</f>
        <v>505510</v>
      </c>
      <c r="AA63" s="216">
        <f>ROUND(Z63*(1+'Plan Inputs'!AA$10),0)</f>
        <v>520675</v>
      </c>
      <c r="AB63" s="216">
        <f>ROUND(AA63*(1+'Plan Inputs'!AB$10),0)</f>
        <v>536295</v>
      </c>
      <c r="AC63" s="216">
        <f>ROUND(AB63*(1+'Plan Inputs'!AC$10),0)</f>
        <v>552384</v>
      </c>
      <c r="AD63" s="216">
        <f>ROUND(AC63*(1+'Plan Inputs'!AD$10),0)</f>
        <v>568956</v>
      </c>
      <c r="AE63" s="216">
        <f>ROUND(AD63*(1+'Plan Inputs'!AE$10),0)</f>
        <v>586025</v>
      </c>
      <c r="AF63" s="216">
        <f>ROUND(AE63*(1+'Plan Inputs'!AF$10),0)</f>
        <v>603606</v>
      </c>
      <c r="AG63" s="216">
        <f>ROUND(AF63*(1+'Plan Inputs'!AG$10),0)</f>
        <v>621714</v>
      </c>
      <c r="AH63" s="216">
        <f>ROUND(AG63*(1+'Plan Inputs'!AH$10),0)</f>
        <v>640365</v>
      </c>
      <c r="AI63" s="216">
        <f>ROUND(AH63*(1+'Plan Inputs'!AI$10),0)</f>
        <v>659576</v>
      </c>
      <c r="AJ63" s="216">
        <f>ROUND(AI63*(1+'Plan Inputs'!AJ$10),0)</f>
        <v>679363</v>
      </c>
      <c r="AK63" s="216">
        <f>ROUND(AJ63*(1+'Plan Inputs'!AK$10),0)</f>
        <v>699744</v>
      </c>
      <c r="AL63" s="216">
        <f>ROUND(AK63*(1+'Plan Inputs'!AL$10),0)</f>
        <v>720736</v>
      </c>
      <c r="AM63" s="216">
        <f>ROUND(AL63*(1+'Plan Inputs'!AM$10),0)</f>
        <v>742358</v>
      </c>
      <c r="AN63" s="216">
        <f>ROUND(AM63*(1+'Plan Inputs'!AN$10),0)</f>
        <v>764629</v>
      </c>
      <c r="AO63" s="216">
        <f>ROUND(AN63*(1+'Plan Inputs'!AO$10),0)</f>
        <v>787568</v>
      </c>
      <c r="AP63" s="216">
        <f>ROUND(AO63*(1+'Plan Inputs'!AP$10),0)</f>
        <v>811195</v>
      </c>
      <c r="AQ63" s="216">
        <f>ROUND(AP63*(1+'Plan Inputs'!AQ$10),0)</f>
        <v>835531</v>
      </c>
      <c r="AR63" s="216">
        <f>ROUND(AQ63*(1+'Plan Inputs'!AR$10),0)</f>
        <v>860597</v>
      </c>
      <c r="AS63" s="216">
        <f>ROUND(AR63*(1+'Plan Inputs'!AS$10),0)</f>
        <v>886415</v>
      </c>
    </row>
    <row r="64" spans="1:45" ht="15.45" x14ac:dyDescent="0.4">
      <c r="A64" s="31"/>
      <c r="B64" s="67" t="s">
        <v>115</v>
      </c>
      <c r="C64" s="9"/>
      <c r="D64" s="9"/>
      <c r="E64" s="9"/>
      <c r="F64" s="5">
        <f>ROUND('Financial Base'!F24*(1+'Plan Inputs'!F$10),0)</f>
        <v>879654</v>
      </c>
      <c r="G64" s="216">
        <f>ROUND(F64*(1+'Plan Inputs'!G$10),0)</f>
        <v>906044</v>
      </c>
      <c r="H64" s="216">
        <f>ROUND(G64*(1+'Plan Inputs'!H$10),0)</f>
        <v>933225</v>
      </c>
      <c r="I64" s="216">
        <f>ROUND(H64*(1+'Plan Inputs'!I$10),0)</f>
        <v>961222</v>
      </c>
      <c r="J64" s="216">
        <f>ROUND(I64*(1+'Plan Inputs'!J$10),0)</f>
        <v>990059</v>
      </c>
      <c r="K64" s="216">
        <f>ROUND(J64*(1+'Plan Inputs'!K$10),0)</f>
        <v>1019761</v>
      </c>
      <c r="L64" s="216">
        <f>ROUND(K64*(1+'Plan Inputs'!L$10),0)</f>
        <v>1050354</v>
      </c>
      <c r="M64" s="216">
        <f>ROUND(L64*(1+'Plan Inputs'!M$10),0)</f>
        <v>1081865</v>
      </c>
      <c r="N64" s="216">
        <f>ROUND(M64*(1+'Plan Inputs'!N$10),0)</f>
        <v>1114321</v>
      </c>
      <c r="O64" s="216">
        <f>ROUND(N64*(1+'Plan Inputs'!O$10),0)</f>
        <v>1147751</v>
      </c>
      <c r="P64" s="216">
        <f>ROUND(O64*(1+'Plan Inputs'!P$10),0)</f>
        <v>1182184</v>
      </c>
      <c r="Q64" s="216">
        <f>ROUND(P64*(1+'Plan Inputs'!Q$10),0)</f>
        <v>1217650</v>
      </c>
      <c r="R64" s="216">
        <f>ROUND(Q64*(1+'Plan Inputs'!R$10),0)</f>
        <v>1254180</v>
      </c>
      <c r="S64" s="216">
        <f>ROUND(R64*(1+'Plan Inputs'!S$10),0)</f>
        <v>1291805</v>
      </c>
      <c r="T64" s="216">
        <f>ROUND(S64*(1+'Plan Inputs'!T$10),0)</f>
        <v>1330559</v>
      </c>
      <c r="U64" s="216">
        <f>ROUND(T64*(1+'Plan Inputs'!U$10),0)</f>
        <v>1370476</v>
      </c>
      <c r="V64" s="216">
        <f>ROUND(U64*(1+'Plan Inputs'!V$10),0)</f>
        <v>1411590</v>
      </c>
      <c r="W64" s="216">
        <f>ROUND(V64*(1+'Plan Inputs'!W$10),0)</f>
        <v>1453938</v>
      </c>
      <c r="X64" s="216">
        <f>ROUND(W64*(1+'Plan Inputs'!X$10),0)</f>
        <v>1497556</v>
      </c>
      <c r="Y64" s="216">
        <f>ROUND(X64*(1+'Plan Inputs'!Y$10),0)</f>
        <v>1542483</v>
      </c>
      <c r="Z64" s="216">
        <f>ROUND(Y64*(1+'Plan Inputs'!Z$10),0)</f>
        <v>1588757</v>
      </c>
      <c r="AA64" s="216">
        <f>ROUND(Z64*(1+'Plan Inputs'!AA$10),0)</f>
        <v>1636420</v>
      </c>
      <c r="AB64" s="216">
        <f>ROUND(AA64*(1+'Plan Inputs'!AB$10),0)</f>
        <v>1685513</v>
      </c>
      <c r="AC64" s="216">
        <f>ROUND(AB64*(1+'Plan Inputs'!AC$10),0)</f>
        <v>1736078</v>
      </c>
      <c r="AD64" s="216">
        <f>ROUND(AC64*(1+'Plan Inputs'!AD$10),0)</f>
        <v>1788160</v>
      </c>
      <c r="AE64" s="216">
        <f>ROUND(AD64*(1+'Plan Inputs'!AE$10),0)</f>
        <v>1841805</v>
      </c>
      <c r="AF64" s="216">
        <f>ROUND(AE64*(1+'Plan Inputs'!AF$10),0)</f>
        <v>1897059</v>
      </c>
      <c r="AG64" s="216">
        <f>ROUND(AF64*(1+'Plan Inputs'!AG$10),0)</f>
        <v>1953971</v>
      </c>
      <c r="AH64" s="216">
        <f>ROUND(AG64*(1+'Plan Inputs'!AH$10),0)</f>
        <v>2012590</v>
      </c>
      <c r="AI64" s="216">
        <f>ROUND(AH64*(1+'Plan Inputs'!AI$10),0)</f>
        <v>2072968</v>
      </c>
      <c r="AJ64" s="216">
        <f>ROUND(AI64*(1+'Plan Inputs'!AJ$10),0)</f>
        <v>2135157</v>
      </c>
      <c r="AK64" s="216">
        <f>ROUND(AJ64*(1+'Plan Inputs'!AK$10),0)</f>
        <v>2199212</v>
      </c>
      <c r="AL64" s="216">
        <f>ROUND(AK64*(1+'Plan Inputs'!AL$10),0)</f>
        <v>2265188</v>
      </c>
      <c r="AM64" s="216">
        <f>ROUND(AL64*(1+'Plan Inputs'!AM$10),0)</f>
        <v>2333144</v>
      </c>
      <c r="AN64" s="216">
        <f>ROUND(AM64*(1+'Plan Inputs'!AN$10),0)</f>
        <v>2403138</v>
      </c>
      <c r="AO64" s="216">
        <f>ROUND(AN64*(1+'Plan Inputs'!AO$10),0)</f>
        <v>2475232</v>
      </c>
      <c r="AP64" s="216">
        <f>ROUND(AO64*(1+'Plan Inputs'!AP$10),0)</f>
        <v>2549489</v>
      </c>
      <c r="AQ64" s="216">
        <f>ROUND(AP64*(1+'Plan Inputs'!AQ$10),0)</f>
        <v>2625974</v>
      </c>
      <c r="AR64" s="216">
        <f>ROUND(AQ64*(1+'Plan Inputs'!AR$10),0)</f>
        <v>2704753</v>
      </c>
      <c r="AS64" s="216">
        <f>ROUND(AR64*(1+'Plan Inputs'!AS$10),0)</f>
        <v>2785896</v>
      </c>
    </row>
    <row r="65" spans="1:45" s="191" customFormat="1" ht="15.45" x14ac:dyDescent="0.4">
      <c r="A65" s="125"/>
      <c r="B65" s="189" t="s">
        <v>244</v>
      </c>
      <c r="C65" s="190"/>
      <c r="D65" s="190"/>
      <c r="E65" s="190"/>
      <c r="F65" s="6">
        <f>'Trans and Dist Costs'!F42</f>
        <v>0</v>
      </c>
      <c r="G65" s="6">
        <f>'Trans and Dist Costs'!G42</f>
        <v>0</v>
      </c>
      <c r="H65" s="6">
        <f>'Trans and Dist Costs'!H42</f>
        <v>105856</v>
      </c>
      <c r="I65" s="6">
        <f>'Trans and Dist Costs'!I42</f>
        <v>109032</v>
      </c>
      <c r="J65" s="6">
        <f>'Trans and Dist Costs'!J42</f>
        <v>112303</v>
      </c>
      <c r="K65" s="6">
        <f>'Trans and Dist Costs'!K42</f>
        <v>115672</v>
      </c>
      <c r="L65" s="6">
        <f>'Trans and Dist Costs'!L42</f>
        <v>119142</v>
      </c>
      <c r="M65" s="6">
        <f>'Trans and Dist Costs'!M42</f>
        <v>122716</v>
      </c>
      <c r="N65" s="6">
        <f>'Trans and Dist Costs'!N42</f>
        <v>126398</v>
      </c>
      <c r="O65" s="6">
        <f>'Trans and Dist Costs'!O42</f>
        <v>130190</v>
      </c>
      <c r="P65" s="6">
        <f>'Trans and Dist Costs'!P42</f>
        <v>134096</v>
      </c>
      <c r="Q65" s="6">
        <f>'Trans and Dist Costs'!Q42</f>
        <v>138118</v>
      </c>
      <c r="R65" s="6">
        <f>'Trans and Dist Costs'!R42</f>
        <v>142261</v>
      </c>
      <c r="S65" s="6">
        <f>'Trans and Dist Costs'!S42</f>
        <v>146530</v>
      </c>
      <c r="T65" s="6">
        <f>'Trans and Dist Costs'!T42</f>
        <v>150926</v>
      </c>
      <c r="U65" s="6">
        <f>'Trans and Dist Costs'!U42</f>
        <v>155454</v>
      </c>
      <c r="V65" s="6">
        <f>'Trans and Dist Costs'!V42</f>
        <v>160118</v>
      </c>
      <c r="W65" s="6">
        <f>'Trans and Dist Costs'!W42</f>
        <v>164921</v>
      </c>
      <c r="X65" s="6">
        <f>'Trans and Dist Costs'!X42</f>
        <v>169868</v>
      </c>
      <c r="Y65" s="6">
        <f>'Trans and Dist Costs'!Y42</f>
        <v>174965</v>
      </c>
      <c r="Z65" s="6">
        <f>'Trans and Dist Costs'!Z42</f>
        <v>180214</v>
      </c>
      <c r="AA65" s="6">
        <f>'Trans and Dist Costs'!AA42</f>
        <v>185620</v>
      </c>
      <c r="AB65" s="6">
        <f>'Trans and Dist Costs'!AB42</f>
        <v>191189</v>
      </c>
      <c r="AC65" s="6">
        <f>'Trans and Dist Costs'!AC42</f>
        <v>196924</v>
      </c>
      <c r="AD65" s="6">
        <f>'Trans and Dist Costs'!AD42</f>
        <v>202832</v>
      </c>
      <c r="AE65" s="6">
        <f>'Trans and Dist Costs'!AE42</f>
        <v>208918</v>
      </c>
      <c r="AF65" s="6">
        <f>'Trans and Dist Costs'!AF42</f>
        <v>215184</v>
      </c>
      <c r="AG65" s="6">
        <f>'Trans and Dist Costs'!AG42</f>
        <v>221640</v>
      </c>
      <c r="AH65" s="6">
        <f>'Trans and Dist Costs'!AH42</f>
        <v>228289</v>
      </c>
      <c r="AI65" s="6">
        <f>'Trans and Dist Costs'!AI42</f>
        <v>235139</v>
      </c>
      <c r="AJ65" s="6">
        <f>'Trans and Dist Costs'!AJ42</f>
        <v>242192</v>
      </c>
      <c r="AK65" s="6">
        <f>'Trans and Dist Costs'!AK42</f>
        <v>249457</v>
      </c>
      <c r="AL65" s="6">
        <f>'Trans and Dist Costs'!AL42</f>
        <v>256942</v>
      </c>
      <c r="AM65" s="6">
        <f>'Trans and Dist Costs'!AM42</f>
        <v>264650</v>
      </c>
      <c r="AN65" s="6">
        <f>'Trans and Dist Costs'!AN42</f>
        <v>272589</v>
      </c>
      <c r="AO65" s="6">
        <f>'Trans and Dist Costs'!AO42</f>
        <v>280766</v>
      </c>
      <c r="AP65" s="6">
        <f>'Trans and Dist Costs'!AP42</f>
        <v>289190</v>
      </c>
      <c r="AQ65" s="6">
        <f>'Trans and Dist Costs'!AQ42</f>
        <v>297866</v>
      </c>
      <c r="AR65" s="6">
        <f>'Trans and Dist Costs'!AR42</f>
        <v>306802</v>
      </c>
      <c r="AS65" s="6">
        <f>'Trans and Dist Costs'!AS42</f>
        <v>316005</v>
      </c>
    </row>
    <row r="66" spans="1:45" ht="15.45" x14ac:dyDescent="0.4">
      <c r="A66" s="31"/>
      <c r="B66" s="67" t="s">
        <v>116</v>
      </c>
      <c r="C66" s="9"/>
      <c r="D66" s="9"/>
      <c r="E66" s="9"/>
      <c r="F66" s="5">
        <f>ROUND('Financial Base'!F25*(1+'Plan Inputs'!F$10),0)</f>
        <v>351054</v>
      </c>
      <c r="G66" s="216">
        <f>ROUND(F66*(1+'Plan Inputs'!G$10),0)</f>
        <v>361586</v>
      </c>
      <c r="H66" s="216">
        <f>ROUND(G66*(1+'Plan Inputs'!H$10),0)</f>
        <v>372434</v>
      </c>
      <c r="I66" s="216">
        <f>ROUND(H66*(1+'Plan Inputs'!I$10),0)</f>
        <v>383607</v>
      </c>
      <c r="J66" s="216">
        <f>ROUND(I66*(1+'Plan Inputs'!J$10),0)</f>
        <v>395115</v>
      </c>
      <c r="K66" s="216">
        <f>ROUND(J66*(1+'Plan Inputs'!K$10),0)</f>
        <v>406968</v>
      </c>
      <c r="L66" s="216">
        <f>ROUND(K66*(1+'Plan Inputs'!L$10),0)</f>
        <v>419177</v>
      </c>
      <c r="M66" s="216">
        <f>ROUND(L66*(1+'Plan Inputs'!M$10),0)</f>
        <v>431752</v>
      </c>
      <c r="N66" s="216">
        <f>ROUND(M66*(1+'Plan Inputs'!N$10),0)</f>
        <v>444705</v>
      </c>
      <c r="O66" s="216">
        <f>ROUND(N66*(1+'Plan Inputs'!O$10),0)</f>
        <v>458046</v>
      </c>
      <c r="P66" s="216">
        <f>ROUND(O66*(1+'Plan Inputs'!P$10),0)</f>
        <v>471787</v>
      </c>
      <c r="Q66" s="216">
        <f>ROUND(P66*(1+'Plan Inputs'!Q$10),0)</f>
        <v>485941</v>
      </c>
      <c r="R66" s="216">
        <f>ROUND(Q66*(1+'Plan Inputs'!R$10),0)</f>
        <v>500519</v>
      </c>
      <c r="S66" s="216">
        <f>ROUND(R66*(1+'Plan Inputs'!S$10),0)</f>
        <v>515535</v>
      </c>
      <c r="T66" s="216">
        <f>ROUND(S66*(1+'Plan Inputs'!T$10),0)</f>
        <v>531001</v>
      </c>
      <c r="U66" s="216">
        <f>ROUND(T66*(1+'Plan Inputs'!U$10),0)</f>
        <v>546931</v>
      </c>
      <c r="V66" s="216">
        <f>ROUND(U66*(1+'Plan Inputs'!V$10),0)</f>
        <v>563339</v>
      </c>
      <c r="W66" s="216">
        <f>ROUND(V66*(1+'Plan Inputs'!W$10),0)</f>
        <v>580239</v>
      </c>
      <c r="X66" s="216">
        <f>ROUND(W66*(1+'Plan Inputs'!X$10),0)</f>
        <v>597646</v>
      </c>
      <c r="Y66" s="216">
        <f>ROUND(X66*(1+'Plan Inputs'!Y$10),0)</f>
        <v>615575</v>
      </c>
      <c r="Z66" s="216">
        <f>ROUND(Y66*(1+'Plan Inputs'!Z$10),0)</f>
        <v>634042</v>
      </c>
      <c r="AA66" s="216">
        <f>ROUND(Z66*(1+'Plan Inputs'!AA$10),0)</f>
        <v>653063</v>
      </c>
      <c r="AB66" s="216">
        <f>ROUND(AA66*(1+'Plan Inputs'!AB$10),0)</f>
        <v>672655</v>
      </c>
      <c r="AC66" s="216">
        <f>ROUND(AB66*(1+'Plan Inputs'!AC$10),0)</f>
        <v>692835</v>
      </c>
      <c r="AD66" s="216">
        <f>ROUND(AC66*(1+'Plan Inputs'!AD$10),0)</f>
        <v>713620</v>
      </c>
      <c r="AE66" s="216">
        <f>ROUND(AD66*(1+'Plan Inputs'!AE$10),0)</f>
        <v>735029</v>
      </c>
      <c r="AF66" s="216">
        <f>ROUND(AE66*(1+'Plan Inputs'!AF$10),0)</f>
        <v>757080</v>
      </c>
      <c r="AG66" s="216">
        <f>ROUND(AF66*(1+'Plan Inputs'!AG$10),0)</f>
        <v>779792</v>
      </c>
      <c r="AH66" s="216">
        <f>ROUND(AG66*(1+'Plan Inputs'!AH$10),0)</f>
        <v>803186</v>
      </c>
      <c r="AI66" s="216">
        <f>ROUND(AH66*(1+'Plan Inputs'!AI$10),0)</f>
        <v>827282</v>
      </c>
      <c r="AJ66" s="216">
        <f>ROUND(AI66*(1+'Plan Inputs'!AJ$10),0)</f>
        <v>852100</v>
      </c>
      <c r="AK66" s="216">
        <f>ROUND(AJ66*(1+'Plan Inputs'!AK$10),0)</f>
        <v>877663</v>
      </c>
      <c r="AL66" s="216">
        <f>ROUND(AK66*(1+'Plan Inputs'!AL$10),0)</f>
        <v>903993</v>
      </c>
      <c r="AM66" s="216">
        <f>ROUND(AL66*(1+'Plan Inputs'!AM$10),0)</f>
        <v>931113</v>
      </c>
      <c r="AN66" s="216">
        <f>ROUND(AM66*(1+'Plan Inputs'!AN$10),0)</f>
        <v>959046</v>
      </c>
      <c r="AO66" s="216">
        <f>ROUND(AN66*(1+'Plan Inputs'!AO$10),0)</f>
        <v>987817</v>
      </c>
      <c r="AP66" s="216">
        <f>ROUND(AO66*(1+'Plan Inputs'!AP$10),0)</f>
        <v>1017452</v>
      </c>
      <c r="AQ66" s="216">
        <f>ROUND(AP66*(1+'Plan Inputs'!AQ$10),0)</f>
        <v>1047976</v>
      </c>
      <c r="AR66" s="216">
        <f>ROUND(AQ66*(1+'Plan Inputs'!AR$10),0)</f>
        <v>1079415</v>
      </c>
      <c r="AS66" s="216">
        <f>ROUND(AR66*(1+'Plan Inputs'!AS$10),0)</f>
        <v>1111797</v>
      </c>
    </row>
    <row r="67" spans="1:45" ht="18" x14ac:dyDescent="0.7">
      <c r="A67" s="31"/>
      <c r="B67" s="67" t="s">
        <v>117</v>
      </c>
      <c r="C67" s="9"/>
      <c r="D67" s="9"/>
      <c r="E67" s="162"/>
      <c r="F67" s="25">
        <f>ROUND('Financial Base'!F26*(1+'Plan Inputs'!F$10),0)</f>
        <v>487236</v>
      </c>
      <c r="G67" s="13">
        <f>ROUND(F67*(1+'Plan Inputs'!G$10),0)</f>
        <v>501853</v>
      </c>
      <c r="H67" s="13">
        <f>ROUND(G67*(1+'Plan Inputs'!H$10),0)</f>
        <v>516909</v>
      </c>
      <c r="I67" s="13">
        <f>ROUND(H67*(1+'Plan Inputs'!I$10),0)</f>
        <v>532416</v>
      </c>
      <c r="J67" s="13">
        <f>ROUND(I67*(1+'Plan Inputs'!J$10),0)</f>
        <v>548388</v>
      </c>
      <c r="K67" s="13">
        <f>ROUND(J67*(1+'Plan Inputs'!K$10),0)</f>
        <v>564840</v>
      </c>
      <c r="L67" s="13">
        <f>ROUND(K67*(1+'Plan Inputs'!L$10),0)</f>
        <v>581785</v>
      </c>
      <c r="M67" s="13">
        <f>ROUND(L67*(1+'Plan Inputs'!M$10),0)</f>
        <v>599239</v>
      </c>
      <c r="N67" s="13">
        <f>ROUND(M67*(1+'Plan Inputs'!N$10),0)</f>
        <v>617216</v>
      </c>
      <c r="O67" s="13">
        <f>ROUND(N67*(1+'Plan Inputs'!O$10),0)</f>
        <v>635732</v>
      </c>
      <c r="P67" s="13">
        <f>ROUND(O67*(1+'Plan Inputs'!P$10),0)</f>
        <v>654804</v>
      </c>
      <c r="Q67" s="13">
        <f>ROUND(P67*(1+'Plan Inputs'!Q$10),0)</f>
        <v>674448</v>
      </c>
      <c r="R67" s="13">
        <f>ROUND(Q67*(1+'Plan Inputs'!R$10),0)</f>
        <v>694681</v>
      </c>
      <c r="S67" s="13">
        <f>ROUND(R67*(1+'Plan Inputs'!S$10),0)</f>
        <v>715521</v>
      </c>
      <c r="T67" s="13">
        <f>ROUND(S67*(1+'Plan Inputs'!T$10),0)</f>
        <v>736987</v>
      </c>
      <c r="U67" s="13">
        <f>ROUND(T67*(1+'Plan Inputs'!U$10),0)</f>
        <v>759097</v>
      </c>
      <c r="V67" s="13">
        <f>ROUND(U67*(1+'Plan Inputs'!V$10),0)</f>
        <v>781870</v>
      </c>
      <c r="W67" s="13">
        <f>ROUND(V67*(1+'Plan Inputs'!W$10),0)</f>
        <v>805326</v>
      </c>
      <c r="X67" s="13">
        <f>ROUND(W67*(1+'Plan Inputs'!X$10),0)</f>
        <v>829486</v>
      </c>
      <c r="Y67" s="13">
        <f>ROUND(X67*(1+'Plan Inputs'!Y$10),0)</f>
        <v>854371</v>
      </c>
      <c r="Z67" s="13">
        <f>ROUND(Y67*(1+'Plan Inputs'!Z$10),0)</f>
        <v>880002</v>
      </c>
      <c r="AA67" s="13">
        <f>ROUND(Z67*(1+'Plan Inputs'!AA$10),0)</f>
        <v>906402</v>
      </c>
      <c r="AB67" s="13">
        <f>ROUND(AA67*(1+'Plan Inputs'!AB$10),0)</f>
        <v>933594</v>
      </c>
      <c r="AC67" s="13">
        <f>ROUND(AB67*(1+'Plan Inputs'!AC$10),0)</f>
        <v>961602</v>
      </c>
      <c r="AD67" s="13">
        <f>ROUND(AC67*(1+'Plan Inputs'!AD$10),0)</f>
        <v>990450</v>
      </c>
      <c r="AE67" s="13">
        <f>ROUND(AD67*(1+'Plan Inputs'!AE$10),0)</f>
        <v>1020164</v>
      </c>
      <c r="AF67" s="13">
        <f>ROUND(AE67*(1+'Plan Inputs'!AF$10),0)</f>
        <v>1050769</v>
      </c>
      <c r="AG67" s="13">
        <f>ROUND(AF67*(1+'Plan Inputs'!AG$10),0)</f>
        <v>1082292</v>
      </c>
      <c r="AH67" s="13">
        <f>ROUND(AG67*(1+'Plan Inputs'!AH$10),0)</f>
        <v>1114761</v>
      </c>
      <c r="AI67" s="13">
        <f>ROUND(AH67*(1+'Plan Inputs'!AI$10),0)</f>
        <v>1148204</v>
      </c>
      <c r="AJ67" s="13">
        <f>ROUND(AI67*(1+'Plan Inputs'!AJ$10),0)</f>
        <v>1182650</v>
      </c>
      <c r="AK67" s="13">
        <f>ROUND(AJ67*(1+'Plan Inputs'!AK$10),0)</f>
        <v>1218130</v>
      </c>
      <c r="AL67" s="13">
        <f>ROUND(AK67*(1+'Plan Inputs'!AL$10),0)</f>
        <v>1254674</v>
      </c>
      <c r="AM67" s="13">
        <f>ROUND(AL67*(1+'Plan Inputs'!AM$10),0)</f>
        <v>1292314</v>
      </c>
      <c r="AN67" s="13">
        <f>ROUND(AM67*(1+'Plan Inputs'!AN$10),0)</f>
        <v>1331083</v>
      </c>
      <c r="AO67" s="13">
        <f>ROUND(AN67*(1+'Plan Inputs'!AO$10),0)</f>
        <v>1371015</v>
      </c>
      <c r="AP67" s="13">
        <f>ROUND(AO67*(1+'Plan Inputs'!AP$10),0)</f>
        <v>1412145</v>
      </c>
      <c r="AQ67" s="13">
        <f>ROUND(AP67*(1+'Plan Inputs'!AQ$10),0)</f>
        <v>1454509</v>
      </c>
      <c r="AR67" s="13">
        <f>ROUND(AQ67*(1+'Plan Inputs'!AR$10),0)</f>
        <v>1498144</v>
      </c>
      <c r="AS67" s="13">
        <f>ROUND(AR67*(1+'Plan Inputs'!AS$10),0)</f>
        <v>1543088</v>
      </c>
    </row>
    <row r="68" spans="1:45" x14ac:dyDescent="0.35">
      <c r="A68" s="125" t="s">
        <v>103</v>
      </c>
      <c r="B68" s="23"/>
      <c r="C68" s="5"/>
      <c r="D68" s="5"/>
      <c r="E68" s="5"/>
      <c r="F68" s="8">
        <f>SUM(F53:F67)</f>
        <v>4083369</v>
      </c>
      <c r="G68" s="8">
        <f>SUM(G53:G67)</f>
        <v>4236989</v>
      </c>
      <c r="H68" s="8">
        <f>SUM(H53:H67)</f>
        <v>4630157</v>
      </c>
      <c r="I68" s="8">
        <f t="shared" ref="I68:AS68" si="9">SUM(I53:I67)</f>
        <v>4812417</v>
      </c>
      <c r="J68" s="8">
        <f t="shared" si="9"/>
        <v>5001806</v>
      </c>
      <c r="K68" s="8">
        <f t="shared" si="9"/>
        <v>5201586</v>
      </c>
      <c r="L68" s="8">
        <f t="shared" si="9"/>
        <v>5407638</v>
      </c>
      <c r="M68" s="8">
        <f t="shared" si="9"/>
        <v>5626394</v>
      </c>
      <c r="N68" s="8">
        <f t="shared" si="9"/>
        <v>5852078</v>
      </c>
      <c r="O68" s="8">
        <f t="shared" si="9"/>
        <v>6086740</v>
      </c>
      <c r="P68" s="8">
        <f t="shared" si="9"/>
        <v>6334655</v>
      </c>
      <c r="Q68" s="8">
        <f t="shared" si="9"/>
        <v>6590819</v>
      </c>
      <c r="R68" s="8">
        <f t="shared" si="9"/>
        <v>6861618</v>
      </c>
      <c r="S68" s="8">
        <f t="shared" si="9"/>
        <v>7141464</v>
      </c>
      <c r="T68" s="8">
        <f t="shared" si="9"/>
        <v>7437038</v>
      </c>
      <c r="U68" s="8">
        <f t="shared" si="9"/>
        <v>7742522</v>
      </c>
      <c r="V68" s="8">
        <f t="shared" si="9"/>
        <v>8065278</v>
      </c>
      <c r="W68" s="8">
        <f t="shared" si="9"/>
        <v>8399607</v>
      </c>
      <c r="X68" s="8">
        <f t="shared" si="9"/>
        <v>8751381</v>
      </c>
      <c r="Y68" s="8">
        <f t="shared" si="9"/>
        <v>9116110</v>
      </c>
      <c r="Z68" s="8">
        <f t="shared" si="9"/>
        <v>9500378</v>
      </c>
      <c r="AA68" s="8">
        <f t="shared" si="9"/>
        <v>9905072</v>
      </c>
      <c r="AB68" s="8">
        <f t="shared" si="9"/>
        <v>10323838</v>
      </c>
      <c r="AC68" s="8">
        <f t="shared" si="9"/>
        <v>10764564</v>
      </c>
      <c r="AD68" s="8">
        <f t="shared" si="9"/>
        <v>11221338</v>
      </c>
      <c r="AE68" s="8">
        <f t="shared" si="9"/>
        <v>11702089</v>
      </c>
      <c r="AF68" s="8">
        <f t="shared" si="9"/>
        <v>12207868</v>
      </c>
      <c r="AG68" s="8">
        <f t="shared" si="9"/>
        <v>12739413</v>
      </c>
      <c r="AH68" s="8">
        <f t="shared" si="9"/>
        <v>13290213</v>
      </c>
      <c r="AI68" s="8">
        <f t="shared" si="9"/>
        <v>13867983</v>
      </c>
      <c r="AJ68" s="8">
        <f t="shared" si="9"/>
        <v>14474673</v>
      </c>
      <c r="AK68" s="8">
        <f t="shared" si="9"/>
        <v>15111928</v>
      </c>
      <c r="AL68" s="8">
        <f t="shared" si="9"/>
        <v>15772583</v>
      </c>
      <c r="AM68" s="8">
        <f t="shared" si="9"/>
        <v>16467157</v>
      </c>
      <c r="AN68" s="8">
        <f t="shared" si="9"/>
        <v>17195974</v>
      </c>
      <c r="AO68" s="8">
        <f t="shared" si="9"/>
        <v>17960147</v>
      </c>
      <c r="AP68" s="8">
        <f t="shared" si="9"/>
        <v>18761578</v>
      </c>
      <c r="AQ68" s="8">
        <f t="shared" si="9"/>
        <v>19601862</v>
      </c>
      <c r="AR68" s="8">
        <f t="shared" si="9"/>
        <v>20482657</v>
      </c>
      <c r="AS68" s="8">
        <f t="shared" si="9"/>
        <v>21407151</v>
      </c>
    </row>
    <row r="69" spans="1:45" x14ac:dyDescent="0.35">
      <c r="A69" s="29" t="s">
        <v>222</v>
      </c>
      <c r="B69" s="5"/>
      <c r="C69" s="8"/>
      <c r="D69" s="8"/>
      <c r="E69" s="8"/>
      <c r="F69" s="8">
        <f>'Financial Base'!F28</f>
        <v>619912</v>
      </c>
      <c r="G69" s="216">
        <f>F69</f>
        <v>619912</v>
      </c>
      <c r="H69" s="216">
        <f>G69</f>
        <v>619912</v>
      </c>
      <c r="I69" s="216">
        <f t="shared" ref="I69" si="10">H69</f>
        <v>619912</v>
      </c>
      <c r="J69" s="216">
        <f t="shared" ref="J69" si="11">I69</f>
        <v>619912</v>
      </c>
      <c r="K69" s="216">
        <f t="shared" ref="K69" si="12">J69</f>
        <v>619912</v>
      </c>
      <c r="L69" s="216">
        <f t="shared" ref="L69" si="13">K69</f>
        <v>619912</v>
      </c>
      <c r="M69" s="216">
        <f t="shared" ref="M69" si="14">L69</f>
        <v>619912</v>
      </c>
      <c r="N69" s="216">
        <f t="shared" ref="N69" si="15">M69</f>
        <v>619912</v>
      </c>
      <c r="O69" s="216">
        <f t="shared" ref="O69" si="16">N69</f>
        <v>619912</v>
      </c>
      <c r="P69" s="216">
        <f t="shared" ref="P69" si="17">O69</f>
        <v>619912</v>
      </c>
      <c r="Q69" s="216">
        <f t="shared" ref="Q69" si="18">P69</f>
        <v>619912</v>
      </c>
      <c r="R69" s="216">
        <f t="shared" ref="R69" si="19">Q69</f>
        <v>619912</v>
      </c>
      <c r="S69" s="216">
        <f t="shared" ref="S69" si="20">R69</f>
        <v>619912</v>
      </c>
      <c r="T69" s="216">
        <f t="shared" ref="T69" si="21">S69</f>
        <v>619912</v>
      </c>
      <c r="U69" s="216">
        <f t="shared" ref="U69" si="22">T69</f>
        <v>619912</v>
      </c>
      <c r="V69" s="216">
        <f t="shared" ref="V69" si="23">U69</f>
        <v>619912</v>
      </c>
      <c r="W69" s="216">
        <f t="shared" ref="W69" si="24">V69</f>
        <v>619912</v>
      </c>
      <c r="X69" s="216">
        <f t="shared" ref="X69" si="25">W69</f>
        <v>619912</v>
      </c>
      <c r="Y69" s="216">
        <f t="shared" ref="Y69" si="26">X69</f>
        <v>619912</v>
      </c>
      <c r="Z69" s="216">
        <f t="shared" ref="Z69" si="27">Y69</f>
        <v>619912</v>
      </c>
      <c r="AA69" s="216">
        <f t="shared" ref="AA69" si="28">Z69</f>
        <v>619912</v>
      </c>
      <c r="AB69" s="216">
        <f t="shared" ref="AB69" si="29">AA69</f>
        <v>619912</v>
      </c>
      <c r="AC69" s="216">
        <f t="shared" ref="AC69" si="30">AB69</f>
        <v>619912</v>
      </c>
      <c r="AD69" s="216">
        <f t="shared" ref="AD69" si="31">AC69</f>
        <v>619912</v>
      </c>
      <c r="AE69" s="216">
        <f t="shared" ref="AE69" si="32">AD69</f>
        <v>619912</v>
      </c>
      <c r="AF69" s="216">
        <f t="shared" ref="AF69" si="33">AE69</f>
        <v>619912</v>
      </c>
      <c r="AG69" s="216">
        <f t="shared" ref="AG69" si="34">AF69</f>
        <v>619912</v>
      </c>
      <c r="AH69" s="216">
        <f t="shared" ref="AH69" si="35">AG69</f>
        <v>619912</v>
      </c>
      <c r="AI69" s="216">
        <f t="shared" ref="AI69" si="36">AH69</f>
        <v>619912</v>
      </c>
      <c r="AJ69" s="216">
        <f t="shared" ref="AJ69" si="37">AI69</f>
        <v>619912</v>
      </c>
      <c r="AK69" s="216">
        <f t="shared" ref="AK69" si="38">AJ69</f>
        <v>619912</v>
      </c>
      <c r="AL69" s="216">
        <f t="shared" ref="AL69" si="39">AK69</f>
        <v>619912</v>
      </c>
      <c r="AM69" s="216">
        <f t="shared" ref="AM69" si="40">AL69</f>
        <v>619912</v>
      </c>
      <c r="AN69" s="216">
        <f t="shared" ref="AN69" si="41">AM69</f>
        <v>619912</v>
      </c>
      <c r="AO69" s="216">
        <f t="shared" ref="AO69" si="42">AN69</f>
        <v>619912</v>
      </c>
      <c r="AP69" s="216">
        <f t="shared" ref="AP69" si="43">AO69</f>
        <v>619912</v>
      </c>
      <c r="AQ69" s="216">
        <f t="shared" ref="AQ69" si="44">AP69</f>
        <v>619912</v>
      </c>
      <c r="AR69" s="216">
        <f t="shared" ref="AR69" si="45">AQ69</f>
        <v>619912</v>
      </c>
      <c r="AS69" s="216">
        <f t="shared" ref="AS69" si="46">AR69</f>
        <v>619912</v>
      </c>
    </row>
    <row r="70" spans="1:45" x14ac:dyDescent="0.35">
      <c r="A70" s="29" t="s">
        <v>223</v>
      </c>
      <c r="B70" s="5"/>
      <c r="C70" s="8"/>
      <c r="D70" s="8"/>
      <c r="E70" s="8"/>
      <c r="F70" s="8">
        <f>'New Depreciation'!B47</f>
        <v>0</v>
      </c>
      <c r="G70" s="8">
        <f>'New Depreciation'!C47</f>
        <v>0</v>
      </c>
      <c r="H70" s="8">
        <f>'New Depreciation'!D47</f>
        <v>295600</v>
      </c>
      <c r="I70" s="8">
        <f>'New Depreciation'!E47</f>
        <v>295600</v>
      </c>
      <c r="J70" s="8">
        <f>'New Depreciation'!F47</f>
        <v>295600</v>
      </c>
      <c r="K70" s="8">
        <f>'New Depreciation'!G47</f>
        <v>295600</v>
      </c>
      <c r="L70" s="8">
        <f>'New Depreciation'!H47</f>
        <v>295600</v>
      </c>
      <c r="M70" s="8">
        <f>'New Depreciation'!I47</f>
        <v>295600</v>
      </c>
      <c r="N70" s="8">
        <f>'New Depreciation'!J47</f>
        <v>295600</v>
      </c>
      <c r="O70" s="8">
        <f>'New Depreciation'!K47</f>
        <v>295600</v>
      </c>
      <c r="P70" s="8">
        <f>'New Depreciation'!L47</f>
        <v>295600</v>
      </c>
      <c r="Q70" s="8">
        <f>'New Depreciation'!M47</f>
        <v>295600</v>
      </c>
      <c r="R70" s="8">
        <f>'New Depreciation'!N47</f>
        <v>295600</v>
      </c>
      <c r="S70" s="8">
        <f>'New Depreciation'!O47</f>
        <v>295600</v>
      </c>
      <c r="T70" s="8">
        <f>'New Depreciation'!P47</f>
        <v>295600</v>
      </c>
      <c r="U70" s="8">
        <f>'New Depreciation'!Q47</f>
        <v>295600</v>
      </c>
      <c r="V70" s="8">
        <f>'New Depreciation'!R47</f>
        <v>295600</v>
      </c>
      <c r="W70" s="8">
        <f>'New Depreciation'!S47</f>
        <v>295600</v>
      </c>
      <c r="X70" s="8">
        <f>'New Depreciation'!T47</f>
        <v>295600</v>
      </c>
      <c r="Y70" s="8">
        <f>'New Depreciation'!U47</f>
        <v>295600</v>
      </c>
      <c r="Z70" s="8">
        <f>'New Depreciation'!V47</f>
        <v>295600</v>
      </c>
      <c r="AA70" s="8">
        <f>'New Depreciation'!W47</f>
        <v>295600</v>
      </c>
      <c r="AB70" s="8">
        <f>'New Depreciation'!X47</f>
        <v>295600</v>
      </c>
      <c r="AC70" s="8">
        <f>'New Depreciation'!Y47</f>
        <v>295600</v>
      </c>
      <c r="AD70" s="8">
        <f>'New Depreciation'!Z47</f>
        <v>295600</v>
      </c>
      <c r="AE70" s="8">
        <f>'New Depreciation'!AA47</f>
        <v>295600</v>
      </c>
      <c r="AF70" s="8">
        <f>'New Depreciation'!AB47</f>
        <v>295600</v>
      </c>
      <c r="AG70" s="8">
        <f>'New Depreciation'!AC47</f>
        <v>295600</v>
      </c>
      <c r="AH70" s="8">
        <f>'New Depreciation'!AD47</f>
        <v>295600</v>
      </c>
      <c r="AI70" s="8">
        <f>'New Depreciation'!AE47</f>
        <v>295600</v>
      </c>
      <c r="AJ70" s="8">
        <f>'New Depreciation'!AF47</f>
        <v>295600</v>
      </c>
      <c r="AK70" s="8">
        <f>'New Depreciation'!AG47</f>
        <v>295600</v>
      </c>
      <c r="AL70" s="8">
        <f>'New Depreciation'!AH47</f>
        <v>295600</v>
      </c>
      <c r="AM70" s="8">
        <f>'New Depreciation'!AI47</f>
        <v>295600</v>
      </c>
      <c r="AN70" s="8">
        <f>'New Depreciation'!AJ47</f>
        <v>295600</v>
      </c>
      <c r="AO70" s="8">
        <f>'New Depreciation'!AK47</f>
        <v>295600</v>
      </c>
      <c r="AP70" s="8">
        <f>'New Depreciation'!AL47</f>
        <v>295600</v>
      </c>
      <c r="AQ70" s="8">
        <f>'New Depreciation'!AM47</f>
        <v>295600</v>
      </c>
      <c r="AR70" s="8">
        <f>'New Depreciation'!AN47</f>
        <v>295600</v>
      </c>
      <c r="AS70" s="8">
        <f>'New Depreciation'!AO47</f>
        <v>295600</v>
      </c>
    </row>
    <row r="71" spans="1:45" ht="17.149999999999999" x14ac:dyDescent="0.35">
      <c r="A71" s="29" t="s">
        <v>245</v>
      </c>
      <c r="B71" s="5"/>
      <c r="C71" s="8"/>
      <c r="D71" s="8"/>
      <c r="E71" s="124"/>
      <c r="F71" s="124">
        <f>'Financial Base'!F29</f>
        <v>80094</v>
      </c>
      <c r="G71" s="13">
        <f>ROUND(F71*(1+'Plan Inputs'!$G$10),0)</f>
        <v>82497</v>
      </c>
      <c r="H71" s="13">
        <f>ROUND(G71*(1+'Plan Inputs'!$G$10),0)</f>
        <v>84972</v>
      </c>
      <c r="I71" s="13">
        <f>ROUND(H71*(1+'Plan Inputs'!$G$10),0)</f>
        <v>87521</v>
      </c>
      <c r="J71" s="13">
        <f>ROUND(I71*(1+'Plan Inputs'!$G$10),0)</f>
        <v>90147</v>
      </c>
      <c r="K71" s="13">
        <f>ROUND(J71*(1+'Plan Inputs'!$G$10),0)</f>
        <v>92851</v>
      </c>
      <c r="L71" s="13">
        <f>ROUND(K71*(1+'Plan Inputs'!$G$10),0)</f>
        <v>95637</v>
      </c>
      <c r="M71" s="13">
        <f>ROUND(L71*(1+'Plan Inputs'!$G$10),0)</f>
        <v>98506</v>
      </c>
      <c r="N71" s="13">
        <f>ROUND(M71*(1+'Plan Inputs'!$G$10),0)</f>
        <v>101461</v>
      </c>
      <c r="O71" s="13">
        <f>ROUND(N71*(1+'Plan Inputs'!$G$10),0)</f>
        <v>104505</v>
      </c>
      <c r="P71" s="13">
        <f>ROUND(O71*(1+'Plan Inputs'!$G$10),0)</f>
        <v>107640</v>
      </c>
      <c r="Q71" s="13">
        <f>ROUND(P71*(1+'Plan Inputs'!$G$10),0)</f>
        <v>110869</v>
      </c>
      <c r="R71" s="13">
        <f>ROUND(Q71*(1+'Plan Inputs'!$G$10),0)</f>
        <v>114195</v>
      </c>
      <c r="S71" s="13">
        <f>ROUND(R71*(1+'Plan Inputs'!$G$10),0)</f>
        <v>117621</v>
      </c>
      <c r="T71" s="13">
        <f>ROUND(S71*(1+'Plan Inputs'!$G$10),0)</f>
        <v>121150</v>
      </c>
      <c r="U71" s="13">
        <f>ROUND(T71*(1+'Plan Inputs'!$G$10),0)</f>
        <v>124785</v>
      </c>
      <c r="V71" s="13">
        <f>ROUND(U71*(1+'Plan Inputs'!$G$10),0)</f>
        <v>128529</v>
      </c>
      <c r="W71" s="13">
        <f>ROUND(V71*(1+'Plan Inputs'!$G$10),0)</f>
        <v>132385</v>
      </c>
      <c r="X71" s="13">
        <f>ROUND(W71*(1+'Plan Inputs'!$G$10),0)</f>
        <v>136357</v>
      </c>
      <c r="Y71" s="13">
        <f>ROUND(X71*(1+'Plan Inputs'!$G$10),0)</f>
        <v>140448</v>
      </c>
      <c r="Z71" s="13">
        <f>ROUND(Y71*(1+'Plan Inputs'!$G$10),0)</f>
        <v>144661</v>
      </c>
      <c r="AA71" s="13">
        <f>ROUND(Z71*(1+'Plan Inputs'!$G$10),0)</f>
        <v>149001</v>
      </c>
      <c r="AB71" s="13">
        <f>ROUND(AA71*(1+'Plan Inputs'!$G$10),0)</f>
        <v>153471</v>
      </c>
      <c r="AC71" s="13">
        <f>ROUND(AB71*(1+'Plan Inputs'!$G$10),0)</f>
        <v>158075</v>
      </c>
      <c r="AD71" s="13">
        <f>ROUND(AC71*(1+'Plan Inputs'!$G$10),0)</f>
        <v>162817</v>
      </c>
      <c r="AE71" s="13">
        <f>ROUND(AD71*(1+'Plan Inputs'!$G$10),0)</f>
        <v>167702</v>
      </c>
      <c r="AF71" s="13">
        <f>ROUND(AE71*(1+'Plan Inputs'!$G$10),0)</f>
        <v>172733</v>
      </c>
      <c r="AG71" s="13">
        <f>ROUND(AF71*(1+'Plan Inputs'!$G$10),0)</f>
        <v>177915</v>
      </c>
      <c r="AH71" s="13">
        <f>ROUND(AG71*(1+'Plan Inputs'!$G$10),0)</f>
        <v>183252</v>
      </c>
      <c r="AI71" s="13">
        <f>ROUND(AH71*(1+'Plan Inputs'!$G$10),0)</f>
        <v>188750</v>
      </c>
      <c r="AJ71" s="13">
        <f>ROUND(AI71*(1+'Plan Inputs'!$G$10),0)</f>
        <v>194413</v>
      </c>
      <c r="AK71" s="13">
        <f>ROUND(AJ71*(1+'Plan Inputs'!$G$10),0)</f>
        <v>200245</v>
      </c>
      <c r="AL71" s="13">
        <f>ROUND(AK71*(1+'Plan Inputs'!$G$10),0)</f>
        <v>206252</v>
      </c>
      <c r="AM71" s="13">
        <f>ROUND(AL71*(1+'Plan Inputs'!$G$10),0)</f>
        <v>212440</v>
      </c>
      <c r="AN71" s="13">
        <f>ROUND(AM71*(1+'Plan Inputs'!$G$10),0)</f>
        <v>218813</v>
      </c>
      <c r="AO71" s="13">
        <f>ROUND(AN71*(1+'Plan Inputs'!$G$10),0)</f>
        <v>225377</v>
      </c>
      <c r="AP71" s="13">
        <f>ROUND(AO71*(1+'Plan Inputs'!$G$10),0)</f>
        <v>232138</v>
      </c>
      <c r="AQ71" s="13">
        <f>ROUND(AP71*(1+'Plan Inputs'!$G$10),0)</f>
        <v>239102</v>
      </c>
      <c r="AR71" s="13">
        <f>ROUND(AQ71*(1+'Plan Inputs'!$G$10),0)</f>
        <v>246275</v>
      </c>
      <c r="AS71" s="13">
        <f>ROUND(AR71*(1+'Plan Inputs'!$G$10),0)</f>
        <v>253663</v>
      </c>
    </row>
    <row r="72" spans="1:45" ht="17.149999999999999" x14ac:dyDescent="0.35">
      <c r="A72" s="30" t="s">
        <v>121</v>
      </c>
      <c r="B72" s="5"/>
      <c r="C72" s="5"/>
      <c r="D72" s="5"/>
      <c r="E72" s="25"/>
      <c r="F72" s="7">
        <f t="shared" ref="F72:G72" si="47">SUM(F68:F71)</f>
        <v>4783375</v>
      </c>
      <c r="G72" s="7">
        <f t="shared" si="47"/>
        <v>4939398</v>
      </c>
      <c r="H72" s="7">
        <f t="shared" ref="H72:AS72" si="48">SUM(H68:H71)</f>
        <v>5630641</v>
      </c>
      <c r="I72" s="7">
        <f t="shared" si="48"/>
        <v>5815450</v>
      </c>
      <c r="J72" s="7">
        <f t="shared" si="48"/>
        <v>6007465</v>
      </c>
      <c r="K72" s="7">
        <f t="shared" si="48"/>
        <v>6209949</v>
      </c>
      <c r="L72" s="7">
        <f t="shared" si="48"/>
        <v>6418787</v>
      </c>
      <c r="M72" s="7">
        <f t="shared" si="48"/>
        <v>6640412</v>
      </c>
      <c r="N72" s="7">
        <f t="shared" si="48"/>
        <v>6869051</v>
      </c>
      <c r="O72" s="7">
        <f t="shared" si="48"/>
        <v>7106757</v>
      </c>
      <c r="P72" s="7">
        <f t="shared" si="48"/>
        <v>7357807</v>
      </c>
      <c r="Q72" s="7">
        <f t="shared" si="48"/>
        <v>7617200</v>
      </c>
      <c r="R72" s="7">
        <f t="shared" si="48"/>
        <v>7891325</v>
      </c>
      <c r="S72" s="7">
        <f t="shared" si="48"/>
        <v>8174597</v>
      </c>
      <c r="T72" s="7">
        <f t="shared" si="48"/>
        <v>8473700</v>
      </c>
      <c r="U72" s="7">
        <f t="shared" si="48"/>
        <v>8782819</v>
      </c>
      <c r="V72" s="7">
        <f t="shared" si="48"/>
        <v>9109319</v>
      </c>
      <c r="W72" s="7">
        <f t="shared" si="48"/>
        <v>9447504</v>
      </c>
      <c r="X72" s="7">
        <f t="shared" si="48"/>
        <v>9803250</v>
      </c>
      <c r="Y72" s="7">
        <f t="shared" si="48"/>
        <v>10172070</v>
      </c>
      <c r="Z72" s="7">
        <f t="shared" si="48"/>
        <v>10560551</v>
      </c>
      <c r="AA72" s="7">
        <f t="shared" si="48"/>
        <v>10969585</v>
      </c>
      <c r="AB72" s="7">
        <f t="shared" si="48"/>
        <v>11392821</v>
      </c>
      <c r="AC72" s="7">
        <f t="shared" si="48"/>
        <v>11838151</v>
      </c>
      <c r="AD72" s="7">
        <f t="shared" si="48"/>
        <v>12299667</v>
      </c>
      <c r="AE72" s="7">
        <f t="shared" si="48"/>
        <v>12785303</v>
      </c>
      <c r="AF72" s="7">
        <f t="shared" si="48"/>
        <v>13296113</v>
      </c>
      <c r="AG72" s="7">
        <f t="shared" si="48"/>
        <v>13832840</v>
      </c>
      <c r="AH72" s="7">
        <f t="shared" si="48"/>
        <v>14388977</v>
      </c>
      <c r="AI72" s="7">
        <f t="shared" si="48"/>
        <v>14972245</v>
      </c>
      <c r="AJ72" s="7">
        <f t="shared" si="48"/>
        <v>15584598</v>
      </c>
      <c r="AK72" s="7">
        <f t="shared" si="48"/>
        <v>16227685</v>
      </c>
      <c r="AL72" s="7">
        <f t="shared" si="48"/>
        <v>16894347</v>
      </c>
      <c r="AM72" s="7">
        <f t="shared" si="48"/>
        <v>17595109</v>
      </c>
      <c r="AN72" s="7">
        <f t="shared" si="48"/>
        <v>18330299</v>
      </c>
      <c r="AO72" s="7">
        <f t="shared" si="48"/>
        <v>19101036</v>
      </c>
      <c r="AP72" s="7">
        <f t="shared" si="48"/>
        <v>19909228</v>
      </c>
      <c r="AQ72" s="7">
        <f t="shared" si="48"/>
        <v>20756476</v>
      </c>
      <c r="AR72" s="7">
        <f t="shared" si="48"/>
        <v>21644444</v>
      </c>
      <c r="AS72" s="7">
        <f t="shared" si="48"/>
        <v>22576326</v>
      </c>
    </row>
    <row r="73" spans="1:45" x14ac:dyDescent="0.35">
      <c r="A73" s="30"/>
      <c r="B73" s="5"/>
      <c r="C73" s="5"/>
      <c r="D73" s="5"/>
      <c r="E73" s="5"/>
      <c r="F73" s="5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spans="1:45" x14ac:dyDescent="0.35">
      <c r="A74" s="30" t="s">
        <v>122</v>
      </c>
      <c r="B74" s="5"/>
      <c r="C74" s="5"/>
      <c r="D74" s="5"/>
      <c r="E74" s="5"/>
      <c r="F74" s="5">
        <f t="shared" ref="F74:AS74" si="49">F49-F72</f>
        <v>854371</v>
      </c>
      <c r="G74" s="5">
        <f t="shared" si="49"/>
        <v>940997</v>
      </c>
      <c r="H74" s="5">
        <f t="shared" si="49"/>
        <v>1095340</v>
      </c>
      <c r="I74" s="5">
        <f t="shared" si="49"/>
        <v>1597808</v>
      </c>
      <c r="J74" s="5">
        <f t="shared" si="49"/>
        <v>1591124</v>
      </c>
      <c r="K74" s="5">
        <f t="shared" si="49"/>
        <v>1578605</v>
      </c>
      <c r="L74" s="5">
        <f t="shared" si="49"/>
        <v>1564481</v>
      </c>
      <c r="M74" s="5">
        <f t="shared" si="49"/>
        <v>1542438</v>
      </c>
      <c r="N74" s="5">
        <f t="shared" si="49"/>
        <v>1518370</v>
      </c>
      <c r="O74" s="5">
        <f t="shared" si="49"/>
        <v>1490350</v>
      </c>
      <c r="P74" s="5">
        <f t="shared" si="49"/>
        <v>1454227</v>
      </c>
      <c r="Q74" s="5">
        <f t="shared" si="49"/>
        <v>1415135</v>
      </c>
      <c r="R74" s="5">
        <f t="shared" si="49"/>
        <v>1366818</v>
      </c>
      <c r="S74" s="5">
        <f t="shared" si="49"/>
        <v>1314999</v>
      </c>
      <c r="T74" s="5">
        <f t="shared" si="49"/>
        <v>1253136</v>
      </c>
      <c r="U74" s="5">
        <f t="shared" si="49"/>
        <v>1187188</v>
      </c>
      <c r="V74" s="5">
        <f t="shared" si="49"/>
        <v>1109938</v>
      </c>
      <c r="W74" s="5">
        <f t="shared" si="49"/>
        <v>1027235</v>
      </c>
      <c r="X74" s="5">
        <f t="shared" si="49"/>
        <v>933358</v>
      </c>
      <c r="Y74" s="5">
        <f t="shared" si="49"/>
        <v>832954</v>
      </c>
      <c r="Z74" s="5">
        <f t="shared" si="49"/>
        <v>719599</v>
      </c>
      <c r="AA74" s="5">
        <f t="shared" si="49"/>
        <v>667723</v>
      </c>
      <c r="AB74" s="5">
        <f t="shared" si="49"/>
        <v>655895</v>
      </c>
      <c r="AC74" s="5">
        <f t="shared" si="49"/>
        <v>634048</v>
      </c>
      <c r="AD74" s="5">
        <f t="shared" si="49"/>
        <v>618569</v>
      </c>
      <c r="AE74" s="5">
        <f t="shared" si="49"/>
        <v>597569</v>
      </c>
      <c r="AF74" s="5">
        <f t="shared" si="49"/>
        <v>576338</v>
      </c>
      <c r="AG74" s="5">
        <f t="shared" si="49"/>
        <v>554210</v>
      </c>
      <c r="AH74" s="5">
        <f t="shared" si="49"/>
        <v>540609</v>
      </c>
      <c r="AI74" s="5">
        <f t="shared" si="49"/>
        <v>520336</v>
      </c>
      <c r="AJ74" s="5">
        <f t="shared" si="49"/>
        <v>498560</v>
      </c>
      <c r="AK74" s="5">
        <f t="shared" si="49"/>
        <v>257552</v>
      </c>
      <c r="AL74" s="5">
        <f t="shared" si="49"/>
        <v>3021</v>
      </c>
      <c r="AM74" s="5">
        <f t="shared" si="49"/>
        <v>-275307</v>
      </c>
      <c r="AN74" s="5">
        <f t="shared" si="49"/>
        <v>-577502</v>
      </c>
      <c r="AO74" s="5">
        <f t="shared" si="49"/>
        <v>-904419</v>
      </c>
      <c r="AP74" s="5">
        <f t="shared" si="49"/>
        <v>-989114</v>
      </c>
      <c r="AQ74" s="5">
        <f t="shared" si="49"/>
        <v>-1000708</v>
      </c>
      <c r="AR74" s="5">
        <f t="shared" si="49"/>
        <v>-1018138</v>
      </c>
      <c r="AS74" s="5">
        <f t="shared" si="49"/>
        <v>-1036894</v>
      </c>
    </row>
    <row r="75" spans="1:45" ht="15.45" x14ac:dyDescent="0.4">
      <c r="A75" s="30"/>
      <c r="B75" s="5"/>
      <c r="C75" s="5"/>
      <c r="D75" s="5"/>
      <c r="E75" s="5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1" customFormat="1" ht="17.149999999999999" x14ac:dyDescent="0.4">
      <c r="A76" s="30"/>
      <c r="B76" s="68"/>
      <c r="C76" s="25"/>
      <c r="D76" s="25"/>
      <c r="E76" s="2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</row>
    <row r="77" spans="1:45" s="1" customFormat="1" ht="17.149999999999999" x14ac:dyDescent="0.4">
      <c r="A77" s="30"/>
      <c r="B77" s="68"/>
      <c r="C77" s="25"/>
      <c r="D77" s="25"/>
      <c r="E77" s="2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</row>
    <row r="78" spans="1:45" ht="15.45" x14ac:dyDescent="0.4">
      <c r="A78" s="29"/>
      <c r="B78" s="27"/>
      <c r="C78" s="27"/>
      <c r="D78" s="27"/>
      <c r="E78" s="27"/>
      <c r="F78" s="1"/>
      <c r="G78" s="1"/>
      <c r="H78" s="1"/>
      <c r="I78" s="1"/>
      <c r="J78" s="1"/>
      <c r="K78" s="1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1:45" ht="15.45" x14ac:dyDescent="0.4">
      <c r="A79" s="29"/>
      <c r="B79" s="27"/>
      <c r="C79" s="27"/>
      <c r="D79" s="27"/>
      <c r="E79" s="27"/>
      <c r="F79" s="1"/>
      <c r="G79" s="1"/>
      <c r="H79" s="1"/>
      <c r="I79" s="1"/>
      <c r="J79" s="1"/>
      <c r="K79" s="1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</sheetData>
  <mergeCells count="6">
    <mergeCell ref="A42:K42"/>
    <mergeCell ref="A3:K3"/>
    <mergeCell ref="A2:K2"/>
    <mergeCell ref="A1:K1"/>
    <mergeCell ref="A40:K40"/>
    <mergeCell ref="A41:K41"/>
  </mergeCells>
  <printOptions verticalCentered="1"/>
  <pageMargins left="0.7" right="0.7" top="0.75" bottom="0.75" header="0.3" footer="0.3"/>
  <pageSetup scale="65" fitToWidth="5" fitToHeight="2" orientation="landscape" r:id="rId1"/>
  <headerFooter>
    <oddHeader>&amp;LDRAFT&amp;CNOT FOR DISTRIBUTION&amp;R&amp;D</oddHeader>
    <oddFooter>&amp;LDRAFT &amp;CNOT FOR DISTRIBUTION&amp;RPAGE &amp;P OF &amp;N</oddFooter>
  </headerFooter>
  <rowBreaks count="1" manualBreakCount="1">
    <brk id="37" max="4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C0AE-DAA9-4388-BECD-EEB47DDD5662}">
  <sheetPr>
    <pageSetUpPr fitToPage="1"/>
  </sheetPr>
  <dimension ref="A1:AQ27"/>
  <sheetViews>
    <sheetView workbookViewId="0">
      <selection sqref="A1:J1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3" width="12.5625" customWidth="1"/>
  </cols>
  <sheetData>
    <row r="1" spans="1:43" s="1" customFormat="1" ht="18.45" x14ac:dyDescent="0.4">
      <c r="A1" s="230" t="s">
        <v>248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43" s="1" customFormat="1" ht="18.45" x14ac:dyDescent="0.4">
      <c r="A2" s="230" t="str">
        <f>'Plan Inputs'!F2</f>
        <v>2026-2065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43" s="1" customFormat="1" ht="15.9" x14ac:dyDescent="0.4">
      <c r="A3" s="234" t="s">
        <v>91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43" s="1" customFormat="1" ht="14.6" x14ac:dyDescent="0.4">
      <c r="A4" s="3"/>
      <c r="B4" s="4"/>
      <c r="C4" s="4"/>
      <c r="D4" s="4"/>
      <c r="E4" s="216"/>
    </row>
    <row r="5" spans="1:43" s="1" customFormat="1" ht="14.6" x14ac:dyDescent="0.4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s="1" customFormat="1" ht="14.6" x14ac:dyDescent="0.4">
      <c r="A6" s="1" t="str">
        <f>'Proforma Income Statement'!A35</f>
        <v>Net Operating Income</v>
      </c>
      <c r="D6" s="1">
        <f>'Proforma Income Statement'!F35</f>
        <v>854371</v>
      </c>
      <c r="E6" s="1">
        <f>'Proforma Income Statement'!G35</f>
        <v>981260</v>
      </c>
      <c r="F6" s="1">
        <f>'Proforma Income Statement'!H35</f>
        <v>1293590.3636363633</v>
      </c>
      <c r="G6" s="1">
        <f>'Proforma Income Statement'!I35</f>
        <v>1672597.3636363633</v>
      </c>
      <c r="H6" s="1">
        <f>'Proforma Income Statement'!J35</f>
        <v>1684022.3636363633</v>
      </c>
      <c r="I6" s="1">
        <f>'Proforma Income Statement'!K35</f>
        <v>1636510.3636363633</v>
      </c>
      <c r="J6" s="1">
        <f>'Proforma Income Statement'!L35</f>
        <v>1641865.3636363633</v>
      </c>
      <c r="K6" s="1">
        <f>'Proforma Income Statement'!M35</f>
        <v>1643420.3636363633</v>
      </c>
      <c r="L6" s="1">
        <f>'Proforma Income Statement'!N35</f>
        <v>1641993.3636363633</v>
      </c>
      <c r="M6" s="1">
        <f>'Proforma Income Statement'!O35</f>
        <v>1636338.3636363633</v>
      </c>
      <c r="N6" s="1">
        <f>'Proforma Income Statement'!P35</f>
        <v>1625754.3636363633</v>
      </c>
      <c r="O6" s="1">
        <f>'Proforma Income Statement'!Q35</f>
        <v>1606111.3636363633</v>
      </c>
      <c r="P6" s="1">
        <f>'Proforma Income Statement'!R35</f>
        <v>1580439.3636363633</v>
      </c>
      <c r="Q6" s="1">
        <f>'Proforma Income Statement'!S35</f>
        <v>1550454.3636363633</v>
      </c>
      <c r="R6" s="1">
        <f>'Proforma Income Statement'!T35</f>
        <v>1513719.3636363633</v>
      </c>
      <c r="S6" s="1">
        <f>'Proforma Income Statement'!U35</f>
        <v>1470883.3636363633</v>
      </c>
      <c r="T6" s="1">
        <f>'Proforma Income Statement'!V35</f>
        <v>1421226.3636363633</v>
      </c>
      <c r="U6" s="1">
        <f>'Proforma Income Statement'!W35</f>
        <v>1363901.3636363633</v>
      </c>
      <c r="V6" s="1">
        <f>'Proforma Income Statement'!X35</f>
        <v>1280630.3636363633</v>
      </c>
      <c r="W6" s="1">
        <f>'Proforma Income Statement'!Y35</f>
        <v>1183629.3636363633</v>
      </c>
      <c r="X6" s="1">
        <f>'Proforma Income Statement'!Z35</f>
        <v>1074969.3636363633</v>
      </c>
      <c r="Y6" s="1">
        <f>'Proforma Income Statement'!AA35</f>
        <v>955717.3636363633</v>
      </c>
      <c r="Z6" s="1">
        <f>'Proforma Income Statement'!AB35</f>
        <v>824194.3636363633</v>
      </c>
      <c r="AA6" s="1">
        <f>'Proforma Income Statement'!AC35</f>
        <v>678784.3636363633</v>
      </c>
      <c r="AB6" s="1">
        <f>'Proforma Income Statement'!AD35</f>
        <v>518571.3636363633</v>
      </c>
      <c r="AC6" s="1">
        <f>'Proforma Income Statement'!AE35</f>
        <v>485832.3636363633</v>
      </c>
      <c r="AD6" s="1">
        <f>'Proforma Income Statement'!AF35</f>
        <v>462444.3636363633</v>
      </c>
      <c r="AE6" s="1">
        <f>'Proforma Income Statement'!AG35</f>
        <v>438548.3636363633</v>
      </c>
      <c r="AF6" s="1">
        <f>'Proforma Income Statement'!AH35</f>
        <v>414327.3636363633</v>
      </c>
      <c r="AG6" s="1">
        <f>'Proforma Income Statement'!AI35</f>
        <v>498637.18181818165</v>
      </c>
      <c r="AH6" s="1">
        <f>'Proforma Income Statement'!AJ35</f>
        <v>-224569.97683670744</v>
      </c>
      <c r="AI6" s="1">
        <f>'Proforma Income Statement'!AK35</f>
        <v>462344.02316329256</v>
      </c>
      <c r="AJ6" s="1">
        <f>'Proforma Income Statement'!AL35</f>
        <v>205155.02316329256</v>
      </c>
      <c r="AK6" s="1">
        <f>'Proforma Income Statement'!AM35</f>
        <v>-76369.976836707443</v>
      </c>
      <c r="AL6" s="1">
        <f>'Proforma Income Statement'!AN35</f>
        <v>-271323.97683670744</v>
      </c>
      <c r="AM6" s="1">
        <f>'Proforma Income Statement'!AO35</f>
        <v>-309170.97683670744</v>
      </c>
      <c r="AN6" s="1">
        <f>'Proforma Income Statement'!AP35</f>
        <v>-343840.97683670744</v>
      </c>
      <c r="AO6" s="1">
        <f>'Proforma Income Statement'!AQ35</f>
        <v>-380179.97683670744</v>
      </c>
      <c r="AP6" s="1">
        <f>'Proforma Income Statement'!AR35</f>
        <v>-421334.97683670744</v>
      </c>
      <c r="AQ6" s="1">
        <f>'Proforma Income Statement'!AS35</f>
        <v>-274462.97683670744</v>
      </c>
    </row>
    <row r="7" spans="1:43" s="1" customFormat="1" ht="14.6" x14ac:dyDescent="0.4">
      <c r="A7" s="1" t="s">
        <v>249</v>
      </c>
      <c r="D7" s="1">
        <f>'Proforma Income Statement'!F30</f>
        <v>619912</v>
      </c>
      <c r="E7" s="1">
        <f>'Proforma Income Statement'!G30</f>
        <v>619912</v>
      </c>
      <c r="F7" s="1">
        <f>'Proforma Income Statement'!H30</f>
        <v>619912</v>
      </c>
      <c r="G7" s="1">
        <f>'Proforma Income Statement'!I30</f>
        <v>619912</v>
      </c>
      <c r="H7" s="1">
        <f>'Proforma Income Statement'!J30</f>
        <v>619912</v>
      </c>
      <c r="I7" s="1">
        <f>'Proforma Income Statement'!K30</f>
        <v>619912</v>
      </c>
      <c r="J7" s="1">
        <f>'Proforma Income Statement'!L30</f>
        <v>619912</v>
      </c>
      <c r="K7" s="1">
        <f>'Proforma Income Statement'!M30</f>
        <v>619912</v>
      </c>
      <c r="L7" s="1">
        <f>'Proforma Income Statement'!N30</f>
        <v>619912</v>
      </c>
      <c r="M7" s="1">
        <f>'Proforma Income Statement'!O30</f>
        <v>619912</v>
      </c>
      <c r="N7" s="1">
        <f>'Proforma Income Statement'!P30</f>
        <v>619912</v>
      </c>
      <c r="O7" s="1">
        <f>'Proforma Income Statement'!Q30</f>
        <v>619912</v>
      </c>
      <c r="P7" s="1">
        <f>'Proforma Income Statement'!R30</f>
        <v>619912</v>
      </c>
      <c r="Q7" s="1">
        <f>'Proforma Income Statement'!S30</f>
        <v>619912</v>
      </c>
      <c r="R7" s="1">
        <f>'Proforma Income Statement'!T30</f>
        <v>619912</v>
      </c>
      <c r="S7" s="1">
        <f>'Proforma Income Statement'!U30</f>
        <v>619912</v>
      </c>
      <c r="T7" s="1">
        <f>'Proforma Income Statement'!V30</f>
        <v>619912</v>
      </c>
      <c r="U7" s="1">
        <f>'Proforma Income Statement'!W30</f>
        <v>619912</v>
      </c>
      <c r="V7" s="1">
        <f>'Proforma Income Statement'!X30</f>
        <v>619912</v>
      </c>
      <c r="W7" s="1">
        <f>'Proforma Income Statement'!Y30</f>
        <v>619912</v>
      </c>
      <c r="X7" s="1">
        <f>'Proforma Income Statement'!Z30</f>
        <v>619912</v>
      </c>
      <c r="Y7" s="1">
        <f>'Proforma Income Statement'!AA30</f>
        <v>619912</v>
      </c>
      <c r="Z7" s="1">
        <f>'Proforma Income Statement'!AB30</f>
        <v>619912</v>
      </c>
      <c r="AA7" s="1">
        <f>'Proforma Income Statement'!AC30</f>
        <v>619912</v>
      </c>
      <c r="AB7" s="1">
        <f>'Proforma Income Statement'!AD30</f>
        <v>619912</v>
      </c>
      <c r="AC7" s="1">
        <f>'Proforma Income Statement'!AE30</f>
        <v>619912</v>
      </c>
      <c r="AD7" s="1">
        <f>'Proforma Income Statement'!AF30</f>
        <v>619912</v>
      </c>
      <c r="AE7" s="1">
        <f>'Proforma Income Statement'!AG30</f>
        <v>619912</v>
      </c>
      <c r="AF7" s="1">
        <f>'Proforma Income Statement'!AH30</f>
        <v>619912</v>
      </c>
      <c r="AG7" s="1">
        <f>'Proforma Income Statement'!AI30</f>
        <v>619912</v>
      </c>
      <c r="AH7" s="1">
        <f>'Proforma Income Statement'!AJ30</f>
        <v>619912</v>
      </c>
      <c r="AI7" s="1">
        <f>'Proforma Income Statement'!AK30</f>
        <v>619912</v>
      </c>
      <c r="AJ7" s="1">
        <f>'Proforma Income Statement'!AL30</f>
        <v>619912</v>
      </c>
      <c r="AK7" s="1">
        <f>'Proforma Income Statement'!AM30</f>
        <v>619912</v>
      </c>
      <c r="AL7" s="1">
        <f>'Proforma Income Statement'!AN30</f>
        <v>619912</v>
      </c>
      <c r="AM7" s="1">
        <f>'Proforma Income Statement'!AO30</f>
        <v>619912</v>
      </c>
      <c r="AN7" s="1">
        <f>'Proforma Income Statement'!AP30</f>
        <v>619912</v>
      </c>
      <c r="AO7" s="1">
        <f>'Proforma Income Statement'!AQ30</f>
        <v>619912</v>
      </c>
      <c r="AP7" s="1">
        <f>'Proforma Income Statement'!AR30</f>
        <v>619912</v>
      </c>
      <c r="AQ7" s="1">
        <f>'Proforma Income Statement'!AS30</f>
        <v>619912</v>
      </c>
    </row>
    <row r="8" spans="1:43" s="1" customFormat="1" ht="14.6" x14ac:dyDescent="0.4">
      <c r="A8" s="1" t="s">
        <v>250</v>
      </c>
      <c r="D8" s="1">
        <f>'Proforma Income Statement'!F31</f>
        <v>0</v>
      </c>
      <c r="E8" s="1">
        <f>'Proforma Income Statement'!G31</f>
        <v>0</v>
      </c>
      <c r="F8" s="1">
        <f>'Proforma Income Statement'!H31</f>
        <v>585067.63636363647</v>
      </c>
      <c r="G8" s="1">
        <f>'Proforma Income Statement'!I31</f>
        <v>585067.63636363647</v>
      </c>
      <c r="H8" s="1">
        <f>'Proforma Income Statement'!J31</f>
        <v>585067.63636363647</v>
      </c>
      <c r="I8" s="1">
        <f>'Proforma Income Statement'!K31</f>
        <v>585067.63636363647</v>
      </c>
      <c r="J8" s="1">
        <f>'Proforma Income Statement'!L31</f>
        <v>585067.63636363647</v>
      </c>
      <c r="K8" s="1">
        <f>'Proforma Income Statement'!M31</f>
        <v>585067.63636363647</v>
      </c>
      <c r="L8" s="1">
        <f>'Proforma Income Statement'!N31</f>
        <v>585067.63636363647</v>
      </c>
      <c r="M8" s="1">
        <f>'Proforma Income Statement'!O31</f>
        <v>585067.63636363647</v>
      </c>
      <c r="N8" s="1">
        <f>'Proforma Income Statement'!P31</f>
        <v>585067.63636363647</v>
      </c>
      <c r="O8" s="1">
        <f>'Proforma Income Statement'!Q31</f>
        <v>585067.63636363647</v>
      </c>
      <c r="P8" s="1">
        <f>'Proforma Income Statement'!R31</f>
        <v>585067.63636363647</v>
      </c>
      <c r="Q8" s="1">
        <f>'Proforma Income Statement'!S31</f>
        <v>585067.63636363647</v>
      </c>
      <c r="R8" s="1">
        <f>'Proforma Income Statement'!T31</f>
        <v>585067.63636363647</v>
      </c>
      <c r="S8" s="1">
        <f>'Proforma Income Statement'!U31</f>
        <v>585067.63636363647</v>
      </c>
      <c r="T8" s="1">
        <f>'Proforma Income Statement'!V31</f>
        <v>585067.63636363647</v>
      </c>
      <c r="U8" s="1">
        <f>'Proforma Income Statement'!W31</f>
        <v>585067.63636363647</v>
      </c>
      <c r="V8" s="1">
        <f>'Proforma Income Statement'!X31</f>
        <v>585067.63636363647</v>
      </c>
      <c r="W8" s="1">
        <f>'Proforma Income Statement'!Y31</f>
        <v>585067.63636363647</v>
      </c>
      <c r="X8" s="1">
        <f>'Proforma Income Statement'!Z31</f>
        <v>585067.63636363647</v>
      </c>
      <c r="Y8" s="1">
        <f>'Proforma Income Statement'!AA31</f>
        <v>585067.63636363647</v>
      </c>
      <c r="Z8" s="1">
        <f>'Proforma Income Statement'!AB31</f>
        <v>585067.63636363647</v>
      </c>
      <c r="AA8" s="1">
        <f>'Proforma Income Statement'!AC31</f>
        <v>585067.63636363647</v>
      </c>
      <c r="AB8" s="1">
        <f>'Proforma Income Statement'!AD31</f>
        <v>585067.63636363647</v>
      </c>
      <c r="AC8" s="1">
        <f>'Proforma Income Statement'!AE31</f>
        <v>585067.63636363647</v>
      </c>
      <c r="AD8" s="1">
        <f>'Proforma Income Statement'!AF31</f>
        <v>585067.63636363647</v>
      </c>
      <c r="AE8" s="1">
        <f>'Proforma Income Statement'!AG31</f>
        <v>585067.63636363647</v>
      </c>
      <c r="AF8" s="1">
        <f>'Proforma Income Statement'!AH31</f>
        <v>585067.63636363647</v>
      </c>
      <c r="AG8" s="1">
        <f>'Proforma Income Statement'!AI31</f>
        <v>477165.81818181823</v>
      </c>
      <c r="AH8" s="1">
        <f>'Proforma Income Statement'!AJ31</f>
        <v>1069200.9768367074</v>
      </c>
      <c r="AI8" s="1">
        <f>'Proforma Income Statement'!AK31</f>
        <v>1069200.9768367074</v>
      </c>
      <c r="AJ8" s="1">
        <f>'Proforma Income Statement'!AL31</f>
        <v>1069200.9768367074</v>
      </c>
      <c r="AK8" s="1">
        <f>'Proforma Income Statement'!AM31</f>
        <v>1069200.9768367074</v>
      </c>
      <c r="AL8" s="1">
        <f>'Proforma Income Statement'!AN31</f>
        <v>1069200.9768367074</v>
      </c>
      <c r="AM8" s="1">
        <f>'Proforma Income Statement'!AO31</f>
        <v>1069200.9768367074</v>
      </c>
      <c r="AN8" s="1">
        <f>'Proforma Income Statement'!AP31</f>
        <v>1069200.9768367074</v>
      </c>
      <c r="AO8" s="1">
        <f>'Proforma Income Statement'!AQ31</f>
        <v>1069200.9768367074</v>
      </c>
      <c r="AP8" s="1">
        <f>'Proforma Income Statement'!AR31</f>
        <v>1069200.9768367074</v>
      </c>
      <c r="AQ8" s="1">
        <f>'Proforma Income Statement'!AS31</f>
        <v>884568.97683670756</v>
      </c>
    </row>
    <row r="9" spans="1:43" s="9" customFormat="1" ht="14.6" x14ac:dyDescent="0.4">
      <c r="A9" s="8" t="s">
        <v>251</v>
      </c>
      <c r="B9" s="8"/>
      <c r="C9" s="8"/>
      <c r="D9" s="8">
        <f>'Debt Service'!F11</f>
        <v>327063.82</v>
      </c>
      <c r="E9" s="8">
        <f>'Debt Service'!G11</f>
        <v>326610.68</v>
      </c>
      <c r="F9" s="8">
        <f>'Debt Service'!H11</f>
        <v>325070.54999999993</v>
      </c>
      <c r="G9" s="8">
        <f>'Debt Service'!I11</f>
        <v>326397.50999999995</v>
      </c>
      <c r="H9" s="8">
        <f>'Debt Service'!J11</f>
        <v>324566.55</v>
      </c>
      <c r="I9" s="8">
        <f>'Debt Service'!K11</f>
        <v>177127.01</v>
      </c>
      <c r="J9" s="8">
        <f>'Debt Service'!L11</f>
        <v>124167.07</v>
      </c>
      <c r="K9" s="8">
        <f>'Debt Service'!M11</f>
        <v>123871.86</v>
      </c>
      <c r="L9" s="8">
        <f>'Debt Service'!N11</f>
        <v>68863.399999999994</v>
      </c>
      <c r="M9" s="8">
        <f>'Debt Service'!O11</f>
        <v>14054.8</v>
      </c>
      <c r="N9" s="8">
        <f>'Debt Service'!P11</f>
        <v>14020.720000000001</v>
      </c>
      <c r="O9" s="8">
        <f>'Debt Service'!Q11</f>
        <v>0</v>
      </c>
      <c r="P9" s="8">
        <f>'Debt Service'!R11</f>
        <v>0</v>
      </c>
      <c r="Q9" s="8">
        <f>'Debt Service'!S11</f>
        <v>0</v>
      </c>
      <c r="R9" s="8">
        <f>'Debt Service'!T11</f>
        <v>0</v>
      </c>
      <c r="S9" s="8">
        <f>'Debt Service'!U11</f>
        <v>0</v>
      </c>
      <c r="T9" s="8">
        <f>'Debt Service'!V11</f>
        <v>0</v>
      </c>
      <c r="U9" s="8">
        <f>'Debt Service'!W11</f>
        <v>0</v>
      </c>
      <c r="V9" s="8">
        <f>'Debt Service'!X11</f>
        <v>0</v>
      </c>
      <c r="W9" s="8">
        <f>'Debt Service'!Y11</f>
        <v>0</v>
      </c>
      <c r="X9" s="8">
        <f>'Debt Service'!Z11</f>
        <v>0</v>
      </c>
      <c r="Y9" s="8">
        <f>'Debt Service'!AA11</f>
        <v>0</v>
      </c>
      <c r="Z9" s="8">
        <f>'Debt Service'!AB11</f>
        <v>0</v>
      </c>
      <c r="AA9" s="8">
        <f>'Debt Service'!AC11</f>
        <v>0</v>
      </c>
      <c r="AB9" s="8">
        <f>'Debt Service'!AD11</f>
        <v>0</v>
      </c>
      <c r="AC9" s="8">
        <f>'Debt Service'!AE11</f>
        <v>0</v>
      </c>
      <c r="AD9" s="8">
        <f>'Debt Service'!AF11</f>
        <v>0</v>
      </c>
      <c r="AE9" s="8">
        <f>'Debt Service'!AG11</f>
        <v>0</v>
      </c>
      <c r="AF9" s="8">
        <f>'Debt Service'!AH11</f>
        <v>0</v>
      </c>
      <c r="AG9" s="8">
        <f>'Debt Service'!AI11</f>
        <v>0</v>
      </c>
      <c r="AH9" s="8">
        <f>'Debt Service'!AJ11</f>
        <v>0</v>
      </c>
      <c r="AI9" s="8">
        <f>'Debt Service'!AK11</f>
        <v>0</v>
      </c>
      <c r="AJ9" s="8">
        <f>'Debt Service'!AL11</f>
        <v>0</v>
      </c>
      <c r="AK9" s="8">
        <f>'Debt Service'!AM11</f>
        <v>0</v>
      </c>
      <c r="AL9" s="8">
        <f>'Debt Service'!AN11</f>
        <v>0</v>
      </c>
      <c r="AM9" s="8">
        <f>'Debt Service'!AO11</f>
        <v>0</v>
      </c>
      <c r="AN9" s="8">
        <f>'Debt Service'!AP11</f>
        <v>0</v>
      </c>
      <c r="AO9" s="8">
        <f>'Debt Service'!AQ11</f>
        <v>0</v>
      </c>
      <c r="AP9" s="8">
        <f>'Debt Service'!AR11</f>
        <v>0</v>
      </c>
      <c r="AQ9" s="8">
        <f>'Debt Service'!AS11</f>
        <v>0</v>
      </c>
    </row>
    <row r="10" spans="1:43" s="1" customFormat="1" ht="17.149999999999999" x14ac:dyDescent="0.7">
      <c r="A10" s="5" t="s">
        <v>252</v>
      </c>
      <c r="B10" s="5"/>
      <c r="C10" s="5"/>
      <c r="D10" s="162">
        <f>'Revenue Requirement'!F13</f>
        <v>571998</v>
      </c>
      <c r="E10" s="162">
        <f>'Revenue Requirement'!G13</f>
        <v>1143996</v>
      </c>
      <c r="F10" s="162">
        <f>'Revenue Requirement'!H13</f>
        <v>1143996</v>
      </c>
      <c r="G10" s="162">
        <f>'Revenue Requirement'!I13</f>
        <v>1143996</v>
      </c>
      <c r="H10" s="162">
        <f>'Revenue Requirement'!J13</f>
        <v>1143996</v>
      </c>
      <c r="I10" s="162">
        <f>'Revenue Requirement'!K13</f>
        <v>1143996</v>
      </c>
      <c r="J10" s="162">
        <f>'Revenue Requirement'!L13</f>
        <v>1143996</v>
      </c>
      <c r="K10" s="162">
        <f>'Revenue Requirement'!M13</f>
        <v>1143996</v>
      </c>
      <c r="L10" s="162">
        <f>'Revenue Requirement'!N13</f>
        <v>1143996</v>
      </c>
      <c r="M10" s="162">
        <f>'Revenue Requirement'!O13</f>
        <v>1143996</v>
      </c>
      <c r="N10" s="162">
        <f>'Revenue Requirement'!P13</f>
        <v>1143996</v>
      </c>
      <c r="O10" s="162">
        <f>'Revenue Requirement'!Q13</f>
        <v>1143996</v>
      </c>
      <c r="P10" s="162">
        <f>'Revenue Requirement'!R13</f>
        <v>1143996</v>
      </c>
      <c r="Q10" s="162">
        <f>'Revenue Requirement'!S13</f>
        <v>1143996</v>
      </c>
      <c r="R10" s="162">
        <f>'Revenue Requirement'!T13</f>
        <v>1143996</v>
      </c>
      <c r="S10" s="162">
        <f>'Revenue Requirement'!U13</f>
        <v>1143996</v>
      </c>
      <c r="T10" s="162">
        <f>'Revenue Requirement'!V13</f>
        <v>1143996</v>
      </c>
      <c r="U10" s="162">
        <f>'Revenue Requirement'!W13</f>
        <v>1143996</v>
      </c>
      <c r="V10" s="162">
        <f>'Revenue Requirement'!X13</f>
        <v>1143996</v>
      </c>
      <c r="W10" s="162">
        <f>'Revenue Requirement'!Y13</f>
        <v>1143996</v>
      </c>
      <c r="X10" s="162">
        <f>'Revenue Requirement'!Z13</f>
        <v>1143996</v>
      </c>
      <c r="Y10" s="162">
        <f>'Revenue Requirement'!AA13</f>
        <v>1143996</v>
      </c>
      <c r="Z10" s="162">
        <f>'Revenue Requirement'!AB13</f>
        <v>1143996</v>
      </c>
      <c r="AA10" s="162">
        <f>'Revenue Requirement'!AC13</f>
        <v>1143996</v>
      </c>
      <c r="AB10" s="162">
        <f>'Revenue Requirement'!AD13</f>
        <v>1143996</v>
      </c>
      <c r="AC10" s="162">
        <f>'Revenue Requirement'!AE13</f>
        <v>1143996</v>
      </c>
      <c r="AD10" s="162">
        <f>'Revenue Requirement'!AF13</f>
        <v>1143996</v>
      </c>
      <c r="AE10" s="162">
        <f>'Revenue Requirement'!AG13</f>
        <v>1143996</v>
      </c>
      <c r="AF10" s="162">
        <f>'Revenue Requirement'!AH13</f>
        <v>1143996</v>
      </c>
      <c r="AG10" s="162">
        <f>'Revenue Requirement'!AI13</f>
        <v>1143996</v>
      </c>
      <c r="AH10" s="162">
        <f>'Revenue Requirement'!AJ13</f>
        <v>1150299</v>
      </c>
      <c r="AI10" s="162">
        <f>'Revenue Requirement'!AK13</f>
        <v>578301</v>
      </c>
      <c r="AJ10" s="162">
        <f>'Revenue Requirement'!AL13</f>
        <v>578301</v>
      </c>
      <c r="AK10" s="162">
        <f>'Revenue Requirement'!AM13</f>
        <v>578301</v>
      </c>
      <c r="AL10" s="162">
        <f>'Revenue Requirement'!AN13</f>
        <v>578301</v>
      </c>
      <c r="AM10" s="162">
        <f>'Revenue Requirement'!AO13</f>
        <v>578301</v>
      </c>
      <c r="AN10" s="162">
        <f>'Revenue Requirement'!AP13</f>
        <v>578301</v>
      </c>
      <c r="AO10" s="162">
        <f>'Revenue Requirement'!AQ13</f>
        <v>578301</v>
      </c>
      <c r="AP10" s="162">
        <f>'Revenue Requirement'!AR13</f>
        <v>578301</v>
      </c>
      <c r="AQ10" s="162">
        <f>'Revenue Requirement'!AS13</f>
        <v>578301</v>
      </c>
    </row>
    <row r="11" spans="1:43" s="1" customFormat="1" ht="14.6" x14ac:dyDescent="0.4">
      <c r="A11" s="5" t="s">
        <v>253</v>
      </c>
      <c r="B11" s="5"/>
      <c r="C11" s="5"/>
      <c r="D11" s="5">
        <f>D6+D7+D8-D9-D10</f>
        <v>575221.17999999993</v>
      </c>
      <c r="E11" s="5">
        <f t="shared" ref="E11:I11" si="0">E6+E7+E8-E9-E10</f>
        <v>130565.32000000007</v>
      </c>
      <c r="F11" s="5">
        <f t="shared" si="0"/>
        <v>1029503.4500000002</v>
      </c>
      <c r="G11" s="5">
        <f t="shared" si="0"/>
        <v>1407183.4900000002</v>
      </c>
      <c r="H11" s="5">
        <f t="shared" si="0"/>
        <v>1420439.4500000002</v>
      </c>
      <c r="I11" s="5">
        <f t="shared" si="0"/>
        <v>1520366.9900000002</v>
      </c>
      <c r="J11" s="5">
        <f t="shared" ref="J11:AQ11" si="1">J6+J7+J8-J9-J10</f>
        <v>1578681.9300000002</v>
      </c>
      <c r="K11" s="5">
        <f t="shared" si="1"/>
        <v>1580532.1400000001</v>
      </c>
      <c r="L11" s="5">
        <f t="shared" si="1"/>
        <v>1634113.6</v>
      </c>
      <c r="M11" s="5">
        <f t="shared" si="1"/>
        <v>1683267.2000000002</v>
      </c>
      <c r="N11" s="5">
        <f t="shared" si="1"/>
        <v>1672717.2799999998</v>
      </c>
      <c r="O11" s="5">
        <f t="shared" si="1"/>
        <v>1667095</v>
      </c>
      <c r="P11" s="5">
        <f t="shared" si="1"/>
        <v>1641423</v>
      </c>
      <c r="Q11" s="5">
        <f t="shared" si="1"/>
        <v>1611438</v>
      </c>
      <c r="R11" s="5">
        <f t="shared" si="1"/>
        <v>1574703</v>
      </c>
      <c r="S11" s="5">
        <f t="shared" si="1"/>
        <v>1531867</v>
      </c>
      <c r="T11" s="5">
        <f t="shared" si="1"/>
        <v>1482210</v>
      </c>
      <c r="U11" s="5">
        <f t="shared" si="1"/>
        <v>1424885</v>
      </c>
      <c r="V11" s="5">
        <f t="shared" si="1"/>
        <v>1341614</v>
      </c>
      <c r="W11" s="5">
        <f t="shared" si="1"/>
        <v>1244613</v>
      </c>
      <c r="X11" s="5">
        <f t="shared" si="1"/>
        <v>1135953</v>
      </c>
      <c r="Y11" s="5">
        <f t="shared" si="1"/>
        <v>1016701</v>
      </c>
      <c r="Z11" s="5">
        <f t="shared" si="1"/>
        <v>885177.99999999977</v>
      </c>
      <c r="AA11" s="5">
        <f t="shared" si="1"/>
        <v>739767.99999999977</v>
      </c>
      <c r="AB11" s="5">
        <f t="shared" si="1"/>
        <v>579554.99999999977</v>
      </c>
      <c r="AC11" s="5">
        <f t="shared" si="1"/>
        <v>546815.99999999977</v>
      </c>
      <c r="AD11" s="5">
        <f t="shared" si="1"/>
        <v>523427.99999999977</v>
      </c>
      <c r="AE11" s="5">
        <f t="shared" si="1"/>
        <v>499531.99999999977</v>
      </c>
      <c r="AF11" s="5">
        <f t="shared" si="1"/>
        <v>475310.99999999977</v>
      </c>
      <c r="AG11" s="5">
        <f t="shared" si="1"/>
        <v>451719</v>
      </c>
      <c r="AH11" s="5">
        <f t="shared" si="1"/>
        <v>314244</v>
      </c>
      <c r="AI11" s="5">
        <f t="shared" si="1"/>
        <v>1573156</v>
      </c>
      <c r="AJ11" s="5">
        <f t="shared" si="1"/>
        <v>1315967</v>
      </c>
      <c r="AK11" s="5">
        <f t="shared" si="1"/>
        <v>1034442</v>
      </c>
      <c r="AL11" s="5">
        <f t="shared" si="1"/>
        <v>839488</v>
      </c>
      <c r="AM11" s="5">
        <f t="shared" si="1"/>
        <v>801641</v>
      </c>
      <c r="AN11" s="5">
        <f t="shared" si="1"/>
        <v>766971</v>
      </c>
      <c r="AO11" s="5">
        <f t="shared" si="1"/>
        <v>730632</v>
      </c>
      <c r="AP11" s="5">
        <f t="shared" si="1"/>
        <v>689477</v>
      </c>
      <c r="AQ11" s="5">
        <f t="shared" si="1"/>
        <v>651717</v>
      </c>
    </row>
    <row r="12" spans="1:43" s="1" customFormat="1" ht="14.6" x14ac:dyDescent="0.4">
      <c r="A12" s="6"/>
      <c r="B12" s="5"/>
      <c r="C12" s="5"/>
      <c r="D12" s="5"/>
      <c r="E12" s="214"/>
    </row>
    <row r="13" spans="1:43" s="1" customFormat="1" ht="14.6" x14ac:dyDescent="0.4">
      <c r="A13" s="14"/>
      <c r="E13" s="214"/>
    </row>
    <row r="14" spans="1:43" s="1" customFormat="1" ht="14.6" x14ac:dyDescent="0.4">
      <c r="A14" s="181"/>
      <c r="B14" s="52"/>
      <c r="C14" s="52"/>
      <c r="D14" s="52"/>
      <c r="E14" s="215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7" spans="1:43" ht="18.45" x14ac:dyDescent="0.4">
      <c r="A17" s="230" t="s">
        <v>254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8.45" x14ac:dyDescent="0.4">
      <c r="A18" s="230" t="str">
        <f>'Plan Inputs'!F2</f>
        <v>2026-2065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.9" x14ac:dyDescent="0.4">
      <c r="A19" s="234" t="s">
        <v>163</v>
      </c>
      <c r="B19" s="234"/>
      <c r="C19" s="234"/>
      <c r="D19" s="234"/>
      <c r="E19" s="234"/>
      <c r="F19" s="234"/>
      <c r="G19" s="234"/>
      <c r="H19" s="234"/>
      <c r="I19" s="234"/>
      <c r="J19" s="23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45" x14ac:dyDescent="0.4">
      <c r="A20" s="3"/>
      <c r="B20" s="4"/>
      <c r="C20" s="4"/>
      <c r="D20" s="4"/>
      <c r="E20" s="21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.45" x14ac:dyDescent="0.4">
      <c r="A21" s="3"/>
      <c r="B21" s="4"/>
      <c r="C21" s="4"/>
      <c r="D21" s="21">
        <f>'Plan Inputs'!F5</f>
        <v>2026</v>
      </c>
      <c r="E21" s="21">
        <f>'Plan Inputs'!G5</f>
        <v>2027</v>
      </c>
      <c r="F21" s="21">
        <f>'Plan Inputs'!H5</f>
        <v>2028</v>
      </c>
      <c r="G21" s="21">
        <f>'Plan Inputs'!I5</f>
        <v>2029</v>
      </c>
      <c r="H21" s="21">
        <f>'Plan Inputs'!J5</f>
        <v>2030</v>
      </c>
      <c r="I21" s="21">
        <f>'Plan Inputs'!K5</f>
        <v>2031</v>
      </c>
      <c r="J21" s="21">
        <f>'Plan Inputs'!L5</f>
        <v>2032</v>
      </c>
      <c r="K21" s="21">
        <f>'Plan Inputs'!M5</f>
        <v>2033</v>
      </c>
      <c r="L21" s="21">
        <f>'Plan Inputs'!N5</f>
        <v>2034</v>
      </c>
      <c r="M21" s="21">
        <f>'Plan Inputs'!O5</f>
        <v>2035</v>
      </c>
      <c r="N21" s="21">
        <f>'Plan Inputs'!P5</f>
        <v>2036</v>
      </c>
      <c r="O21" s="21">
        <f>'Plan Inputs'!Q5</f>
        <v>2037</v>
      </c>
      <c r="P21" s="21">
        <f>'Plan Inputs'!R5</f>
        <v>2038</v>
      </c>
      <c r="Q21" s="21">
        <f>'Plan Inputs'!S5</f>
        <v>2039</v>
      </c>
      <c r="R21" s="21">
        <f>'Plan Inputs'!T5</f>
        <v>2040</v>
      </c>
      <c r="S21" s="21">
        <f>'Plan Inputs'!U5</f>
        <v>2041</v>
      </c>
      <c r="T21" s="21">
        <f>'Plan Inputs'!V5</f>
        <v>2042</v>
      </c>
      <c r="U21" s="21">
        <f>'Plan Inputs'!W5</f>
        <v>2043</v>
      </c>
      <c r="V21" s="21">
        <f>'Plan Inputs'!X5</f>
        <v>2044</v>
      </c>
      <c r="W21" s="21">
        <f>'Plan Inputs'!Y5</f>
        <v>2045</v>
      </c>
      <c r="X21" s="21">
        <f>'Plan Inputs'!Z5</f>
        <v>2046</v>
      </c>
      <c r="Y21" s="21">
        <f>'Plan Inputs'!AA5</f>
        <v>2047</v>
      </c>
      <c r="Z21" s="21">
        <f>'Plan Inputs'!AB5</f>
        <v>2048</v>
      </c>
      <c r="AA21" s="21">
        <f>'Plan Inputs'!AC5</f>
        <v>2049</v>
      </c>
      <c r="AB21" s="21">
        <f>'Plan Inputs'!AD5</f>
        <v>2050</v>
      </c>
      <c r="AC21" s="21">
        <f>'Plan Inputs'!AE5</f>
        <v>2051</v>
      </c>
      <c r="AD21" s="21">
        <f>'Plan Inputs'!AF5</f>
        <v>2052</v>
      </c>
      <c r="AE21" s="21">
        <f>'Plan Inputs'!AG5</f>
        <v>2053</v>
      </c>
      <c r="AF21" s="21">
        <f>'Plan Inputs'!AH5</f>
        <v>2054</v>
      </c>
      <c r="AG21" s="21">
        <f>'Plan Inputs'!AI5</f>
        <v>2055</v>
      </c>
      <c r="AH21" s="21">
        <f>'Plan Inputs'!AJ5</f>
        <v>2056</v>
      </c>
      <c r="AI21" s="21">
        <f>'Plan Inputs'!AK5</f>
        <v>2057</v>
      </c>
      <c r="AJ21" s="21">
        <f>'Plan Inputs'!AL5</f>
        <v>2058</v>
      </c>
      <c r="AK21" s="21">
        <f>'Plan Inputs'!AM5</f>
        <v>2059</v>
      </c>
      <c r="AL21" s="21">
        <f>'Plan Inputs'!AN5</f>
        <v>2060</v>
      </c>
      <c r="AM21" s="21">
        <f>'Plan Inputs'!AO5</f>
        <v>2061</v>
      </c>
      <c r="AN21" s="21">
        <f>'Plan Inputs'!AP5</f>
        <v>2062</v>
      </c>
      <c r="AO21" s="21">
        <f>'Plan Inputs'!AQ5</f>
        <v>2063</v>
      </c>
      <c r="AP21" s="21">
        <f>'Plan Inputs'!AR5</f>
        <v>2064</v>
      </c>
      <c r="AQ21" s="21">
        <f>'Plan Inputs'!AS5</f>
        <v>2065</v>
      </c>
    </row>
    <row r="22" spans="1:43" ht="15.45" x14ac:dyDescent="0.4">
      <c r="A22" s="1" t="str">
        <f>'Proforma Income Statement'!A35</f>
        <v>Net Operating Income</v>
      </c>
      <c r="B22" s="1"/>
      <c r="C22" s="1"/>
      <c r="D22" s="1">
        <f>'Proforma Income Statement'!F74</f>
        <v>854371</v>
      </c>
      <c r="E22" s="1">
        <f>'Proforma Income Statement'!G74</f>
        <v>940997</v>
      </c>
      <c r="F22" s="1">
        <f>'Proforma Income Statement'!H74</f>
        <v>1095340</v>
      </c>
      <c r="G22" s="1">
        <f>'Proforma Income Statement'!I74</f>
        <v>1597808</v>
      </c>
      <c r="H22" s="1">
        <f>'Proforma Income Statement'!J74</f>
        <v>1591124</v>
      </c>
      <c r="I22" s="1">
        <f>'Proforma Income Statement'!K74</f>
        <v>1578605</v>
      </c>
      <c r="J22" s="1">
        <f>'Proforma Income Statement'!L74</f>
        <v>1564481</v>
      </c>
      <c r="K22" s="1">
        <f>'Proforma Income Statement'!M74</f>
        <v>1542438</v>
      </c>
      <c r="L22" s="1">
        <f>'Proforma Income Statement'!N74</f>
        <v>1518370</v>
      </c>
      <c r="M22" s="1">
        <f>'Proforma Income Statement'!O74</f>
        <v>1490350</v>
      </c>
      <c r="N22" s="1">
        <f>'Proforma Income Statement'!P74</f>
        <v>1454227</v>
      </c>
      <c r="O22" s="1">
        <f>'Proforma Income Statement'!Q74</f>
        <v>1415135</v>
      </c>
      <c r="P22" s="1">
        <f>'Proforma Income Statement'!R74</f>
        <v>1366818</v>
      </c>
      <c r="Q22" s="1">
        <f>'Proforma Income Statement'!S74</f>
        <v>1314999</v>
      </c>
      <c r="R22" s="1">
        <f>'Proforma Income Statement'!T74</f>
        <v>1253136</v>
      </c>
      <c r="S22" s="1">
        <f>'Proforma Income Statement'!U74</f>
        <v>1187188</v>
      </c>
      <c r="T22" s="1">
        <f>'Proforma Income Statement'!V74</f>
        <v>1109938</v>
      </c>
      <c r="U22" s="1">
        <f>'Proforma Income Statement'!W74</f>
        <v>1027235</v>
      </c>
      <c r="V22" s="1">
        <f>'Proforma Income Statement'!X74</f>
        <v>933358</v>
      </c>
      <c r="W22" s="1">
        <f>'Proforma Income Statement'!Y74</f>
        <v>832954</v>
      </c>
      <c r="X22" s="1">
        <f>'Proforma Income Statement'!Z74</f>
        <v>719599</v>
      </c>
      <c r="Y22" s="1">
        <f>'Proforma Income Statement'!AA74</f>
        <v>667723</v>
      </c>
      <c r="Z22" s="1">
        <f>'Proforma Income Statement'!AB74</f>
        <v>655895</v>
      </c>
      <c r="AA22" s="1">
        <f>'Proforma Income Statement'!AC74</f>
        <v>634048</v>
      </c>
      <c r="AB22" s="1">
        <f>'Proforma Income Statement'!AD74</f>
        <v>618569</v>
      </c>
      <c r="AC22" s="1">
        <f>'Proforma Income Statement'!AE74</f>
        <v>597569</v>
      </c>
      <c r="AD22" s="1">
        <f>'Proforma Income Statement'!AF74</f>
        <v>576338</v>
      </c>
      <c r="AE22" s="1">
        <f>'Proforma Income Statement'!AG74</f>
        <v>554210</v>
      </c>
      <c r="AF22" s="1">
        <f>'Proforma Income Statement'!AH74</f>
        <v>540609</v>
      </c>
      <c r="AG22" s="1">
        <f>'Proforma Income Statement'!AI74</f>
        <v>520336</v>
      </c>
      <c r="AH22" s="1">
        <f>'Proforma Income Statement'!AJ74</f>
        <v>498560</v>
      </c>
      <c r="AI22" s="1">
        <f>'Proforma Income Statement'!AK74</f>
        <v>257552</v>
      </c>
      <c r="AJ22" s="1">
        <f>'Proforma Income Statement'!AL74</f>
        <v>3021</v>
      </c>
      <c r="AK22" s="1">
        <f>'Proforma Income Statement'!AM74</f>
        <v>-275307</v>
      </c>
      <c r="AL22" s="1">
        <f>'Proforma Income Statement'!AN74</f>
        <v>-577502</v>
      </c>
      <c r="AM22" s="1">
        <f>'Proforma Income Statement'!AO74</f>
        <v>-904419</v>
      </c>
      <c r="AN22" s="1">
        <f>'Proforma Income Statement'!AP74</f>
        <v>-989114</v>
      </c>
      <c r="AO22" s="1">
        <f>'Proforma Income Statement'!AQ74</f>
        <v>-1000708</v>
      </c>
      <c r="AP22" s="1">
        <f>'Proforma Income Statement'!AR74</f>
        <v>-1018138</v>
      </c>
      <c r="AQ22" s="1">
        <f>'Proforma Income Statement'!AS74</f>
        <v>-1036894</v>
      </c>
    </row>
    <row r="23" spans="1:43" ht="15.45" x14ac:dyDescent="0.4">
      <c r="A23" s="1" t="s">
        <v>249</v>
      </c>
      <c r="B23" s="1"/>
      <c r="C23" s="1"/>
      <c r="D23" s="1">
        <f>'Proforma Income Statement'!F69</f>
        <v>619912</v>
      </c>
      <c r="E23" s="1">
        <f>'Proforma Income Statement'!G69</f>
        <v>619912</v>
      </c>
      <c r="F23" s="1">
        <f>'Proforma Income Statement'!H69</f>
        <v>619912</v>
      </c>
      <c r="G23" s="1">
        <f>'Proforma Income Statement'!I69</f>
        <v>619912</v>
      </c>
      <c r="H23" s="1">
        <f>'Proforma Income Statement'!J69</f>
        <v>619912</v>
      </c>
      <c r="I23" s="1">
        <f>'Proforma Income Statement'!K69</f>
        <v>619912</v>
      </c>
      <c r="J23" s="1">
        <f>'Proforma Income Statement'!L69</f>
        <v>619912</v>
      </c>
      <c r="K23" s="1">
        <f>'Proforma Income Statement'!M69</f>
        <v>619912</v>
      </c>
      <c r="L23" s="1">
        <f>'Proforma Income Statement'!N69</f>
        <v>619912</v>
      </c>
      <c r="M23" s="1">
        <f>'Proforma Income Statement'!O69</f>
        <v>619912</v>
      </c>
      <c r="N23" s="1">
        <f>'Proforma Income Statement'!P69</f>
        <v>619912</v>
      </c>
      <c r="O23" s="1">
        <f>'Proforma Income Statement'!Q69</f>
        <v>619912</v>
      </c>
      <c r="P23" s="1">
        <f>'Proforma Income Statement'!R69</f>
        <v>619912</v>
      </c>
      <c r="Q23" s="1">
        <f>'Proforma Income Statement'!S69</f>
        <v>619912</v>
      </c>
      <c r="R23" s="1">
        <f>'Proforma Income Statement'!T69</f>
        <v>619912</v>
      </c>
      <c r="S23" s="1">
        <f>'Proforma Income Statement'!U69</f>
        <v>619912</v>
      </c>
      <c r="T23" s="1">
        <f>'Proforma Income Statement'!V69</f>
        <v>619912</v>
      </c>
      <c r="U23" s="1">
        <f>'Proforma Income Statement'!W69</f>
        <v>619912</v>
      </c>
      <c r="V23" s="1">
        <f>'Proforma Income Statement'!X69</f>
        <v>619912</v>
      </c>
      <c r="W23" s="1">
        <f>'Proforma Income Statement'!Y69</f>
        <v>619912</v>
      </c>
      <c r="X23" s="1">
        <f>'Proforma Income Statement'!Z69</f>
        <v>619912</v>
      </c>
      <c r="Y23" s="1">
        <f>'Proforma Income Statement'!AA69</f>
        <v>619912</v>
      </c>
      <c r="Z23" s="1">
        <f>'Proforma Income Statement'!AB69</f>
        <v>619912</v>
      </c>
      <c r="AA23" s="1">
        <f>'Proforma Income Statement'!AC69</f>
        <v>619912</v>
      </c>
      <c r="AB23" s="1">
        <f>'Proforma Income Statement'!AD69</f>
        <v>619912</v>
      </c>
      <c r="AC23" s="1">
        <f>'Proforma Income Statement'!AE69</f>
        <v>619912</v>
      </c>
      <c r="AD23" s="1">
        <f>'Proforma Income Statement'!AF69</f>
        <v>619912</v>
      </c>
      <c r="AE23" s="1">
        <f>'Proforma Income Statement'!AG69</f>
        <v>619912</v>
      </c>
      <c r="AF23" s="1">
        <f>'Proforma Income Statement'!AH69</f>
        <v>619912</v>
      </c>
      <c r="AG23" s="1">
        <f>'Proforma Income Statement'!AI69</f>
        <v>619912</v>
      </c>
      <c r="AH23" s="1">
        <f>'Proforma Income Statement'!AJ69</f>
        <v>619912</v>
      </c>
      <c r="AI23" s="1">
        <f>'Proforma Income Statement'!AK69</f>
        <v>619912</v>
      </c>
      <c r="AJ23" s="1">
        <f>'Proforma Income Statement'!AL69</f>
        <v>619912</v>
      </c>
      <c r="AK23" s="1">
        <f>'Proforma Income Statement'!AM69</f>
        <v>619912</v>
      </c>
      <c r="AL23" s="1">
        <f>'Proforma Income Statement'!AN69</f>
        <v>619912</v>
      </c>
      <c r="AM23" s="1">
        <f>'Proforma Income Statement'!AO69</f>
        <v>619912</v>
      </c>
      <c r="AN23" s="1">
        <f>'Proforma Income Statement'!AP69</f>
        <v>619912</v>
      </c>
      <c r="AO23" s="1">
        <f>'Proforma Income Statement'!AQ69</f>
        <v>619912</v>
      </c>
      <c r="AP23" s="1">
        <f>'Proforma Income Statement'!AR69</f>
        <v>619912</v>
      </c>
      <c r="AQ23" s="1">
        <f>'Proforma Income Statement'!AS69</f>
        <v>619912</v>
      </c>
    </row>
    <row r="24" spans="1:43" ht="15.45" x14ac:dyDescent="0.4">
      <c r="A24" s="1" t="s">
        <v>250</v>
      </c>
      <c r="B24" s="1"/>
      <c r="C24" s="1"/>
      <c r="D24" s="1">
        <f>'Proforma Income Statement'!F70</f>
        <v>0</v>
      </c>
      <c r="E24" s="1">
        <f>'Proforma Income Statement'!G70</f>
        <v>0</v>
      </c>
      <c r="F24" s="1">
        <f>'Proforma Income Statement'!H70</f>
        <v>295600</v>
      </c>
      <c r="G24" s="1">
        <f>'Proforma Income Statement'!I70</f>
        <v>295600</v>
      </c>
      <c r="H24" s="1">
        <f>'Proforma Income Statement'!J70</f>
        <v>295600</v>
      </c>
      <c r="I24" s="1">
        <f>'Proforma Income Statement'!K70</f>
        <v>295600</v>
      </c>
      <c r="J24" s="1">
        <f>'Proforma Income Statement'!L70</f>
        <v>295600</v>
      </c>
      <c r="K24" s="1">
        <f>'Proforma Income Statement'!M70</f>
        <v>295600</v>
      </c>
      <c r="L24" s="1">
        <f>'Proforma Income Statement'!N70</f>
        <v>295600</v>
      </c>
      <c r="M24" s="1">
        <f>'Proforma Income Statement'!O70</f>
        <v>295600</v>
      </c>
      <c r="N24" s="1">
        <f>'Proforma Income Statement'!P70</f>
        <v>295600</v>
      </c>
      <c r="O24" s="1">
        <f>'Proforma Income Statement'!Q70</f>
        <v>295600</v>
      </c>
      <c r="P24" s="1">
        <f>'Proforma Income Statement'!R70</f>
        <v>295600</v>
      </c>
      <c r="Q24" s="1">
        <f>'Proforma Income Statement'!S70</f>
        <v>295600</v>
      </c>
      <c r="R24" s="1">
        <f>'Proforma Income Statement'!T70</f>
        <v>295600</v>
      </c>
      <c r="S24" s="1">
        <f>'Proforma Income Statement'!U70</f>
        <v>295600</v>
      </c>
      <c r="T24" s="1">
        <f>'Proforma Income Statement'!V70</f>
        <v>295600</v>
      </c>
      <c r="U24" s="1">
        <f>'Proforma Income Statement'!W70</f>
        <v>295600</v>
      </c>
      <c r="V24" s="1">
        <f>'Proforma Income Statement'!X70</f>
        <v>295600</v>
      </c>
      <c r="W24" s="1">
        <f>'Proforma Income Statement'!Y70</f>
        <v>295600</v>
      </c>
      <c r="X24" s="1">
        <f>'Proforma Income Statement'!Z70</f>
        <v>295600</v>
      </c>
      <c r="Y24" s="1">
        <f>'Proforma Income Statement'!AA70</f>
        <v>295600</v>
      </c>
      <c r="Z24" s="1">
        <f>'Proforma Income Statement'!AB70</f>
        <v>295600</v>
      </c>
      <c r="AA24" s="1">
        <f>'Proforma Income Statement'!AC70</f>
        <v>295600</v>
      </c>
      <c r="AB24" s="1">
        <f>'Proforma Income Statement'!AD70</f>
        <v>295600</v>
      </c>
      <c r="AC24" s="1">
        <f>'Proforma Income Statement'!AE70</f>
        <v>295600</v>
      </c>
      <c r="AD24" s="1">
        <f>'Proforma Income Statement'!AF70</f>
        <v>295600</v>
      </c>
      <c r="AE24" s="1">
        <f>'Proforma Income Statement'!AG70</f>
        <v>295600</v>
      </c>
      <c r="AF24" s="1">
        <f>'Proforma Income Statement'!AH70</f>
        <v>295600</v>
      </c>
      <c r="AG24" s="1">
        <f>'Proforma Income Statement'!AI70</f>
        <v>295600</v>
      </c>
      <c r="AH24" s="1">
        <f>'Proforma Income Statement'!AJ70</f>
        <v>295600</v>
      </c>
      <c r="AI24" s="1">
        <f>'Proforma Income Statement'!AK70</f>
        <v>295600</v>
      </c>
      <c r="AJ24" s="1">
        <f>'Proforma Income Statement'!AL70</f>
        <v>295600</v>
      </c>
      <c r="AK24" s="1">
        <f>'Proforma Income Statement'!AM70</f>
        <v>295600</v>
      </c>
      <c r="AL24" s="1">
        <f>'Proforma Income Statement'!AN70</f>
        <v>295600</v>
      </c>
      <c r="AM24" s="1">
        <f>'Proforma Income Statement'!AO70</f>
        <v>295600</v>
      </c>
      <c r="AN24" s="1">
        <f>'Proforma Income Statement'!AP70</f>
        <v>295600</v>
      </c>
      <c r="AO24" s="1">
        <f>'Proforma Income Statement'!AQ70</f>
        <v>295600</v>
      </c>
      <c r="AP24" s="1">
        <f>'Proforma Income Statement'!AR70</f>
        <v>295600</v>
      </c>
      <c r="AQ24" s="1">
        <f>'Proforma Income Statement'!AS70</f>
        <v>295600</v>
      </c>
    </row>
    <row r="25" spans="1:43" x14ac:dyDescent="0.35">
      <c r="A25" s="8" t="s">
        <v>251</v>
      </c>
      <c r="B25" s="8"/>
      <c r="C25" s="8"/>
      <c r="D25" s="8">
        <f>'Revenue Requirement'!F37</f>
        <v>327063.82</v>
      </c>
      <c r="E25" s="8">
        <f>'Revenue Requirement'!G37</f>
        <v>326610.68</v>
      </c>
      <c r="F25" s="8">
        <f>'Revenue Requirement'!H37</f>
        <v>325070.54999999993</v>
      </c>
      <c r="G25" s="8">
        <f>'Revenue Requirement'!I37</f>
        <v>326397.50999999995</v>
      </c>
      <c r="H25" s="8">
        <f>'Revenue Requirement'!J37</f>
        <v>324566.55</v>
      </c>
      <c r="I25" s="8">
        <f>'Revenue Requirement'!K37</f>
        <v>177127.01</v>
      </c>
      <c r="J25" s="8">
        <f>'Revenue Requirement'!L37</f>
        <v>124167.07</v>
      </c>
      <c r="K25" s="8">
        <f>'Revenue Requirement'!M37</f>
        <v>123871.86</v>
      </c>
      <c r="L25" s="8">
        <f>'Revenue Requirement'!N37</f>
        <v>68863.399999999994</v>
      </c>
      <c r="M25" s="8">
        <f>'Revenue Requirement'!O37</f>
        <v>14054.8</v>
      </c>
      <c r="N25" s="8">
        <f>'Revenue Requirement'!P37</f>
        <v>14020.720000000001</v>
      </c>
      <c r="O25" s="8">
        <f>'Revenue Requirement'!Q37</f>
        <v>0</v>
      </c>
      <c r="P25" s="8">
        <f>'Revenue Requirement'!R37</f>
        <v>0</v>
      </c>
      <c r="Q25" s="8">
        <f>'Revenue Requirement'!S37</f>
        <v>0</v>
      </c>
      <c r="R25" s="8">
        <f>'Revenue Requirement'!T37</f>
        <v>0</v>
      </c>
      <c r="S25" s="8">
        <f>'Revenue Requirement'!U37</f>
        <v>0</v>
      </c>
      <c r="T25" s="8">
        <f>'Revenue Requirement'!V37</f>
        <v>0</v>
      </c>
      <c r="U25" s="8">
        <f>'Revenue Requirement'!W37</f>
        <v>0</v>
      </c>
      <c r="V25" s="8">
        <f>'Revenue Requirement'!X37</f>
        <v>0</v>
      </c>
      <c r="W25" s="8">
        <f>'Revenue Requirement'!Y37</f>
        <v>0</v>
      </c>
      <c r="X25" s="8">
        <f>'Revenue Requirement'!Z37</f>
        <v>0</v>
      </c>
      <c r="Y25" s="8">
        <f>'Revenue Requirement'!AA37</f>
        <v>0</v>
      </c>
      <c r="Z25" s="8">
        <f>'Revenue Requirement'!AB37</f>
        <v>0</v>
      </c>
      <c r="AA25" s="8">
        <f>'Revenue Requirement'!AC37</f>
        <v>0</v>
      </c>
      <c r="AB25" s="8">
        <f>'Revenue Requirement'!AD37</f>
        <v>0</v>
      </c>
      <c r="AC25" s="8">
        <f>'Revenue Requirement'!AE37</f>
        <v>0</v>
      </c>
      <c r="AD25" s="8">
        <f>'Revenue Requirement'!AF37</f>
        <v>0</v>
      </c>
      <c r="AE25" s="8">
        <f>'Revenue Requirement'!AG37</f>
        <v>0</v>
      </c>
      <c r="AF25" s="8">
        <f>'Revenue Requirement'!AH37</f>
        <v>0</v>
      </c>
      <c r="AG25" s="8">
        <f>'Revenue Requirement'!AI37</f>
        <v>0</v>
      </c>
      <c r="AH25" s="8">
        <f>'Revenue Requirement'!AJ37</f>
        <v>0</v>
      </c>
      <c r="AI25" s="8">
        <f>'Revenue Requirement'!AK37</f>
        <v>0</v>
      </c>
      <c r="AJ25" s="8">
        <f>'Revenue Requirement'!AL37</f>
        <v>0</v>
      </c>
      <c r="AK25" s="8">
        <f>'Revenue Requirement'!AM37</f>
        <v>0</v>
      </c>
      <c r="AL25" s="8">
        <f>'Revenue Requirement'!AN37</f>
        <v>0</v>
      </c>
      <c r="AM25" s="8">
        <f>'Revenue Requirement'!AO37</f>
        <v>0</v>
      </c>
      <c r="AN25" s="8">
        <f>'Revenue Requirement'!AP37</f>
        <v>0</v>
      </c>
      <c r="AO25" s="8">
        <f>'Revenue Requirement'!AQ37</f>
        <v>0</v>
      </c>
      <c r="AP25" s="8">
        <f>'Revenue Requirement'!AR37</f>
        <v>0</v>
      </c>
      <c r="AQ25" s="8">
        <f>'Revenue Requirement'!AS37</f>
        <v>0</v>
      </c>
    </row>
    <row r="26" spans="1:43" ht="18" x14ac:dyDescent="0.7">
      <c r="A26" s="5" t="s">
        <v>255</v>
      </c>
      <c r="B26" s="5"/>
      <c r="C26" s="5"/>
      <c r="D26" s="2">
        <f>'Revenue Requirement'!F39</f>
        <v>534206</v>
      </c>
      <c r="E26" s="2">
        <f>'Revenue Requirement'!G39</f>
        <v>1068412</v>
      </c>
      <c r="F26" s="2">
        <f>'Revenue Requirement'!H39</f>
        <v>1068412</v>
      </c>
      <c r="G26" s="2">
        <f>'Revenue Requirement'!I39</f>
        <v>1068412</v>
      </c>
      <c r="H26" s="2">
        <f>'Revenue Requirement'!J39</f>
        <v>1068412</v>
      </c>
      <c r="I26" s="2">
        <f>'Revenue Requirement'!K39</f>
        <v>1068412</v>
      </c>
      <c r="J26" s="2">
        <f>'Revenue Requirement'!L39</f>
        <v>1068412</v>
      </c>
      <c r="K26" s="2">
        <f>'Revenue Requirement'!M39</f>
        <v>1068412</v>
      </c>
      <c r="L26" s="2">
        <f>'Revenue Requirement'!N39</f>
        <v>1068412</v>
      </c>
      <c r="M26" s="2">
        <f>'Revenue Requirement'!O39</f>
        <v>1068412</v>
      </c>
      <c r="N26" s="2">
        <f>'Revenue Requirement'!P39</f>
        <v>1068412</v>
      </c>
      <c r="O26" s="2">
        <f>'Revenue Requirement'!Q39</f>
        <v>1068412</v>
      </c>
      <c r="P26" s="2">
        <f>'Revenue Requirement'!R39</f>
        <v>1068412</v>
      </c>
      <c r="Q26" s="2">
        <f>'Revenue Requirement'!S39</f>
        <v>1068412</v>
      </c>
      <c r="R26" s="2">
        <f>'Revenue Requirement'!T39</f>
        <v>1068412</v>
      </c>
      <c r="S26" s="2">
        <f>'Revenue Requirement'!U39</f>
        <v>1068412</v>
      </c>
      <c r="T26" s="2">
        <f>'Revenue Requirement'!V39</f>
        <v>1068412</v>
      </c>
      <c r="U26" s="2">
        <f>'Revenue Requirement'!W39</f>
        <v>1068412</v>
      </c>
      <c r="V26" s="2">
        <f>'Revenue Requirement'!X39</f>
        <v>1068412</v>
      </c>
      <c r="W26" s="2">
        <f>'Revenue Requirement'!Y39</f>
        <v>1068412</v>
      </c>
      <c r="X26" s="2">
        <f>'Revenue Requirement'!Z39</f>
        <v>1068412</v>
      </c>
      <c r="Y26" s="2">
        <f>'Revenue Requirement'!AA39</f>
        <v>1068412</v>
      </c>
      <c r="Z26" s="2">
        <f>'Revenue Requirement'!AB39</f>
        <v>1068412</v>
      </c>
      <c r="AA26" s="2">
        <f>'Revenue Requirement'!AC39</f>
        <v>1068412</v>
      </c>
      <c r="AB26" s="2">
        <f>'Revenue Requirement'!AD39</f>
        <v>1068412</v>
      </c>
      <c r="AC26" s="2">
        <f>'Revenue Requirement'!AE39</f>
        <v>1068412</v>
      </c>
      <c r="AD26" s="2">
        <f>'Revenue Requirement'!AF39</f>
        <v>1068412</v>
      </c>
      <c r="AE26" s="2">
        <f>'Revenue Requirement'!AG39</f>
        <v>1068412</v>
      </c>
      <c r="AF26" s="2">
        <f>'Revenue Requirement'!AH39</f>
        <v>1068412</v>
      </c>
      <c r="AG26" s="2">
        <f>'Revenue Requirement'!AI39</f>
        <v>1068412</v>
      </c>
      <c r="AH26" s="2">
        <f>'Revenue Requirement'!AJ39</f>
        <v>534206</v>
      </c>
      <c r="AI26" s="2">
        <f>'Revenue Requirement'!AK39</f>
        <v>0</v>
      </c>
      <c r="AJ26" s="2">
        <f>'Revenue Requirement'!AL39</f>
        <v>0</v>
      </c>
      <c r="AK26" s="2">
        <f>'Revenue Requirement'!AM39</f>
        <v>0</v>
      </c>
      <c r="AL26" s="2">
        <f>'Revenue Requirement'!AN39</f>
        <v>0</v>
      </c>
      <c r="AM26" s="2">
        <f>'Revenue Requirement'!AO39</f>
        <v>0</v>
      </c>
      <c r="AN26" s="2">
        <f>'Revenue Requirement'!AP39</f>
        <v>0</v>
      </c>
      <c r="AO26" s="2">
        <f>'Revenue Requirement'!AQ39</f>
        <v>0</v>
      </c>
      <c r="AP26" s="2">
        <f>'Revenue Requirement'!AR39</f>
        <v>0</v>
      </c>
      <c r="AQ26" s="2">
        <f>'Revenue Requirement'!AS39</f>
        <v>0</v>
      </c>
    </row>
    <row r="27" spans="1:43" x14ac:dyDescent="0.35">
      <c r="A27" s="5" t="s">
        <v>253</v>
      </c>
      <c r="B27" s="5"/>
      <c r="C27" s="5"/>
      <c r="D27" s="5">
        <f>D22+D23+D24-D25-D26</f>
        <v>613013.17999999993</v>
      </c>
      <c r="E27" s="5">
        <f t="shared" ref="E27:AQ27" si="2">E22+E23+E24-E25-E26</f>
        <v>165886.32000000007</v>
      </c>
      <c r="F27" s="5">
        <f t="shared" si="2"/>
        <v>617369.45000000019</v>
      </c>
      <c r="G27" s="5">
        <f t="shared" si="2"/>
        <v>1118510.4900000002</v>
      </c>
      <c r="H27" s="5">
        <f t="shared" si="2"/>
        <v>1113657.4500000002</v>
      </c>
      <c r="I27" s="5">
        <f t="shared" si="2"/>
        <v>1248577.9900000002</v>
      </c>
      <c r="J27" s="5">
        <f t="shared" si="2"/>
        <v>1287413.9300000002</v>
      </c>
      <c r="K27" s="5">
        <f t="shared" si="2"/>
        <v>1265666.1400000001</v>
      </c>
      <c r="L27" s="5">
        <f t="shared" si="2"/>
        <v>1296606.6000000001</v>
      </c>
      <c r="M27" s="5">
        <f t="shared" si="2"/>
        <v>1323395.2000000002</v>
      </c>
      <c r="N27" s="5">
        <f t="shared" si="2"/>
        <v>1287306.2799999998</v>
      </c>
      <c r="O27" s="5">
        <f t="shared" si="2"/>
        <v>1262235</v>
      </c>
      <c r="P27" s="5">
        <f t="shared" si="2"/>
        <v>1213918</v>
      </c>
      <c r="Q27" s="5">
        <f t="shared" si="2"/>
        <v>1162099</v>
      </c>
      <c r="R27" s="5">
        <f t="shared" si="2"/>
        <v>1100236</v>
      </c>
      <c r="S27" s="5">
        <f t="shared" si="2"/>
        <v>1034288</v>
      </c>
      <c r="T27" s="5">
        <f t="shared" si="2"/>
        <v>957038</v>
      </c>
      <c r="U27" s="5">
        <f t="shared" si="2"/>
        <v>874335</v>
      </c>
      <c r="V27" s="5">
        <f t="shared" si="2"/>
        <v>780458</v>
      </c>
      <c r="W27" s="5">
        <f t="shared" si="2"/>
        <v>680054</v>
      </c>
      <c r="X27" s="5">
        <f t="shared" si="2"/>
        <v>566699</v>
      </c>
      <c r="Y27" s="5">
        <f t="shared" si="2"/>
        <v>514823</v>
      </c>
      <c r="Z27" s="5">
        <f t="shared" si="2"/>
        <v>502995</v>
      </c>
      <c r="AA27" s="5">
        <f t="shared" si="2"/>
        <v>481148</v>
      </c>
      <c r="AB27" s="5">
        <f t="shared" si="2"/>
        <v>465669</v>
      </c>
      <c r="AC27" s="5">
        <f t="shared" si="2"/>
        <v>444669</v>
      </c>
      <c r="AD27" s="5">
        <f t="shared" si="2"/>
        <v>423438</v>
      </c>
      <c r="AE27" s="5">
        <f t="shared" si="2"/>
        <v>401310</v>
      </c>
      <c r="AF27" s="5">
        <f t="shared" si="2"/>
        <v>387709</v>
      </c>
      <c r="AG27" s="5">
        <f t="shared" si="2"/>
        <v>367436</v>
      </c>
      <c r="AH27" s="5">
        <f t="shared" si="2"/>
        <v>879866</v>
      </c>
      <c r="AI27" s="5">
        <f t="shared" si="2"/>
        <v>1173064</v>
      </c>
      <c r="AJ27" s="5">
        <f t="shared" si="2"/>
        <v>918533</v>
      </c>
      <c r="AK27" s="5">
        <f t="shared" si="2"/>
        <v>640205</v>
      </c>
      <c r="AL27" s="5">
        <f t="shared" si="2"/>
        <v>338010</v>
      </c>
      <c r="AM27" s="5">
        <f t="shared" si="2"/>
        <v>11093</v>
      </c>
      <c r="AN27" s="5">
        <f t="shared" si="2"/>
        <v>-73602</v>
      </c>
      <c r="AO27" s="5">
        <f t="shared" si="2"/>
        <v>-85196</v>
      </c>
      <c r="AP27" s="5">
        <f t="shared" si="2"/>
        <v>-102626</v>
      </c>
      <c r="AQ27" s="5">
        <f t="shared" si="2"/>
        <v>-121382</v>
      </c>
    </row>
  </sheetData>
  <mergeCells count="6">
    <mergeCell ref="A19:J19"/>
    <mergeCell ref="A1:J1"/>
    <mergeCell ref="A2:J2"/>
    <mergeCell ref="A3:J3"/>
    <mergeCell ref="A17:J17"/>
    <mergeCell ref="A18:J18"/>
  </mergeCells>
  <printOptions verticalCentered="1"/>
  <pageMargins left="0.7" right="0.7" top="0.75" bottom="0.75" header="0.3" footer="0.3"/>
  <pageSetup scale="68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7348-2D3F-4CC6-A7AE-BBC3C7D75A14}">
  <sheetPr>
    <pageSetUpPr fitToPage="1"/>
  </sheetPr>
  <dimension ref="A1:AQ37"/>
  <sheetViews>
    <sheetView showGridLines="0" zoomScaleNormal="100" workbookViewId="0">
      <selection activeCell="H6" sqref="H6"/>
    </sheetView>
  </sheetViews>
  <sheetFormatPr defaultColWidth="8.75" defaultRowHeight="14.6" x14ac:dyDescent="0.4"/>
  <cols>
    <col min="1" max="1" width="3.6875" style="14" customWidth="1"/>
    <col min="2" max="2" width="2.6875" style="1" customWidth="1"/>
    <col min="3" max="3" width="29.4375" style="1" customWidth="1"/>
    <col min="4" max="4" width="12.5625" style="1" customWidth="1"/>
    <col min="5" max="5" width="12.5625" style="12" customWidth="1"/>
    <col min="6" max="43" width="12.5625" style="1" customWidth="1"/>
    <col min="44" max="16384" width="8.75" style="1"/>
  </cols>
  <sheetData>
    <row r="1" spans="1:43" ht="18.45" x14ac:dyDescent="0.4">
      <c r="A1" s="226" t="s">
        <v>256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43" ht="18.45" x14ac:dyDescent="0.4">
      <c r="A2" s="226" t="str">
        <f>'Plan Inputs'!F2</f>
        <v>2026-2065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43" ht="15.9" x14ac:dyDescent="0.4">
      <c r="A3" s="228" t="s">
        <v>91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43" x14ac:dyDescent="0.4">
      <c r="A4" s="3"/>
      <c r="B4" s="4"/>
      <c r="C4" s="4"/>
      <c r="D4" s="4"/>
      <c r="E4" s="216"/>
    </row>
    <row r="5" spans="1:43" x14ac:dyDescent="0.4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4">
      <c r="A6" s="1" t="s">
        <v>257</v>
      </c>
      <c r="D6" s="24">
        <f>'Plan Inputs'!F6</f>
        <v>4008521</v>
      </c>
      <c r="E6" s="182">
        <f>D16</f>
        <v>4583742.18</v>
      </c>
      <c r="F6" s="182">
        <f t="shared" ref="F6:I6" si="0">E16</f>
        <v>4714307.5</v>
      </c>
      <c r="G6" s="182">
        <f t="shared" si="0"/>
        <v>5743810.9500000002</v>
      </c>
      <c r="H6" s="182">
        <f t="shared" si="0"/>
        <v>7150994.4400000004</v>
      </c>
      <c r="I6" s="182">
        <f t="shared" si="0"/>
        <v>8571433.8900000006</v>
      </c>
      <c r="J6" s="182">
        <f t="shared" ref="J6" si="1">I16</f>
        <v>10091800.880000001</v>
      </c>
      <c r="K6" s="182">
        <f t="shared" ref="K6" si="2">J16</f>
        <v>11670482.810000001</v>
      </c>
      <c r="L6" s="182">
        <f t="shared" ref="L6" si="3">K16</f>
        <v>13251014.950000001</v>
      </c>
      <c r="M6" s="182">
        <f t="shared" ref="M6" si="4">L16</f>
        <v>14885128.550000001</v>
      </c>
      <c r="N6" s="182">
        <f t="shared" ref="N6" si="5">M16</f>
        <v>16568395.75</v>
      </c>
      <c r="O6" s="182">
        <f t="shared" ref="O6" si="6">N16</f>
        <v>18241113.030000001</v>
      </c>
      <c r="P6" s="182">
        <f t="shared" ref="P6" si="7">O16</f>
        <v>19908208.030000001</v>
      </c>
      <c r="Q6" s="182">
        <f t="shared" ref="Q6" si="8">P16</f>
        <v>21549631.030000001</v>
      </c>
      <c r="R6" s="182">
        <f t="shared" ref="R6" si="9">Q16</f>
        <v>23161069.030000001</v>
      </c>
      <c r="S6" s="182">
        <f t="shared" ref="S6" si="10">R16</f>
        <v>24735772.030000001</v>
      </c>
      <c r="T6" s="182">
        <f t="shared" ref="T6" si="11">S16</f>
        <v>26267639.030000001</v>
      </c>
      <c r="U6" s="182">
        <f t="shared" ref="U6" si="12">T16</f>
        <v>27749849.030000001</v>
      </c>
      <c r="V6" s="182">
        <f t="shared" ref="V6" si="13">U16</f>
        <v>29174734.030000001</v>
      </c>
      <c r="W6" s="182">
        <f t="shared" ref="W6" si="14">V16</f>
        <v>30516348.030000001</v>
      </c>
      <c r="X6" s="182">
        <f t="shared" ref="X6" si="15">W16</f>
        <v>31760961.030000001</v>
      </c>
      <c r="Y6" s="182">
        <f t="shared" ref="Y6" si="16">X16</f>
        <v>32896914.030000001</v>
      </c>
      <c r="Z6" s="182">
        <f t="shared" ref="Z6" si="17">Y16</f>
        <v>33913615.030000001</v>
      </c>
      <c r="AA6" s="182">
        <f t="shared" ref="AA6" si="18">Z16</f>
        <v>34798793.030000001</v>
      </c>
      <c r="AB6" s="182">
        <f t="shared" ref="AB6" si="19">AA16</f>
        <v>35538561.030000001</v>
      </c>
      <c r="AC6" s="182">
        <f t="shared" ref="AC6" si="20">AB16</f>
        <v>36118116.030000001</v>
      </c>
      <c r="AD6" s="182">
        <f t="shared" ref="AD6" si="21">AC16</f>
        <v>36664932.030000001</v>
      </c>
      <c r="AE6" s="182">
        <f t="shared" ref="AE6" si="22">AD16</f>
        <v>37188360.030000001</v>
      </c>
      <c r="AF6" s="182">
        <f t="shared" ref="AF6" si="23">AE16</f>
        <v>37687892.030000001</v>
      </c>
      <c r="AG6" s="182">
        <f t="shared" ref="AG6" si="24">AF16</f>
        <v>38163203.030000001</v>
      </c>
      <c r="AH6" s="182">
        <f t="shared" ref="AH6" si="25">AG16</f>
        <v>38614922.030000001</v>
      </c>
      <c r="AI6" s="182">
        <f t="shared" ref="AI6" si="26">AH16</f>
        <v>29680899.166990545</v>
      </c>
      <c r="AJ6" s="182">
        <f t="shared" ref="AJ6" si="27">AI16</f>
        <v>31254055.166990545</v>
      </c>
      <c r="AK6" s="182">
        <f t="shared" ref="AK6" si="28">AJ16</f>
        <v>32570022.166990545</v>
      </c>
      <c r="AL6" s="182">
        <f t="shared" ref="AL6" si="29">AK16</f>
        <v>33604464.166990548</v>
      </c>
      <c r="AM6" s="182">
        <f t="shared" ref="AM6" si="30">AL16</f>
        <v>34443952.166990548</v>
      </c>
      <c r="AN6" s="182">
        <f t="shared" ref="AN6" si="31">AM16</f>
        <v>35245593.166990548</v>
      </c>
      <c r="AO6" s="182">
        <f t="shared" ref="AO6" si="32">AN16</f>
        <v>36012564.166990548</v>
      </c>
      <c r="AP6" s="182">
        <f t="shared" ref="AP6" si="33">AO16</f>
        <v>36743196.166990548</v>
      </c>
      <c r="AQ6" s="182">
        <f t="shared" ref="AQ6" si="34">AP16</f>
        <v>37432673.166990548</v>
      </c>
    </row>
    <row r="7" spans="1:43" x14ac:dyDescent="0.4">
      <c r="A7" s="1" t="s">
        <v>258</v>
      </c>
      <c r="D7" s="1">
        <f>'Cash Generated'!D11</f>
        <v>575221.17999999993</v>
      </c>
      <c r="E7" s="1">
        <f>'Cash Generated'!E11</f>
        <v>130565.32000000007</v>
      </c>
      <c r="F7" s="1">
        <f>'Cash Generated'!F11</f>
        <v>1029503.4500000002</v>
      </c>
      <c r="G7" s="1">
        <f>'Cash Generated'!G11</f>
        <v>1407183.4900000002</v>
      </c>
      <c r="H7" s="1">
        <f>'Cash Generated'!H11</f>
        <v>1420439.4500000002</v>
      </c>
      <c r="I7" s="1">
        <f>'Cash Generated'!I11</f>
        <v>1520366.9900000002</v>
      </c>
      <c r="J7" s="1">
        <f>'Cash Generated'!J11</f>
        <v>1578681.9300000002</v>
      </c>
      <c r="K7" s="1">
        <f>'Cash Generated'!K11</f>
        <v>1580532.1400000001</v>
      </c>
      <c r="L7" s="1">
        <f>'Cash Generated'!L11</f>
        <v>1634113.6</v>
      </c>
      <c r="M7" s="1">
        <f>'Cash Generated'!M11</f>
        <v>1683267.2000000002</v>
      </c>
      <c r="N7" s="1">
        <f>'Cash Generated'!N11</f>
        <v>1672717.2799999998</v>
      </c>
      <c r="O7" s="1">
        <f>'Cash Generated'!O11</f>
        <v>1667095</v>
      </c>
      <c r="P7" s="1">
        <f>'Cash Generated'!P11</f>
        <v>1641423</v>
      </c>
      <c r="Q7" s="1">
        <f>'Cash Generated'!Q11</f>
        <v>1611438</v>
      </c>
      <c r="R7" s="1">
        <f>'Cash Generated'!R11</f>
        <v>1574703</v>
      </c>
      <c r="S7" s="1">
        <f>'Cash Generated'!S11</f>
        <v>1531867</v>
      </c>
      <c r="T7" s="1">
        <f>'Cash Generated'!T11</f>
        <v>1482210</v>
      </c>
      <c r="U7" s="1">
        <f>'Cash Generated'!U11</f>
        <v>1424885</v>
      </c>
      <c r="V7" s="1">
        <f>'Cash Generated'!V11</f>
        <v>1341614</v>
      </c>
      <c r="W7" s="1">
        <f>'Cash Generated'!W11</f>
        <v>1244613</v>
      </c>
      <c r="X7" s="1">
        <f>'Cash Generated'!X11</f>
        <v>1135953</v>
      </c>
      <c r="Y7" s="1">
        <f>'Cash Generated'!Y11</f>
        <v>1016701</v>
      </c>
      <c r="Z7" s="1">
        <f>'Cash Generated'!Z11</f>
        <v>885177.99999999977</v>
      </c>
      <c r="AA7" s="1">
        <f>'Cash Generated'!AA11</f>
        <v>739767.99999999977</v>
      </c>
      <c r="AB7" s="1">
        <f>'Cash Generated'!AB11</f>
        <v>579554.99999999977</v>
      </c>
      <c r="AC7" s="1">
        <f>'Cash Generated'!AC11</f>
        <v>546815.99999999977</v>
      </c>
      <c r="AD7" s="1">
        <f>'Cash Generated'!AD11</f>
        <v>523427.99999999977</v>
      </c>
      <c r="AE7" s="1">
        <f>'Cash Generated'!AE11</f>
        <v>499531.99999999977</v>
      </c>
      <c r="AF7" s="1">
        <f>'Cash Generated'!AF11</f>
        <v>475310.99999999977</v>
      </c>
      <c r="AG7" s="1">
        <f>'Cash Generated'!AG11</f>
        <v>451719</v>
      </c>
      <c r="AH7" s="1">
        <f>'Cash Generated'!AH11</f>
        <v>314244</v>
      </c>
      <c r="AI7" s="1">
        <f>'Cash Generated'!AI11</f>
        <v>1573156</v>
      </c>
      <c r="AJ7" s="1">
        <f>'Cash Generated'!AJ11</f>
        <v>1315967</v>
      </c>
      <c r="AK7" s="1">
        <f>'Cash Generated'!AK11</f>
        <v>1034442</v>
      </c>
      <c r="AL7" s="1">
        <f>'Cash Generated'!AL11</f>
        <v>839488</v>
      </c>
      <c r="AM7" s="1">
        <f>'Cash Generated'!AM11</f>
        <v>801641</v>
      </c>
      <c r="AN7" s="1">
        <f>'Cash Generated'!AN11</f>
        <v>766971</v>
      </c>
      <c r="AO7" s="1">
        <f>'Cash Generated'!AO11</f>
        <v>730632</v>
      </c>
      <c r="AP7" s="1">
        <f>'Cash Generated'!AP11</f>
        <v>689477</v>
      </c>
      <c r="AQ7" s="1">
        <f>'Cash Generated'!AQ11</f>
        <v>651717</v>
      </c>
    </row>
    <row r="8" spans="1:43" x14ac:dyDescent="0.4">
      <c r="A8" s="1" t="s">
        <v>259</v>
      </c>
      <c r="D8" s="1">
        <f>'Plan Inputs'!F13</f>
        <v>0</v>
      </c>
      <c r="E8" s="1">
        <f>'Plan Inputs'!G13</f>
        <v>0</v>
      </c>
      <c r="F8" s="1">
        <f>'Plan Inputs'!H13</f>
        <v>0</v>
      </c>
      <c r="G8" s="1">
        <f>'Plan Inputs'!I13</f>
        <v>0</v>
      </c>
      <c r="H8" s="1">
        <f>'Plan Inputs'!J13</f>
        <v>0</v>
      </c>
      <c r="I8" s="1">
        <f>'Plan Inputs'!K13</f>
        <v>0</v>
      </c>
      <c r="J8" s="1">
        <f>'Plan Inputs'!L13</f>
        <v>0</v>
      </c>
      <c r="K8" s="1">
        <f>'Plan Inputs'!M13</f>
        <v>0</v>
      </c>
      <c r="L8" s="1">
        <f>'Plan Inputs'!N13</f>
        <v>0</v>
      </c>
      <c r="M8" s="1">
        <f>'Plan Inputs'!O13</f>
        <v>0</v>
      </c>
      <c r="N8" s="1">
        <f>'Plan Inputs'!P13</f>
        <v>0</v>
      </c>
      <c r="O8" s="1">
        <f>'Plan Inputs'!Q13</f>
        <v>0</v>
      </c>
      <c r="P8" s="1">
        <f>'Plan Inputs'!R13</f>
        <v>0</v>
      </c>
      <c r="Q8" s="1">
        <f>'Plan Inputs'!S13</f>
        <v>0</v>
      </c>
      <c r="R8" s="1">
        <f>'Plan Inputs'!T13</f>
        <v>0</v>
      </c>
      <c r="S8" s="1">
        <f>'Plan Inputs'!U13</f>
        <v>0</v>
      </c>
      <c r="T8" s="1">
        <f>'Plan Inputs'!V13</f>
        <v>0</v>
      </c>
      <c r="U8" s="1">
        <f>'Plan Inputs'!W13</f>
        <v>0</v>
      </c>
      <c r="V8" s="1">
        <f>'Plan Inputs'!X13</f>
        <v>0</v>
      </c>
      <c r="W8" s="1">
        <f>'Plan Inputs'!Y13</f>
        <v>0</v>
      </c>
      <c r="X8" s="1">
        <f>'Plan Inputs'!Z13</f>
        <v>0</v>
      </c>
      <c r="Y8" s="1">
        <f>'Plan Inputs'!AA13</f>
        <v>0</v>
      </c>
      <c r="Z8" s="1">
        <f>'Plan Inputs'!AB13</f>
        <v>0</v>
      </c>
      <c r="AA8" s="1">
        <f>'Plan Inputs'!AC13</f>
        <v>0</v>
      </c>
      <c r="AB8" s="1">
        <f>'Plan Inputs'!AD13</f>
        <v>0</v>
      </c>
      <c r="AC8" s="1">
        <f>'Plan Inputs'!AE13</f>
        <v>0</v>
      </c>
      <c r="AD8" s="1">
        <f>'Plan Inputs'!AF13</f>
        <v>0</v>
      </c>
      <c r="AE8" s="1">
        <f>'Plan Inputs'!AG13</f>
        <v>0</v>
      </c>
      <c r="AF8" s="1">
        <f>'Plan Inputs'!AH13</f>
        <v>0</v>
      </c>
      <c r="AG8" s="1">
        <f>'Plan Inputs'!AI13</f>
        <v>0</v>
      </c>
      <c r="AH8" s="1">
        <f>'Plan Inputs'!AJ13</f>
        <v>0</v>
      </c>
      <c r="AI8" s="1">
        <f>'Plan Inputs'!AK13</f>
        <v>0</v>
      </c>
      <c r="AJ8" s="1">
        <f>'Plan Inputs'!AL13</f>
        <v>0</v>
      </c>
      <c r="AK8" s="1">
        <f>'Plan Inputs'!AM13</f>
        <v>0</v>
      </c>
      <c r="AL8" s="1">
        <f>'Plan Inputs'!AN13</f>
        <v>0</v>
      </c>
      <c r="AM8" s="1">
        <f>'Plan Inputs'!AO13</f>
        <v>0</v>
      </c>
      <c r="AN8" s="1">
        <f>'Plan Inputs'!AP13</f>
        <v>0</v>
      </c>
      <c r="AO8" s="1">
        <f>'Plan Inputs'!AQ13</f>
        <v>0</v>
      </c>
      <c r="AP8" s="1">
        <f>'Plan Inputs'!AR13</f>
        <v>0</v>
      </c>
      <c r="AQ8" s="1">
        <f>'Plan Inputs'!AS13</f>
        <v>0</v>
      </c>
    </row>
    <row r="9" spans="1:43" ht="17.149999999999999" x14ac:dyDescent="0.7">
      <c r="A9" s="1" t="s">
        <v>260</v>
      </c>
      <c r="D9" s="2">
        <f>-'Proforma Income Statement'!F29*'Plan Inputs'!F12</f>
        <v>-1020842.25</v>
      </c>
      <c r="E9" s="2">
        <f>-'Proforma Income Statement'!G29*'Plan Inputs'!G12</f>
        <v>-1059247.25</v>
      </c>
      <c r="F9" s="2">
        <f>-'Proforma Income Statement'!H29*'Plan Inputs'!H12</f>
        <v>-1048255</v>
      </c>
      <c r="G9" s="2">
        <f>-'Proforma Income Statement'!I29*'Plan Inputs'!I12</f>
        <v>-1088644.5</v>
      </c>
      <c r="H9" s="2">
        <f>-'Proforma Income Statement'!J29*'Plan Inputs'!J12</f>
        <v>-1130879.75</v>
      </c>
      <c r="I9" s="2">
        <f>-'Proforma Income Statement'!K29*'Plan Inputs'!K12</f>
        <v>-1188973.75</v>
      </c>
      <c r="J9" s="2">
        <f>-'Proforma Income Statement'!L29*'Plan Inputs'!L12</f>
        <v>-1235002.75</v>
      </c>
      <c r="K9" s="2">
        <f>-'Proforma Income Statement'!M29*'Plan Inputs'!M12</f>
        <v>-1283162.75</v>
      </c>
      <c r="L9" s="2">
        <f>-'Proforma Income Statement'!N29*'Plan Inputs'!N12</f>
        <v>-1333278</v>
      </c>
      <c r="M9" s="2">
        <f>-'Proforma Income Statement'!O29*'Plan Inputs'!O12</f>
        <v>-1385690.5</v>
      </c>
      <c r="N9" s="2">
        <f>-'Proforma Income Statement'!P29*'Plan Inputs'!P12</f>
        <v>-1440606.75</v>
      </c>
      <c r="O9" s="2">
        <f>-'Proforma Income Statement'!Q29*'Plan Inputs'!Q12</f>
        <v>-1499090.5</v>
      </c>
      <c r="P9" s="2">
        <f>-'Proforma Income Statement'!R29*'Plan Inputs'!R12</f>
        <v>-1560416.75</v>
      </c>
      <c r="Q9" s="2">
        <f>-'Proforma Income Statement'!S29*'Plan Inputs'!S12</f>
        <v>-1624190</v>
      </c>
      <c r="R9" s="2">
        <f>-'Proforma Income Statement'!T29*'Plan Inputs'!T12</f>
        <v>-1691053.25</v>
      </c>
      <c r="S9" s="2">
        <f>-'Proforma Income Statement'!U29*'Plan Inputs'!U12</f>
        <v>-1760879.25</v>
      </c>
      <c r="T9" s="2">
        <f>-'Proforma Income Statement'!V29*'Plan Inputs'!V12</f>
        <v>-1833883.75</v>
      </c>
      <c r="U9" s="2">
        <f>-'Proforma Income Statement'!W29*'Plan Inputs'!W12</f>
        <v>-1910315.5</v>
      </c>
      <c r="V9" s="2">
        <f>-'Proforma Income Statement'!X29*'Plan Inputs'!X12</f>
        <v>-1994781.25</v>
      </c>
      <c r="W9" s="2">
        <f>-'Proforma Income Statement'!Y29*'Plan Inputs'!Y12</f>
        <v>-2084265.75</v>
      </c>
      <c r="X9" s="2">
        <f>-'Proforma Income Statement'!Z29*'Plan Inputs'!Z12</f>
        <v>-2178291</v>
      </c>
      <c r="Y9" s="2">
        <f>-'Proforma Income Statement'!AA29*'Plan Inputs'!AA12</f>
        <v>-2276630.5</v>
      </c>
      <c r="Z9" s="2">
        <f>-'Proforma Income Statement'!AB29*'Plan Inputs'!AB12</f>
        <v>-2379745.5</v>
      </c>
      <c r="AA9" s="2">
        <f>-'Proforma Income Statement'!AC29*'Plan Inputs'!AC12</f>
        <v>-2488082.25</v>
      </c>
      <c r="AB9" s="2">
        <f>-'Proforma Income Statement'!AD29*'Plan Inputs'!AD12</f>
        <v>-2601913.75</v>
      </c>
      <c r="AC9" s="2">
        <f>-'Proforma Income Statement'!AE29*'Plan Inputs'!AE12</f>
        <v>-2720967.75</v>
      </c>
      <c r="AD9" s="2">
        <f>-'Proforma Income Statement'!AF29*'Plan Inputs'!AF12</f>
        <v>-2846095</v>
      </c>
      <c r="AE9" s="2">
        <f>-'Proforma Income Statement'!AG29*'Plan Inputs'!AG12</f>
        <v>-2977509.5</v>
      </c>
      <c r="AF9" s="2">
        <f>-'Proforma Income Statement'!AH29*'Plan Inputs'!AH12</f>
        <v>-3115528</v>
      </c>
      <c r="AG9" s="2">
        <f>-'Proforma Income Statement'!AI29*'Plan Inputs'!AI12</f>
        <v>-3260296.75</v>
      </c>
      <c r="AH9" s="2">
        <f>-'Proforma Income Statement'!AJ29*'Plan Inputs'!AJ12</f>
        <v>-3411446</v>
      </c>
      <c r="AI9" s="2">
        <f>-'Proforma Income Statement'!AK29*'Plan Inputs'!AK12</f>
        <v>-3570212.75</v>
      </c>
      <c r="AJ9" s="2">
        <f>-'Proforma Income Statement'!AL29*'Plan Inputs'!AL12</f>
        <v>-3736962</v>
      </c>
      <c r="AK9" s="2">
        <f>-'Proforma Income Statement'!AM29*'Plan Inputs'!AM12</f>
        <v>-3912348.75</v>
      </c>
      <c r="AL9" s="2">
        <f>-'Proforma Income Statement'!AN29*'Plan Inputs'!AN12</f>
        <v>-4096494.5</v>
      </c>
      <c r="AM9" s="2">
        <f>-'Proforma Income Statement'!AO29*'Plan Inputs'!AO12</f>
        <v>-4289719</v>
      </c>
      <c r="AN9" s="2">
        <f>-'Proforma Income Statement'!AP29*'Plan Inputs'!AP12</f>
        <v>-4492541.25</v>
      </c>
      <c r="AO9" s="2">
        <f>-'Proforma Income Statement'!AQ29*'Plan Inputs'!AQ12</f>
        <v>-4705404.5</v>
      </c>
      <c r="AP9" s="2">
        <f>-'Proforma Income Statement'!AR29*'Plan Inputs'!AR12</f>
        <v>-4930126</v>
      </c>
      <c r="AQ9" s="2">
        <f>-'Proforma Income Statement'!AS29*'Plan Inputs'!AS12</f>
        <v>-5166322.5</v>
      </c>
    </row>
    <row r="10" spans="1:43" x14ac:dyDescent="0.4">
      <c r="A10" s="1" t="s">
        <v>261</v>
      </c>
      <c r="D10" s="1">
        <f>SUM(D6:D9)</f>
        <v>3562899.9299999997</v>
      </c>
      <c r="E10" s="1">
        <f t="shared" ref="E10:AQ10" si="35">SUM(E6:E9)</f>
        <v>3655060.25</v>
      </c>
      <c r="F10" s="1">
        <f t="shared" si="35"/>
        <v>4695555.95</v>
      </c>
      <c r="G10" s="1">
        <f t="shared" si="35"/>
        <v>6062349.9400000004</v>
      </c>
      <c r="H10" s="1">
        <f t="shared" si="35"/>
        <v>7440554.1400000006</v>
      </c>
      <c r="I10" s="1">
        <f t="shared" si="35"/>
        <v>8902827.1300000008</v>
      </c>
      <c r="J10" s="1">
        <f t="shared" si="35"/>
        <v>10435480.060000001</v>
      </c>
      <c r="K10" s="1">
        <f t="shared" si="35"/>
        <v>11967852.200000001</v>
      </c>
      <c r="L10" s="1">
        <f t="shared" si="35"/>
        <v>13551850.550000001</v>
      </c>
      <c r="M10" s="1">
        <f t="shared" si="35"/>
        <v>15182705.25</v>
      </c>
      <c r="N10" s="1">
        <f t="shared" si="35"/>
        <v>16800506.280000001</v>
      </c>
      <c r="O10" s="1">
        <f t="shared" si="35"/>
        <v>18409117.530000001</v>
      </c>
      <c r="P10" s="1">
        <f t="shared" si="35"/>
        <v>19989214.280000001</v>
      </c>
      <c r="Q10" s="1">
        <f t="shared" si="35"/>
        <v>21536879.030000001</v>
      </c>
      <c r="R10" s="1">
        <f t="shared" si="35"/>
        <v>23044718.780000001</v>
      </c>
      <c r="S10" s="1">
        <f t="shared" si="35"/>
        <v>24506759.780000001</v>
      </c>
      <c r="T10" s="1">
        <f t="shared" si="35"/>
        <v>25915965.280000001</v>
      </c>
      <c r="U10" s="1">
        <f t="shared" si="35"/>
        <v>27264418.530000001</v>
      </c>
      <c r="V10" s="1">
        <f t="shared" si="35"/>
        <v>28521566.780000001</v>
      </c>
      <c r="W10" s="1">
        <f t="shared" si="35"/>
        <v>29676695.280000001</v>
      </c>
      <c r="X10" s="1">
        <f t="shared" si="35"/>
        <v>30718623.030000001</v>
      </c>
      <c r="Y10" s="1">
        <f t="shared" si="35"/>
        <v>31636984.530000001</v>
      </c>
      <c r="Z10" s="1">
        <f t="shared" si="35"/>
        <v>32419047.530000001</v>
      </c>
      <c r="AA10" s="1">
        <f t="shared" si="35"/>
        <v>33050478.780000001</v>
      </c>
      <c r="AB10" s="1">
        <f t="shared" si="35"/>
        <v>33516202.280000001</v>
      </c>
      <c r="AC10" s="1">
        <f t="shared" si="35"/>
        <v>33943964.280000001</v>
      </c>
      <c r="AD10" s="1">
        <f t="shared" si="35"/>
        <v>34342265.030000001</v>
      </c>
      <c r="AE10" s="1">
        <f t="shared" si="35"/>
        <v>34710382.530000001</v>
      </c>
      <c r="AF10" s="1">
        <f t="shared" si="35"/>
        <v>35047675.030000001</v>
      </c>
      <c r="AG10" s="1">
        <f t="shared" si="35"/>
        <v>35354625.280000001</v>
      </c>
      <c r="AH10" s="1">
        <f t="shared" si="35"/>
        <v>35517720.030000001</v>
      </c>
      <c r="AI10" s="1">
        <f t="shared" si="35"/>
        <v>27683842.416990545</v>
      </c>
      <c r="AJ10" s="1">
        <f t="shared" si="35"/>
        <v>28833060.166990545</v>
      </c>
      <c r="AK10" s="1">
        <f t="shared" si="35"/>
        <v>29692115.416990548</v>
      </c>
      <c r="AL10" s="1">
        <f t="shared" si="35"/>
        <v>30347457.666990548</v>
      </c>
      <c r="AM10" s="1">
        <f t="shared" si="35"/>
        <v>30955874.166990548</v>
      </c>
      <c r="AN10" s="1">
        <f t="shared" si="35"/>
        <v>31520022.916990548</v>
      </c>
      <c r="AO10" s="1">
        <f t="shared" si="35"/>
        <v>32037791.666990548</v>
      </c>
      <c r="AP10" s="1">
        <f t="shared" si="35"/>
        <v>32502547.166990548</v>
      </c>
      <c r="AQ10" s="1">
        <f t="shared" si="35"/>
        <v>32918067.666990548</v>
      </c>
    </row>
    <row r="11" spans="1:43" ht="17.149999999999999" x14ac:dyDescent="0.7">
      <c r="A11" s="1" t="s">
        <v>262</v>
      </c>
      <c r="D11" s="2">
        <f>-'Capital Program'!F27</f>
        <v>-9891000</v>
      </c>
      <c r="E11" s="2">
        <f>-'Capital Program'!G27</f>
        <v>-9891000</v>
      </c>
      <c r="F11" s="2">
        <f>-'Capital Program'!H27</f>
        <v>0</v>
      </c>
      <c r="G11" s="2">
        <f>-'Capital Program'!I27</f>
        <v>0</v>
      </c>
      <c r="H11" s="2">
        <f>-'Capital Program'!J27</f>
        <v>0</v>
      </c>
      <c r="I11" s="2">
        <f>-'Capital Program'!K27</f>
        <v>0</v>
      </c>
      <c r="J11" s="2">
        <f>-'Capital Program'!L27</f>
        <v>0</v>
      </c>
      <c r="K11" s="2">
        <f>-'Capital Program'!M27</f>
        <v>0</v>
      </c>
      <c r="L11" s="2">
        <f>-'Capital Program'!N27</f>
        <v>0</v>
      </c>
      <c r="M11" s="2">
        <f>-'Capital Program'!O27</f>
        <v>0</v>
      </c>
      <c r="N11" s="2">
        <f>-'Capital Program'!P27</f>
        <v>0</v>
      </c>
      <c r="O11" s="2">
        <f>-'Capital Program'!Q27</f>
        <v>0</v>
      </c>
      <c r="P11" s="2">
        <f>-'Capital Program'!R27</f>
        <v>0</v>
      </c>
      <c r="Q11" s="2">
        <f>-'Capital Program'!S27</f>
        <v>0</v>
      </c>
      <c r="R11" s="2">
        <f>-'Capital Program'!T27</f>
        <v>0</v>
      </c>
      <c r="S11" s="2">
        <f>-'Capital Program'!U27</f>
        <v>0</v>
      </c>
      <c r="T11" s="2">
        <f>-'Capital Program'!V27</f>
        <v>0</v>
      </c>
      <c r="U11" s="2">
        <f>-'Capital Program'!W27</f>
        <v>0</v>
      </c>
      <c r="V11" s="2">
        <f>-'Capital Program'!X27</f>
        <v>0</v>
      </c>
      <c r="W11" s="2">
        <f>-'Capital Program'!Y27</f>
        <v>0</v>
      </c>
      <c r="X11" s="2">
        <f>-'Capital Program'!Z27</f>
        <v>0</v>
      </c>
      <c r="Y11" s="2">
        <f>-'Capital Program'!AA27</f>
        <v>0</v>
      </c>
      <c r="Z11" s="2">
        <f>-'Capital Program'!AB27</f>
        <v>0</v>
      </c>
      <c r="AA11" s="2">
        <f>-'Capital Program'!AC27</f>
        <v>0</v>
      </c>
      <c r="AB11" s="2">
        <f>-'Capital Program'!AD27</f>
        <v>0</v>
      </c>
      <c r="AC11" s="2">
        <f>-'Capital Program'!AE27</f>
        <v>0</v>
      </c>
      <c r="AD11" s="2">
        <f>-'Capital Program'!AF27</f>
        <v>0</v>
      </c>
      <c r="AE11" s="2">
        <f>-'Capital Program'!AG27</f>
        <v>0</v>
      </c>
      <c r="AF11" s="2">
        <f>-'Capital Program'!AH27</f>
        <v>0</v>
      </c>
      <c r="AG11" s="2">
        <f>-'Capital Program'!AI27</f>
        <v>0</v>
      </c>
      <c r="AH11" s="2">
        <f>-'Capital Program'!AJ27</f>
        <v>-19248266.863009457</v>
      </c>
      <c r="AI11" s="2">
        <f>-'Capital Program'!AK27</f>
        <v>0</v>
      </c>
      <c r="AJ11" s="2">
        <f>-'Capital Program'!AL27</f>
        <v>0</v>
      </c>
      <c r="AK11" s="2">
        <f>-'Capital Program'!AM27</f>
        <v>0</v>
      </c>
      <c r="AL11" s="2">
        <f>-'Capital Program'!AN27</f>
        <v>0</v>
      </c>
      <c r="AM11" s="2">
        <f>-'Capital Program'!AO27</f>
        <v>0</v>
      </c>
      <c r="AN11" s="2">
        <f>-'Capital Program'!AP27</f>
        <v>0</v>
      </c>
      <c r="AO11" s="2">
        <f>-'Capital Program'!AQ27</f>
        <v>0</v>
      </c>
      <c r="AP11" s="2">
        <f>-'Capital Program'!AR27</f>
        <v>0</v>
      </c>
      <c r="AQ11" s="2">
        <f>-'Capital Program'!AS27</f>
        <v>0</v>
      </c>
    </row>
    <row r="12" spans="1:43" x14ac:dyDescent="0.4">
      <c r="A12" s="1" t="s">
        <v>263</v>
      </c>
      <c r="D12" s="1">
        <f>SUM(D10:D11)</f>
        <v>-6328100.0700000003</v>
      </c>
      <c r="E12" s="1">
        <f t="shared" ref="E12:I12" si="36">SUM(E10:E11)</f>
        <v>-6235939.75</v>
      </c>
      <c r="F12" s="1">
        <f t="shared" si="36"/>
        <v>4695555.95</v>
      </c>
      <c r="G12" s="1">
        <f t="shared" si="36"/>
        <v>6062349.9400000004</v>
      </c>
      <c r="H12" s="1">
        <f t="shared" si="36"/>
        <v>7440554.1400000006</v>
      </c>
      <c r="I12" s="9">
        <f t="shared" si="36"/>
        <v>8902827.1300000008</v>
      </c>
      <c r="J12" s="9">
        <f t="shared" ref="J12:AQ12" si="37">SUM(J10:J11)</f>
        <v>10435480.060000001</v>
      </c>
      <c r="K12" s="9">
        <f t="shared" si="37"/>
        <v>11967852.200000001</v>
      </c>
      <c r="L12" s="9">
        <f t="shared" si="37"/>
        <v>13551850.550000001</v>
      </c>
      <c r="M12" s="9">
        <f t="shared" si="37"/>
        <v>15182705.25</v>
      </c>
      <c r="N12" s="9">
        <f t="shared" si="37"/>
        <v>16800506.280000001</v>
      </c>
      <c r="O12" s="9">
        <f t="shared" si="37"/>
        <v>18409117.530000001</v>
      </c>
      <c r="P12" s="9">
        <f t="shared" si="37"/>
        <v>19989214.280000001</v>
      </c>
      <c r="Q12" s="9">
        <f t="shared" si="37"/>
        <v>21536879.030000001</v>
      </c>
      <c r="R12" s="9">
        <f t="shared" si="37"/>
        <v>23044718.780000001</v>
      </c>
      <c r="S12" s="9">
        <f t="shared" si="37"/>
        <v>24506759.780000001</v>
      </c>
      <c r="T12" s="9">
        <f t="shared" si="37"/>
        <v>25915965.280000001</v>
      </c>
      <c r="U12" s="9">
        <f t="shared" si="37"/>
        <v>27264418.530000001</v>
      </c>
      <c r="V12" s="9">
        <f t="shared" si="37"/>
        <v>28521566.780000001</v>
      </c>
      <c r="W12" s="9">
        <f t="shared" si="37"/>
        <v>29676695.280000001</v>
      </c>
      <c r="X12" s="9">
        <f t="shared" si="37"/>
        <v>30718623.030000001</v>
      </c>
      <c r="Y12" s="9">
        <f t="shared" si="37"/>
        <v>31636984.530000001</v>
      </c>
      <c r="Z12" s="9">
        <f t="shared" si="37"/>
        <v>32419047.530000001</v>
      </c>
      <c r="AA12" s="9">
        <f t="shared" si="37"/>
        <v>33050478.780000001</v>
      </c>
      <c r="AB12" s="9">
        <f t="shared" si="37"/>
        <v>33516202.280000001</v>
      </c>
      <c r="AC12" s="9">
        <f t="shared" si="37"/>
        <v>33943964.280000001</v>
      </c>
      <c r="AD12" s="9">
        <f t="shared" si="37"/>
        <v>34342265.030000001</v>
      </c>
      <c r="AE12" s="9">
        <f t="shared" si="37"/>
        <v>34710382.530000001</v>
      </c>
      <c r="AF12" s="9">
        <f t="shared" si="37"/>
        <v>35047675.030000001</v>
      </c>
      <c r="AG12" s="9">
        <f t="shared" si="37"/>
        <v>35354625.280000001</v>
      </c>
      <c r="AH12" s="9">
        <f t="shared" si="37"/>
        <v>16269453.166990545</v>
      </c>
      <c r="AI12" s="9">
        <f t="shared" si="37"/>
        <v>27683842.416990545</v>
      </c>
      <c r="AJ12" s="9">
        <f t="shared" si="37"/>
        <v>28833060.166990545</v>
      </c>
      <c r="AK12" s="9">
        <f t="shared" si="37"/>
        <v>29692115.416990548</v>
      </c>
      <c r="AL12" s="9">
        <f t="shared" si="37"/>
        <v>30347457.666990548</v>
      </c>
      <c r="AM12" s="9">
        <f t="shared" si="37"/>
        <v>30955874.166990548</v>
      </c>
      <c r="AN12" s="9">
        <f t="shared" si="37"/>
        <v>31520022.916990548</v>
      </c>
      <c r="AO12" s="9">
        <f t="shared" si="37"/>
        <v>32037791.666990548</v>
      </c>
      <c r="AP12" s="9">
        <f t="shared" si="37"/>
        <v>32502547.166990548</v>
      </c>
      <c r="AQ12" s="9">
        <f t="shared" si="37"/>
        <v>32918067.666990548</v>
      </c>
    </row>
    <row r="13" spans="1:43" ht="17.149999999999999" x14ac:dyDescent="0.7">
      <c r="A13" s="1" t="s">
        <v>264</v>
      </c>
      <c r="D13" s="2">
        <f>'Plan Inputs'!F18</f>
        <v>9891000</v>
      </c>
      <c r="E13" s="2">
        <f>'Plan Inputs'!G18</f>
        <v>9891000</v>
      </c>
      <c r="F13" s="2">
        <f>'Plan Inputs'!H18</f>
        <v>0</v>
      </c>
      <c r="G13" s="2">
        <f>'Plan Inputs'!I18</f>
        <v>0</v>
      </c>
      <c r="H13" s="2">
        <f>'Plan Inputs'!J18</f>
        <v>0</v>
      </c>
      <c r="I13" s="2">
        <f>'Plan Inputs'!K18</f>
        <v>0</v>
      </c>
      <c r="J13" s="2">
        <f>'Plan Inputs'!L18</f>
        <v>0</v>
      </c>
      <c r="K13" s="2">
        <f>'Plan Inputs'!M18</f>
        <v>0</v>
      </c>
      <c r="L13" s="2">
        <f>'Plan Inputs'!N18</f>
        <v>0</v>
      </c>
      <c r="M13" s="2">
        <f>'Plan Inputs'!O18</f>
        <v>0</v>
      </c>
      <c r="N13" s="2">
        <f>'Plan Inputs'!P18</f>
        <v>0</v>
      </c>
      <c r="O13" s="2">
        <f>'Plan Inputs'!Q18</f>
        <v>0</v>
      </c>
      <c r="P13" s="2">
        <f>'Plan Inputs'!R18</f>
        <v>0</v>
      </c>
      <c r="Q13" s="2">
        <f>'Plan Inputs'!S18</f>
        <v>0</v>
      </c>
      <c r="R13" s="2">
        <f>'Plan Inputs'!T18</f>
        <v>0</v>
      </c>
      <c r="S13" s="2">
        <f>'Plan Inputs'!U18</f>
        <v>0</v>
      </c>
      <c r="T13" s="2">
        <f>'Plan Inputs'!V18</f>
        <v>0</v>
      </c>
      <c r="U13" s="2">
        <f>'Plan Inputs'!W18</f>
        <v>0</v>
      </c>
      <c r="V13" s="2">
        <f>'Plan Inputs'!X18</f>
        <v>0</v>
      </c>
      <c r="W13" s="2">
        <f>'Plan Inputs'!Y18</f>
        <v>0</v>
      </c>
      <c r="X13" s="2">
        <f>'Plan Inputs'!Z18</f>
        <v>0</v>
      </c>
      <c r="Y13" s="2">
        <f>'Plan Inputs'!AA18</f>
        <v>0</v>
      </c>
      <c r="Z13" s="2">
        <f>'Plan Inputs'!AB18</f>
        <v>0</v>
      </c>
      <c r="AA13" s="2">
        <f>'Plan Inputs'!AC18</f>
        <v>0</v>
      </c>
      <c r="AB13" s="2">
        <f>'Plan Inputs'!AD18</f>
        <v>0</v>
      </c>
      <c r="AC13" s="2">
        <f>'Plan Inputs'!AE18</f>
        <v>0</v>
      </c>
      <c r="AD13" s="2">
        <f>'Plan Inputs'!AF18</f>
        <v>0</v>
      </c>
      <c r="AE13" s="2">
        <f>'Plan Inputs'!AG18</f>
        <v>0</v>
      </c>
      <c r="AF13" s="2">
        <f>'Plan Inputs'!AH18</f>
        <v>0</v>
      </c>
      <c r="AG13" s="2">
        <f>'Plan Inputs'!AI18</f>
        <v>0</v>
      </c>
      <c r="AH13" s="2">
        <f>'Plan Inputs'!AJ18</f>
        <v>10000000</v>
      </c>
      <c r="AI13" s="2">
        <f>'Plan Inputs'!AK18</f>
        <v>0</v>
      </c>
      <c r="AJ13" s="2">
        <f>'Plan Inputs'!AL18</f>
        <v>0</v>
      </c>
      <c r="AK13" s="2">
        <f>'Plan Inputs'!AM18</f>
        <v>0</v>
      </c>
      <c r="AL13" s="2">
        <f>'Plan Inputs'!AN18</f>
        <v>0</v>
      </c>
      <c r="AM13" s="2">
        <f>'Plan Inputs'!AO18</f>
        <v>0</v>
      </c>
      <c r="AN13" s="2">
        <f>'Plan Inputs'!AP18</f>
        <v>0</v>
      </c>
      <c r="AO13" s="2">
        <f>'Plan Inputs'!AQ18</f>
        <v>0</v>
      </c>
      <c r="AP13" s="2">
        <f>'Plan Inputs'!AR18</f>
        <v>0</v>
      </c>
      <c r="AQ13" s="2">
        <f>'Plan Inputs'!AS18</f>
        <v>0</v>
      </c>
    </row>
    <row r="14" spans="1:43" x14ac:dyDescent="0.4">
      <c r="A14" s="1" t="s">
        <v>265</v>
      </c>
      <c r="D14" s="1">
        <f t="shared" ref="D14:I14" si="38">SUM(D12:D13)</f>
        <v>3562899.9299999997</v>
      </c>
      <c r="E14" s="1">
        <f t="shared" si="38"/>
        <v>3655060.25</v>
      </c>
      <c r="F14" s="1">
        <f t="shared" si="38"/>
        <v>4695555.95</v>
      </c>
      <c r="G14" s="1">
        <f t="shared" si="38"/>
        <v>6062349.9400000004</v>
      </c>
      <c r="H14" s="1">
        <f t="shared" si="38"/>
        <v>7440554.1400000006</v>
      </c>
      <c r="I14" s="1">
        <f t="shared" si="38"/>
        <v>8902827.1300000008</v>
      </c>
      <c r="J14" s="1">
        <f t="shared" ref="J14:AQ14" si="39">SUM(J12:J13)</f>
        <v>10435480.060000001</v>
      </c>
      <c r="K14" s="1">
        <f t="shared" si="39"/>
        <v>11967852.200000001</v>
      </c>
      <c r="L14" s="1">
        <f t="shared" si="39"/>
        <v>13551850.550000001</v>
      </c>
      <c r="M14" s="1">
        <f t="shared" si="39"/>
        <v>15182705.25</v>
      </c>
      <c r="N14" s="1">
        <f t="shared" si="39"/>
        <v>16800506.280000001</v>
      </c>
      <c r="O14" s="1">
        <f t="shared" si="39"/>
        <v>18409117.530000001</v>
      </c>
      <c r="P14" s="1">
        <f t="shared" si="39"/>
        <v>19989214.280000001</v>
      </c>
      <c r="Q14" s="1">
        <f t="shared" si="39"/>
        <v>21536879.030000001</v>
      </c>
      <c r="R14" s="1">
        <f t="shared" si="39"/>
        <v>23044718.780000001</v>
      </c>
      <c r="S14" s="1">
        <f t="shared" si="39"/>
        <v>24506759.780000001</v>
      </c>
      <c r="T14" s="1">
        <f t="shared" si="39"/>
        <v>25915965.280000001</v>
      </c>
      <c r="U14" s="1">
        <f t="shared" si="39"/>
        <v>27264418.530000001</v>
      </c>
      <c r="V14" s="1">
        <f t="shared" si="39"/>
        <v>28521566.780000001</v>
      </c>
      <c r="W14" s="1">
        <f t="shared" si="39"/>
        <v>29676695.280000001</v>
      </c>
      <c r="X14" s="1">
        <f t="shared" si="39"/>
        <v>30718623.030000001</v>
      </c>
      <c r="Y14" s="1">
        <f t="shared" si="39"/>
        <v>31636984.530000001</v>
      </c>
      <c r="Z14" s="1">
        <f t="shared" si="39"/>
        <v>32419047.530000001</v>
      </c>
      <c r="AA14" s="1">
        <f t="shared" si="39"/>
        <v>33050478.780000001</v>
      </c>
      <c r="AB14" s="1">
        <f t="shared" si="39"/>
        <v>33516202.280000001</v>
      </c>
      <c r="AC14" s="1">
        <f t="shared" si="39"/>
        <v>33943964.280000001</v>
      </c>
      <c r="AD14" s="1">
        <f t="shared" si="39"/>
        <v>34342265.030000001</v>
      </c>
      <c r="AE14" s="1">
        <f t="shared" si="39"/>
        <v>34710382.530000001</v>
      </c>
      <c r="AF14" s="1">
        <f t="shared" si="39"/>
        <v>35047675.030000001</v>
      </c>
      <c r="AG14" s="1">
        <f t="shared" si="39"/>
        <v>35354625.280000001</v>
      </c>
      <c r="AH14" s="1">
        <f t="shared" si="39"/>
        <v>26269453.166990545</v>
      </c>
      <c r="AI14" s="1">
        <f t="shared" si="39"/>
        <v>27683842.416990545</v>
      </c>
      <c r="AJ14" s="1">
        <f t="shared" si="39"/>
        <v>28833060.166990545</v>
      </c>
      <c r="AK14" s="1">
        <f t="shared" si="39"/>
        <v>29692115.416990548</v>
      </c>
      <c r="AL14" s="1">
        <f t="shared" si="39"/>
        <v>30347457.666990548</v>
      </c>
      <c r="AM14" s="1">
        <f t="shared" si="39"/>
        <v>30955874.166990548</v>
      </c>
      <c r="AN14" s="1">
        <f t="shared" si="39"/>
        <v>31520022.916990548</v>
      </c>
      <c r="AO14" s="1">
        <f t="shared" si="39"/>
        <v>32037791.666990548</v>
      </c>
      <c r="AP14" s="1">
        <f t="shared" si="39"/>
        <v>32502547.166990548</v>
      </c>
      <c r="AQ14" s="1">
        <f t="shared" si="39"/>
        <v>32918067.666990548</v>
      </c>
    </row>
    <row r="15" spans="1:43" ht="17.149999999999999" x14ac:dyDescent="0.7">
      <c r="A15" s="1" t="s">
        <v>266</v>
      </c>
      <c r="D15" s="2">
        <f t="shared" ref="D15:I15" si="40">-D9</f>
        <v>1020842.25</v>
      </c>
      <c r="E15" s="2">
        <f t="shared" si="40"/>
        <v>1059247.25</v>
      </c>
      <c r="F15" s="2">
        <f t="shared" si="40"/>
        <v>1048255</v>
      </c>
      <c r="G15" s="2">
        <f t="shared" si="40"/>
        <v>1088644.5</v>
      </c>
      <c r="H15" s="2">
        <f t="shared" si="40"/>
        <v>1130879.75</v>
      </c>
      <c r="I15" s="2">
        <f t="shared" si="40"/>
        <v>1188973.75</v>
      </c>
      <c r="J15" s="2">
        <f t="shared" ref="J15:AQ15" si="41">-J9</f>
        <v>1235002.75</v>
      </c>
      <c r="K15" s="2">
        <f t="shared" si="41"/>
        <v>1283162.75</v>
      </c>
      <c r="L15" s="2">
        <f t="shared" si="41"/>
        <v>1333278</v>
      </c>
      <c r="M15" s="2">
        <f t="shared" si="41"/>
        <v>1385690.5</v>
      </c>
      <c r="N15" s="2">
        <f t="shared" si="41"/>
        <v>1440606.75</v>
      </c>
      <c r="O15" s="2">
        <f t="shared" si="41"/>
        <v>1499090.5</v>
      </c>
      <c r="P15" s="2">
        <f t="shared" si="41"/>
        <v>1560416.75</v>
      </c>
      <c r="Q15" s="2">
        <f t="shared" si="41"/>
        <v>1624190</v>
      </c>
      <c r="R15" s="2">
        <f t="shared" si="41"/>
        <v>1691053.25</v>
      </c>
      <c r="S15" s="2">
        <f t="shared" si="41"/>
        <v>1760879.25</v>
      </c>
      <c r="T15" s="2">
        <f t="shared" si="41"/>
        <v>1833883.75</v>
      </c>
      <c r="U15" s="2">
        <f t="shared" si="41"/>
        <v>1910315.5</v>
      </c>
      <c r="V15" s="2">
        <f t="shared" si="41"/>
        <v>1994781.25</v>
      </c>
      <c r="W15" s="2">
        <f t="shared" si="41"/>
        <v>2084265.75</v>
      </c>
      <c r="X15" s="2">
        <f t="shared" si="41"/>
        <v>2178291</v>
      </c>
      <c r="Y15" s="2">
        <f t="shared" si="41"/>
        <v>2276630.5</v>
      </c>
      <c r="Z15" s="2">
        <f t="shared" si="41"/>
        <v>2379745.5</v>
      </c>
      <c r="AA15" s="2">
        <f t="shared" si="41"/>
        <v>2488082.25</v>
      </c>
      <c r="AB15" s="2">
        <f t="shared" si="41"/>
        <v>2601913.75</v>
      </c>
      <c r="AC15" s="2">
        <f t="shared" si="41"/>
        <v>2720967.75</v>
      </c>
      <c r="AD15" s="2">
        <f t="shared" si="41"/>
        <v>2846095</v>
      </c>
      <c r="AE15" s="2">
        <f t="shared" si="41"/>
        <v>2977509.5</v>
      </c>
      <c r="AF15" s="2">
        <f t="shared" si="41"/>
        <v>3115528</v>
      </c>
      <c r="AG15" s="2">
        <f t="shared" si="41"/>
        <v>3260296.75</v>
      </c>
      <c r="AH15" s="2">
        <f t="shared" si="41"/>
        <v>3411446</v>
      </c>
      <c r="AI15" s="2">
        <f t="shared" si="41"/>
        <v>3570212.75</v>
      </c>
      <c r="AJ15" s="2">
        <f t="shared" si="41"/>
        <v>3736962</v>
      </c>
      <c r="AK15" s="2">
        <f t="shared" si="41"/>
        <v>3912348.75</v>
      </c>
      <c r="AL15" s="2">
        <f t="shared" si="41"/>
        <v>4096494.5</v>
      </c>
      <c r="AM15" s="2">
        <f t="shared" si="41"/>
        <v>4289719</v>
      </c>
      <c r="AN15" s="2">
        <f t="shared" si="41"/>
        <v>4492541.25</v>
      </c>
      <c r="AO15" s="2">
        <f t="shared" si="41"/>
        <v>4705404.5</v>
      </c>
      <c r="AP15" s="2">
        <f t="shared" si="41"/>
        <v>4930126</v>
      </c>
      <c r="AQ15" s="2">
        <f t="shared" si="41"/>
        <v>5166322.5</v>
      </c>
    </row>
    <row r="16" spans="1:43" x14ac:dyDescent="0.4">
      <c r="A16" s="1" t="s">
        <v>267</v>
      </c>
      <c r="D16" s="24">
        <f>SUM(D14:D15)</f>
        <v>4583742.18</v>
      </c>
      <c r="E16" s="24">
        <f t="shared" ref="E16:I16" si="42">SUM(E14:E15)</f>
        <v>4714307.5</v>
      </c>
      <c r="F16" s="24">
        <f t="shared" si="42"/>
        <v>5743810.9500000002</v>
      </c>
      <c r="G16" s="24">
        <f t="shared" si="42"/>
        <v>7150994.4400000004</v>
      </c>
      <c r="H16" s="24">
        <f t="shared" si="42"/>
        <v>8571433.8900000006</v>
      </c>
      <c r="I16" s="24">
        <f t="shared" si="42"/>
        <v>10091800.880000001</v>
      </c>
      <c r="J16" s="24">
        <f t="shared" ref="J16:AQ16" si="43">SUM(J14:J15)</f>
        <v>11670482.810000001</v>
      </c>
      <c r="K16" s="24">
        <f t="shared" si="43"/>
        <v>13251014.950000001</v>
      </c>
      <c r="L16" s="24">
        <f t="shared" si="43"/>
        <v>14885128.550000001</v>
      </c>
      <c r="M16" s="24">
        <f t="shared" si="43"/>
        <v>16568395.75</v>
      </c>
      <c r="N16" s="24">
        <f t="shared" si="43"/>
        <v>18241113.030000001</v>
      </c>
      <c r="O16" s="24">
        <f t="shared" si="43"/>
        <v>19908208.030000001</v>
      </c>
      <c r="P16" s="24">
        <f t="shared" si="43"/>
        <v>21549631.030000001</v>
      </c>
      <c r="Q16" s="24">
        <f t="shared" si="43"/>
        <v>23161069.030000001</v>
      </c>
      <c r="R16" s="24">
        <f t="shared" si="43"/>
        <v>24735772.030000001</v>
      </c>
      <c r="S16" s="24">
        <f t="shared" si="43"/>
        <v>26267639.030000001</v>
      </c>
      <c r="T16" s="24">
        <f t="shared" si="43"/>
        <v>27749849.030000001</v>
      </c>
      <c r="U16" s="24">
        <f t="shared" si="43"/>
        <v>29174734.030000001</v>
      </c>
      <c r="V16" s="24">
        <f t="shared" si="43"/>
        <v>30516348.030000001</v>
      </c>
      <c r="W16" s="24">
        <f t="shared" si="43"/>
        <v>31760961.030000001</v>
      </c>
      <c r="X16" s="24">
        <f t="shared" si="43"/>
        <v>32896914.030000001</v>
      </c>
      <c r="Y16" s="24">
        <f t="shared" si="43"/>
        <v>33913615.030000001</v>
      </c>
      <c r="Z16" s="24">
        <f t="shared" si="43"/>
        <v>34798793.030000001</v>
      </c>
      <c r="AA16" s="24">
        <f t="shared" si="43"/>
        <v>35538561.030000001</v>
      </c>
      <c r="AB16" s="24">
        <f t="shared" si="43"/>
        <v>36118116.030000001</v>
      </c>
      <c r="AC16" s="24">
        <f t="shared" si="43"/>
        <v>36664932.030000001</v>
      </c>
      <c r="AD16" s="24">
        <f t="shared" si="43"/>
        <v>37188360.030000001</v>
      </c>
      <c r="AE16" s="24">
        <f t="shared" si="43"/>
        <v>37687892.030000001</v>
      </c>
      <c r="AF16" s="24">
        <f t="shared" si="43"/>
        <v>38163203.030000001</v>
      </c>
      <c r="AG16" s="24">
        <f t="shared" si="43"/>
        <v>38614922.030000001</v>
      </c>
      <c r="AH16" s="24">
        <f t="shared" si="43"/>
        <v>29680899.166990545</v>
      </c>
      <c r="AI16" s="24">
        <f t="shared" si="43"/>
        <v>31254055.166990545</v>
      </c>
      <c r="AJ16" s="24">
        <f t="shared" si="43"/>
        <v>32570022.166990545</v>
      </c>
      <c r="AK16" s="24">
        <f t="shared" si="43"/>
        <v>33604464.166990548</v>
      </c>
      <c r="AL16" s="24">
        <f t="shared" si="43"/>
        <v>34443952.166990548</v>
      </c>
      <c r="AM16" s="24">
        <f t="shared" si="43"/>
        <v>35245593.166990548</v>
      </c>
      <c r="AN16" s="24">
        <f t="shared" si="43"/>
        <v>36012564.166990548</v>
      </c>
      <c r="AO16" s="24">
        <f t="shared" si="43"/>
        <v>36743196.166990548</v>
      </c>
      <c r="AP16" s="24">
        <f t="shared" si="43"/>
        <v>37432673.166990548</v>
      </c>
      <c r="AQ16" s="24">
        <f t="shared" si="43"/>
        <v>38084390.166990548</v>
      </c>
    </row>
    <row r="17" spans="1:43" x14ac:dyDescent="0.4">
      <c r="A17" s="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4">
      <c r="A18" s="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x14ac:dyDescent="0.4">
      <c r="A19" s="52"/>
      <c r="B19" s="52"/>
      <c r="C19" s="52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3" x14ac:dyDescent="0.4">
      <c r="A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2" spans="1:43" ht="18.45" x14ac:dyDescent="0.4">
      <c r="A22" s="226" t="s">
        <v>268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</row>
    <row r="23" spans="1:43" ht="18.45" x14ac:dyDescent="0.4">
      <c r="A23" s="226" t="str">
        <f>'Plan Inputs'!F2</f>
        <v>2026-2065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</row>
    <row r="24" spans="1:43" ht="15.9" x14ac:dyDescent="0.4">
      <c r="A24" s="228" t="s">
        <v>163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</row>
    <row r="25" spans="1:43" x14ac:dyDescent="0.4">
      <c r="A25" s="3"/>
      <c r="B25" s="4"/>
      <c r="C25" s="4"/>
      <c r="D25" s="4"/>
      <c r="E25" s="216"/>
    </row>
    <row r="26" spans="1:43" x14ac:dyDescent="0.4">
      <c r="A26" s="3"/>
      <c r="B26" s="4"/>
      <c r="C26" s="4"/>
      <c r="D26" s="21">
        <f>'Plan Inputs'!F5</f>
        <v>2026</v>
      </c>
      <c r="E26" s="21">
        <f>'Plan Inputs'!G5</f>
        <v>2027</v>
      </c>
      <c r="F26" s="21">
        <f>'Plan Inputs'!H5</f>
        <v>2028</v>
      </c>
      <c r="G26" s="21">
        <f>'Plan Inputs'!I5</f>
        <v>2029</v>
      </c>
      <c r="H26" s="21">
        <f>'Plan Inputs'!J5</f>
        <v>2030</v>
      </c>
      <c r="I26" s="21">
        <f>'Plan Inputs'!K5</f>
        <v>2031</v>
      </c>
      <c r="J26" s="21">
        <f>'Plan Inputs'!L5</f>
        <v>2032</v>
      </c>
      <c r="K26" s="21">
        <f>'Plan Inputs'!M5</f>
        <v>2033</v>
      </c>
      <c r="L26" s="21">
        <f>'Plan Inputs'!N5</f>
        <v>2034</v>
      </c>
      <c r="M26" s="21">
        <f>'Plan Inputs'!O5</f>
        <v>2035</v>
      </c>
      <c r="N26" s="21">
        <f>'Plan Inputs'!P5</f>
        <v>2036</v>
      </c>
      <c r="O26" s="21">
        <f>'Plan Inputs'!Q5</f>
        <v>2037</v>
      </c>
      <c r="P26" s="21">
        <f>'Plan Inputs'!R5</f>
        <v>2038</v>
      </c>
      <c r="Q26" s="21">
        <f>'Plan Inputs'!S5</f>
        <v>2039</v>
      </c>
      <c r="R26" s="21">
        <f>'Plan Inputs'!T5</f>
        <v>2040</v>
      </c>
      <c r="S26" s="21">
        <f>'Plan Inputs'!U5</f>
        <v>2041</v>
      </c>
      <c r="T26" s="21">
        <f>'Plan Inputs'!V5</f>
        <v>2042</v>
      </c>
      <c r="U26" s="21">
        <f>'Plan Inputs'!W5</f>
        <v>2043</v>
      </c>
      <c r="V26" s="21">
        <f>'Plan Inputs'!X5</f>
        <v>2044</v>
      </c>
      <c r="W26" s="21">
        <f>'Plan Inputs'!Y5</f>
        <v>2045</v>
      </c>
      <c r="X26" s="21">
        <f>'Plan Inputs'!Z5</f>
        <v>2046</v>
      </c>
      <c r="Y26" s="21">
        <f>'Plan Inputs'!AA5</f>
        <v>2047</v>
      </c>
      <c r="Z26" s="21">
        <f>'Plan Inputs'!AB5</f>
        <v>2048</v>
      </c>
      <c r="AA26" s="21">
        <f>'Plan Inputs'!AC5</f>
        <v>2049</v>
      </c>
      <c r="AB26" s="21">
        <f>'Plan Inputs'!AD5</f>
        <v>2050</v>
      </c>
      <c r="AC26" s="21">
        <f>'Plan Inputs'!AE5</f>
        <v>2051</v>
      </c>
      <c r="AD26" s="21">
        <f>'Plan Inputs'!AF5</f>
        <v>2052</v>
      </c>
      <c r="AE26" s="21">
        <f>'Plan Inputs'!AG5</f>
        <v>2053</v>
      </c>
      <c r="AF26" s="21">
        <f>'Plan Inputs'!AH5</f>
        <v>2054</v>
      </c>
      <c r="AG26" s="21">
        <f>'Plan Inputs'!AI5</f>
        <v>2055</v>
      </c>
      <c r="AH26" s="21">
        <f>'Plan Inputs'!AJ5</f>
        <v>2056</v>
      </c>
      <c r="AI26" s="21">
        <f>'Plan Inputs'!AK5</f>
        <v>2057</v>
      </c>
      <c r="AJ26" s="21">
        <f>'Plan Inputs'!AL5</f>
        <v>2058</v>
      </c>
      <c r="AK26" s="21">
        <f>'Plan Inputs'!AM5</f>
        <v>2059</v>
      </c>
      <c r="AL26" s="21">
        <f>'Plan Inputs'!AN5</f>
        <v>2060</v>
      </c>
      <c r="AM26" s="21">
        <f>'Plan Inputs'!AO5</f>
        <v>2061</v>
      </c>
      <c r="AN26" s="21">
        <f>'Plan Inputs'!AP5</f>
        <v>2062</v>
      </c>
      <c r="AO26" s="21">
        <f>'Plan Inputs'!AQ5</f>
        <v>2063</v>
      </c>
      <c r="AP26" s="21">
        <f>'Plan Inputs'!AR5</f>
        <v>2064</v>
      </c>
      <c r="AQ26" s="21">
        <f>'Plan Inputs'!AS5</f>
        <v>2065</v>
      </c>
    </row>
    <row r="27" spans="1:43" x14ac:dyDescent="0.4">
      <c r="A27" s="1" t="s">
        <v>257</v>
      </c>
      <c r="D27" s="24">
        <f>'Plan Inputs'!F6</f>
        <v>4008521</v>
      </c>
      <c r="E27" s="182">
        <f>D37</f>
        <v>4621534.18</v>
      </c>
      <c r="F27" s="182">
        <f t="shared" ref="F27" si="44">E37</f>
        <v>4787420.5</v>
      </c>
      <c r="G27" s="182">
        <f t="shared" ref="G27" si="45">F37</f>
        <v>5404789.9500000002</v>
      </c>
      <c r="H27" s="182">
        <f t="shared" ref="H27" si="46">G37</f>
        <v>6523300.4400000004</v>
      </c>
      <c r="I27" s="182">
        <f t="shared" ref="I27" si="47">H37</f>
        <v>7636957.8900000006</v>
      </c>
      <c r="J27" s="182">
        <f t="shared" ref="J27" si="48">I37</f>
        <v>8885535.8800000008</v>
      </c>
      <c r="K27" s="182">
        <f t="shared" ref="K27" si="49">J37</f>
        <v>10172949.810000001</v>
      </c>
      <c r="L27" s="182">
        <f t="shared" ref="L27" si="50">K37</f>
        <v>11438615.950000001</v>
      </c>
      <c r="M27" s="182">
        <f t="shared" ref="M27" si="51">L37</f>
        <v>12735222.550000001</v>
      </c>
      <c r="N27" s="182">
        <f t="shared" ref="N27" si="52">M37</f>
        <v>14058617.75</v>
      </c>
      <c r="O27" s="182">
        <f t="shared" ref="O27" si="53">N37</f>
        <v>15345924.029999999</v>
      </c>
      <c r="P27" s="182">
        <f t="shared" ref="P27" si="54">O37</f>
        <v>16608159.029999999</v>
      </c>
      <c r="Q27" s="182">
        <f t="shared" ref="Q27" si="55">P37</f>
        <v>17822077.030000001</v>
      </c>
      <c r="R27" s="182">
        <f t="shared" ref="R27" si="56">Q37</f>
        <v>18984176.030000001</v>
      </c>
      <c r="S27" s="182">
        <f t="shared" ref="S27" si="57">R37</f>
        <v>20084412.030000001</v>
      </c>
      <c r="T27" s="182">
        <f t="shared" ref="T27" si="58">S37</f>
        <v>21118700.030000001</v>
      </c>
      <c r="U27" s="182">
        <f t="shared" ref="U27" si="59">T37</f>
        <v>22075738.030000001</v>
      </c>
      <c r="V27" s="182">
        <f t="shared" ref="V27" si="60">U37</f>
        <v>22950073.030000001</v>
      </c>
      <c r="W27" s="182">
        <f t="shared" ref="W27" si="61">V37</f>
        <v>23730531.030000001</v>
      </c>
      <c r="X27" s="182">
        <f t="shared" ref="X27" si="62">W37</f>
        <v>24410585.030000001</v>
      </c>
      <c r="Y27" s="182">
        <f t="shared" ref="Y27" si="63">X37</f>
        <v>24977284.030000001</v>
      </c>
      <c r="Z27" s="182">
        <f t="shared" ref="Z27" si="64">Y37</f>
        <v>25492107.030000001</v>
      </c>
      <c r="AA27" s="182">
        <f t="shared" ref="AA27" si="65">Z37</f>
        <v>25995102.030000001</v>
      </c>
      <c r="AB27" s="182">
        <f t="shared" ref="AB27" si="66">AA37</f>
        <v>26476250.030000001</v>
      </c>
      <c r="AC27" s="182">
        <f t="shared" ref="AC27" si="67">AB37</f>
        <v>26941919.030000001</v>
      </c>
      <c r="AD27" s="182">
        <f t="shared" ref="AD27" si="68">AC37</f>
        <v>27386588.030000001</v>
      </c>
      <c r="AE27" s="182">
        <f t="shared" ref="AE27" si="69">AD37</f>
        <v>27810026.030000001</v>
      </c>
      <c r="AF27" s="182">
        <f t="shared" ref="AF27" si="70">AE37</f>
        <v>28211336.030000001</v>
      </c>
      <c r="AG27" s="182">
        <f t="shared" ref="AG27" si="71">AF37</f>
        <v>28599045.030000001</v>
      </c>
      <c r="AH27" s="182">
        <f t="shared" ref="AH27" si="72">AG37</f>
        <v>28966481.030000001</v>
      </c>
      <c r="AI27" s="182">
        <f t="shared" ref="AI27" si="73">AH37</f>
        <v>29846347.030000001</v>
      </c>
      <c r="AJ27" s="182">
        <f t="shared" ref="AJ27" si="74">AI37</f>
        <v>31019411.030000001</v>
      </c>
      <c r="AK27" s="182">
        <f t="shared" ref="AK27" si="75">AJ37</f>
        <v>31937944.030000001</v>
      </c>
      <c r="AL27" s="182">
        <f t="shared" ref="AL27" si="76">AK37</f>
        <v>32578149.030000001</v>
      </c>
      <c r="AM27" s="182">
        <f t="shared" ref="AM27" si="77">AL37</f>
        <v>32916159.030000001</v>
      </c>
      <c r="AN27" s="182">
        <f t="shared" ref="AN27" si="78">AM37</f>
        <v>32927252.030000001</v>
      </c>
      <c r="AO27" s="182">
        <f t="shared" ref="AO27" si="79">AN37</f>
        <v>32853650.030000001</v>
      </c>
      <c r="AP27" s="182">
        <f t="shared" ref="AP27" si="80">AO37</f>
        <v>32768454.030000001</v>
      </c>
      <c r="AQ27" s="182">
        <f t="shared" ref="AQ27" si="81">AP37</f>
        <v>32665828.030000001</v>
      </c>
    </row>
    <row r="28" spans="1:43" x14ac:dyDescent="0.4">
      <c r="A28" s="1" t="s">
        <v>258</v>
      </c>
      <c r="D28" s="1">
        <f>'Cash Generated'!D27</f>
        <v>613013.17999999993</v>
      </c>
      <c r="E28" s="1">
        <f>'Cash Generated'!E27</f>
        <v>165886.32000000007</v>
      </c>
      <c r="F28" s="1">
        <f>'Cash Generated'!F27</f>
        <v>617369.45000000019</v>
      </c>
      <c r="G28" s="1">
        <f>'Cash Generated'!G27</f>
        <v>1118510.4900000002</v>
      </c>
      <c r="H28" s="1">
        <f>'Cash Generated'!H27</f>
        <v>1113657.4500000002</v>
      </c>
      <c r="I28" s="1">
        <f>'Cash Generated'!I27</f>
        <v>1248577.9900000002</v>
      </c>
      <c r="J28" s="1">
        <f>'Cash Generated'!J27</f>
        <v>1287413.9300000002</v>
      </c>
      <c r="K28" s="1">
        <f>'Cash Generated'!K27</f>
        <v>1265666.1400000001</v>
      </c>
      <c r="L28" s="1">
        <f>'Cash Generated'!L27</f>
        <v>1296606.6000000001</v>
      </c>
      <c r="M28" s="1">
        <f>'Cash Generated'!M27</f>
        <v>1323395.2000000002</v>
      </c>
      <c r="N28" s="1">
        <f>'Cash Generated'!N27</f>
        <v>1287306.2799999998</v>
      </c>
      <c r="O28" s="1">
        <f>'Cash Generated'!O27</f>
        <v>1262235</v>
      </c>
      <c r="P28" s="1">
        <f>'Cash Generated'!P27</f>
        <v>1213918</v>
      </c>
      <c r="Q28" s="1">
        <f>'Cash Generated'!Q27</f>
        <v>1162099</v>
      </c>
      <c r="R28" s="1">
        <f>'Cash Generated'!R27</f>
        <v>1100236</v>
      </c>
      <c r="S28" s="1">
        <f>'Cash Generated'!S27</f>
        <v>1034288</v>
      </c>
      <c r="T28" s="1">
        <f>'Cash Generated'!T27</f>
        <v>957038</v>
      </c>
      <c r="U28" s="1">
        <f>'Cash Generated'!U27</f>
        <v>874335</v>
      </c>
      <c r="V28" s="1">
        <f>'Cash Generated'!V27</f>
        <v>780458</v>
      </c>
      <c r="W28" s="1">
        <f>'Cash Generated'!W27</f>
        <v>680054</v>
      </c>
      <c r="X28" s="1">
        <f>'Cash Generated'!X27</f>
        <v>566699</v>
      </c>
      <c r="Y28" s="1">
        <f>'Cash Generated'!Y27</f>
        <v>514823</v>
      </c>
      <c r="Z28" s="1">
        <f>'Cash Generated'!Z27</f>
        <v>502995</v>
      </c>
      <c r="AA28" s="1">
        <f>'Cash Generated'!AA27</f>
        <v>481148</v>
      </c>
      <c r="AB28" s="1">
        <f>'Cash Generated'!AB27</f>
        <v>465669</v>
      </c>
      <c r="AC28" s="1">
        <f>'Cash Generated'!AC27</f>
        <v>444669</v>
      </c>
      <c r="AD28" s="1">
        <f>'Cash Generated'!AD27</f>
        <v>423438</v>
      </c>
      <c r="AE28" s="1">
        <f>'Cash Generated'!AE27</f>
        <v>401310</v>
      </c>
      <c r="AF28" s="1">
        <f>'Cash Generated'!AF27</f>
        <v>387709</v>
      </c>
      <c r="AG28" s="1">
        <f>'Cash Generated'!AG27</f>
        <v>367436</v>
      </c>
      <c r="AH28" s="1">
        <f>'Cash Generated'!AH27</f>
        <v>879866</v>
      </c>
      <c r="AI28" s="1">
        <f>'Cash Generated'!AI27</f>
        <v>1173064</v>
      </c>
      <c r="AJ28" s="1">
        <f>'Cash Generated'!AJ27</f>
        <v>918533</v>
      </c>
      <c r="AK28" s="1">
        <f>'Cash Generated'!AK27</f>
        <v>640205</v>
      </c>
      <c r="AL28" s="1">
        <f>'Cash Generated'!AL27</f>
        <v>338010</v>
      </c>
      <c r="AM28" s="1">
        <f>'Cash Generated'!AM27</f>
        <v>11093</v>
      </c>
      <c r="AN28" s="1">
        <f>'Cash Generated'!AN27</f>
        <v>-73602</v>
      </c>
      <c r="AO28" s="1">
        <f>'Cash Generated'!AO27</f>
        <v>-85196</v>
      </c>
      <c r="AP28" s="1">
        <f>'Cash Generated'!AP27</f>
        <v>-102626</v>
      </c>
      <c r="AQ28" s="1">
        <f>'Cash Generated'!AQ27</f>
        <v>-121382</v>
      </c>
    </row>
    <row r="29" spans="1:43" x14ac:dyDescent="0.4">
      <c r="A29" s="1" t="s">
        <v>259</v>
      </c>
      <c r="D29" s="1">
        <f>'Plan Inputs'!F13</f>
        <v>0</v>
      </c>
      <c r="E29" s="1">
        <f>'Plan Inputs'!G13</f>
        <v>0</v>
      </c>
      <c r="F29" s="1">
        <f>'Plan Inputs'!H13</f>
        <v>0</v>
      </c>
      <c r="G29" s="1">
        <f>'Plan Inputs'!I13</f>
        <v>0</v>
      </c>
      <c r="H29" s="1">
        <f>'Plan Inputs'!J13</f>
        <v>0</v>
      </c>
      <c r="I29" s="1">
        <f>'Plan Inputs'!K13</f>
        <v>0</v>
      </c>
      <c r="J29" s="1">
        <f>'Plan Inputs'!L13</f>
        <v>0</v>
      </c>
      <c r="K29" s="1">
        <f>'Plan Inputs'!M13</f>
        <v>0</v>
      </c>
      <c r="L29" s="1">
        <f>'Plan Inputs'!N13</f>
        <v>0</v>
      </c>
      <c r="M29" s="1">
        <f>'Plan Inputs'!O13</f>
        <v>0</v>
      </c>
      <c r="N29" s="1">
        <f>'Plan Inputs'!P13</f>
        <v>0</v>
      </c>
      <c r="O29" s="1">
        <f>'Plan Inputs'!Q13</f>
        <v>0</v>
      </c>
      <c r="P29" s="1">
        <f>'Plan Inputs'!R13</f>
        <v>0</v>
      </c>
      <c r="Q29" s="1">
        <f>'Plan Inputs'!S13</f>
        <v>0</v>
      </c>
      <c r="R29" s="1">
        <f>'Plan Inputs'!T13</f>
        <v>0</v>
      </c>
      <c r="S29" s="1">
        <f>'Plan Inputs'!U13</f>
        <v>0</v>
      </c>
      <c r="T29" s="1">
        <f>'Plan Inputs'!V13</f>
        <v>0</v>
      </c>
      <c r="U29" s="1">
        <f>'Plan Inputs'!W13</f>
        <v>0</v>
      </c>
      <c r="V29" s="1">
        <f>'Plan Inputs'!X13</f>
        <v>0</v>
      </c>
      <c r="W29" s="1">
        <f>'Plan Inputs'!Y13</f>
        <v>0</v>
      </c>
      <c r="X29" s="1">
        <f>'Plan Inputs'!Z13</f>
        <v>0</v>
      </c>
      <c r="Y29" s="1">
        <f>'Plan Inputs'!AA13</f>
        <v>0</v>
      </c>
      <c r="Z29" s="1">
        <f>'Plan Inputs'!AB13</f>
        <v>0</v>
      </c>
      <c r="AA29" s="1">
        <f>'Plan Inputs'!AC13</f>
        <v>0</v>
      </c>
      <c r="AB29" s="1">
        <f>'Plan Inputs'!AD13</f>
        <v>0</v>
      </c>
      <c r="AC29" s="1">
        <f>'Plan Inputs'!AE13</f>
        <v>0</v>
      </c>
      <c r="AD29" s="1">
        <f>'Plan Inputs'!AF13</f>
        <v>0</v>
      </c>
      <c r="AE29" s="1">
        <f>'Plan Inputs'!AG13</f>
        <v>0</v>
      </c>
      <c r="AF29" s="1">
        <f>'Plan Inputs'!AH13</f>
        <v>0</v>
      </c>
      <c r="AG29" s="1">
        <f>'Plan Inputs'!AI13</f>
        <v>0</v>
      </c>
      <c r="AH29" s="1">
        <f>'Plan Inputs'!AJ13</f>
        <v>0</v>
      </c>
      <c r="AI29" s="1">
        <f>'Plan Inputs'!AK13</f>
        <v>0</v>
      </c>
      <c r="AJ29" s="1">
        <f>'Plan Inputs'!AL13</f>
        <v>0</v>
      </c>
      <c r="AK29" s="1">
        <f>'Plan Inputs'!AM13</f>
        <v>0</v>
      </c>
      <c r="AL29" s="1">
        <f>'Plan Inputs'!AN13</f>
        <v>0</v>
      </c>
      <c r="AM29" s="1">
        <f>'Plan Inputs'!AO13</f>
        <v>0</v>
      </c>
      <c r="AN29" s="1">
        <f>'Plan Inputs'!AP13</f>
        <v>0</v>
      </c>
      <c r="AO29" s="1">
        <f>'Plan Inputs'!AQ13</f>
        <v>0</v>
      </c>
      <c r="AP29" s="1">
        <f>'Plan Inputs'!AR13</f>
        <v>0</v>
      </c>
      <c r="AQ29" s="1">
        <f>'Plan Inputs'!AS13</f>
        <v>0</v>
      </c>
    </row>
    <row r="30" spans="1:43" ht="17.149999999999999" x14ac:dyDescent="0.7">
      <c r="A30" s="1" t="s">
        <v>260</v>
      </c>
      <c r="D30" s="2">
        <f>-'Proforma Income Statement'!F68*'Plan Inputs'!F12</f>
        <v>-1020842.25</v>
      </c>
      <c r="E30" s="2">
        <f>-'Proforma Income Statement'!G68*'Plan Inputs'!G12</f>
        <v>-1059247.25</v>
      </c>
      <c r="F30" s="2">
        <f>-'Proforma Income Statement'!H68*'Plan Inputs'!H12</f>
        <v>-1157539.25</v>
      </c>
      <c r="G30" s="2">
        <f>-'Proforma Income Statement'!I68*'Plan Inputs'!I12</f>
        <v>-1203104.25</v>
      </c>
      <c r="H30" s="2">
        <f>-'Proforma Income Statement'!J68*'Plan Inputs'!J12</f>
        <v>-1250451.5</v>
      </c>
      <c r="I30" s="2">
        <f>-'Proforma Income Statement'!K68*'Plan Inputs'!K12</f>
        <v>-1300396.5</v>
      </c>
      <c r="J30" s="2">
        <f>-'Proforma Income Statement'!L68*'Plan Inputs'!L12</f>
        <v>-1351909.5</v>
      </c>
      <c r="K30" s="2">
        <f>-'Proforma Income Statement'!M68*'Plan Inputs'!M12</f>
        <v>-1406598.5</v>
      </c>
      <c r="L30" s="2">
        <f>-'Proforma Income Statement'!N68*'Plan Inputs'!N12</f>
        <v>-1463019.5</v>
      </c>
      <c r="M30" s="2">
        <f>-'Proforma Income Statement'!O68*'Plan Inputs'!O12</f>
        <v>-1521685</v>
      </c>
      <c r="N30" s="2">
        <f>-'Proforma Income Statement'!P68*'Plan Inputs'!P12</f>
        <v>-1583663.75</v>
      </c>
      <c r="O30" s="2">
        <f>-'Proforma Income Statement'!Q68*'Plan Inputs'!Q12</f>
        <v>-1647704.75</v>
      </c>
      <c r="P30" s="2">
        <f>-'Proforma Income Statement'!R68*'Plan Inputs'!R12</f>
        <v>-1715404.5</v>
      </c>
      <c r="Q30" s="2">
        <f>-'Proforma Income Statement'!S68*'Plan Inputs'!S12</f>
        <v>-1785366</v>
      </c>
      <c r="R30" s="2">
        <f>-'Proforma Income Statement'!T68*'Plan Inputs'!T12</f>
        <v>-1859259.5</v>
      </c>
      <c r="S30" s="2">
        <f>-'Proforma Income Statement'!U68*'Plan Inputs'!U12</f>
        <v>-1935630.5</v>
      </c>
      <c r="T30" s="2">
        <f>-'Proforma Income Statement'!V68*'Plan Inputs'!V12</f>
        <v>-2016319.5</v>
      </c>
      <c r="U30" s="2">
        <f>-'Proforma Income Statement'!W68*'Plan Inputs'!W12</f>
        <v>-2099901.75</v>
      </c>
      <c r="V30" s="2">
        <f>-'Proforma Income Statement'!X68*'Plan Inputs'!X12</f>
        <v>-2187845.25</v>
      </c>
      <c r="W30" s="2">
        <f>-'Proforma Income Statement'!Y68*'Plan Inputs'!Y12</f>
        <v>-2279027.5</v>
      </c>
      <c r="X30" s="2">
        <f>-'Proforma Income Statement'!Z68*'Plan Inputs'!Z12</f>
        <v>-2375094.5</v>
      </c>
      <c r="Y30" s="2">
        <f>-'Proforma Income Statement'!AA68*'Plan Inputs'!AA12</f>
        <v>-2476268</v>
      </c>
      <c r="Z30" s="2">
        <f>-'Proforma Income Statement'!AB68*'Plan Inputs'!AB12</f>
        <v>-2580959.5</v>
      </c>
      <c r="AA30" s="2">
        <f>-'Proforma Income Statement'!AC68*'Plan Inputs'!AC12</f>
        <v>-2691141</v>
      </c>
      <c r="AB30" s="2">
        <f>-'Proforma Income Statement'!AD68*'Plan Inputs'!AD12</f>
        <v>-2805334.5</v>
      </c>
      <c r="AC30" s="2">
        <f>-'Proforma Income Statement'!AE68*'Plan Inputs'!AE12</f>
        <v>-2925522.25</v>
      </c>
      <c r="AD30" s="2">
        <f>-'Proforma Income Statement'!AF68*'Plan Inputs'!AF12</f>
        <v>-3051967</v>
      </c>
      <c r="AE30" s="2">
        <f>-'Proforma Income Statement'!AG68*'Plan Inputs'!AG12</f>
        <v>-3184853.25</v>
      </c>
      <c r="AF30" s="2">
        <f>-'Proforma Income Statement'!AH68*'Plan Inputs'!AH12</f>
        <v>-3322553.25</v>
      </c>
      <c r="AG30" s="2">
        <f>-'Proforma Income Statement'!AI68*'Plan Inputs'!AI12</f>
        <v>-3466995.75</v>
      </c>
      <c r="AH30" s="2">
        <f>-'Proforma Income Statement'!AJ68*'Plan Inputs'!AJ12</f>
        <v>-3618668.25</v>
      </c>
      <c r="AI30" s="2">
        <f>-'Proforma Income Statement'!AK68*'Plan Inputs'!AK12</f>
        <v>-3777982</v>
      </c>
      <c r="AJ30" s="2">
        <f>-'Proforma Income Statement'!AL68*'Plan Inputs'!AL12</f>
        <v>-3943145.75</v>
      </c>
      <c r="AK30" s="2">
        <f>-'Proforma Income Statement'!AM68*'Plan Inputs'!AM12</f>
        <v>-4116789.25</v>
      </c>
      <c r="AL30" s="2">
        <f>-'Proforma Income Statement'!AN68*'Plan Inputs'!AN12</f>
        <v>-4298993.5</v>
      </c>
      <c r="AM30" s="2">
        <f>-'Proforma Income Statement'!AO68*'Plan Inputs'!AO12</f>
        <v>-4490036.75</v>
      </c>
      <c r="AN30" s="2">
        <f>-'Proforma Income Statement'!AP68*'Plan Inputs'!AP12</f>
        <v>-4690394.5</v>
      </c>
      <c r="AO30" s="2">
        <f>-'Proforma Income Statement'!AQ68*'Plan Inputs'!AQ12</f>
        <v>-4900465.5</v>
      </c>
      <c r="AP30" s="2">
        <f>-'Proforma Income Statement'!AR68*'Plan Inputs'!AR12</f>
        <v>-5120664.25</v>
      </c>
      <c r="AQ30" s="2">
        <f>-'Proforma Income Statement'!AS68*'Plan Inputs'!AS12</f>
        <v>-5351787.75</v>
      </c>
    </row>
    <row r="31" spans="1:43" x14ac:dyDescent="0.4">
      <c r="A31" s="1" t="s">
        <v>261</v>
      </c>
      <c r="D31" s="1">
        <f t="shared" ref="D31:AQ31" si="82">SUM(D27:D30)</f>
        <v>3600691.9299999997</v>
      </c>
      <c r="E31" s="1">
        <f t="shared" si="82"/>
        <v>3728173.25</v>
      </c>
      <c r="F31" s="1">
        <f t="shared" si="82"/>
        <v>4247250.7</v>
      </c>
      <c r="G31" s="1">
        <f t="shared" si="82"/>
        <v>5320196.1900000004</v>
      </c>
      <c r="H31" s="1">
        <f t="shared" si="82"/>
        <v>6386506.3900000006</v>
      </c>
      <c r="I31" s="1">
        <f t="shared" si="82"/>
        <v>7585139.3800000008</v>
      </c>
      <c r="J31" s="1">
        <f t="shared" si="82"/>
        <v>8821040.3100000005</v>
      </c>
      <c r="K31" s="1">
        <f t="shared" si="82"/>
        <v>10032017.450000001</v>
      </c>
      <c r="L31" s="1">
        <f t="shared" si="82"/>
        <v>11272203.050000001</v>
      </c>
      <c r="M31" s="1">
        <f t="shared" si="82"/>
        <v>12536932.75</v>
      </c>
      <c r="N31" s="1">
        <f t="shared" si="82"/>
        <v>13762260.279999999</v>
      </c>
      <c r="O31" s="1">
        <f t="shared" si="82"/>
        <v>14960454.279999999</v>
      </c>
      <c r="P31" s="1">
        <f t="shared" si="82"/>
        <v>16106672.530000001</v>
      </c>
      <c r="Q31" s="1">
        <f t="shared" si="82"/>
        <v>17198810.030000001</v>
      </c>
      <c r="R31" s="1">
        <f t="shared" si="82"/>
        <v>18225152.530000001</v>
      </c>
      <c r="S31" s="1">
        <f t="shared" si="82"/>
        <v>19183069.530000001</v>
      </c>
      <c r="T31" s="1">
        <f t="shared" si="82"/>
        <v>20059418.530000001</v>
      </c>
      <c r="U31" s="1">
        <f t="shared" si="82"/>
        <v>20850171.280000001</v>
      </c>
      <c r="V31" s="1">
        <f t="shared" si="82"/>
        <v>21542685.780000001</v>
      </c>
      <c r="W31" s="1">
        <f t="shared" si="82"/>
        <v>22131557.530000001</v>
      </c>
      <c r="X31" s="1">
        <f t="shared" si="82"/>
        <v>22602189.530000001</v>
      </c>
      <c r="Y31" s="1">
        <f t="shared" si="82"/>
        <v>23015839.030000001</v>
      </c>
      <c r="Z31" s="1">
        <f t="shared" si="82"/>
        <v>23414142.530000001</v>
      </c>
      <c r="AA31" s="1">
        <f t="shared" si="82"/>
        <v>23785109.030000001</v>
      </c>
      <c r="AB31" s="1">
        <f t="shared" si="82"/>
        <v>24136584.530000001</v>
      </c>
      <c r="AC31" s="1">
        <f t="shared" si="82"/>
        <v>24461065.780000001</v>
      </c>
      <c r="AD31" s="1">
        <f t="shared" si="82"/>
        <v>24758059.030000001</v>
      </c>
      <c r="AE31" s="1">
        <f t="shared" si="82"/>
        <v>25026482.780000001</v>
      </c>
      <c r="AF31" s="1">
        <f t="shared" si="82"/>
        <v>25276491.780000001</v>
      </c>
      <c r="AG31" s="1">
        <f t="shared" si="82"/>
        <v>25499485.280000001</v>
      </c>
      <c r="AH31" s="1">
        <f t="shared" si="82"/>
        <v>26227678.780000001</v>
      </c>
      <c r="AI31" s="1">
        <f t="shared" si="82"/>
        <v>27241429.030000001</v>
      </c>
      <c r="AJ31" s="1">
        <f t="shared" si="82"/>
        <v>27994798.280000001</v>
      </c>
      <c r="AK31" s="1">
        <f t="shared" si="82"/>
        <v>28461359.780000001</v>
      </c>
      <c r="AL31" s="1">
        <f t="shared" si="82"/>
        <v>28617165.530000001</v>
      </c>
      <c r="AM31" s="1">
        <f t="shared" si="82"/>
        <v>28437215.280000001</v>
      </c>
      <c r="AN31" s="1">
        <f t="shared" si="82"/>
        <v>28163255.530000001</v>
      </c>
      <c r="AO31" s="1">
        <f t="shared" si="82"/>
        <v>27867988.530000001</v>
      </c>
      <c r="AP31" s="1">
        <f t="shared" si="82"/>
        <v>27545163.780000001</v>
      </c>
      <c r="AQ31" s="1">
        <f t="shared" si="82"/>
        <v>27192658.280000001</v>
      </c>
    </row>
    <row r="32" spans="1:43" ht="17.149999999999999" x14ac:dyDescent="0.7">
      <c r="A32" s="1" t="s">
        <v>262</v>
      </c>
      <c r="D32" s="2">
        <f>-'Capital Program'!F55</f>
        <v>-9237500</v>
      </c>
      <c r="E32" s="2">
        <f>-'Capital Program'!G55</f>
        <v>-9237500</v>
      </c>
      <c r="F32" s="2">
        <f>-'Capital Program'!H55</f>
        <v>0</v>
      </c>
      <c r="G32" s="2">
        <f>-'Capital Program'!I55</f>
        <v>0</v>
      </c>
      <c r="H32" s="2">
        <f>-'Capital Program'!J55</f>
        <v>0</v>
      </c>
      <c r="I32" s="2">
        <f>-'Capital Program'!K55</f>
        <v>0</v>
      </c>
      <c r="J32" s="2">
        <f>-'Capital Program'!L55</f>
        <v>0</v>
      </c>
      <c r="K32" s="2">
        <f>-'Capital Program'!M55</f>
        <v>0</v>
      </c>
      <c r="L32" s="2">
        <f>-'Capital Program'!N55</f>
        <v>0</v>
      </c>
      <c r="M32" s="2">
        <f>-'Capital Program'!O55</f>
        <v>0</v>
      </c>
      <c r="N32" s="2">
        <f>-'Capital Program'!P55</f>
        <v>0</v>
      </c>
      <c r="O32" s="2">
        <f>-'Capital Program'!Q55</f>
        <v>0</v>
      </c>
      <c r="P32" s="2">
        <f>-'Capital Program'!R55</f>
        <v>0</v>
      </c>
      <c r="Q32" s="2">
        <f>-'Capital Program'!S55</f>
        <v>0</v>
      </c>
      <c r="R32" s="2">
        <f>-'Capital Program'!T55</f>
        <v>0</v>
      </c>
      <c r="S32" s="2">
        <f>-'Capital Program'!U55</f>
        <v>0</v>
      </c>
      <c r="T32" s="2">
        <f>-'Capital Program'!V55</f>
        <v>0</v>
      </c>
      <c r="U32" s="2">
        <f>-'Capital Program'!W55</f>
        <v>0</v>
      </c>
      <c r="V32" s="2">
        <f>-'Capital Program'!X55</f>
        <v>0</v>
      </c>
      <c r="W32" s="2">
        <f>-'Capital Program'!Y55</f>
        <v>0</v>
      </c>
      <c r="X32" s="2">
        <f>-'Capital Program'!Z55</f>
        <v>0</v>
      </c>
      <c r="Y32" s="2">
        <f>-'Capital Program'!AA55</f>
        <v>0</v>
      </c>
      <c r="Z32" s="2">
        <f>-'Capital Program'!AB55</f>
        <v>0</v>
      </c>
      <c r="AA32" s="2">
        <f>-'Capital Program'!AC55</f>
        <v>0</v>
      </c>
      <c r="AB32" s="2">
        <f>-'Capital Program'!AD55</f>
        <v>0</v>
      </c>
      <c r="AC32" s="2">
        <f>-'Capital Program'!AE55</f>
        <v>0</v>
      </c>
      <c r="AD32" s="2">
        <f>-'Capital Program'!AF55</f>
        <v>0</v>
      </c>
      <c r="AE32" s="2">
        <f>-'Capital Program'!AG55</f>
        <v>0</v>
      </c>
      <c r="AF32" s="2">
        <f>-'Capital Program'!AH55</f>
        <v>0</v>
      </c>
      <c r="AG32" s="2">
        <f>-'Capital Program'!AI55</f>
        <v>0</v>
      </c>
      <c r="AH32" s="2">
        <f>-'Capital Program'!AJ55</f>
        <v>0</v>
      </c>
      <c r="AI32" s="2">
        <f>-'Capital Program'!AK55</f>
        <v>0</v>
      </c>
      <c r="AJ32" s="2">
        <f>-'Capital Program'!AL55</f>
        <v>0</v>
      </c>
      <c r="AK32" s="2">
        <f>-'Capital Program'!AM55</f>
        <v>0</v>
      </c>
      <c r="AL32" s="2">
        <f>-'Capital Program'!AN55</f>
        <v>0</v>
      </c>
      <c r="AM32" s="2">
        <f>-'Capital Program'!AO55</f>
        <v>0</v>
      </c>
      <c r="AN32" s="2">
        <f>-'Capital Program'!AP55</f>
        <v>0</v>
      </c>
      <c r="AO32" s="2">
        <f>-'Capital Program'!AQ55</f>
        <v>0</v>
      </c>
      <c r="AP32" s="2">
        <f>-'Capital Program'!AR55</f>
        <v>0</v>
      </c>
      <c r="AQ32" s="2">
        <f>-'Capital Program'!AS55</f>
        <v>0</v>
      </c>
    </row>
    <row r="33" spans="1:43" x14ac:dyDescent="0.4">
      <c r="A33" s="1" t="s">
        <v>263</v>
      </c>
      <c r="D33" s="1">
        <f>SUM(D31:D32)</f>
        <v>-5636808.0700000003</v>
      </c>
      <c r="E33" s="1">
        <f t="shared" ref="E33:AQ33" si="83">SUM(E31:E32)</f>
        <v>-5509326.75</v>
      </c>
      <c r="F33" s="1">
        <f t="shared" si="83"/>
        <v>4247250.7</v>
      </c>
      <c r="G33" s="1">
        <f t="shared" si="83"/>
        <v>5320196.1900000004</v>
      </c>
      <c r="H33" s="1">
        <f t="shared" si="83"/>
        <v>6386506.3900000006</v>
      </c>
      <c r="I33" s="9">
        <f t="shared" si="83"/>
        <v>7585139.3800000008</v>
      </c>
      <c r="J33" s="9">
        <f t="shared" si="83"/>
        <v>8821040.3100000005</v>
      </c>
      <c r="K33" s="9">
        <f t="shared" si="83"/>
        <v>10032017.450000001</v>
      </c>
      <c r="L33" s="9">
        <f t="shared" si="83"/>
        <v>11272203.050000001</v>
      </c>
      <c r="M33" s="9">
        <f t="shared" si="83"/>
        <v>12536932.75</v>
      </c>
      <c r="N33" s="9">
        <f t="shared" si="83"/>
        <v>13762260.279999999</v>
      </c>
      <c r="O33" s="9">
        <f t="shared" si="83"/>
        <v>14960454.279999999</v>
      </c>
      <c r="P33" s="9">
        <f t="shared" si="83"/>
        <v>16106672.530000001</v>
      </c>
      <c r="Q33" s="9">
        <f t="shared" si="83"/>
        <v>17198810.030000001</v>
      </c>
      <c r="R33" s="9">
        <f t="shared" si="83"/>
        <v>18225152.530000001</v>
      </c>
      <c r="S33" s="9">
        <f t="shared" si="83"/>
        <v>19183069.530000001</v>
      </c>
      <c r="T33" s="9">
        <f t="shared" si="83"/>
        <v>20059418.530000001</v>
      </c>
      <c r="U33" s="9">
        <f t="shared" si="83"/>
        <v>20850171.280000001</v>
      </c>
      <c r="V33" s="9">
        <f t="shared" si="83"/>
        <v>21542685.780000001</v>
      </c>
      <c r="W33" s="9">
        <f t="shared" si="83"/>
        <v>22131557.530000001</v>
      </c>
      <c r="X33" s="9">
        <f t="shared" si="83"/>
        <v>22602189.530000001</v>
      </c>
      <c r="Y33" s="9">
        <f t="shared" si="83"/>
        <v>23015839.030000001</v>
      </c>
      <c r="Z33" s="9">
        <f t="shared" si="83"/>
        <v>23414142.530000001</v>
      </c>
      <c r="AA33" s="9">
        <f t="shared" si="83"/>
        <v>23785109.030000001</v>
      </c>
      <c r="AB33" s="9">
        <f t="shared" si="83"/>
        <v>24136584.530000001</v>
      </c>
      <c r="AC33" s="9">
        <f t="shared" si="83"/>
        <v>24461065.780000001</v>
      </c>
      <c r="AD33" s="9">
        <f t="shared" si="83"/>
        <v>24758059.030000001</v>
      </c>
      <c r="AE33" s="9">
        <f t="shared" si="83"/>
        <v>25026482.780000001</v>
      </c>
      <c r="AF33" s="9">
        <f t="shared" si="83"/>
        <v>25276491.780000001</v>
      </c>
      <c r="AG33" s="9">
        <f t="shared" si="83"/>
        <v>25499485.280000001</v>
      </c>
      <c r="AH33" s="9">
        <f t="shared" si="83"/>
        <v>26227678.780000001</v>
      </c>
      <c r="AI33" s="9">
        <f t="shared" si="83"/>
        <v>27241429.030000001</v>
      </c>
      <c r="AJ33" s="9">
        <f t="shared" si="83"/>
        <v>27994798.280000001</v>
      </c>
      <c r="AK33" s="9">
        <f t="shared" si="83"/>
        <v>28461359.780000001</v>
      </c>
      <c r="AL33" s="9">
        <f t="shared" si="83"/>
        <v>28617165.530000001</v>
      </c>
      <c r="AM33" s="9">
        <f t="shared" si="83"/>
        <v>28437215.280000001</v>
      </c>
      <c r="AN33" s="9">
        <f t="shared" si="83"/>
        <v>28163255.530000001</v>
      </c>
      <c r="AO33" s="9">
        <f t="shared" si="83"/>
        <v>27867988.530000001</v>
      </c>
      <c r="AP33" s="9">
        <f t="shared" si="83"/>
        <v>27545163.780000001</v>
      </c>
      <c r="AQ33" s="9">
        <f t="shared" si="83"/>
        <v>27192658.280000001</v>
      </c>
    </row>
    <row r="34" spans="1:43" ht="17.149999999999999" x14ac:dyDescent="0.7">
      <c r="A34" s="1" t="s">
        <v>264</v>
      </c>
      <c r="D34" s="2">
        <f>'Plan Inputs'!F22</f>
        <v>9237500</v>
      </c>
      <c r="E34" s="2">
        <f>'Plan Inputs'!G22</f>
        <v>9237500</v>
      </c>
      <c r="F34" s="2">
        <f>'Plan Inputs'!H22</f>
        <v>0</v>
      </c>
      <c r="G34" s="2">
        <f>'Plan Inputs'!I22</f>
        <v>0</v>
      </c>
      <c r="H34" s="2">
        <f>'Plan Inputs'!J22</f>
        <v>0</v>
      </c>
      <c r="I34" s="2">
        <f>'Plan Inputs'!K22</f>
        <v>0</v>
      </c>
      <c r="J34" s="2">
        <f>'Plan Inputs'!L22</f>
        <v>0</v>
      </c>
      <c r="K34" s="2">
        <f>'Plan Inputs'!M22</f>
        <v>0</v>
      </c>
      <c r="L34" s="2">
        <f>'Plan Inputs'!N22</f>
        <v>0</v>
      </c>
      <c r="M34" s="2">
        <f>'Plan Inputs'!O22</f>
        <v>0</v>
      </c>
      <c r="N34" s="2">
        <f>'Plan Inputs'!P22</f>
        <v>0</v>
      </c>
      <c r="O34" s="2">
        <f>'Plan Inputs'!Q22</f>
        <v>0</v>
      </c>
      <c r="P34" s="2">
        <f>'Plan Inputs'!R22</f>
        <v>0</v>
      </c>
      <c r="Q34" s="2">
        <f>'Plan Inputs'!S22</f>
        <v>0</v>
      </c>
      <c r="R34" s="2">
        <f>'Plan Inputs'!T22</f>
        <v>0</v>
      </c>
      <c r="S34" s="2">
        <f>'Plan Inputs'!U22</f>
        <v>0</v>
      </c>
      <c r="T34" s="2">
        <f>'Plan Inputs'!V22</f>
        <v>0</v>
      </c>
      <c r="U34" s="2">
        <f>'Plan Inputs'!W22</f>
        <v>0</v>
      </c>
      <c r="V34" s="2">
        <f>'Plan Inputs'!X22</f>
        <v>0</v>
      </c>
      <c r="W34" s="2">
        <f>'Plan Inputs'!Y22</f>
        <v>0</v>
      </c>
      <c r="X34" s="2">
        <f>'Plan Inputs'!Z22</f>
        <v>0</v>
      </c>
      <c r="Y34" s="2">
        <f>'Plan Inputs'!AA22</f>
        <v>0</v>
      </c>
      <c r="Z34" s="2">
        <f>'Plan Inputs'!AB22</f>
        <v>0</v>
      </c>
      <c r="AA34" s="2">
        <f>'Plan Inputs'!AC22</f>
        <v>0</v>
      </c>
      <c r="AB34" s="2">
        <f>'Plan Inputs'!AD22</f>
        <v>0</v>
      </c>
      <c r="AC34" s="2">
        <f>'Plan Inputs'!AE22</f>
        <v>0</v>
      </c>
      <c r="AD34" s="2">
        <f>'Plan Inputs'!AF22</f>
        <v>0</v>
      </c>
      <c r="AE34" s="2">
        <f>'Plan Inputs'!AG22</f>
        <v>0</v>
      </c>
      <c r="AF34" s="2">
        <f>'Plan Inputs'!AH22</f>
        <v>0</v>
      </c>
      <c r="AG34" s="2">
        <f>'Plan Inputs'!AI22</f>
        <v>0</v>
      </c>
      <c r="AH34" s="2">
        <f>'Plan Inputs'!AJ22</f>
        <v>0</v>
      </c>
      <c r="AI34" s="2">
        <f>'Plan Inputs'!AK22</f>
        <v>0</v>
      </c>
      <c r="AJ34" s="2">
        <f>'Plan Inputs'!AL22</f>
        <v>0</v>
      </c>
      <c r="AK34" s="2">
        <f>'Plan Inputs'!AM22</f>
        <v>0</v>
      </c>
      <c r="AL34" s="2">
        <f>'Plan Inputs'!AN22</f>
        <v>0</v>
      </c>
      <c r="AM34" s="2">
        <f>'Plan Inputs'!AO22</f>
        <v>0</v>
      </c>
      <c r="AN34" s="2">
        <f>'Plan Inputs'!AP22</f>
        <v>0</v>
      </c>
      <c r="AO34" s="2">
        <f>'Plan Inputs'!AQ22</f>
        <v>0</v>
      </c>
      <c r="AP34" s="2">
        <f>'Plan Inputs'!AR22</f>
        <v>0</v>
      </c>
      <c r="AQ34" s="2">
        <f>'Plan Inputs'!AS22</f>
        <v>0</v>
      </c>
    </row>
    <row r="35" spans="1:43" x14ac:dyDescent="0.4">
      <c r="A35" s="1" t="s">
        <v>265</v>
      </c>
      <c r="D35" s="1">
        <f t="shared" ref="D35:AQ35" si="84">SUM(D33:D34)</f>
        <v>3600691.9299999997</v>
      </c>
      <c r="E35" s="1">
        <f t="shared" si="84"/>
        <v>3728173.25</v>
      </c>
      <c r="F35" s="1">
        <f t="shared" si="84"/>
        <v>4247250.7</v>
      </c>
      <c r="G35" s="1">
        <f t="shared" si="84"/>
        <v>5320196.1900000004</v>
      </c>
      <c r="H35" s="1">
        <f t="shared" si="84"/>
        <v>6386506.3900000006</v>
      </c>
      <c r="I35" s="1">
        <f t="shared" si="84"/>
        <v>7585139.3800000008</v>
      </c>
      <c r="J35" s="1">
        <f t="shared" si="84"/>
        <v>8821040.3100000005</v>
      </c>
      <c r="K35" s="1">
        <f t="shared" si="84"/>
        <v>10032017.450000001</v>
      </c>
      <c r="L35" s="1">
        <f t="shared" si="84"/>
        <v>11272203.050000001</v>
      </c>
      <c r="M35" s="1">
        <f t="shared" si="84"/>
        <v>12536932.75</v>
      </c>
      <c r="N35" s="1">
        <f t="shared" si="84"/>
        <v>13762260.279999999</v>
      </c>
      <c r="O35" s="1">
        <f t="shared" si="84"/>
        <v>14960454.279999999</v>
      </c>
      <c r="P35" s="1">
        <f t="shared" si="84"/>
        <v>16106672.530000001</v>
      </c>
      <c r="Q35" s="1">
        <f t="shared" si="84"/>
        <v>17198810.030000001</v>
      </c>
      <c r="R35" s="1">
        <f t="shared" si="84"/>
        <v>18225152.530000001</v>
      </c>
      <c r="S35" s="1">
        <f t="shared" si="84"/>
        <v>19183069.530000001</v>
      </c>
      <c r="T35" s="1">
        <f t="shared" si="84"/>
        <v>20059418.530000001</v>
      </c>
      <c r="U35" s="1">
        <f t="shared" si="84"/>
        <v>20850171.280000001</v>
      </c>
      <c r="V35" s="1">
        <f t="shared" si="84"/>
        <v>21542685.780000001</v>
      </c>
      <c r="W35" s="1">
        <f t="shared" si="84"/>
        <v>22131557.530000001</v>
      </c>
      <c r="X35" s="1">
        <f t="shared" si="84"/>
        <v>22602189.530000001</v>
      </c>
      <c r="Y35" s="1">
        <f t="shared" si="84"/>
        <v>23015839.030000001</v>
      </c>
      <c r="Z35" s="1">
        <f t="shared" si="84"/>
        <v>23414142.530000001</v>
      </c>
      <c r="AA35" s="1">
        <f t="shared" si="84"/>
        <v>23785109.030000001</v>
      </c>
      <c r="AB35" s="1">
        <f t="shared" si="84"/>
        <v>24136584.530000001</v>
      </c>
      <c r="AC35" s="1">
        <f t="shared" si="84"/>
        <v>24461065.780000001</v>
      </c>
      <c r="AD35" s="1">
        <f t="shared" si="84"/>
        <v>24758059.030000001</v>
      </c>
      <c r="AE35" s="1">
        <f t="shared" si="84"/>
        <v>25026482.780000001</v>
      </c>
      <c r="AF35" s="1">
        <f t="shared" si="84"/>
        <v>25276491.780000001</v>
      </c>
      <c r="AG35" s="1">
        <f t="shared" si="84"/>
        <v>25499485.280000001</v>
      </c>
      <c r="AH35" s="1">
        <f t="shared" si="84"/>
        <v>26227678.780000001</v>
      </c>
      <c r="AI35" s="1">
        <f t="shared" si="84"/>
        <v>27241429.030000001</v>
      </c>
      <c r="AJ35" s="1">
        <f t="shared" si="84"/>
        <v>27994798.280000001</v>
      </c>
      <c r="AK35" s="1">
        <f t="shared" si="84"/>
        <v>28461359.780000001</v>
      </c>
      <c r="AL35" s="1">
        <f t="shared" si="84"/>
        <v>28617165.530000001</v>
      </c>
      <c r="AM35" s="1">
        <f t="shared" si="84"/>
        <v>28437215.280000001</v>
      </c>
      <c r="AN35" s="1">
        <f t="shared" si="84"/>
        <v>28163255.530000001</v>
      </c>
      <c r="AO35" s="1">
        <f t="shared" si="84"/>
        <v>27867988.530000001</v>
      </c>
      <c r="AP35" s="1">
        <f t="shared" si="84"/>
        <v>27545163.780000001</v>
      </c>
      <c r="AQ35" s="1">
        <f t="shared" si="84"/>
        <v>27192658.280000001</v>
      </c>
    </row>
    <row r="36" spans="1:43" ht="17.149999999999999" x14ac:dyDescent="0.7">
      <c r="A36" s="1" t="s">
        <v>266</v>
      </c>
      <c r="D36" s="2">
        <f t="shared" ref="D36:AQ36" si="85">-D30</f>
        <v>1020842.25</v>
      </c>
      <c r="E36" s="2">
        <f t="shared" si="85"/>
        <v>1059247.25</v>
      </c>
      <c r="F36" s="2">
        <f t="shared" si="85"/>
        <v>1157539.25</v>
      </c>
      <c r="G36" s="2">
        <f t="shared" si="85"/>
        <v>1203104.25</v>
      </c>
      <c r="H36" s="2">
        <f t="shared" si="85"/>
        <v>1250451.5</v>
      </c>
      <c r="I36" s="2">
        <f t="shared" si="85"/>
        <v>1300396.5</v>
      </c>
      <c r="J36" s="2">
        <f t="shared" si="85"/>
        <v>1351909.5</v>
      </c>
      <c r="K36" s="2">
        <f t="shared" si="85"/>
        <v>1406598.5</v>
      </c>
      <c r="L36" s="2">
        <f t="shared" si="85"/>
        <v>1463019.5</v>
      </c>
      <c r="M36" s="2">
        <f t="shared" si="85"/>
        <v>1521685</v>
      </c>
      <c r="N36" s="2">
        <f t="shared" si="85"/>
        <v>1583663.75</v>
      </c>
      <c r="O36" s="2">
        <f t="shared" si="85"/>
        <v>1647704.75</v>
      </c>
      <c r="P36" s="2">
        <f t="shared" si="85"/>
        <v>1715404.5</v>
      </c>
      <c r="Q36" s="2">
        <f t="shared" si="85"/>
        <v>1785366</v>
      </c>
      <c r="R36" s="2">
        <f t="shared" si="85"/>
        <v>1859259.5</v>
      </c>
      <c r="S36" s="2">
        <f t="shared" si="85"/>
        <v>1935630.5</v>
      </c>
      <c r="T36" s="2">
        <f t="shared" si="85"/>
        <v>2016319.5</v>
      </c>
      <c r="U36" s="2">
        <f t="shared" si="85"/>
        <v>2099901.75</v>
      </c>
      <c r="V36" s="2">
        <f t="shared" si="85"/>
        <v>2187845.25</v>
      </c>
      <c r="W36" s="2">
        <f t="shared" si="85"/>
        <v>2279027.5</v>
      </c>
      <c r="X36" s="2">
        <f t="shared" si="85"/>
        <v>2375094.5</v>
      </c>
      <c r="Y36" s="2">
        <f t="shared" si="85"/>
        <v>2476268</v>
      </c>
      <c r="Z36" s="2">
        <f t="shared" si="85"/>
        <v>2580959.5</v>
      </c>
      <c r="AA36" s="2">
        <f t="shared" si="85"/>
        <v>2691141</v>
      </c>
      <c r="AB36" s="2">
        <f t="shared" si="85"/>
        <v>2805334.5</v>
      </c>
      <c r="AC36" s="2">
        <f t="shared" si="85"/>
        <v>2925522.25</v>
      </c>
      <c r="AD36" s="2">
        <f t="shared" si="85"/>
        <v>3051967</v>
      </c>
      <c r="AE36" s="2">
        <f t="shared" si="85"/>
        <v>3184853.25</v>
      </c>
      <c r="AF36" s="2">
        <f t="shared" si="85"/>
        <v>3322553.25</v>
      </c>
      <c r="AG36" s="2">
        <f t="shared" si="85"/>
        <v>3466995.75</v>
      </c>
      <c r="AH36" s="2">
        <f t="shared" si="85"/>
        <v>3618668.25</v>
      </c>
      <c r="AI36" s="2">
        <f t="shared" si="85"/>
        <v>3777982</v>
      </c>
      <c r="AJ36" s="2">
        <f t="shared" si="85"/>
        <v>3943145.75</v>
      </c>
      <c r="AK36" s="2">
        <f t="shared" si="85"/>
        <v>4116789.25</v>
      </c>
      <c r="AL36" s="2">
        <f t="shared" si="85"/>
        <v>4298993.5</v>
      </c>
      <c r="AM36" s="2">
        <f t="shared" si="85"/>
        <v>4490036.75</v>
      </c>
      <c r="AN36" s="2">
        <f t="shared" si="85"/>
        <v>4690394.5</v>
      </c>
      <c r="AO36" s="2">
        <f t="shared" si="85"/>
        <v>4900465.5</v>
      </c>
      <c r="AP36" s="2">
        <f t="shared" si="85"/>
        <v>5120664.25</v>
      </c>
      <c r="AQ36" s="2">
        <f t="shared" si="85"/>
        <v>5351787.75</v>
      </c>
    </row>
    <row r="37" spans="1:43" x14ac:dyDescent="0.4">
      <c r="A37" s="1" t="s">
        <v>267</v>
      </c>
      <c r="D37" s="24">
        <f>SUM(D35:D36)</f>
        <v>4621534.18</v>
      </c>
      <c r="E37" s="24">
        <f t="shared" ref="E37:AQ37" si="86">SUM(E35:E36)</f>
        <v>4787420.5</v>
      </c>
      <c r="F37" s="24">
        <f t="shared" si="86"/>
        <v>5404789.9500000002</v>
      </c>
      <c r="G37" s="24">
        <f t="shared" si="86"/>
        <v>6523300.4400000004</v>
      </c>
      <c r="H37" s="24">
        <f t="shared" si="86"/>
        <v>7636957.8900000006</v>
      </c>
      <c r="I37" s="24">
        <f t="shared" si="86"/>
        <v>8885535.8800000008</v>
      </c>
      <c r="J37" s="24">
        <f t="shared" si="86"/>
        <v>10172949.810000001</v>
      </c>
      <c r="K37" s="24">
        <f t="shared" si="86"/>
        <v>11438615.950000001</v>
      </c>
      <c r="L37" s="24">
        <f t="shared" si="86"/>
        <v>12735222.550000001</v>
      </c>
      <c r="M37" s="24">
        <f t="shared" si="86"/>
        <v>14058617.75</v>
      </c>
      <c r="N37" s="24">
        <f t="shared" si="86"/>
        <v>15345924.029999999</v>
      </c>
      <c r="O37" s="24">
        <f t="shared" si="86"/>
        <v>16608159.029999999</v>
      </c>
      <c r="P37" s="24">
        <f t="shared" si="86"/>
        <v>17822077.030000001</v>
      </c>
      <c r="Q37" s="24">
        <f t="shared" si="86"/>
        <v>18984176.030000001</v>
      </c>
      <c r="R37" s="24">
        <f t="shared" si="86"/>
        <v>20084412.030000001</v>
      </c>
      <c r="S37" s="24">
        <f t="shared" si="86"/>
        <v>21118700.030000001</v>
      </c>
      <c r="T37" s="24">
        <f t="shared" si="86"/>
        <v>22075738.030000001</v>
      </c>
      <c r="U37" s="24">
        <f t="shared" si="86"/>
        <v>22950073.030000001</v>
      </c>
      <c r="V37" s="24">
        <f t="shared" si="86"/>
        <v>23730531.030000001</v>
      </c>
      <c r="W37" s="24">
        <f t="shared" si="86"/>
        <v>24410585.030000001</v>
      </c>
      <c r="X37" s="24">
        <f t="shared" si="86"/>
        <v>24977284.030000001</v>
      </c>
      <c r="Y37" s="24">
        <f t="shared" si="86"/>
        <v>25492107.030000001</v>
      </c>
      <c r="Z37" s="24">
        <f t="shared" si="86"/>
        <v>25995102.030000001</v>
      </c>
      <c r="AA37" s="24">
        <f t="shared" si="86"/>
        <v>26476250.030000001</v>
      </c>
      <c r="AB37" s="24">
        <f t="shared" si="86"/>
        <v>26941919.030000001</v>
      </c>
      <c r="AC37" s="24">
        <f t="shared" si="86"/>
        <v>27386588.030000001</v>
      </c>
      <c r="AD37" s="24">
        <f t="shared" si="86"/>
        <v>27810026.030000001</v>
      </c>
      <c r="AE37" s="24">
        <f t="shared" si="86"/>
        <v>28211336.030000001</v>
      </c>
      <c r="AF37" s="24">
        <f t="shared" si="86"/>
        <v>28599045.030000001</v>
      </c>
      <c r="AG37" s="24">
        <f t="shared" si="86"/>
        <v>28966481.030000001</v>
      </c>
      <c r="AH37" s="24">
        <f t="shared" si="86"/>
        <v>29846347.030000001</v>
      </c>
      <c r="AI37" s="24">
        <f t="shared" si="86"/>
        <v>31019411.030000001</v>
      </c>
      <c r="AJ37" s="24">
        <f t="shared" si="86"/>
        <v>31937944.030000001</v>
      </c>
      <c r="AK37" s="24">
        <f t="shared" si="86"/>
        <v>32578149.030000001</v>
      </c>
      <c r="AL37" s="24">
        <f t="shared" si="86"/>
        <v>32916159.030000001</v>
      </c>
      <c r="AM37" s="24">
        <f t="shared" si="86"/>
        <v>32927252.030000001</v>
      </c>
      <c r="AN37" s="24">
        <f t="shared" si="86"/>
        <v>32853650.030000001</v>
      </c>
      <c r="AO37" s="24">
        <f t="shared" si="86"/>
        <v>32768454.030000001</v>
      </c>
      <c r="AP37" s="24">
        <f t="shared" si="86"/>
        <v>32665828.030000001</v>
      </c>
      <c r="AQ37" s="24">
        <f t="shared" si="86"/>
        <v>32544446.030000001</v>
      </c>
    </row>
  </sheetData>
  <mergeCells count="6">
    <mergeCell ref="A24:K24"/>
    <mergeCell ref="A1:K1"/>
    <mergeCell ref="A2:K2"/>
    <mergeCell ref="A3:K3"/>
    <mergeCell ref="A22:K22"/>
    <mergeCell ref="A23:K23"/>
  </mergeCells>
  <printOptions verticalCentered="1"/>
  <pageMargins left="0.7" right="0.7" top="0.75" bottom="0.75" header="0.3" footer="0.3"/>
  <pageSetup scale="69" fitToWidth="5" fitToHeight="0" orientation="landscape" r:id="rId1"/>
  <headerFooter>
    <oddHeader>&amp;LDRAFT&amp;CNOT FOR DISTRIBUTION&amp;R&amp;D</oddHeader>
    <oddFooter>&amp;LDRAFT &amp;CNOT FOR DISTRIBUTION&amp;RPAGE &amp;P OF &amp;N</oddFooter>
  </headerFooter>
  <ignoredErrors>
    <ignoredError sqref="D13:I13 D15:I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D0E0-E00F-4AAC-AD02-80073363E176}">
  <sheetPr>
    <pageSetUpPr fitToPage="1"/>
  </sheetPr>
  <dimension ref="A1:AQ36"/>
  <sheetViews>
    <sheetView showGridLines="0" topLeftCell="AC1" zoomScaleNormal="100" workbookViewId="0">
      <selection sqref="A1:K1"/>
    </sheetView>
  </sheetViews>
  <sheetFormatPr defaultColWidth="8.75" defaultRowHeight="14.6" x14ac:dyDescent="0.4"/>
  <cols>
    <col min="1" max="2" width="6.5625" style="14" customWidth="1"/>
    <col min="3" max="3" width="29.4375" style="14" customWidth="1"/>
    <col min="4" max="4" width="12.5625" style="1" customWidth="1"/>
    <col min="5" max="5" width="12.5625" style="12" customWidth="1"/>
    <col min="6" max="43" width="12.5625" style="1" customWidth="1"/>
    <col min="44" max="16384" width="8.75" style="1"/>
  </cols>
  <sheetData>
    <row r="1" spans="1:43" ht="18.45" x14ac:dyDescent="0.4">
      <c r="A1" s="226" t="s">
        <v>269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43" ht="18.45" x14ac:dyDescent="0.4">
      <c r="A2" s="226" t="str">
        <f>'Plan Inputs'!F2</f>
        <v>2026-2065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43" ht="15.9" x14ac:dyDescent="0.4">
      <c r="A3" s="228" t="s">
        <v>91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43" x14ac:dyDescent="0.4">
      <c r="A4" s="3"/>
      <c r="B4" s="183"/>
      <c r="C4" s="183"/>
      <c r="D4" s="4"/>
      <c r="E4" s="216"/>
    </row>
    <row r="5" spans="1:43" x14ac:dyDescent="0.4">
      <c r="A5" s="3"/>
      <c r="B5" s="183"/>
      <c r="C5" s="183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4">
      <c r="A6" s="14" t="s">
        <v>270</v>
      </c>
      <c r="D6" s="184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</row>
    <row r="7" spans="1:43" x14ac:dyDescent="0.4">
      <c r="A7" s="1" t="s">
        <v>271</v>
      </c>
      <c r="B7" s="1">
        <v>2000</v>
      </c>
      <c r="C7" s="1" t="s">
        <v>272</v>
      </c>
      <c r="D7" s="186">
        <v>30.44</v>
      </c>
      <c r="E7" s="186">
        <f>ROUND(D7*(1+'Revenue Requirement'!F$21),2)</f>
        <v>31.24</v>
      </c>
      <c r="F7" s="186">
        <f>ROUND(E7*(1+'Revenue Requirement'!G$21),2)</f>
        <v>35.119999999999997</v>
      </c>
      <c r="G7" s="186">
        <f>ROUND(F7*(1+'Revenue Requirement'!H$21),2)</f>
        <v>37.119999999999997</v>
      </c>
      <c r="H7" s="186">
        <f>ROUND(G7*(1+'Revenue Requirement'!I$21),2)</f>
        <v>37.119999999999997</v>
      </c>
      <c r="I7" s="186">
        <f>ROUND(H7*(1+'Revenue Requirement'!J$21),2)</f>
        <v>37.119999999999997</v>
      </c>
      <c r="J7" s="186">
        <f>ROUND(I7*(1+'Revenue Requirement'!K$21),2)</f>
        <v>37.119999999999997</v>
      </c>
      <c r="K7" s="186">
        <f>ROUND(J7*(1+'Revenue Requirement'!L$21),2)</f>
        <v>37.119999999999997</v>
      </c>
      <c r="L7" s="186">
        <f>ROUND(K7*(1+'Revenue Requirement'!M$21),2)</f>
        <v>37.119999999999997</v>
      </c>
      <c r="M7" s="186">
        <f>ROUND(L7*(1+'Revenue Requirement'!N$21),2)</f>
        <v>37.119999999999997</v>
      </c>
      <c r="N7" s="186">
        <f>ROUND(M7*(1+'Revenue Requirement'!O$21),2)</f>
        <v>37.119999999999997</v>
      </c>
      <c r="O7" s="186">
        <f>ROUND(N7*(1+'Revenue Requirement'!P$21),2)</f>
        <v>37.119999999999997</v>
      </c>
      <c r="P7" s="186">
        <f>ROUND(O7*(1+'Revenue Requirement'!Q$21),2)</f>
        <v>37.119999999999997</v>
      </c>
      <c r="Q7" s="186">
        <f>ROUND(P7*(1+'Revenue Requirement'!R$21),2)</f>
        <v>37.119999999999997</v>
      </c>
      <c r="R7" s="186">
        <f>ROUND(Q7*(1+'Revenue Requirement'!S$21),2)</f>
        <v>37.119999999999997</v>
      </c>
      <c r="S7" s="186">
        <f>ROUND(R7*(1+'Revenue Requirement'!T$21),2)</f>
        <v>37.119999999999997</v>
      </c>
      <c r="T7" s="186">
        <f>ROUND(S7*(1+'Revenue Requirement'!U$21),2)</f>
        <v>37.119999999999997</v>
      </c>
      <c r="U7" s="186">
        <f>ROUND(T7*(1+'Revenue Requirement'!V$21),2)</f>
        <v>37.119999999999997</v>
      </c>
      <c r="V7" s="186">
        <f>ROUND(U7*(1+'Revenue Requirement'!W$21),2)</f>
        <v>37.119999999999997</v>
      </c>
      <c r="W7" s="186">
        <f>ROUND(V7*(1+'Revenue Requirement'!X$21),2)</f>
        <v>37.119999999999997</v>
      </c>
      <c r="X7" s="186">
        <f>ROUND(W7*(1+'Revenue Requirement'!Y$21),2)</f>
        <v>37.119999999999997</v>
      </c>
      <c r="Y7" s="186">
        <f>ROUND(X7*(1+'Revenue Requirement'!Z$21),2)</f>
        <v>37.119999999999997</v>
      </c>
      <c r="Z7" s="186">
        <f>ROUND(Y7*(1+'Revenue Requirement'!AA$21),2)</f>
        <v>37.119999999999997</v>
      </c>
      <c r="AA7" s="186">
        <f>ROUND(Z7*(1+'Revenue Requirement'!AB$21),2)</f>
        <v>37.119999999999997</v>
      </c>
      <c r="AB7" s="186">
        <f>ROUND(AA7*(1+'Revenue Requirement'!AC$21),2)</f>
        <v>37.119999999999997</v>
      </c>
      <c r="AC7" s="186">
        <f>ROUND(AB7*(1+'Revenue Requirement'!AD$21),2)</f>
        <v>37.56</v>
      </c>
      <c r="AD7" s="186">
        <f>ROUND(AC7*(1+'Revenue Requirement'!AE$21),2)</f>
        <v>38.06</v>
      </c>
      <c r="AE7" s="186">
        <f>ROUND(AD7*(1+'Revenue Requirement'!AF$21),2)</f>
        <v>38.58</v>
      </c>
      <c r="AF7" s="186">
        <f>ROUND(AE7*(1+'Revenue Requirement'!AG$21),2)</f>
        <v>39.130000000000003</v>
      </c>
      <c r="AG7" s="186">
        <f>ROUND(AF7*(1+'Revenue Requirement'!AH$21),2)</f>
        <v>39.71</v>
      </c>
      <c r="AH7" s="186">
        <f>ROUND(AG7*(1+'Revenue Requirement'!AI$21),2)</f>
        <v>40.01</v>
      </c>
      <c r="AI7" s="186">
        <f>ROUND(AH7*(1+'Revenue Requirement'!AJ$21),2)</f>
        <v>42.54</v>
      </c>
      <c r="AJ7" s="186">
        <f>ROUND(AI7*(1+'Revenue Requirement'!AK$21),2)</f>
        <v>42.54</v>
      </c>
      <c r="AK7" s="186">
        <f>ROUND(AJ7*(1+'Revenue Requirement'!AL$21),2)</f>
        <v>42.54</v>
      </c>
      <c r="AL7" s="186">
        <f>ROUND(AK7*(1+'Revenue Requirement'!AM$21),2)</f>
        <v>42.82</v>
      </c>
      <c r="AM7" s="186">
        <f>ROUND(AL7*(1+'Revenue Requirement'!AN$21),2)</f>
        <v>43.53</v>
      </c>
      <c r="AN7" s="186">
        <f>ROUND(AM7*(1+'Revenue Requirement'!AO$21),2)</f>
        <v>44.27</v>
      </c>
      <c r="AO7" s="186">
        <f>ROUND(AN7*(1+'Revenue Requirement'!AP$21),2)</f>
        <v>45.04</v>
      </c>
      <c r="AP7" s="186">
        <f>ROUND(AO7*(1+'Revenue Requirement'!AQ$21),2)</f>
        <v>45.84</v>
      </c>
      <c r="AQ7" s="186">
        <f>ROUND(AP7*(1+'Revenue Requirement'!AR$21),2)</f>
        <v>46.68</v>
      </c>
    </row>
    <row r="8" spans="1:43" x14ac:dyDescent="0.4">
      <c r="A8" s="1" t="s">
        <v>273</v>
      </c>
      <c r="B8" s="1">
        <v>3000</v>
      </c>
      <c r="C8" s="1" t="s">
        <v>274</v>
      </c>
      <c r="D8" s="187">
        <v>1.027E-2</v>
      </c>
      <c r="E8" s="187">
        <f>ROUND(D8*(1+'Revenue Requirement'!F$21),5)</f>
        <v>1.0540000000000001E-2</v>
      </c>
      <c r="F8" s="187">
        <f>ROUND(E8*(1+'Revenue Requirement'!G$21),5)</f>
        <v>1.1849999999999999E-2</v>
      </c>
      <c r="G8" s="187">
        <f>ROUND(F8*(1+'Revenue Requirement'!H$21),5)</f>
        <v>1.252E-2</v>
      </c>
      <c r="H8" s="187">
        <f>ROUND(G8*(1+'Revenue Requirement'!I$21),5)</f>
        <v>1.252E-2</v>
      </c>
      <c r="I8" s="187">
        <f>ROUND(H8*(1+'Revenue Requirement'!J$21),5)</f>
        <v>1.252E-2</v>
      </c>
      <c r="J8" s="187">
        <f>ROUND(I8*(1+'Revenue Requirement'!K$21),5)</f>
        <v>1.252E-2</v>
      </c>
      <c r="K8" s="187">
        <f>ROUND(J8*(1+'Revenue Requirement'!L$21),5)</f>
        <v>1.252E-2</v>
      </c>
      <c r="L8" s="187">
        <f>ROUND(K8*(1+'Revenue Requirement'!M$21),5)</f>
        <v>1.252E-2</v>
      </c>
      <c r="M8" s="187">
        <f>ROUND(L8*(1+'Revenue Requirement'!N$21),5)</f>
        <v>1.252E-2</v>
      </c>
      <c r="N8" s="187">
        <f>ROUND(M8*(1+'Revenue Requirement'!O$21),5)</f>
        <v>1.252E-2</v>
      </c>
      <c r="O8" s="187">
        <f>ROUND(N8*(1+'Revenue Requirement'!P$21),5)</f>
        <v>1.252E-2</v>
      </c>
      <c r="P8" s="187">
        <f>ROUND(O8*(1+'Revenue Requirement'!Q$21),5)</f>
        <v>1.252E-2</v>
      </c>
      <c r="Q8" s="187">
        <f>ROUND(P8*(1+'Revenue Requirement'!R$21),5)</f>
        <v>1.252E-2</v>
      </c>
      <c r="R8" s="187">
        <f>ROUND(Q8*(1+'Revenue Requirement'!S$21),5)</f>
        <v>1.252E-2</v>
      </c>
      <c r="S8" s="187">
        <f>ROUND(R8*(1+'Revenue Requirement'!T$21),5)</f>
        <v>1.252E-2</v>
      </c>
      <c r="T8" s="187">
        <f>ROUND(S8*(1+'Revenue Requirement'!U$21),5)</f>
        <v>1.252E-2</v>
      </c>
      <c r="U8" s="187">
        <f>ROUND(T8*(1+'Revenue Requirement'!V$21),5)</f>
        <v>1.252E-2</v>
      </c>
      <c r="V8" s="187">
        <f>ROUND(U8*(1+'Revenue Requirement'!W$21),5)</f>
        <v>1.252E-2</v>
      </c>
      <c r="W8" s="187">
        <f>ROUND(V8*(1+'Revenue Requirement'!X$21),5)</f>
        <v>1.252E-2</v>
      </c>
      <c r="X8" s="187">
        <f>ROUND(W8*(1+'Revenue Requirement'!Y$21),5)</f>
        <v>1.252E-2</v>
      </c>
      <c r="Y8" s="187">
        <f>ROUND(X8*(1+'Revenue Requirement'!Z$21),5)</f>
        <v>1.252E-2</v>
      </c>
      <c r="Z8" s="187">
        <f>ROUND(Y8*(1+'Revenue Requirement'!AA$21),5)</f>
        <v>1.252E-2</v>
      </c>
      <c r="AA8" s="187">
        <f>ROUND(Z8*(1+'Revenue Requirement'!AB$21),5)</f>
        <v>1.252E-2</v>
      </c>
      <c r="AB8" s="187">
        <f>ROUND(AA8*(1+'Revenue Requirement'!AC$21),5)</f>
        <v>1.252E-2</v>
      </c>
      <c r="AC8" s="187">
        <f>ROUND(AB8*(1+'Revenue Requirement'!AD$21),5)</f>
        <v>1.2670000000000001E-2</v>
      </c>
      <c r="AD8" s="187">
        <f>ROUND(AC8*(1+'Revenue Requirement'!AE$21),5)</f>
        <v>1.2840000000000001E-2</v>
      </c>
      <c r="AE8" s="187">
        <f>ROUND(AD8*(1+'Revenue Requirement'!AF$21),5)</f>
        <v>1.302E-2</v>
      </c>
      <c r="AF8" s="187">
        <f>ROUND(AE8*(1+'Revenue Requirement'!AG$21),5)</f>
        <v>1.32E-2</v>
      </c>
      <c r="AG8" s="187">
        <f>ROUND(AF8*(1+'Revenue Requirement'!AH$21),5)</f>
        <v>1.3390000000000001E-2</v>
      </c>
      <c r="AH8" s="187">
        <f>ROUND(AG8*(1+'Revenue Requirement'!AI$21),5)</f>
        <v>1.349E-2</v>
      </c>
      <c r="AI8" s="187">
        <f>ROUND(AH8*(1+'Revenue Requirement'!AJ$21),5)</f>
        <v>1.434E-2</v>
      </c>
      <c r="AJ8" s="187">
        <f>ROUND(AI8*(1+'Revenue Requirement'!AK$21),5)</f>
        <v>1.434E-2</v>
      </c>
      <c r="AK8" s="187">
        <f>ROUND(AJ8*(1+'Revenue Requirement'!AL$21),5)</f>
        <v>1.434E-2</v>
      </c>
      <c r="AL8" s="187">
        <f>ROUND(AK8*(1+'Revenue Requirement'!AM$21),5)</f>
        <v>1.443E-2</v>
      </c>
      <c r="AM8" s="187">
        <f>ROUND(AL8*(1+'Revenue Requirement'!AN$21),5)</f>
        <v>1.4670000000000001E-2</v>
      </c>
      <c r="AN8" s="187">
        <f>ROUND(AM8*(1+'Revenue Requirement'!AO$21),5)</f>
        <v>1.4919999999999999E-2</v>
      </c>
      <c r="AO8" s="187">
        <f>ROUND(AN8*(1+'Revenue Requirement'!AP$21),5)</f>
        <v>1.5180000000000001E-2</v>
      </c>
      <c r="AP8" s="187">
        <f>ROUND(AO8*(1+'Revenue Requirement'!AQ$21),5)</f>
        <v>1.545E-2</v>
      </c>
      <c r="AQ8" s="187">
        <f>ROUND(AP8*(1+'Revenue Requirement'!AR$21),5)</f>
        <v>1.5730000000000001E-2</v>
      </c>
    </row>
    <row r="9" spans="1:43" x14ac:dyDescent="0.4">
      <c r="A9" s="1" t="s">
        <v>273</v>
      </c>
      <c r="B9" s="1">
        <v>5000</v>
      </c>
      <c r="C9" s="1" t="s">
        <v>274</v>
      </c>
      <c r="D9" s="187">
        <v>9.3500000000000007E-3</v>
      </c>
      <c r="E9" s="187">
        <f>ROUND(D9*(1+'Revenue Requirement'!F$21),5)</f>
        <v>9.5899999999999996E-3</v>
      </c>
      <c r="F9" s="187">
        <f>ROUND(E9*(1+'Revenue Requirement'!G$21),5)</f>
        <v>1.078E-2</v>
      </c>
      <c r="G9" s="187">
        <f>ROUND(F9*(1+'Revenue Requirement'!H$21),5)</f>
        <v>1.1390000000000001E-2</v>
      </c>
      <c r="H9" s="187">
        <f>ROUND(G9*(1+'Revenue Requirement'!I$21),5)</f>
        <v>1.1390000000000001E-2</v>
      </c>
      <c r="I9" s="187">
        <f>ROUND(H9*(1+'Revenue Requirement'!J$21),5)</f>
        <v>1.1390000000000001E-2</v>
      </c>
      <c r="J9" s="187">
        <f>ROUND(I9*(1+'Revenue Requirement'!K$21),5)</f>
        <v>1.1390000000000001E-2</v>
      </c>
      <c r="K9" s="187">
        <f>ROUND(J9*(1+'Revenue Requirement'!L$21),5)</f>
        <v>1.1390000000000001E-2</v>
      </c>
      <c r="L9" s="187">
        <f>ROUND(K9*(1+'Revenue Requirement'!M$21),5)</f>
        <v>1.1390000000000001E-2</v>
      </c>
      <c r="M9" s="187">
        <f>ROUND(L9*(1+'Revenue Requirement'!N$21),5)</f>
        <v>1.1390000000000001E-2</v>
      </c>
      <c r="N9" s="187">
        <f>ROUND(M9*(1+'Revenue Requirement'!O$21),5)</f>
        <v>1.1390000000000001E-2</v>
      </c>
      <c r="O9" s="187">
        <f>ROUND(N9*(1+'Revenue Requirement'!P$21),5)</f>
        <v>1.1390000000000001E-2</v>
      </c>
      <c r="P9" s="187">
        <f>ROUND(O9*(1+'Revenue Requirement'!Q$21),5)</f>
        <v>1.1390000000000001E-2</v>
      </c>
      <c r="Q9" s="187">
        <f>ROUND(P9*(1+'Revenue Requirement'!R$21),5)</f>
        <v>1.1390000000000001E-2</v>
      </c>
      <c r="R9" s="187">
        <f>ROUND(Q9*(1+'Revenue Requirement'!S$21),5)</f>
        <v>1.1390000000000001E-2</v>
      </c>
      <c r="S9" s="187">
        <f>ROUND(R9*(1+'Revenue Requirement'!T$21),5)</f>
        <v>1.1390000000000001E-2</v>
      </c>
      <c r="T9" s="187">
        <f>ROUND(S9*(1+'Revenue Requirement'!U$21),5)</f>
        <v>1.1390000000000001E-2</v>
      </c>
      <c r="U9" s="187">
        <f>ROUND(T9*(1+'Revenue Requirement'!V$21),5)</f>
        <v>1.1390000000000001E-2</v>
      </c>
      <c r="V9" s="187">
        <f>ROUND(U9*(1+'Revenue Requirement'!W$21),5)</f>
        <v>1.1390000000000001E-2</v>
      </c>
      <c r="W9" s="187">
        <f>ROUND(V9*(1+'Revenue Requirement'!X$21),5)</f>
        <v>1.1390000000000001E-2</v>
      </c>
      <c r="X9" s="187">
        <f>ROUND(W9*(1+'Revenue Requirement'!Y$21),5)</f>
        <v>1.1390000000000001E-2</v>
      </c>
      <c r="Y9" s="187">
        <f>ROUND(X9*(1+'Revenue Requirement'!Z$21),5)</f>
        <v>1.1390000000000001E-2</v>
      </c>
      <c r="Z9" s="187">
        <f>ROUND(Y9*(1+'Revenue Requirement'!AA$21),5)</f>
        <v>1.1390000000000001E-2</v>
      </c>
      <c r="AA9" s="187">
        <f>ROUND(Z9*(1+'Revenue Requirement'!AB$21),5)</f>
        <v>1.1390000000000001E-2</v>
      </c>
      <c r="AB9" s="187">
        <f>ROUND(AA9*(1+'Revenue Requirement'!AC$21),5)</f>
        <v>1.1390000000000001E-2</v>
      </c>
      <c r="AC9" s="187">
        <f>ROUND(AB9*(1+'Revenue Requirement'!AD$21),5)</f>
        <v>1.1520000000000001E-2</v>
      </c>
      <c r="AD9" s="187">
        <f>ROUND(AC9*(1+'Revenue Requirement'!AE$21),5)</f>
        <v>1.167E-2</v>
      </c>
      <c r="AE9" s="187">
        <f>ROUND(AD9*(1+'Revenue Requirement'!AF$21),5)</f>
        <v>1.183E-2</v>
      </c>
      <c r="AF9" s="187">
        <f>ROUND(AE9*(1+'Revenue Requirement'!AG$21),5)</f>
        <v>1.2E-2</v>
      </c>
      <c r="AG9" s="187">
        <f>ROUND(AF9*(1+'Revenue Requirement'!AH$21),5)</f>
        <v>1.218E-2</v>
      </c>
      <c r="AH9" s="187">
        <f>ROUND(AG9*(1+'Revenue Requirement'!AI$21),5)</f>
        <v>1.227E-2</v>
      </c>
      <c r="AI9" s="187">
        <f>ROUND(AH9*(1+'Revenue Requirement'!AJ$21),5)</f>
        <v>1.3050000000000001E-2</v>
      </c>
      <c r="AJ9" s="187">
        <f>ROUND(AI9*(1+'Revenue Requirement'!AK$21),5)</f>
        <v>1.3050000000000001E-2</v>
      </c>
      <c r="AK9" s="187">
        <f>ROUND(AJ9*(1+'Revenue Requirement'!AL$21),5)</f>
        <v>1.3050000000000001E-2</v>
      </c>
      <c r="AL9" s="187">
        <f>ROUND(AK9*(1+'Revenue Requirement'!AM$21),5)</f>
        <v>1.3129999999999999E-2</v>
      </c>
      <c r="AM9" s="187">
        <f>ROUND(AL9*(1+'Revenue Requirement'!AN$21),5)</f>
        <v>1.3350000000000001E-2</v>
      </c>
      <c r="AN9" s="187">
        <f>ROUND(AM9*(1+'Revenue Requirement'!AO$21),5)</f>
        <v>1.358E-2</v>
      </c>
      <c r="AO9" s="187">
        <f>ROUND(AN9*(1+'Revenue Requirement'!AP$21),5)</f>
        <v>1.3820000000000001E-2</v>
      </c>
      <c r="AP9" s="187">
        <f>ROUND(AO9*(1+'Revenue Requirement'!AQ$21),5)</f>
        <v>1.4069999999999999E-2</v>
      </c>
      <c r="AQ9" s="187">
        <f>ROUND(AP9*(1+'Revenue Requirement'!AR$21),5)</f>
        <v>1.4330000000000001E-2</v>
      </c>
    </row>
    <row r="10" spans="1:43" x14ac:dyDescent="0.4">
      <c r="A10" s="1" t="s">
        <v>273</v>
      </c>
      <c r="B10" s="1">
        <v>10000</v>
      </c>
      <c r="C10" s="1" t="s">
        <v>274</v>
      </c>
      <c r="D10" s="187">
        <v>8.4200000000000004E-3</v>
      </c>
      <c r="E10" s="187">
        <f>ROUND(D10*(1+'Revenue Requirement'!F$21),5)</f>
        <v>8.6400000000000001E-3</v>
      </c>
      <c r="F10" s="187">
        <f>ROUND(E10*(1+'Revenue Requirement'!G$21),5)</f>
        <v>9.7099999999999999E-3</v>
      </c>
      <c r="G10" s="187">
        <f>ROUND(F10*(1+'Revenue Requirement'!H$21),5)</f>
        <v>1.026E-2</v>
      </c>
      <c r="H10" s="187">
        <f>ROUND(G10*(1+'Revenue Requirement'!I$21),5)</f>
        <v>1.026E-2</v>
      </c>
      <c r="I10" s="187">
        <f>ROUND(H10*(1+'Revenue Requirement'!J$21),5)</f>
        <v>1.026E-2</v>
      </c>
      <c r="J10" s="187">
        <f>ROUND(I10*(1+'Revenue Requirement'!K$21),5)</f>
        <v>1.026E-2</v>
      </c>
      <c r="K10" s="187">
        <f>ROUND(J10*(1+'Revenue Requirement'!L$21),5)</f>
        <v>1.026E-2</v>
      </c>
      <c r="L10" s="187">
        <f>ROUND(K10*(1+'Revenue Requirement'!M$21),5)</f>
        <v>1.026E-2</v>
      </c>
      <c r="M10" s="187">
        <f>ROUND(L10*(1+'Revenue Requirement'!N$21),5)</f>
        <v>1.026E-2</v>
      </c>
      <c r="N10" s="187">
        <f>ROUND(M10*(1+'Revenue Requirement'!O$21),5)</f>
        <v>1.026E-2</v>
      </c>
      <c r="O10" s="187">
        <f>ROUND(N10*(1+'Revenue Requirement'!P$21),5)</f>
        <v>1.026E-2</v>
      </c>
      <c r="P10" s="187">
        <f>ROUND(O10*(1+'Revenue Requirement'!Q$21),5)</f>
        <v>1.026E-2</v>
      </c>
      <c r="Q10" s="187">
        <f>ROUND(P10*(1+'Revenue Requirement'!R$21),5)</f>
        <v>1.026E-2</v>
      </c>
      <c r="R10" s="187">
        <f>ROUND(Q10*(1+'Revenue Requirement'!S$21),5)</f>
        <v>1.026E-2</v>
      </c>
      <c r="S10" s="187">
        <f>ROUND(R10*(1+'Revenue Requirement'!T$21),5)</f>
        <v>1.026E-2</v>
      </c>
      <c r="T10" s="187">
        <f>ROUND(S10*(1+'Revenue Requirement'!U$21),5)</f>
        <v>1.026E-2</v>
      </c>
      <c r="U10" s="187">
        <f>ROUND(T10*(1+'Revenue Requirement'!V$21),5)</f>
        <v>1.026E-2</v>
      </c>
      <c r="V10" s="187">
        <f>ROUND(U10*(1+'Revenue Requirement'!W$21),5)</f>
        <v>1.026E-2</v>
      </c>
      <c r="W10" s="187">
        <f>ROUND(V10*(1+'Revenue Requirement'!X$21),5)</f>
        <v>1.026E-2</v>
      </c>
      <c r="X10" s="187">
        <f>ROUND(W10*(1+'Revenue Requirement'!Y$21),5)</f>
        <v>1.026E-2</v>
      </c>
      <c r="Y10" s="187">
        <f>ROUND(X10*(1+'Revenue Requirement'!Z$21),5)</f>
        <v>1.026E-2</v>
      </c>
      <c r="Z10" s="187">
        <f>ROUND(Y10*(1+'Revenue Requirement'!AA$21),5)</f>
        <v>1.026E-2</v>
      </c>
      <c r="AA10" s="187">
        <f>ROUND(Z10*(1+'Revenue Requirement'!AB$21),5)</f>
        <v>1.026E-2</v>
      </c>
      <c r="AB10" s="187">
        <f>ROUND(AA10*(1+'Revenue Requirement'!AC$21),5)</f>
        <v>1.026E-2</v>
      </c>
      <c r="AC10" s="187">
        <f>ROUND(AB10*(1+'Revenue Requirement'!AD$21),5)</f>
        <v>1.038E-2</v>
      </c>
      <c r="AD10" s="187">
        <f>ROUND(AC10*(1+'Revenue Requirement'!AE$21),5)</f>
        <v>1.052E-2</v>
      </c>
      <c r="AE10" s="187">
        <f>ROUND(AD10*(1+'Revenue Requirement'!AF$21),5)</f>
        <v>1.0659999999999999E-2</v>
      </c>
      <c r="AF10" s="187">
        <f>ROUND(AE10*(1+'Revenue Requirement'!AG$21),5)</f>
        <v>1.081E-2</v>
      </c>
      <c r="AG10" s="187">
        <f>ROUND(AF10*(1+'Revenue Requirement'!AH$21),5)</f>
        <v>1.0970000000000001E-2</v>
      </c>
      <c r="AH10" s="187">
        <f>ROUND(AG10*(1+'Revenue Requirement'!AI$21),5)</f>
        <v>1.1050000000000001E-2</v>
      </c>
      <c r="AI10" s="187">
        <f>ROUND(AH10*(1+'Revenue Requirement'!AJ$21),5)</f>
        <v>1.175E-2</v>
      </c>
      <c r="AJ10" s="187">
        <f>ROUND(AI10*(1+'Revenue Requirement'!AK$21),5)</f>
        <v>1.175E-2</v>
      </c>
      <c r="AK10" s="187">
        <f>ROUND(AJ10*(1+'Revenue Requirement'!AL$21),5)</f>
        <v>1.175E-2</v>
      </c>
      <c r="AL10" s="187">
        <f>ROUND(AK10*(1+'Revenue Requirement'!AM$21),5)</f>
        <v>1.183E-2</v>
      </c>
      <c r="AM10" s="187">
        <f>ROUND(AL10*(1+'Revenue Requirement'!AN$21),5)</f>
        <v>1.2030000000000001E-2</v>
      </c>
      <c r="AN10" s="187">
        <f>ROUND(AM10*(1+'Revenue Requirement'!AO$21),5)</f>
        <v>1.2239999999999999E-2</v>
      </c>
      <c r="AO10" s="187">
        <f>ROUND(AN10*(1+'Revenue Requirement'!AP$21),5)</f>
        <v>1.2449999999999999E-2</v>
      </c>
      <c r="AP10" s="187">
        <f>ROUND(AO10*(1+'Revenue Requirement'!AQ$21),5)</f>
        <v>1.2670000000000001E-2</v>
      </c>
      <c r="AQ10" s="187">
        <f>ROUND(AP10*(1+'Revenue Requirement'!AR$21),5)</f>
        <v>1.29E-2</v>
      </c>
    </row>
    <row r="11" spans="1:43" x14ac:dyDescent="0.4">
      <c r="A11" s="1" t="s">
        <v>275</v>
      </c>
      <c r="B11" s="1">
        <v>20000</v>
      </c>
      <c r="C11" s="1" t="s">
        <v>274</v>
      </c>
      <c r="D11" s="187">
        <v>7.4999999999999997E-3</v>
      </c>
      <c r="E11" s="187">
        <f>ROUND(D11*(1+'Revenue Requirement'!F$21),5)</f>
        <v>7.7000000000000002E-3</v>
      </c>
      <c r="F11" s="187">
        <f>ROUND(E11*(1+'Revenue Requirement'!G$21),5)</f>
        <v>8.6599999999999993E-3</v>
      </c>
      <c r="G11" s="187">
        <f>ROUND(F11*(1+'Revenue Requirement'!H$21),5)</f>
        <v>9.1500000000000001E-3</v>
      </c>
      <c r="H11" s="187">
        <f>ROUND(G11*(1+'Revenue Requirement'!I$21),5)</f>
        <v>9.1500000000000001E-3</v>
      </c>
      <c r="I11" s="187">
        <f>ROUND(H11*(1+'Revenue Requirement'!J$21),5)</f>
        <v>9.1500000000000001E-3</v>
      </c>
      <c r="J11" s="187">
        <f>ROUND(I11*(1+'Revenue Requirement'!K$21),5)</f>
        <v>9.1500000000000001E-3</v>
      </c>
      <c r="K11" s="187">
        <f>ROUND(J11*(1+'Revenue Requirement'!L$21),5)</f>
        <v>9.1500000000000001E-3</v>
      </c>
      <c r="L11" s="187">
        <f>ROUND(K11*(1+'Revenue Requirement'!M$21),5)</f>
        <v>9.1500000000000001E-3</v>
      </c>
      <c r="M11" s="187">
        <f>ROUND(L11*(1+'Revenue Requirement'!N$21),5)</f>
        <v>9.1500000000000001E-3</v>
      </c>
      <c r="N11" s="187">
        <f>ROUND(M11*(1+'Revenue Requirement'!O$21),5)</f>
        <v>9.1500000000000001E-3</v>
      </c>
      <c r="O11" s="187">
        <f>ROUND(N11*(1+'Revenue Requirement'!P$21),5)</f>
        <v>9.1500000000000001E-3</v>
      </c>
      <c r="P11" s="187">
        <f>ROUND(O11*(1+'Revenue Requirement'!Q$21),5)</f>
        <v>9.1500000000000001E-3</v>
      </c>
      <c r="Q11" s="187">
        <f>ROUND(P11*(1+'Revenue Requirement'!R$21),5)</f>
        <v>9.1500000000000001E-3</v>
      </c>
      <c r="R11" s="187">
        <f>ROUND(Q11*(1+'Revenue Requirement'!S$21),5)</f>
        <v>9.1500000000000001E-3</v>
      </c>
      <c r="S11" s="187">
        <f>ROUND(R11*(1+'Revenue Requirement'!T$21),5)</f>
        <v>9.1500000000000001E-3</v>
      </c>
      <c r="T11" s="187">
        <f>ROUND(S11*(1+'Revenue Requirement'!U$21),5)</f>
        <v>9.1500000000000001E-3</v>
      </c>
      <c r="U11" s="187">
        <f>ROUND(T11*(1+'Revenue Requirement'!V$21),5)</f>
        <v>9.1500000000000001E-3</v>
      </c>
      <c r="V11" s="187">
        <f>ROUND(U11*(1+'Revenue Requirement'!W$21),5)</f>
        <v>9.1500000000000001E-3</v>
      </c>
      <c r="W11" s="187">
        <f>ROUND(V11*(1+'Revenue Requirement'!X$21),5)</f>
        <v>9.1500000000000001E-3</v>
      </c>
      <c r="X11" s="187">
        <f>ROUND(W11*(1+'Revenue Requirement'!Y$21),5)</f>
        <v>9.1500000000000001E-3</v>
      </c>
      <c r="Y11" s="187">
        <f>ROUND(X11*(1+'Revenue Requirement'!Z$21),5)</f>
        <v>9.1500000000000001E-3</v>
      </c>
      <c r="Z11" s="187">
        <f>ROUND(Y11*(1+'Revenue Requirement'!AA$21),5)</f>
        <v>9.1500000000000001E-3</v>
      </c>
      <c r="AA11" s="187">
        <f>ROUND(Z11*(1+'Revenue Requirement'!AB$21),5)</f>
        <v>9.1500000000000001E-3</v>
      </c>
      <c r="AB11" s="187">
        <f>ROUND(AA11*(1+'Revenue Requirement'!AC$21),5)</f>
        <v>9.1500000000000001E-3</v>
      </c>
      <c r="AC11" s="187">
        <f>ROUND(AB11*(1+'Revenue Requirement'!AD$21),5)</f>
        <v>9.2599999999999991E-3</v>
      </c>
      <c r="AD11" s="187">
        <f>ROUND(AC11*(1+'Revenue Requirement'!AE$21),5)</f>
        <v>9.3799999999999994E-3</v>
      </c>
      <c r="AE11" s="187">
        <f>ROUND(AD11*(1+'Revenue Requirement'!AF$21),5)</f>
        <v>9.5099999999999994E-3</v>
      </c>
      <c r="AF11" s="187">
        <f>ROUND(AE11*(1+'Revenue Requirement'!AG$21),5)</f>
        <v>9.6500000000000006E-3</v>
      </c>
      <c r="AG11" s="187">
        <f>ROUND(AF11*(1+'Revenue Requirement'!AH$21),5)</f>
        <v>9.7900000000000001E-3</v>
      </c>
      <c r="AH11" s="187">
        <f>ROUND(AG11*(1+'Revenue Requirement'!AI$21),5)</f>
        <v>9.8600000000000007E-3</v>
      </c>
      <c r="AI11" s="187">
        <f>ROUND(AH11*(1+'Revenue Requirement'!AJ$21),5)</f>
        <v>1.048E-2</v>
      </c>
      <c r="AJ11" s="187">
        <f>ROUND(AI11*(1+'Revenue Requirement'!AK$21),5)</f>
        <v>1.048E-2</v>
      </c>
      <c r="AK11" s="187">
        <f>ROUND(AJ11*(1+'Revenue Requirement'!AL$21),5)</f>
        <v>1.048E-2</v>
      </c>
      <c r="AL11" s="187">
        <f>ROUND(AK11*(1+'Revenue Requirement'!AM$21),5)</f>
        <v>1.055E-2</v>
      </c>
      <c r="AM11" s="187">
        <f>ROUND(AL11*(1+'Revenue Requirement'!AN$21),5)</f>
        <v>1.072E-2</v>
      </c>
      <c r="AN11" s="187">
        <f>ROUND(AM11*(1+'Revenue Requirement'!AO$21),5)</f>
        <v>1.09E-2</v>
      </c>
      <c r="AO11" s="187">
        <f>ROUND(AN11*(1+'Revenue Requirement'!AP$21),5)</f>
        <v>1.1089999999999999E-2</v>
      </c>
      <c r="AP11" s="187">
        <f>ROUND(AO11*(1+'Revenue Requirement'!AQ$21),5)</f>
        <v>1.129E-2</v>
      </c>
      <c r="AQ11" s="187">
        <f>ROUND(AP11*(1+'Revenue Requirement'!AR$21),5)</f>
        <v>1.15E-2</v>
      </c>
    </row>
    <row r="12" spans="1:43" x14ac:dyDescent="0.4">
      <c r="E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4">
      <c r="A13" s="14" t="s">
        <v>276</v>
      </c>
      <c r="E13" s="1"/>
    </row>
    <row r="14" spans="1:43" x14ac:dyDescent="0.4">
      <c r="A14" s="1" t="s">
        <v>277</v>
      </c>
      <c r="B14" s="1"/>
      <c r="C14" s="1"/>
      <c r="D14" s="186">
        <f>D7</f>
        <v>30.44</v>
      </c>
      <c r="E14" s="186">
        <f t="shared" ref="E14:AQ14" si="0">E7</f>
        <v>31.24</v>
      </c>
      <c r="F14" s="186">
        <f t="shared" si="0"/>
        <v>35.119999999999997</v>
      </c>
      <c r="G14" s="186">
        <f t="shared" si="0"/>
        <v>37.119999999999997</v>
      </c>
      <c r="H14" s="186">
        <f t="shared" si="0"/>
        <v>37.119999999999997</v>
      </c>
      <c r="I14" s="186">
        <f t="shared" si="0"/>
        <v>37.119999999999997</v>
      </c>
      <c r="J14" s="186">
        <f t="shared" si="0"/>
        <v>37.119999999999997</v>
      </c>
      <c r="K14" s="186">
        <f t="shared" si="0"/>
        <v>37.119999999999997</v>
      </c>
      <c r="L14" s="186">
        <f t="shared" si="0"/>
        <v>37.119999999999997</v>
      </c>
      <c r="M14" s="186">
        <f t="shared" si="0"/>
        <v>37.119999999999997</v>
      </c>
      <c r="N14" s="186">
        <f t="shared" si="0"/>
        <v>37.119999999999997</v>
      </c>
      <c r="O14" s="186">
        <f t="shared" si="0"/>
        <v>37.119999999999997</v>
      </c>
      <c r="P14" s="186">
        <f t="shared" si="0"/>
        <v>37.119999999999997</v>
      </c>
      <c r="Q14" s="186">
        <f t="shared" si="0"/>
        <v>37.119999999999997</v>
      </c>
      <c r="R14" s="186">
        <f t="shared" si="0"/>
        <v>37.119999999999997</v>
      </c>
      <c r="S14" s="186">
        <f t="shared" si="0"/>
        <v>37.119999999999997</v>
      </c>
      <c r="T14" s="186">
        <f t="shared" si="0"/>
        <v>37.119999999999997</v>
      </c>
      <c r="U14" s="186">
        <f t="shared" si="0"/>
        <v>37.119999999999997</v>
      </c>
      <c r="V14" s="186">
        <f t="shared" si="0"/>
        <v>37.119999999999997</v>
      </c>
      <c r="W14" s="186">
        <f t="shared" si="0"/>
        <v>37.119999999999997</v>
      </c>
      <c r="X14" s="186">
        <f t="shared" si="0"/>
        <v>37.119999999999997</v>
      </c>
      <c r="Y14" s="186">
        <f t="shared" si="0"/>
        <v>37.119999999999997</v>
      </c>
      <c r="Z14" s="186">
        <f t="shared" si="0"/>
        <v>37.119999999999997</v>
      </c>
      <c r="AA14" s="186">
        <f t="shared" si="0"/>
        <v>37.119999999999997</v>
      </c>
      <c r="AB14" s="186">
        <f t="shared" si="0"/>
        <v>37.119999999999997</v>
      </c>
      <c r="AC14" s="186">
        <f t="shared" si="0"/>
        <v>37.56</v>
      </c>
      <c r="AD14" s="186">
        <f t="shared" si="0"/>
        <v>38.06</v>
      </c>
      <c r="AE14" s="186">
        <f t="shared" si="0"/>
        <v>38.58</v>
      </c>
      <c r="AF14" s="186">
        <f t="shared" si="0"/>
        <v>39.130000000000003</v>
      </c>
      <c r="AG14" s="186">
        <f t="shared" si="0"/>
        <v>39.71</v>
      </c>
      <c r="AH14" s="186">
        <f t="shared" si="0"/>
        <v>40.01</v>
      </c>
      <c r="AI14" s="186">
        <f t="shared" si="0"/>
        <v>42.54</v>
      </c>
      <c r="AJ14" s="186">
        <f t="shared" si="0"/>
        <v>42.54</v>
      </c>
      <c r="AK14" s="186">
        <f t="shared" si="0"/>
        <v>42.54</v>
      </c>
      <c r="AL14" s="186">
        <f t="shared" si="0"/>
        <v>42.82</v>
      </c>
      <c r="AM14" s="186">
        <f t="shared" si="0"/>
        <v>43.53</v>
      </c>
      <c r="AN14" s="186">
        <f t="shared" si="0"/>
        <v>44.27</v>
      </c>
      <c r="AO14" s="186">
        <f t="shared" si="0"/>
        <v>45.04</v>
      </c>
      <c r="AP14" s="186">
        <f t="shared" si="0"/>
        <v>45.84</v>
      </c>
      <c r="AQ14" s="186">
        <f t="shared" si="0"/>
        <v>46.68</v>
      </c>
    </row>
    <row r="15" spans="1:43" x14ac:dyDescent="0.4">
      <c r="A15" s="1" t="s">
        <v>278</v>
      </c>
      <c r="B15" s="1"/>
      <c r="C15" s="1"/>
      <c r="D15" s="186">
        <f>D7+(1500*D8)</f>
        <v>45.844999999999999</v>
      </c>
      <c r="E15" s="186">
        <f t="shared" ref="E15:AQ15" si="1">E7+(1500*E8)</f>
        <v>47.05</v>
      </c>
      <c r="F15" s="186">
        <f t="shared" si="1"/>
        <v>52.894999999999996</v>
      </c>
      <c r="G15" s="186">
        <f t="shared" si="1"/>
        <v>55.9</v>
      </c>
      <c r="H15" s="186">
        <f t="shared" si="1"/>
        <v>55.9</v>
      </c>
      <c r="I15" s="186">
        <f t="shared" si="1"/>
        <v>55.9</v>
      </c>
      <c r="J15" s="186">
        <f t="shared" si="1"/>
        <v>55.9</v>
      </c>
      <c r="K15" s="186">
        <f t="shared" si="1"/>
        <v>55.9</v>
      </c>
      <c r="L15" s="186">
        <f t="shared" si="1"/>
        <v>55.9</v>
      </c>
      <c r="M15" s="186">
        <f t="shared" si="1"/>
        <v>55.9</v>
      </c>
      <c r="N15" s="186">
        <f t="shared" si="1"/>
        <v>55.9</v>
      </c>
      <c r="O15" s="186">
        <f t="shared" si="1"/>
        <v>55.9</v>
      </c>
      <c r="P15" s="186">
        <f t="shared" si="1"/>
        <v>55.9</v>
      </c>
      <c r="Q15" s="186">
        <f t="shared" si="1"/>
        <v>55.9</v>
      </c>
      <c r="R15" s="186">
        <f t="shared" si="1"/>
        <v>55.9</v>
      </c>
      <c r="S15" s="186">
        <f t="shared" si="1"/>
        <v>55.9</v>
      </c>
      <c r="T15" s="186">
        <f t="shared" si="1"/>
        <v>55.9</v>
      </c>
      <c r="U15" s="186">
        <f t="shared" si="1"/>
        <v>55.9</v>
      </c>
      <c r="V15" s="186">
        <f t="shared" si="1"/>
        <v>55.9</v>
      </c>
      <c r="W15" s="186">
        <f t="shared" si="1"/>
        <v>55.9</v>
      </c>
      <c r="X15" s="186">
        <f t="shared" si="1"/>
        <v>55.9</v>
      </c>
      <c r="Y15" s="186">
        <f t="shared" si="1"/>
        <v>55.9</v>
      </c>
      <c r="Z15" s="186">
        <f t="shared" si="1"/>
        <v>55.9</v>
      </c>
      <c r="AA15" s="186">
        <f t="shared" si="1"/>
        <v>55.9</v>
      </c>
      <c r="AB15" s="186">
        <f t="shared" si="1"/>
        <v>55.9</v>
      </c>
      <c r="AC15" s="186">
        <f t="shared" si="1"/>
        <v>56.565000000000005</v>
      </c>
      <c r="AD15" s="186">
        <f t="shared" si="1"/>
        <v>57.320000000000007</v>
      </c>
      <c r="AE15" s="186">
        <f t="shared" si="1"/>
        <v>58.11</v>
      </c>
      <c r="AF15" s="186">
        <f t="shared" si="1"/>
        <v>58.930000000000007</v>
      </c>
      <c r="AG15" s="186">
        <f t="shared" si="1"/>
        <v>59.795000000000002</v>
      </c>
      <c r="AH15" s="186">
        <f t="shared" si="1"/>
        <v>60.244999999999997</v>
      </c>
      <c r="AI15" s="186">
        <f t="shared" si="1"/>
        <v>64.05</v>
      </c>
      <c r="AJ15" s="186">
        <f t="shared" si="1"/>
        <v>64.05</v>
      </c>
      <c r="AK15" s="186">
        <f t="shared" si="1"/>
        <v>64.05</v>
      </c>
      <c r="AL15" s="186">
        <f t="shared" si="1"/>
        <v>64.465000000000003</v>
      </c>
      <c r="AM15" s="186">
        <f t="shared" si="1"/>
        <v>65.534999999999997</v>
      </c>
      <c r="AN15" s="186">
        <f t="shared" si="1"/>
        <v>66.650000000000006</v>
      </c>
      <c r="AO15" s="186">
        <f t="shared" si="1"/>
        <v>67.81</v>
      </c>
      <c r="AP15" s="186">
        <f t="shared" si="1"/>
        <v>69.015000000000001</v>
      </c>
      <c r="AQ15" s="186">
        <f t="shared" si="1"/>
        <v>70.275000000000006</v>
      </c>
    </row>
    <row r="16" spans="1:43" x14ac:dyDescent="0.4">
      <c r="A16" s="1"/>
      <c r="B16" s="1"/>
      <c r="C16" s="1"/>
      <c r="D16" s="18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x14ac:dyDescent="0.4">
      <c r="A17" s="1"/>
      <c r="B17" s="1"/>
      <c r="C17" s="1"/>
      <c r="D17" s="18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4">
      <c r="A18" s="181"/>
      <c r="B18" s="181"/>
      <c r="C18" s="181"/>
      <c r="D18" s="185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3" x14ac:dyDescent="0.4">
      <c r="D19" s="18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1" spans="1:43" ht="18.45" x14ac:dyDescent="0.4">
      <c r="A21" s="226" t="s">
        <v>279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spans="1:43" ht="18.45" x14ac:dyDescent="0.4">
      <c r="A22" s="226" t="str">
        <f>'Plan Inputs'!F2</f>
        <v>2026-2065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</row>
    <row r="23" spans="1:43" ht="15.9" x14ac:dyDescent="0.4">
      <c r="A23" s="228" t="s">
        <v>163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</row>
    <row r="24" spans="1:43" x14ac:dyDescent="0.4">
      <c r="A24" s="3"/>
      <c r="B24" s="183"/>
      <c r="C24" s="183"/>
      <c r="D24" s="4"/>
      <c r="E24" s="216"/>
    </row>
    <row r="25" spans="1:43" x14ac:dyDescent="0.4">
      <c r="A25" s="3"/>
      <c r="B25" s="183"/>
      <c r="C25" s="183"/>
      <c r="D25" s="21">
        <f>'Plan Inputs'!F5</f>
        <v>2026</v>
      </c>
      <c r="E25" s="21">
        <f>'Plan Inputs'!G5</f>
        <v>2027</v>
      </c>
      <c r="F25" s="21">
        <f>'Plan Inputs'!H5</f>
        <v>2028</v>
      </c>
      <c r="G25" s="21">
        <f>'Plan Inputs'!I5</f>
        <v>2029</v>
      </c>
      <c r="H25" s="21">
        <f>'Plan Inputs'!J5</f>
        <v>2030</v>
      </c>
      <c r="I25" s="21">
        <f>'Plan Inputs'!K5</f>
        <v>2031</v>
      </c>
      <c r="J25" s="21">
        <f>'Plan Inputs'!L5</f>
        <v>2032</v>
      </c>
      <c r="K25" s="21">
        <f>'Plan Inputs'!M5</f>
        <v>2033</v>
      </c>
      <c r="L25" s="21">
        <f>'Plan Inputs'!N5</f>
        <v>2034</v>
      </c>
      <c r="M25" s="21">
        <f>'Plan Inputs'!O5</f>
        <v>2035</v>
      </c>
      <c r="N25" s="21">
        <f>'Plan Inputs'!P5</f>
        <v>2036</v>
      </c>
      <c r="O25" s="21">
        <f>'Plan Inputs'!Q5</f>
        <v>2037</v>
      </c>
      <c r="P25" s="21">
        <f>'Plan Inputs'!R5</f>
        <v>2038</v>
      </c>
      <c r="Q25" s="21">
        <f>'Plan Inputs'!S5</f>
        <v>2039</v>
      </c>
      <c r="R25" s="21">
        <f>'Plan Inputs'!T5</f>
        <v>2040</v>
      </c>
      <c r="S25" s="21">
        <f>'Plan Inputs'!U5</f>
        <v>2041</v>
      </c>
      <c r="T25" s="21">
        <f>'Plan Inputs'!V5</f>
        <v>2042</v>
      </c>
      <c r="U25" s="21">
        <f>'Plan Inputs'!W5</f>
        <v>2043</v>
      </c>
      <c r="V25" s="21">
        <f>'Plan Inputs'!X5</f>
        <v>2044</v>
      </c>
      <c r="W25" s="21">
        <f>'Plan Inputs'!Y5</f>
        <v>2045</v>
      </c>
      <c r="X25" s="21">
        <f>'Plan Inputs'!Z5</f>
        <v>2046</v>
      </c>
      <c r="Y25" s="21">
        <f>'Plan Inputs'!AA5</f>
        <v>2047</v>
      </c>
      <c r="Z25" s="21">
        <f>'Plan Inputs'!AB5</f>
        <v>2048</v>
      </c>
      <c r="AA25" s="21">
        <f>'Plan Inputs'!AC5</f>
        <v>2049</v>
      </c>
      <c r="AB25" s="21">
        <f>'Plan Inputs'!AD5</f>
        <v>2050</v>
      </c>
      <c r="AC25" s="21">
        <f>'Plan Inputs'!AE5</f>
        <v>2051</v>
      </c>
      <c r="AD25" s="21">
        <f>'Plan Inputs'!AF5</f>
        <v>2052</v>
      </c>
      <c r="AE25" s="21">
        <f>'Plan Inputs'!AG5</f>
        <v>2053</v>
      </c>
      <c r="AF25" s="21">
        <f>'Plan Inputs'!AH5</f>
        <v>2054</v>
      </c>
      <c r="AG25" s="21">
        <f>'Plan Inputs'!AI5</f>
        <v>2055</v>
      </c>
      <c r="AH25" s="21">
        <f>'Plan Inputs'!AJ5</f>
        <v>2056</v>
      </c>
      <c r="AI25" s="21">
        <f>'Plan Inputs'!AK5</f>
        <v>2057</v>
      </c>
      <c r="AJ25" s="21">
        <f>'Plan Inputs'!AL5</f>
        <v>2058</v>
      </c>
      <c r="AK25" s="21">
        <f>'Plan Inputs'!AM5</f>
        <v>2059</v>
      </c>
      <c r="AL25" s="21">
        <f>'Plan Inputs'!AN5</f>
        <v>2060</v>
      </c>
      <c r="AM25" s="21">
        <f>'Plan Inputs'!AO5</f>
        <v>2061</v>
      </c>
      <c r="AN25" s="21">
        <f>'Plan Inputs'!AP5</f>
        <v>2062</v>
      </c>
      <c r="AO25" s="21">
        <f>'Plan Inputs'!AQ5</f>
        <v>2063</v>
      </c>
      <c r="AP25" s="21">
        <f>'Plan Inputs'!AR5</f>
        <v>2064</v>
      </c>
      <c r="AQ25" s="21">
        <f>'Plan Inputs'!AS5</f>
        <v>2065</v>
      </c>
    </row>
    <row r="26" spans="1:43" x14ac:dyDescent="0.4">
      <c r="A26" s="14" t="s">
        <v>270</v>
      </c>
      <c r="D26" s="184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</row>
    <row r="27" spans="1:43" x14ac:dyDescent="0.4">
      <c r="A27" s="1" t="s">
        <v>271</v>
      </c>
      <c r="B27" s="1">
        <v>2000</v>
      </c>
      <c r="C27" s="1" t="s">
        <v>272</v>
      </c>
      <c r="D27" s="186">
        <v>30.44</v>
      </c>
      <c r="E27" s="186">
        <f>ROUND(D27*(1+'Revenue Requirement'!F$47),2)</f>
        <v>30.98</v>
      </c>
      <c r="F27" s="186">
        <f>ROUND(E27*(1+'Revenue Requirement'!G$47),2)</f>
        <v>34.57</v>
      </c>
      <c r="G27" s="186">
        <f>ROUND(F27*(1+'Revenue Requirement'!H$47),2)</f>
        <v>37.17</v>
      </c>
      <c r="H27" s="186">
        <f>ROUND(G27*(1+'Revenue Requirement'!I$47),2)</f>
        <v>37.17</v>
      </c>
      <c r="I27" s="186">
        <f>ROUND(H27*(1+'Revenue Requirement'!J$47),2)</f>
        <v>37.17</v>
      </c>
      <c r="J27" s="186">
        <f>ROUND(I27*(1+'Revenue Requirement'!K$47),2)</f>
        <v>37.17</v>
      </c>
      <c r="K27" s="186">
        <f>ROUND(J27*(1+'Revenue Requirement'!L$47),2)</f>
        <v>37.17</v>
      </c>
      <c r="L27" s="186">
        <f>ROUND(K27*(1+'Revenue Requirement'!M$47),2)</f>
        <v>37.17</v>
      </c>
      <c r="M27" s="186">
        <f>ROUND(L27*(1+'Revenue Requirement'!N$47),2)</f>
        <v>37.17</v>
      </c>
      <c r="N27" s="186">
        <f>ROUND(M27*(1+'Revenue Requirement'!O$47),2)</f>
        <v>37.17</v>
      </c>
      <c r="O27" s="186">
        <f>ROUND(N27*(1+'Revenue Requirement'!P$47),2)</f>
        <v>37.17</v>
      </c>
      <c r="P27" s="186">
        <f>ROUND(O27*(1+'Revenue Requirement'!Q$47),2)</f>
        <v>37.17</v>
      </c>
      <c r="Q27" s="186">
        <f>ROUND(P27*(1+'Revenue Requirement'!R$47),2)</f>
        <v>37.17</v>
      </c>
      <c r="R27" s="186">
        <f>ROUND(Q27*(1+'Revenue Requirement'!S$47),2)</f>
        <v>37.17</v>
      </c>
      <c r="S27" s="186">
        <f>ROUND(R27*(1+'Revenue Requirement'!T$47),2)</f>
        <v>37.17</v>
      </c>
      <c r="T27" s="186">
        <f>ROUND(S27*(1+'Revenue Requirement'!U$47),2)</f>
        <v>37.17</v>
      </c>
      <c r="U27" s="186">
        <f>ROUND(T27*(1+'Revenue Requirement'!V$47),2)</f>
        <v>37.17</v>
      </c>
      <c r="V27" s="186">
        <f>ROUND(U27*(1+'Revenue Requirement'!W$47),2)</f>
        <v>37.17</v>
      </c>
      <c r="W27" s="186">
        <f>ROUND(V27*(1+'Revenue Requirement'!X$47),2)</f>
        <v>37.17</v>
      </c>
      <c r="X27" s="186">
        <f>ROUND(W27*(1+'Revenue Requirement'!Y$47),2)</f>
        <v>37.17</v>
      </c>
      <c r="Y27" s="186">
        <f>ROUND(X27*(1+'Revenue Requirement'!Z$47),2)</f>
        <v>37.409999999999997</v>
      </c>
      <c r="Z27" s="186">
        <f>ROUND(Y27*(1+'Revenue Requirement'!AA$47),2)</f>
        <v>37.79</v>
      </c>
      <c r="AA27" s="186">
        <f>ROUND(Z27*(1+'Revenue Requirement'!AB$47),2)</f>
        <v>38.159999999999997</v>
      </c>
      <c r="AB27" s="186">
        <f>ROUND(AA27*(1+'Revenue Requirement'!AC$47),2)</f>
        <v>38.56</v>
      </c>
      <c r="AC27" s="186">
        <f>ROUND(AB27*(1+'Revenue Requirement'!AD$47),2)</f>
        <v>38.97</v>
      </c>
      <c r="AD27" s="186">
        <f>ROUND(AC27*(1+'Revenue Requirement'!AE$47),2)</f>
        <v>39.409999999999997</v>
      </c>
      <c r="AE27" s="186">
        <f>ROUND(AD27*(1+'Revenue Requirement'!AF$47),2)</f>
        <v>39.880000000000003</v>
      </c>
      <c r="AF27" s="186">
        <f>ROUND(AE27*(1+'Revenue Requirement'!AG$47),2)</f>
        <v>40.369999999999997</v>
      </c>
      <c r="AG27" s="186">
        <f>ROUND(AF27*(1+'Revenue Requirement'!AH$47),2)</f>
        <v>40.869999999999997</v>
      </c>
      <c r="AH27" s="186">
        <f>ROUND(AG27*(1+'Revenue Requirement'!AI$47),2)</f>
        <v>41.39</v>
      </c>
      <c r="AI27" s="186">
        <f>ROUND(AH27*(1+'Revenue Requirement'!AJ$47),2)</f>
        <v>41.39</v>
      </c>
      <c r="AJ27" s="186">
        <f>ROUND(AI27*(1+'Revenue Requirement'!AK$47),2)</f>
        <v>41.39</v>
      </c>
      <c r="AK27" s="186">
        <f>ROUND(AJ27*(1+'Revenue Requirement'!AL$47),2)</f>
        <v>41.39</v>
      </c>
      <c r="AL27" s="186">
        <f>ROUND(AK27*(1+'Revenue Requirement'!AM$47),2)</f>
        <v>41.39</v>
      </c>
      <c r="AM27" s="186">
        <f>ROUND(AL27*(1+'Revenue Requirement'!AN$47),2)</f>
        <v>41.39</v>
      </c>
      <c r="AN27" s="186">
        <f>ROUND(AM27*(1+'Revenue Requirement'!AO$47),2)</f>
        <v>41.99</v>
      </c>
      <c r="AO27" s="186">
        <f>ROUND(AN27*(1+'Revenue Requirement'!AP$47),2)</f>
        <v>42.78</v>
      </c>
      <c r="AP27" s="186">
        <f>ROUND(AO27*(1+'Revenue Requirement'!AQ$47),2)</f>
        <v>43.58</v>
      </c>
      <c r="AQ27" s="186">
        <f>ROUND(AP27*(1+'Revenue Requirement'!AR$47),2)</f>
        <v>44.4</v>
      </c>
    </row>
    <row r="28" spans="1:43" x14ac:dyDescent="0.4">
      <c r="A28" s="1" t="s">
        <v>273</v>
      </c>
      <c r="B28" s="1">
        <v>3000</v>
      </c>
      <c r="C28" s="1" t="s">
        <v>274</v>
      </c>
      <c r="D28" s="187">
        <v>1.027E-2</v>
      </c>
      <c r="E28" s="187">
        <f>ROUND(D28*(1+'Revenue Requirement'!F$47),5)</f>
        <v>1.0449999999999999E-2</v>
      </c>
      <c r="F28" s="187">
        <f>ROUND(E28*(1+'Revenue Requirement'!G$47),5)</f>
        <v>1.166E-2</v>
      </c>
      <c r="G28" s="187">
        <f>ROUND(F28*(1+'Revenue Requirement'!H$47),5)</f>
        <v>1.2540000000000001E-2</v>
      </c>
      <c r="H28" s="187">
        <f>ROUND(G28*(1+'Revenue Requirement'!I$47),5)</f>
        <v>1.2540000000000001E-2</v>
      </c>
      <c r="I28" s="187">
        <f>ROUND(H28*(1+'Revenue Requirement'!J$47),5)</f>
        <v>1.2540000000000001E-2</v>
      </c>
      <c r="J28" s="187">
        <f>ROUND(I28*(1+'Revenue Requirement'!K$47),5)</f>
        <v>1.2540000000000001E-2</v>
      </c>
      <c r="K28" s="187">
        <f>ROUND(J28*(1+'Revenue Requirement'!L$47),5)</f>
        <v>1.2540000000000001E-2</v>
      </c>
      <c r="L28" s="187">
        <f>ROUND(K28*(1+'Revenue Requirement'!M$47),5)</f>
        <v>1.2540000000000001E-2</v>
      </c>
      <c r="M28" s="187">
        <f>ROUND(L28*(1+'Revenue Requirement'!N$47),5)</f>
        <v>1.2540000000000001E-2</v>
      </c>
      <c r="N28" s="187">
        <f>ROUND(M28*(1+'Revenue Requirement'!O$47),5)</f>
        <v>1.2540000000000001E-2</v>
      </c>
      <c r="O28" s="187">
        <f>ROUND(N28*(1+'Revenue Requirement'!P$47),5)</f>
        <v>1.2540000000000001E-2</v>
      </c>
      <c r="P28" s="187">
        <f>ROUND(O28*(1+'Revenue Requirement'!Q$47),5)</f>
        <v>1.2540000000000001E-2</v>
      </c>
      <c r="Q28" s="187">
        <f>ROUND(P28*(1+'Revenue Requirement'!R$47),5)</f>
        <v>1.2540000000000001E-2</v>
      </c>
      <c r="R28" s="187">
        <f>ROUND(Q28*(1+'Revenue Requirement'!S$47),5)</f>
        <v>1.2540000000000001E-2</v>
      </c>
      <c r="S28" s="187">
        <f>ROUND(R28*(1+'Revenue Requirement'!T$47),5)</f>
        <v>1.2540000000000001E-2</v>
      </c>
      <c r="T28" s="187">
        <f>ROUND(S28*(1+'Revenue Requirement'!U$47),5)</f>
        <v>1.2540000000000001E-2</v>
      </c>
      <c r="U28" s="187">
        <f>ROUND(T28*(1+'Revenue Requirement'!V$47),5)</f>
        <v>1.2540000000000001E-2</v>
      </c>
      <c r="V28" s="187">
        <f>ROUND(U28*(1+'Revenue Requirement'!W$47),5)</f>
        <v>1.2540000000000001E-2</v>
      </c>
      <c r="W28" s="187">
        <f>ROUND(V28*(1+'Revenue Requirement'!X$47),5)</f>
        <v>1.2540000000000001E-2</v>
      </c>
      <c r="X28" s="187">
        <f>ROUND(W28*(1+'Revenue Requirement'!Y$47),5)</f>
        <v>1.2540000000000001E-2</v>
      </c>
      <c r="Y28" s="187">
        <f>ROUND(X28*(1+'Revenue Requirement'!Z$47),5)</f>
        <v>1.2619999999999999E-2</v>
      </c>
      <c r="Z28" s="187">
        <f>ROUND(Y28*(1+'Revenue Requirement'!AA$47),5)</f>
        <v>1.2749999999999999E-2</v>
      </c>
      <c r="AA28" s="187">
        <f>ROUND(Z28*(1+'Revenue Requirement'!AB$47),5)</f>
        <v>1.2880000000000001E-2</v>
      </c>
      <c r="AB28" s="187">
        <f>ROUND(AA28*(1+'Revenue Requirement'!AC$47),5)</f>
        <v>1.302E-2</v>
      </c>
      <c r="AC28" s="187">
        <f>ROUND(AB28*(1+'Revenue Requirement'!AD$47),5)</f>
        <v>1.316E-2</v>
      </c>
      <c r="AD28" s="187">
        <f>ROUND(AC28*(1+'Revenue Requirement'!AE$47),5)</f>
        <v>1.3310000000000001E-2</v>
      </c>
      <c r="AE28" s="187">
        <f>ROUND(AD28*(1+'Revenue Requirement'!AF$47),5)</f>
        <v>1.3469999999999999E-2</v>
      </c>
      <c r="AF28" s="187">
        <f>ROUND(AE28*(1+'Revenue Requirement'!AG$47),5)</f>
        <v>1.3639999999999999E-2</v>
      </c>
      <c r="AG28" s="187">
        <f>ROUND(AF28*(1+'Revenue Requirement'!AH$47),5)</f>
        <v>1.3809999999999999E-2</v>
      </c>
      <c r="AH28" s="187">
        <f>ROUND(AG28*(1+'Revenue Requirement'!AI$47),5)</f>
        <v>1.3990000000000001E-2</v>
      </c>
      <c r="AI28" s="187">
        <f>ROUND(AH28*(1+'Revenue Requirement'!AJ$47),5)</f>
        <v>1.3990000000000001E-2</v>
      </c>
      <c r="AJ28" s="187">
        <f>ROUND(AI28*(1+'Revenue Requirement'!AK$47),5)</f>
        <v>1.3990000000000001E-2</v>
      </c>
      <c r="AK28" s="187">
        <f>ROUND(AJ28*(1+'Revenue Requirement'!AL$47),5)</f>
        <v>1.3990000000000001E-2</v>
      </c>
      <c r="AL28" s="187">
        <f>ROUND(AK28*(1+'Revenue Requirement'!AM$47),5)</f>
        <v>1.3990000000000001E-2</v>
      </c>
      <c r="AM28" s="187">
        <f>ROUND(AL28*(1+'Revenue Requirement'!AN$47),5)</f>
        <v>1.3990000000000001E-2</v>
      </c>
      <c r="AN28" s="187">
        <f>ROUND(AM28*(1+'Revenue Requirement'!AO$47),5)</f>
        <v>1.4189999999999999E-2</v>
      </c>
      <c r="AO28" s="187">
        <f>ROUND(AN28*(1+'Revenue Requirement'!AP$47),5)</f>
        <v>1.4460000000000001E-2</v>
      </c>
      <c r="AP28" s="187">
        <f>ROUND(AO28*(1+'Revenue Requirement'!AQ$47),5)</f>
        <v>1.473E-2</v>
      </c>
      <c r="AQ28" s="187">
        <f>ROUND(AP28*(1+'Revenue Requirement'!AR$47),5)</f>
        <v>1.5010000000000001E-2</v>
      </c>
    </row>
    <row r="29" spans="1:43" x14ac:dyDescent="0.4">
      <c r="A29" s="1" t="s">
        <v>273</v>
      </c>
      <c r="B29" s="1">
        <v>5000</v>
      </c>
      <c r="C29" s="1" t="s">
        <v>274</v>
      </c>
      <c r="D29" s="187">
        <v>9.3500000000000007E-3</v>
      </c>
      <c r="E29" s="187">
        <f>ROUND(D29*(1+'Revenue Requirement'!F$47),5)</f>
        <v>9.5099999999999994E-3</v>
      </c>
      <c r="F29" s="187">
        <f>ROUND(E29*(1+'Revenue Requirement'!G$47),5)</f>
        <v>1.061E-2</v>
      </c>
      <c r="G29" s="187">
        <f>ROUND(F29*(1+'Revenue Requirement'!H$47),5)</f>
        <v>1.141E-2</v>
      </c>
      <c r="H29" s="187">
        <f>ROUND(G29*(1+'Revenue Requirement'!I$47),5)</f>
        <v>1.141E-2</v>
      </c>
      <c r="I29" s="187">
        <f>ROUND(H29*(1+'Revenue Requirement'!J$47),5)</f>
        <v>1.141E-2</v>
      </c>
      <c r="J29" s="187">
        <f>ROUND(I29*(1+'Revenue Requirement'!K$47),5)</f>
        <v>1.141E-2</v>
      </c>
      <c r="K29" s="187">
        <f>ROUND(J29*(1+'Revenue Requirement'!L$47),5)</f>
        <v>1.141E-2</v>
      </c>
      <c r="L29" s="187">
        <f>ROUND(K29*(1+'Revenue Requirement'!M$47),5)</f>
        <v>1.141E-2</v>
      </c>
      <c r="M29" s="187">
        <f>ROUND(L29*(1+'Revenue Requirement'!N$47),5)</f>
        <v>1.141E-2</v>
      </c>
      <c r="N29" s="187">
        <f>ROUND(M29*(1+'Revenue Requirement'!O$47),5)</f>
        <v>1.141E-2</v>
      </c>
      <c r="O29" s="187">
        <f>ROUND(N29*(1+'Revenue Requirement'!P$47),5)</f>
        <v>1.141E-2</v>
      </c>
      <c r="P29" s="187">
        <f>ROUND(O29*(1+'Revenue Requirement'!Q$47),5)</f>
        <v>1.141E-2</v>
      </c>
      <c r="Q29" s="187">
        <f>ROUND(P29*(1+'Revenue Requirement'!R$47),5)</f>
        <v>1.141E-2</v>
      </c>
      <c r="R29" s="187">
        <f>ROUND(Q29*(1+'Revenue Requirement'!S$47),5)</f>
        <v>1.141E-2</v>
      </c>
      <c r="S29" s="187">
        <f>ROUND(R29*(1+'Revenue Requirement'!T$47),5)</f>
        <v>1.141E-2</v>
      </c>
      <c r="T29" s="187">
        <f>ROUND(S29*(1+'Revenue Requirement'!U$47),5)</f>
        <v>1.141E-2</v>
      </c>
      <c r="U29" s="187">
        <f>ROUND(T29*(1+'Revenue Requirement'!V$47),5)</f>
        <v>1.141E-2</v>
      </c>
      <c r="V29" s="187">
        <f>ROUND(U29*(1+'Revenue Requirement'!W$47),5)</f>
        <v>1.141E-2</v>
      </c>
      <c r="W29" s="187">
        <f>ROUND(V29*(1+'Revenue Requirement'!X$47),5)</f>
        <v>1.141E-2</v>
      </c>
      <c r="X29" s="187">
        <f>ROUND(W29*(1+'Revenue Requirement'!Y$47),5)</f>
        <v>1.141E-2</v>
      </c>
      <c r="Y29" s="187">
        <f>ROUND(X29*(1+'Revenue Requirement'!Z$47),5)</f>
        <v>1.1480000000000001E-2</v>
      </c>
      <c r="Z29" s="187">
        <f>ROUND(Y29*(1+'Revenue Requirement'!AA$47),5)</f>
        <v>1.1599999999999999E-2</v>
      </c>
      <c r="AA29" s="187">
        <f>ROUND(Z29*(1+'Revenue Requirement'!AB$47),5)</f>
        <v>1.171E-2</v>
      </c>
      <c r="AB29" s="187">
        <f>ROUND(AA29*(1+'Revenue Requirement'!AC$47),5)</f>
        <v>1.183E-2</v>
      </c>
      <c r="AC29" s="187">
        <f>ROUND(AB29*(1+'Revenue Requirement'!AD$47),5)</f>
        <v>1.196E-2</v>
      </c>
      <c r="AD29" s="187">
        <f>ROUND(AC29*(1+'Revenue Requirement'!AE$47),5)</f>
        <v>1.21E-2</v>
      </c>
      <c r="AE29" s="187">
        <f>ROUND(AD29*(1+'Revenue Requirement'!AF$47),5)</f>
        <v>1.2239999999999999E-2</v>
      </c>
      <c r="AF29" s="187">
        <f>ROUND(AE29*(1+'Revenue Requirement'!AG$47),5)</f>
        <v>1.239E-2</v>
      </c>
      <c r="AG29" s="187">
        <f>ROUND(AF29*(1+'Revenue Requirement'!AH$47),5)</f>
        <v>1.2540000000000001E-2</v>
      </c>
      <c r="AH29" s="187">
        <f>ROUND(AG29*(1+'Revenue Requirement'!AI$47),5)</f>
        <v>1.2699999999999999E-2</v>
      </c>
      <c r="AI29" s="187">
        <f>ROUND(AH29*(1+'Revenue Requirement'!AJ$47),5)</f>
        <v>1.2699999999999999E-2</v>
      </c>
      <c r="AJ29" s="187">
        <f>ROUND(AI29*(1+'Revenue Requirement'!AK$47),5)</f>
        <v>1.2699999999999999E-2</v>
      </c>
      <c r="AK29" s="187">
        <f>ROUND(AJ29*(1+'Revenue Requirement'!AL$47),5)</f>
        <v>1.2699999999999999E-2</v>
      </c>
      <c r="AL29" s="187">
        <f>ROUND(AK29*(1+'Revenue Requirement'!AM$47),5)</f>
        <v>1.2699999999999999E-2</v>
      </c>
      <c r="AM29" s="187">
        <f>ROUND(AL29*(1+'Revenue Requirement'!AN$47),5)</f>
        <v>1.2699999999999999E-2</v>
      </c>
      <c r="AN29" s="187">
        <f>ROUND(AM29*(1+'Revenue Requirement'!AO$47),5)</f>
        <v>1.2880000000000001E-2</v>
      </c>
      <c r="AO29" s="187">
        <f>ROUND(AN29*(1+'Revenue Requirement'!AP$47),5)</f>
        <v>1.312E-2</v>
      </c>
      <c r="AP29" s="187">
        <f>ROUND(AO29*(1+'Revenue Requirement'!AQ$47),5)</f>
        <v>1.336E-2</v>
      </c>
      <c r="AQ29" s="187">
        <f>ROUND(AP29*(1+'Revenue Requirement'!AR$47),5)</f>
        <v>1.3610000000000001E-2</v>
      </c>
    </row>
    <row r="30" spans="1:43" x14ac:dyDescent="0.4">
      <c r="A30" s="1" t="s">
        <v>273</v>
      </c>
      <c r="B30" s="1">
        <v>10000</v>
      </c>
      <c r="C30" s="1" t="s">
        <v>274</v>
      </c>
      <c r="D30" s="187">
        <v>8.4200000000000004E-3</v>
      </c>
      <c r="E30" s="187">
        <f>ROUND(D30*(1+'Revenue Requirement'!F$47),5)</f>
        <v>8.5699999999999995E-3</v>
      </c>
      <c r="F30" s="187">
        <f>ROUND(E30*(1+'Revenue Requirement'!G$47),5)</f>
        <v>9.5600000000000008E-3</v>
      </c>
      <c r="G30" s="187">
        <f>ROUND(F30*(1+'Revenue Requirement'!H$47),5)</f>
        <v>1.0279999999999999E-2</v>
      </c>
      <c r="H30" s="187">
        <f>ROUND(G30*(1+'Revenue Requirement'!I$47),5)</f>
        <v>1.0279999999999999E-2</v>
      </c>
      <c r="I30" s="187">
        <f>ROUND(H30*(1+'Revenue Requirement'!J$47),5)</f>
        <v>1.0279999999999999E-2</v>
      </c>
      <c r="J30" s="187">
        <f>ROUND(I30*(1+'Revenue Requirement'!K$47),5)</f>
        <v>1.0279999999999999E-2</v>
      </c>
      <c r="K30" s="187">
        <f>ROUND(J30*(1+'Revenue Requirement'!L$47),5)</f>
        <v>1.0279999999999999E-2</v>
      </c>
      <c r="L30" s="187">
        <f>ROUND(K30*(1+'Revenue Requirement'!M$47),5)</f>
        <v>1.0279999999999999E-2</v>
      </c>
      <c r="M30" s="187">
        <f>ROUND(L30*(1+'Revenue Requirement'!N$47),5)</f>
        <v>1.0279999999999999E-2</v>
      </c>
      <c r="N30" s="187">
        <f>ROUND(M30*(1+'Revenue Requirement'!O$47),5)</f>
        <v>1.0279999999999999E-2</v>
      </c>
      <c r="O30" s="187">
        <f>ROUND(N30*(1+'Revenue Requirement'!P$47),5)</f>
        <v>1.0279999999999999E-2</v>
      </c>
      <c r="P30" s="187">
        <f>ROUND(O30*(1+'Revenue Requirement'!Q$47),5)</f>
        <v>1.0279999999999999E-2</v>
      </c>
      <c r="Q30" s="187">
        <f>ROUND(P30*(1+'Revenue Requirement'!R$47),5)</f>
        <v>1.0279999999999999E-2</v>
      </c>
      <c r="R30" s="187">
        <f>ROUND(Q30*(1+'Revenue Requirement'!S$47),5)</f>
        <v>1.0279999999999999E-2</v>
      </c>
      <c r="S30" s="187">
        <f>ROUND(R30*(1+'Revenue Requirement'!T$47),5)</f>
        <v>1.0279999999999999E-2</v>
      </c>
      <c r="T30" s="187">
        <f>ROUND(S30*(1+'Revenue Requirement'!U$47),5)</f>
        <v>1.0279999999999999E-2</v>
      </c>
      <c r="U30" s="187">
        <f>ROUND(T30*(1+'Revenue Requirement'!V$47),5)</f>
        <v>1.0279999999999999E-2</v>
      </c>
      <c r="V30" s="187">
        <f>ROUND(U30*(1+'Revenue Requirement'!W$47),5)</f>
        <v>1.0279999999999999E-2</v>
      </c>
      <c r="W30" s="187">
        <f>ROUND(V30*(1+'Revenue Requirement'!X$47),5)</f>
        <v>1.0279999999999999E-2</v>
      </c>
      <c r="X30" s="187">
        <f>ROUND(W30*(1+'Revenue Requirement'!Y$47),5)</f>
        <v>1.0279999999999999E-2</v>
      </c>
      <c r="Y30" s="187">
        <f>ROUND(X30*(1+'Revenue Requirement'!Z$47),5)</f>
        <v>1.035E-2</v>
      </c>
      <c r="Z30" s="187">
        <f>ROUND(Y30*(1+'Revenue Requirement'!AA$47),5)</f>
        <v>1.0449999999999999E-2</v>
      </c>
      <c r="AA30" s="187">
        <f>ROUND(Z30*(1+'Revenue Requirement'!AB$47),5)</f>
        <v>1.055E-2</v>
      </c>
      <c r="AB30" s="187">
        <f>ROUND(AA30*(1+'Revenue Requirement'!AC$47),5)</f>
        <v>1.0659999999999999E-2</v>
      </c>
      <c r="AC30" s="187">
        <f>ROUND(AB30*(1+'Revenue Requirement'!AD$47),5)</f>
        <v>1.077E-2</v>
      </c>
      <c r="AD30" s="187">
        <f>ROUND(AC30*(1+'Revenue Requirement'!AE$47),5)</f>
        <v>1.089E-2</v>
      </c>
      <c r="AE30" s="187">
        <f>ROUND(AD30*(1+'Revenue Requirement'!AF$47),5)</f>
        <v>1.102E-2</v>
      </c>
      <c r="AF30" s="187">
        <f>ROUND(AE30*(1+'Revenue Requirement'!AG$47),5)</f>
        <v>1.116E-2</v>
      </c>
      <c r="AG30" s="187">
        <f>ROUND(AF30*(1+'Revenue Requirement'!AH$47),5)</f>
        <v>1.1299999999999999E-2</v>
      </c>
      <c r="AH30" s="187">
        <f>ROUND(AG30*(1+'Revenue Requirement'!AI$47),5)</f>
        <v>1.1440000000000001E-2</v>
      </c>
      <c r="AI30" s="187">
        <f>ROUND(AH30*(1+'Revenue Requirement'!AJ$47),5)</f>
        <v>1.1440000000000001E-2</v>
      </c>
      <c r="AJ30" s="187">
        <f>ROUND(AI30*(1+'Revenue Requirement'!AK$47),5)</f>
        <v>1.1440000000000001E-2</v>
      </c>
      <c r="AK30" s="187">
        <f>ROUND(AJ30*(1+'Revenue Requirement'!AL$47),5)</f>
        <v>1.1440000000000001E-2</v>
      </c>
      <c r="AL30" s="187">
        <f>ROUND(AK30*(1+'Revenue Requirement'!AM$47),5)</f>
        <v>1.1440000000000001E-2</v>
      </c>
      <c r="AM30" s="187">
        <f>ROUND(AL30*(1+'Revenue Requirement'!AN$47),5)</f>
        <v>1.1440000000000001E-2</v>
      </c>
      <c r="AN30" s="187">
        <f>ROUND(AM30*(1+'Revenue Requirement'!AO$47),5)</f>
        <v>1.1599999999999999E-2</v>
      </c>
      <c r="AO30" s="187">
        <f>ROUND(AN30*(1+'Revenue Requirement'!AP$47),5)</f>
        <v>1.1820000000000001E-2</v>
      </c>
      <c r="AP30" s="187">
        <f>ROUND(AO30*(1+'Revenue Requirement'!AQ$47),5)</f>
        <v>1.204E-2</v>
      </c>
      <c r="AQ30" s="187">
        <f>ROUND(AP30*(1+'Revenue Requirement'!AR$47),5)</f>
        <v>1.227E-2</v>
      </c>
    </row>
    <row r="31" spans="1:43" x14ac:dyDescent="0.4">
      <c r="A31" s="1" t="s">
        <v>275</v>
      </c>
      <c r="B31" s="1">
        <v>20000</v>
      </c>
      <c r="C31" s="1" t="s">
        <v>274</v>
      </c>
      <c r="D31" s="187">
        <v>7.4999999999999997E-3</v>
      </c>
      <c r="E31" s="187">
        <f>ROUND(D31*(1+'Revenue Requirement'!F$47),5)</f>
        <v>7.6299999999999996E-3</v>
      </c>
      <c r="F31" s="187">
        <f>ROUND(E31*(1+'Revenue Requirement'!G$47),5)</f>
        <v>8.5100000000000002E-3</v>
      </c>
      <c r="G31" s="187">
        <f>ROUND(F31*(1+'Revenue Requirement'!H$47),5)</f>
        <v>9.1500000000000001E-3</v>
      </c>
      <c r="H31" s="187">
        <f>ROUND(G31*(1+'Revenue Requirement'!I$47),5)</f>
        <v>9.1500000000000001E-3</v>
      </c>
      <c r="I31" s="187">
        <f>ROUND(H31*(1+'Revenue Requirement'!J$47),5)</f>
        <v>9.1500000000000001E-3</v>
      </c>
      <c r="J31" s="187">
        <f>ROUND(I31*(1+'Revenue Requirement'!K$47),5)</f>
        <v>9.1500000000000001E-3</v>
      </c>
      <c r="K31" s="187">
        <f>ROUND(J31*(1+'Revenue Requirement'!L$47),5)</f>
        <v>9.1500000000000001E-3</v>
      </c>
      <c r="L31" s="187">
        <f>ROUND(K31*(1+'Revenue Requirement'!M$47),5)</f>
        <v>9.1500000000000001E-3</v>
      </c>
      <c r="M31" s="187">
        <f>ROUND(L31*(1+'Revenue Requirement'!N$47),5)</f>
        <v>9.1500000000000001E-3</v>
      </c>
      <c r="N31" s="187">
        <f>ROUND(M31*(1+'Revenue Requirement'!O$47),5)</f>
        <v>9.1500000000000001E-3</v>
      </c>
      <c r="O31" s="187">
        <f>ROUND(N31*(1+'Revenue Requirement'!P$47),5)</f>
        <v>9.1500000000000001E-3</v>
      </c>
      <c r="P31" s="187">
        <f>ROUND(O31*(1+'Revenue Requirement'!Q$47),5)</f>
        <v>9.1500000000000001E-3</v>
      </c>
      <c r="Q31" s="187">
        <f>ROUND(P31*(1+'Revenue Requirement'!R$47),5)</f>
        <v>9.1500000000000001E-3</v>
      </c>
      <c r="R31" s="187">
        <f>ROUND(Q31*(1+'Revenue Requirement'!S$47),5)</f>
        <v>9.1500000000000001E-3</v>
      </c>
      <c r="S31" s="187">
        <f>ROUND(R31*(1+'Revenue Requirement'!T$47),5)</f>
        <v>9.1500000000000001E-3</v>
      </c>
      <c r="T31" s="187">
        <f>ROUND(S31*(1+'Revenue Requirement'!U$47),5)</f>
        <v>9.1500000000000001E-3</v>
      </c>
      <c r="U31" s="187">
        <f>ROUND(T31*(1+'Revenue Requirement'!V$47),5)</f>
        <v>9.1500000000000001E-3</v>
      </c>
      <c r="V31" s="187">
        <f>ROUND(U31*(1+'Revenue Requirement'!W$47),5)</f>
        <v>9.1500000000000001E-3</v>
      </c>
      <c r="W31" s="187">
        <f>ROUND(V31*(1+'Revenue Requirement'!X$47),5)</f>
        <v>9.1500000000000001E-3</v>
      </c>
      <c r="X31" s="187">
        <f>ROUND(W31*(1+'Revenue Requirement'!Y$47),5)</f>
        <v>9.1500000000000001E-3</v>
      </c>
      <c r="Y31" s="187">
        <f>ROUND(X31*(1+'Revenue Requirement'!Z$47),5)</f>
        <v>9.2099999999999994E-3</v>
      </c>
      <c r="Z31" s="187">
        <f>ROUND(Y31*(1+'Revenue Requirement'!AA$47),5)</f>
        <v>9.2999999999999992E-3</v>
      </c>
      <c r="AA31" s="187">
        <f>ROUND(Z31*(1+'Revenue Requirement'!AB$47),5)</f>
        <v>9.3900000000000008E-3</v>
      </c>
      <c r="AB31" s="187">
        <f>ROUND(AA31*(1+'Revenue Requirement'!AC$47),5)</f>
        <v>9.4900000000000002E-3</v>
      </c>
      <c r="AC31" s="187">
        <f>ROUND(AB31*(1+'Revenue Requirement'!AD$47),5)</f>
        <v>9.5899999999999996E-3</v>
      </c>
      <c r="AD31" s="187">
        <f>ROUND(AC31*(1+'Revenue Requirement'!AE$47),5)</f>
        <v>9.7000000000000003E-3</v>
      </c>
      <c r="AE31" s="187">
        <f>ROUND(AD31*(1+'Revenue Requirement'!AF$47),5)</f>
        <v>9.8099999999999993E-3</v>
      </c>
      <c r="AF31" s="187">
        <f>ROUND(AE31*(1+'Revenue Requirement'!AG$47),5)</f>
        <v>9.9299999999999996E-3</v>
      </c>
      <c r="AG31" s="187">
        <f>ROUND(AF31*(1+'Revenue Requirement'!AH$47),5)</f>
        <v>1.005E-2</v>
      </c>
      <c r="AH31" s="187">
        <f>ROUND(AG31*(1+'Revenue Requirement'!AI$47),5)</f>
        <v>1.018E-2</v>
      </c>
      <c r="AI31" s="187">
        <f>ROUND(AH31*(1+'Revenue Requirement'!AJ$47),5)</f>
        <v>1.018E-2</v>
      </c>
      <c r="AJ31" s="187">
        <f>ROUND(AI31*(1+'Revenue Requirement'!AK$47),5)</f>
        <v>1.018E-2</v>
      </c>
      <c r="AK31" s="187">
        <f>ROUND(AJ31*(1+'Revenue Requirement'!AL$47),5)</f>
        <v>1.018E-2</v>
      </c>
      <c r="AL31" s="187">
        <f>ROUND(AK31*(1+'Revenue Requirement'!AM$47),5)</f>
        <v>1.018E-2</v>
      </c>
      <c r="AM31" s="187">
        <f>ROUND(AL31*(1+'Revenue Requirement'!AN$47),5)</f>
        <v>1.018E-2</v>
      </c>
      <c r="AN31" s="187">
        <f>ROUND(AM31*(1+'Revenue Requirement'!AO$47),5)</f>
        <v>1.0330000000000001E-2</v>
      </c>
      <c r="AO31" s="187">
        <f>ROUND(AN31*(1+'Revenue Requirement'!AP$47),5)</f>
        <v>1.052E-2</v>
      </c>
      <c r="AP31" s="187">
        <f>ROUND(AO31*(1+'Revenue Requirement'!AQ$47),5)</f>
        <v>1.072E-2</v>
      </c>
      <c r="AQ31" s="187">
        <f>ROUND(AP31*(1+'Revenue Requirement'!AR$47),5)</f>
        <v>1.0919999999999999E-2</v>
      </c>
    </row>
    <row r="32" spans="1:43" x14ac:dyDescent="0.4">
      <c r="E32" s="1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x14ac:dyDescent="0.4">
      <c r="A33" s="14" t="s">
        <v>276</v>
      </c>
      <c r="E33" s="1"/>
    </row>
    <row r="34" spans="1:43" x14ac:dyDescent="0.4">
      <c r="A34" s="1" t="s">
        <v>277</v>
      </c>
      <c r="B34" s="1"/>
      <c r="C34" s="1"/>
      <c r="D34" s="186">
        <f>D27</f>
        <v>30.44</v>
      </c>
      <c r="E34" s="186">
        <f t="shared" ref="E34:AQ34" si="2">E27</f>
        <v>30.98</v>
      </c>
      <c r="F34" s="186">
        <f t="shared" si="2"/>
        <v>34.57</v>
      </c>
      <c r="G34" s="186">
        <f t="shared" si="2"/>
        <v>37.17</v>
      </c>
      <c r="H34" s="186">
        <f t="shared" si="2"/>
        <v>37.17</v>
      </c>
      <c r="I34" s="186">
        <f t="shared" si="2"/>
        <v>37.17</v>
      </c>
      <c r="J34" s="186">
        <f t="shared" si="2"/>
        <v>37.17</v>
      </c>
      <c r="K34" s="186">
        <f t="shared" si="2"/>
        <v>37.17</v>
      </c>
      <c r="L34" s="186">
        <f t="shared" si="2"/>
        <v>37.17</v>
      </c>
      <c r="M34" s="186">
        <f t="shared" si="2"/>
        <v>37.17</v>
      </c>
      <c r="N34" s="186">
        <f t="shared" si="2"/>
        <v>37.17</v>
      </c>
      <c r="O34" s="186">
        <f t="shared" si="2"/>
        <v>37.17</v>
      </c>
      <c r="P34" s="186">
        <f t="shared" si="2"/>
        <v>37.17</v>
      </c>
      <c r="Q34" s="186">
        <f t="shared" si="2"/>
        <v>37.17</v>
      </c>
      <c r="R34" s="186">
        <f t="shared" si="2"/>
        <v>37.17</v>
      </c>
      <c r="S34" s="186">
        <f t="shared" si="2"/>
        <v>37.17</v>
      </c>
      <c r="T34" s="186">
        <f t="shared" si="2"/>
        <v>37.17</v>
      </c>
      <c r="U34" s="186">
        <f t="shared" si="2"/>
        <v>37.17</v>
      </c>
      <c r="V34" s="186">
        <f t="shared" si="2"/>
        <v>37.17</v>
      </c>
      <c r="W34" s="186">
        <f t="shared" si="2"/>
        <v>37.17</v>
      </c>
      <c r="X34" s="186">
        <f t="shared" si="2"/>
        <v>37.17</v>
      </c>
      <c r="Y34" s="186">
        <f t="shared" si="2"/>
        <v>37.409999999999997</v>
      </c>
      <c r="Z34" s="186">
        <f t="shared" si="2"/>
        <v>37.79</v>
      </c>
      <c r="AA34" s="186">
        <f t="shared" si="2"/>
        <v>38.159999999999997</v>
      </c>
      <c r="AB34" s="186">
        <f t="shared" si="2"/>
        <v>38.56</v>
      </c>
      <c r="AC34" s="186">
        <f t="shared" si="2"/>
        <v>38.97</v>
      </c>
      <c r="AD34" s="186">
        <f t="shared" si="2"/>
        <v>39.409999999999997</v>
      </c>
      <c r="AE34" s="186">
        <f t="shared" si="2"/>
        <v>39.880000000000003</v>
      </c>
      <c r="AF34" s="186">
        <f t="shared" si="2"/>
        <v>40.369999999999997</v>
      </c>
      <c r="AG34" s="186">
        <f t="shared" si="2"/>
        <v>40.869999999999997</v>
      </c>
      <c r="AH34" s="186">
        <f t="shared" si="2"/>
        <v>41.39</v>
      </c>
      <c r="AI34" s="186">
        <f t="shared" si="2"/>
        <v>41.39</v>
      </c>
      <c r="AJ34" s="186">
        <f t="shared" si="2"/>
        <v>41.39</v>
      </c>
      <c r="AK34" s="186">
        <f t="shared" si="2"/>
        <v>41.39</v>
      </c>
      <c r="AL34" s="186">
        <f t="shared" si="2"/>
        <v>41.39</v>
      </c>
      <c r="AM34" s="186">
        <f t="shared" si="2"/>
        <v>41.39</v>
      </c>
      <c r="AN34" s="186">
        <f t="shared" si="2"/>
        <v>41.99</v>
      </c>
      <c r="AO34" s="186">
        <f t="shared" si="2"/>
        <v>42.78</v>
      </c>
      <c r="AP34" s="186">
        <f t="shared" si="2"/>
        <v>43.58</v>
      </c>
      <c r="AQ34" s="186">
        <f t="shared" si="2"/>
        <v>44.4</v>
      </c>
    </row>
    <row r="35" spans="1:43" x14ac:dyDescent="0.4">
      <c r="A35" s="1" t="s">
        <v>278</v>
      </c>
      <c r="B35" s="1"/>
      <c r="C35" s="1"/>
      <c r="D35" s="186">
        <f>D27+(1500*D28)</f>
        <v>45.844999999999999</v>
      </c>
      <c r="E35" s="186">
        <f t="shared" ref="E35:AQ35" si="3">E27+(1500*E28)</f>
        <v>46.655000000000001</v>
      </c>
      <c r="F35" s="186">
        <f t="shared" si="3"/>
        <v>52.06</v>
      </c>
      <c r="G35" s="186">
        <f t="shared" si="3"/>
        <v>55.980000000000004</v>
      </c>
      <c r="H35" s="186">
        <f t="shared" si="3"/>
        <v>55.980000000000004</v>
      </c>
      <c r="I35" s="186">
        <f t="shared" si="3"/>
        <v>55.980000000000004</v>
      </c>
      <c r="J35" s="186">
        <f t="shared" si="3"/>
        <v>55.980000000000004</v>
      </c>
      <c r="K35" s="186">
        <f t="shared" si="3"/>
        <v>55.980000000000004</v>
      </c>
      <c r="L35" s="186">
        <f t="shared" si="3"/>
        <v>55.980000000000004</v>
      </c>
      <c r="M35" s="186">
        <f t="shared" si="3"/>
        <v>55.980000000000004</v>
      </c>
      <c r="N35" s="186">
        <f t="shared" si="3"/>
        <v>55.980000000000004</v>
      </c>
      <c r="O35" s="186">
        <f t="shared" si="3"/>
        <v>55.980000000000004</v>
      </c>
      <c r="P35" s="186">
        <f t="shared" si="3"/>
        <v>55.980000000000004</v>
      </c>
      <c r="Q35" s="186">
        <f t="shared" si="3"/>
        <v>55.980000000000004</v>
      </c>
      <c r="R35" s="186">
        <f t="shared" si="3"/>
        <v>55.980000000000004</v>
      </c>
      <c r="S35" s="186">
        <f t="shared" si="3"/>
        <v>55.980000000000004</v>
      </c>
      <c r="T35" s="186">
        <f t="shared" si="3"/>
        <v>55.980000000000004</v>
      </c>
      <c r="U35" s="186">
        <f t="shared" si="3"/>
        <v>55.980000000000004</v>
      </c>
      <c r="V35" s="186">
        <f t="shared" si="3"/>
        <v>55.980000000000004</v>
      </c>
      <c r="W35" s="186">
        <f t="shared" si="3"/>
        <v>55.980000000000004</v>
      </c>
      <c r="X35" s="186">
        <f t="shared" si="3"/>
        <v>55.980000000000004</v>
      </c>
      <c r="Y35" s="186">
        <f t="shared" si="3"/>
        <v>56.339999999999996</v>
      </c>
      <c r="Z35" s="186">
        <f t="shared" si="3"/>
        <v>56.914999999999999</v>
      </c>
      <c r="AA35" s="186">
        <f t="shared" si="3"/>
        <v>57.48</v>
      </c>
      <c r="AB35" s="186">
        <f t="shared" si="3"/>
        <v>58.09</v>
      </c>
      <c r="AC35" s="186">
        <f t="shared" si="3"/>
        <v>58.709999999999994</v>
      </c>
      <c r="AD35" s="186">
        <f t="shared" si="3"/>
        <v>59.375</v>
      </c>
      <c r="AE35" s="186">
        <f t="shared" si="3"/>
        <v>60.085000000000001</v>
      </c>
      <c r="AF35" s="186">
        <f t="shared" si="3"/>
        <v>60.83</v>
      </c>
      <c r="AG35" s="186">
        <f t="shared" si="3"/>
        <v>61.584999999999994</v>
      </c>
      <c r="AH35" s="186">
        <f t="shared" si="3"/>
        <v>62.375</v>
      </c>
      <c r="AI35" s="186">
        <f t="shared" si="3"/>
        <v>62.375</v>
      </c>
      <c r="AJ35" s="186">
        <f t="shared" si="3"/>
        <v>62.375</v>
      </c>
      <c r="AK35" s="186">
        <f t="shared" si="3"/>
        <v>62.375</v>
      </c>
      <c r="AL35" s="186">
        <f t="shared" si="3"/>
        <v>62.375</v>
      </c>
      <c r="AM35" s="186">
        <f t="shared" si="3"/>
        <v>62.375</v>
      </c>
      <c r="AN35" s="186">
        <f t="shared" si="3"/>
        <v>63.275000000000006</v>
      </c>
      <c r="AO35" s="186">
        <f t="shared" si="3"/>
        <v>64.47</v>
      </c>
      <c r="AP35" s="186">
        <f t="shared" si="3"/>
        <v>65.674999999999997</v>
      </c>
      <c r="AQ35" s="186">
        <f t="shared" si="3"/>
        <v>66.914999999999992</v>
      </c>
    </row>
    <row r="36" spans="1:43" x14ac:dyDescent="0.4">
      <c r="D36" s="18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</sheetData>
  <mergeCells count="6">
    <mergeCell ref="A23:K23"/>
    <mergeCell ref="A1:K1"/>
    <mergeCell ref="A2:K2"/>
    <mergeCell ref="A3:K3"/>
    <mergeCell ref="A21:K21"/>
    <mergeCell ref="A22:K22"/>
  </mergeCells>
  <printOptions verticalCentered="1"/>
  <pageMargins left="0.7" right="0.7" top="0.75" bottom="0.75" header="0.3" footer="0.3"/>
  <pageSetup scale="65" fitToWidth="5" fitToHeight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D36D-74F5-40DB-B4C5-E1780762B82C}">
  <dimension ref="A1:AS45"/>
  <sheetViews>
    <sheetView workbookViewId="0">
      <selection sqref="A1:K1"/>
    </sheetView>
  </sheetViews>
  <sheetFormatPr defaultRowHeight="15" x14ac:dyDescent="0.35"/>
  <cols>
    <col min="1" max="1" width="3.6875" customWidth="1"/>
    <col min="2" max="2" width="2.6875" customWidth="1"/>
    <col min="3" max="3" width="30.6875" customWidth="1"/>
    <col min="4" max="45" width="12.6875" customWidth="1"/>
  </cols>
  <sheetData>
    <row r="1" spans="1:45" s="217" customFormat="1" ht="18.45" x14ac:dyDescent="0.4">
      <c r="A1" s="236" t="s">
        <v>280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45" s="217" customFormat="1" ht="18.45" x14ac:dyDescent="0.4">
      <c r="A2" s="236" t="str">
        <f>'Plan Inputs'!F2</f>
        <v>2026-2065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45" s="217" customFormat="1" ht="15.9" x14ac:dyDescent="0.4">
      <c r="A3" s="235" t="s">
        <v>91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45" s="217" customFormat="1" ht="15.9" x14ac:dyDescent="0.4">
      <c r="A4" s="218"/>
      <c r="B4" s="218"/>
      <c r="C4" s="218"/>
      <c r="D4" s="218"/>
      <c r="E4" s="218"/>
      <c r="F4" s="218"/>
      <c r="G4" s="218"/>
      <c r="H4" s="218"/>
      <c r="I4" s="218"/>
      <c r="J4" s="218"/>
    </row>
    <row r="5" spans="1:45" s="217" customFormat="1" ht="14.6" x14ac:dyDescent="0.4">
      <c r="A5" s="219"/>
      <c r="B5" s="220"/>
      <c r="C5" s="220"/>
      <c r="D5" s="220"/>
      <c r="E5" s="220"/>
      <c r="F5" s="220"/>
    </row>
    <row r="6" spans="1:45" s="217" customFormat="1" ht="14.6" x14ac:dyDescent="0.4">
      <c r="A6" s="219"/>
      <c r="B6" s="220"/>
      <c r="C6" s="220"/>
      <c r="D6" s="220"/>
      <c r="E6" s="220"/>
      <c r="F6" s="221">
        <f>'Plan Inputs'!F5</f>
        <v>2026</v>
      </c>
      <c r="G6" s="221">
        <f>'Plan Inputs'!G5</f>
        <v>2027</v>
      </c>
      <c r="H6" s="221">
        <f>'Plan Inputs'!H5</f>
        <v>2028</v>
      </c>
      <c r="I6" s="221">
        <f>'Plan Inputs'!I5</f>
        <v>2029</v>
      </c>
      <c r="J6" s="221">
        <f>'Plan Inputs'!J5</f>
        <v>2030</v>
      </c>
      <c r="K6" s="221">
        <f>'Plan Inputs'!K5</f>
        <v>2031</v>
      </c>
      <c r="L6" s="221">
        <f>'Plan Inputs'!L5</f>
        <v>2032</v>
      </c>
      <c r="M6" s="221">
        <f>'Plan Inputs'!M5</f>
        <v>2033</v>
      </c>
      <c r="N6" s="221">
        <f>'Plan Inputs'!N5</f>
        <v>2034</v>
      </c>
      <c r="O6" s="221">
        <f>'Plan Inputs'!O5</f>
        <v>2035</v>
      </c>
      <c r="P6" s="221">
        <f>'Plan Inputs'!P5</f>
        <v>2036</v>
      </c>
      <c r="Q6" s="221">
        <f>'Plan Inputs'!Q5</f>
        <v>2037</v>
      </c>
      <c r="R6" s="221">
        <f>'Plan Inputs'!R5</f>
        <v>2038</v>
      </c>
      <c r="S6" s="221">
        <f>'Plan Inputs'!S5</f>
        <v>2039</v>
      </c>
      <c r="T6" s="221">
        <f>'Plan Inputs'!T5</f>
        <v>2040</v>
      </c>
      <c r="U6" s="221">
        <f>'Plan Inputs'!U5</f>
        <v>2041</v>
      </c>
      <c r="V6" s="221">
        <f>'Plan Inputs'!V5</f>
        <v>2042</v>
      </c>
      <c r="W6" s="221">
        <f>'Plan Inputs'!W5</f>
        <v>2043</v>
      </c>
      <c r="X6" s="221">
        <f>'Plan Inputs'!X5</f>
        <v>2044</v>
      </c>
      <c r="Y6" s="221">
        <f>'Plan Inputs'!Y5</f>
        <v>2045</v>
      </c>
      <c r="Z6" s="221">
        <f>'Plan Inputs'!Z5</f>
        <v>2046</v>
      </c>
      <c r="AA6" s="221">
        <f>'Plan Inputs'!AA5</f>
        <v>2047</v>
      </c>
      <c r="AB6" s="221">
        <f>'Plan Inputs'!AB5</f>
        <v>2048</v>
      </c>
      <c r="AC6" s="221">
        <f>'Plan Inputs'!AC5</f>
        <v>2049</v>
      </c>
      <c r="AD6" s="221">
        <f>'Plan Inputs'!AD5</f>
        <v>2050</v>
      </c>
      <c r="AE6" s="221">
        <f>'Plan Inputs'!AE5</f>
        <v>2051</v>
      </c>
      <c r="AF6" s="221">
        <f>'Plan Inputs'!AF5</f>
        <v>2052</v>
      </c>
      <c r="AG6" s="221">
        <f>'Plan Inputs'!AG5</f>
        <v>2053</v>
      </c>
      <c r="AH6" s="221">
        <f>'Plan Inputs'!AH5</f>
        <v>2054</v>
      </c>
      <c r="AI6" s="221">
        <f>'Plan Inputs'!AI5</f>
        <v>2055</v>
      </c>
      <c r="AJ6" s="221">
        <f>'Plan Inputs'!AJ5</f>
        <v>2056</v>
      </c>
      <c r="AK6" s="221">
        <f>'Plan Inputs'!AK5</f>
        <v>2057</v>
      </c>
      <c r="AL6" s="221">
        <f>'Plan Inputs'!AL5</f>
        <v>2058</v>
      </c>
      <c r="AM6" s="221">
        <f>'Plan Inputs'!AM5</f>
        <v>2059</v>
      </c>
      <c r="AN6" s="221">
        <f>'Plan Inputs'!AN5</f>
        <v>2060</v>
      </c>
      <c r="AO6" s="221">
        <f>'Plan Inputs'!AO5</f>
        <v>2061</v>
      </c>
      <c r="AP6" s="221">
        <f>'Plan Inputs'!AP5</f>
        <v>2062</v>
      </c>
      <c r="AQ6" s="221">
        <f>'Plan Inputs'!AQ5</f>
        <v>2063</v>
      </c>
      <c r="AR6" s="221">
        <f>'Plan Inputs'!AR5</f>
        <v>2064</v>
      </c>
      <c r="AS6" s="221">
        <f>'Plan Inputs'!AS5</f>
        <v>2065</v>
      </c>
    </row>
    <row r="7" spans="1:45" s="217" customFormat="1" ht="14.6" x14ac:dyDescent="0.4">
      <c r="A7" s="222" t="s">
        <v>231</v>
      </c>
      <c r="B7" s="23"/>
      <c r="C7" s="23"/>
      <c r="D7" s="23"/>
      <c r="E7" s="23"/>
      <c r="F7" s="217">
        <f>'Revenue Requirement'!F18</f>
        <v>5425006.1882000007</v>
      </c>
      <c r="G7" s="217">
        <f>'Revenue Requirement'!G18</f>
        <v>6251040.1831999999</v>
      </c>
      <c r="H7" s="217">
        <f>'Revenue Requirement'!H18</f>
        <v>6772161.0018636361</v>
      </c>
      <c r="I7" s="217">
        <f>'Revenue Requirement'!I18</f>
        <v>6904265.0924636368</v>
      </c>
      <c r="J7" s="217">
        <f>'Revenue Requirement'!J18</f>
        <v>7035898.9030636363</v>
      </c>
      <c r="K7" s="217">
        <f>'Revenue Requirement'!K18</f>
        <v>7054947.2986636367</v>
      </c>
      <c r="L7" s="217">
        <f>'Revenue Requirement'!L18</f>
        <v>7137368.8694636365</v>
      </c>
      <c r="M7" s="217">
        <f>'Revenue Requirement'!M18</f>
        <v>7290744.5187636372</v>
      </c>
      <c r="N7" s="217">
        <f>'Revenue Requirement'!N18</f>
        <v>7385563.6013636375</v>
      </c>
      <c r="O7" s="217">
        <f>'Revenue Requirement'!O18</f>
        <v>7488611.1933636367</v>
      </c>
      <c r="P7" s="217">
        <f>'Revenue Requirement'!P18</f>
        <v>7666840.2685636356</v>
      </c>
      <c r="Q7" s="217">
        <f>'Revenue Requirement'!Q18</f>
        <v>7842537.4257636368</v>
      </c>
      <c r="R7" s="217">
        <f>'Revenue Requirement'!R18</f>
        <v>8046558.2457636371</v>
      </c>
      <c r="S7" s="217">
        <f>'Revenue Requirement'!S18</f>
        <v>8260734.6357636368</v>
      </c>
      <c r="T7" s="217">
        <f>'Revenue Requirement'!T18</f>
        <v>8487746.2257636376</v>
      </c>
      <c r="U7" s="217">
        <f>'Revenue Requirement'!U18</f>
        <v>8727207.5257636365</v>
      </c>
      <c r="V7" s="217">
        <f>'Revenue Requirement'!V18</f>
        <v>8980106.7557636369</v>
      </c>
      <c r="W7" s="217">
        <f>'Revenue Requirement'!W18</f>
        <v>9247578.8057636358</v>
      </c>
      <c r="X7" s="217">
        <f>'Revenue Requirement'!X18</f>
        <v>9548382.8157636374</v>
      </c>
      <c r="Y7" s="217">
        <f>'Revenue Requirement'!Y18</f>
        <v>9870849.545763636</v>
      </c>
      <c r="Z7" s="217">
        <f>'Revenue Requirement'!Z18</f>
        <v>10213314.885763636</v>
      </c>
      <c r="AA7" s="217">
        <f>'Revenue Requirement'!AA18</f>
        <v>10575092.345763637</v>
      </c>
      <c r="AB7" s="217">
        <f>'Revenue Requirement'!AB18</f>
        <v>10958249.555763636</v>
      </c>
      <c r="AC7" s="217">
        <f>'Revenue Requirement'!AC18</f>
        <v>11364829.095763637</v>
      </c>
      <c r="AD7" s="217">
        <f>'Revenue Requirement'!AD18</f>
        <v>11796203.865763636</v>
      </c>
      <c r="AE7" s="217">
        <f>'Revenue Requirement'!AE18</f>
        <v>12250153.155763637</v>
      </c>
      <c r="AF7" s="217">
        <f>'Revenue Requirement'!AF18</f>
        <v>12728705.715763636</v>
      </c>
      <c r="AG7" s="217">
        <f>'Revenue Requirement'!AG18</f>
        <v>13232624.115763636</v>
      </c>
      <c r="AH7" s="217">
        <f>'Revenue Requirement'!AH18</f>
        <v>13763176.685763637</v>
      </c>
      <c r="AI7" s="217">
        <f>'Revenue Requirement'!AI18</f>
        <v>14213040.567581818</v>
      </c>
      <c r="AJ7" s="217">
        <f>'Revenue Requirement'!AJ18</f>
        <v>15489746.764866803</v>
      </c>
      <c r="AK7" s="217">
        <f>'Revenue Requirement'!AK18</f>
        <v>15499431.433496896</v>
      </c>
      <c r="AL7" s="217">
        <f>'Revenue Requirement'!AL18</f>
        <v>16124658.203496896</v>
      </c>
      <c r="AM7" s="217">
        <f>'Revenue Requirement'!AM18</f>
        <v>16789531.113496896</v>
      </c>
      <c r="AN7" s="217">
        <f>'Revenue Requirement'!AN18</f>
        <v>17493905.813496895</v>
      </c>
      <c r="AO7" s="217">
        <f>'Revenue Requirement'!AO18</f>
        <v>18236618.523496896</v>
      </c>
      <c r="AP7" s="217">
        <f>'Revenue Requirement'!AP18</f>
        <v>19018136.403496895</v>
      </c>
      <c r="AQ7" s="217">
        <f>'Revenue Requirement'!AQ18</f>
        <v>19840210.373496898</v>
      </c>
      <c r="AR7" s="217">
        <f>'Revenue Requirement'!AR18</f>
        <v>20710166.283496898</v>
      </c>
      <c r="AS7" s="217">
        <f>'Revenue Requirement'!AS18</f>
        <v>21441847.343496896</v>
      </c>
    </row>
    <row r="8" spans="1:45" s="217" customFormat="1" ht="14.6" x14ac:dyDescent="0.4">
      <c r="A8" s="31" t="s">
        <v>281</v>
      </c>
      <c r="B8" s="23"/>
      <c r="C8" s="23"/>
      <c r="D8" s="223">
        <v>0</v>
      </c>
      <c r="E8" s="200">
        <f>NPV(D8,F7:AS7)</f>
        <v>457163791.3466388</v>
      </c>
    </row>
    <row r="9" spans="1:45" s="217" customFormat="1" ht="14.6" x14ac:dyDescent="0.4">
      <c r="A9" s="31"/>
      <c r="B9" s="23"/>
      <c r="C9" s="23"/>
      <c r="D9" s="223">
        <v>0.04</v>
      </c>
      <c r="E9" s="200">
        <f>NPV(D9,F7:AS7)</f>
        <v>191241577.08938977</v>
      </c>
    </row>
    <row r="10" spans="1:45" s="217" customFormat="1" ht="14.6" x14ac:dyDescent="0.4">
      <c r="A10" s="31"/>
      <c r="B10" s="23"/>
      <c r="C10" s="23"/>
      <c r="D10" s="224">
        <v>4.4999999999999998E-2</v>
      </c>
      <c r="E10" s="200">
        <f>NPV(D10,F7:AS7)</f>
        <v>174412302.92451593</v>
      </c>
    </row>
    <row r="11" spans="1:45" s="217" customFormat="1" ht="14.6" x14ac:dyDescent="0.4">
      <c r="A11" s="31"/>
      <c r="B11" s="23"/>
      <c r="C11" s="23"/>
      <c r="D11" s="224">
        <v>0.05</v>
      </c>
      <c r="E11" s="200">
        <f>NPV(D11,F7:AS7)</f>
        <v>159631239.73781854</v>
      </c>
    </row>
    <row r="12" spans="1:45" s="217" customFormat="1" ht="14.6" x14ac:dyDescent="0.4">
      <c r="A12" s="31"/>
      <c r="B12" s="23"/>
      <c r="C12" s="23"/>
      <c r="D12" s="224">
        <v>5.5E-2</v>
      </c>
      <c r="E12" s="200">
        <f>NPV(D12,F7:AS7)</f>
        <v>146611478.36683345</v>
      </c>
    </row>
    <row r="13" spans="1:45" s="217" customFormat="1" ht="14.6" x14ac:dyDescent="0.4">
      <c r="A13" s="31"/>
      <c r="B13" s="23"/>
      <c r="C13" s="23"/>
      <c r="D13" s="23"/>
      <c r="E13" s="23"/>
    </row>
    <row r="14" spans="1:45" s="27" customFormat="1" ht="14.6" x14ac:dyDescent="0.4">
      <c r="A14" s="27" t="s">
        <v>239</v>
      </c>
      <c r="F14" s="217">
        <f>'Revenue Requirement'!F18-'Revenue Requirement'!F9-'Revenue Requirement'!F10</f>
        <v>4805094.1882000007</v>
      </c>
      <c r="G14" s="217">
        <f>'Revenue Requirement'!G18-'Revenue Requirement'!G9-'Revenue Requirement'!G10</f>
        <v>5631128.1831999999</v>
      </c>
      <c r="H14" s="217">
        <f>'Revenue Requirement'!H18-'Revenue Requirement'!H9-'Revenue Requirement'!H10</f>
        <v>5567181.3654999994</v>
      </c>
      <c r="I14" s="217">
        <f>'Revenue Requirement'!I18-'Revenue Requirement'!I9-'Revenue Requirement'!I10</f>
        <v>5699285.4561000001</v>
      </c>
      <c r="J14" s="217">
        <f>'Revenue Requirement'!J18-'Revenue Requirement'!J9-'Revenue Requirement'!J10</f>
        <v>5830919.2666999996</v>
      </c>
      <c r="K14" s="217">
        <f>'Revenue Requirement'!K18-'Revenue Requirement'!K9-'Revenue Requirement'!K10</f>
        <v>5849967.6623</v>
      </c>
      <c r="L14" s="217">
        <f>'Revenue Requirement'!L18-'Revenue Requirement'!L9-'Revenue Requirement'!L10</f>
        <v>5932389.2330999998</v>
      </c>
      <c r="M14" s="217">
        <f>'Revenue Requirement'!M18-'Revenue Requirement'!M9-'Revenue Requirement'!M10</f>
        <v>6085764.8824000005</v>
      </c>
      <c r="N14" s="217">
        <f>'Revenue Requirement'!N18-'Revenue Requirement'!N9-'Revenue Requirement'!N10</f>
        <v>6180583.9650000008</v>
      </c>
      <c r="O14" s="217">
        <f>'Revenue Requirement'!O18-'Revenue Requirement'!O9-'Revenue Requirement'!O10</f>
        <v>6283631.557</v>
      </c>
      <c r="P14" s="217">
        <f>'Revenue Requirement'!P18-'Revenue Requirement'!P9-'Revenue Requirement'!P10</f>
        <v>6461860.6321999989</v>
      </c>
      <c r="Q14" s="217">
        <f>'Revenue Requirement'!Q18-'Revenue Requirement'!Q9-'Revenue Requirement'!Q10</f>
        <v>6637557.7894000001</v>
      </c>
      <c r="R14" s="217">
        <f>'Revenue Requirement'!R18-'Revenue Requirement'!R9-'Revenue Requirement'!R10</f>
        <v>6841578.6094000004</v>
      </c>
      <c r="S14" s="217">
        <f>'Revenue Requirement'!S18-'Revenue Requirement'!S9-'Revenue Requirement'!S10</f>
        <v>7055754.9994000001</v>
      </c>
      <c r="T14" s="217">
        <f>'Revenue Requirement'!T18-'Revenue Requirement'!T9-'Revenue Requirement'!T10</f>
        <v>7282766.5894000009</v>
      </c>
      <c r="U14" s="217">
        <f>'Revenue Requirement'!U18-'Revenue Requirement'!U9-'Revenue Requirement'!U10</f>
        <v>7522227.8893999998</v>
      </c>
      <c r="V14" s="217">
        <f>'Revenue Requirement'!V18-'Revenue Requirement'!V9-'Revenue Requirement'!V10</f>
        <v>7775127.1194000002</v>
      </c>
      <c r="W14" s="217">
        <f>'Revenue Requirement'!W18-'Revenue Requirement'!W9-'Revenue Requirement'!W10</f>
        <v>8042599.1693999991</v>
      </c>
      <c r="X14" s="217">
        <f>'Revenue Requirement'!X18-'Revenue Requirement'!X9-'Revenue Requirement'!X10</f>
        <v>8343403.1794000007</v>
      </c>
      <c r="Y14" s="217">
        <f>'Revenue Requirement'!Y18-'Revenue Requirement'!Y9-'Revenue Requirement'!Y10</f>
        <v>8665869.9093999993</v>
      </c>
      <c r="Z14" s="217">
        <f>'Revenue Requirement'!Z18-'Revenue Requirement'!Z9-'Revenue Requirement'!Z10</f>
        <v>9008335.2493999992</v>
      </c>
      <c r="AA14" s="217">
        <f>'Revenue Requirement'!AA18-'Revenue Requirement'!AA9-'Revenue Requirement'!AA10</f>
        <v>9370112.7094000001</v>
      </c>
      <c r="AB14" s="217">
        <f>'Revenue Requirement'!AB18-'Revenue Requirement'!AB9-'Revenue Requirement'!AB10</f>
        <v>9753269.9193999991</v>
      </c>
      <c r="AC14" s="217">
        <f>'Revenue Requirement'!AC18-'Revenue Requirement'!AC9-'Revenue Requirement'!AC10</f>
        <v>10159849.4594</v>
      </c>
      <c r="AD14" s="217">
        <f>'Revenue Requirement'!AD18-'Revenue Requirement'!AD9-'Revenue Requirement'!AD10</f>
        <v>10591224.2294</v>
      </c>
      <c r="AE14" s="217">
        <f>'Revenue Requirement'!AE18-'Revenue Requirement'!AE9-'Revenue Requirement'!AE10</f>
        <v>11045173.519400001</v>
      </c>
      <c r="AF14" s="217">
        <f>'Revenue Requirement'!AF18-'Revenue Requirement'!AF9-'Revenue Requirement'!AF10</f>
        <v>11523726.079399999</v>
      </c>
      <c r="AG14" s="217">
        <f>'Revenue Requirement'!AG18-'Revenue Requirement'!AG9-'Revenue Requirement'!AG10</f>
        <v>12027644.4794</v>
      </c>
      <c r="AH14" s="217">
        <f>'Revenue Requirement'!AH18-'Revenue Requirement'!AH9-'Revenue Requirement'!AH10</f>
        <v>12558197.0494</v>
      </c>
      <c r="AI14" s="217">
        <f>'Revenue Requirement'!AI18-'Revenue Requirement'!AI9-'Revenue Requirement'!AI10</f>
        <v>13115962.749399999</v>
      </c>
      <c r="AJ14" s="217">
        <f>'Revenue Requirement'!AJ18-'Revenue Requirement'!AJ9-'Revenue Requirement'!AJ10</f>
        <v>13800633.788030095</v>
      </c>
      <c r="AK14" s="217">
        <f>'Revenue Requirement'!AK18-'Revenue Requirement'!AK9-'Revenue Requirement'!AK10</f>
        <v>13810318.456660189</v>
      </c>
      <c r="AL14" s="217">
        <f>'Revenue Requirement'!AL18-'Revenue Requirement'!AL9-'Revenue Requirement'!AL10</f>
        <v>14435545.226660188</v>
      </c>
      <c r="AM14" s="217">
        <f>'Revenue Requirement'!AM18-'Revenue Requirement'!AM9-'Revenue Requirement'!AM10</f>
        <v>15100418.136660188</v>
      </c>
      <c r="AN14" s="217">
        <f>'Revenue Requirement'!AN18-'Revenue Requirement'!AN9-'Revenue Requirement'!AN10</f>
        <v>15804792.836660188</v>
      </c>
      <c r="AO14" s="217">
        <f>'Revenue Requirement'!AO18-'Revenue Requirement'!AO9-'Revenue Requirement'!AO10</f>
        <v>16547505.546660189</v>
      </c>
      <c r="AP14" s="217">
        <f>'Revenue Requirement'!AP18-'Revenue Requirement'!AP9-'Revenue Requirement'!AP10</f>
        <v>17329023.426660188</v>
      </c>
      <c r="AQ14" s="217">
        <f>'Revenue Requirement'!AQ18-'Revenue Requirement'!AQ9-'Revenue Requirement'!AQ10</f>
        <v>18151097.39666019</v>
      </c>
      <c r="AR14" s="217">
        <f>'Revenue Requirement'!AR18-'Revenue Requirement'!AR9-'Revenue Requirement'!AR10</f>
        <v>19021053.30666019</v>
      </c>
      <c r="AS14" s="217">
        <f>'Revenue Requirement'!AS18-'Revenue Requirement'!AS9-'Revenue Requirement'!AS10</f>
        <v>19937366.366660189</v>
      </c>
    </row>
    <row r="15" spans="1:45" s="27" customFormat="1" ht="14.6" x14ac:dyDescent="0.4">
      <c r="A15" s="31" t="s">
        <v>281</v>
      </c>
      <c r="B15" s="23"/>
      <c r="C15" s="23"/>
      <c r="D15" s="223">
        <v>0</v>
      </c>
      <c r="E15" s="200">
        <f>NPV(D15,F14:AS14)</f>
        <v>405585941.57827187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</row>
    <row r="16" spans="1:45" s="27" customFormat="1" ht="14.6" x14ac:dyDescent="0.4">
      <c r="A16" s="31"/>
      <c r="B16" s="23"/>
      <c r="C16" s="23"/>
      <c r="D16" s="223">
        <v>0.04</v>
      </c>
      <c r="E16" s="200">
        <f>NPV(D16,F14:AS14)</f>
        <v>167356213.64167029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</row>
    <row r="17" spans="1:45" s="27" customFormat="1" ht="14.6" x14ac:dyDescent="0.4">
      <c r="A17" s="31"/>
      <c r="B17" s="23"/>
      <c r="C17" s="23"/>
      <c r="D17" s="224">
        <v>4.4999999999999998E-2</v>
      </c>
      <c r="E17" s="200">
        <f>NPV(D17,F14:AS14)</f>
        <v>152372132.5308232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</row>
    <row r="18" spans="1:45" s="27" customFormat="1" ht="14.6" x14ac:dyDescent="0.4">
      <c r="A18" s="31"/>
      <c r="B18" s="23"/>
      <c r="C18" s="23"/>
      <c r="D18" s="224">
        <v>0.05</v>
      </c>
      <c r="E18" s="200">
        <f>NPV(D18,F14:AS14)</f>
        <v>139228993.46513996</v>
      </c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</row>
    <row r="19" spans="1:45" s="27" customFormat="1" ht="14.6" x14ac:dyDescent="0.4">
      <c r="A19" s="31"/>
      <c r="B19" s="23"/>
      <c r="C19" s="23"/>
      <c r="D19" s="224">
        <v>5.5E-2</v>
      </c>
      <c r="E19" s="200">
        <f>NPV(D19,F14:AS14)</f>
        <v>127667590.75230293</v>
      </c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</row>
    <row r="20" spans="1:45" s="27" customFormat="1" ht="14.6" x14ac:dyDescent="0.4">
      <c r="D20" s="197"/>
      <c r="E20" s="196"/>
    </row>
    <row r="21" spans="1:45" s="27" customFormat="1" ht="14.6" x14ac:dyDescent="0.4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</row>
    <row r="22" spans="1:45" s="27" customFormat="1" ht="15.45" x14ac:dyDescent="0.4">
      <c r="A22" s="26"/>
      <c r="B22" s="26"/>
      <c r="C22" s="26"/>
      <c r="D22" s="26"/>
      <c r="E22" s="26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s="27" customFormat="1" ht="15.45" x14ac:dyDescent="0.4">
      <c r="A23" s="178"/>
      <c r="B23" s="178"/>
      <c r="C23" s="178"/>
      <c r="D23" s="178"/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</row>
    <row r="24" spans="1:45" s="27" customFormat="1" ht="18.45" x14ac:dyDescent="0.4">
      <c r="A24" s="236" t="s">
        <v>282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</row>
    <row r="25" spans="1:45" s="27" customFormat="1" ht="18.45" x14ac:dyDescent="0.4">
      <c r="A25" s="236" t="str">
        <f>'Plan Inputs'!F2</f>
        <v>2026-2065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</row>
    <row r="26" spans="1:45" s="27" customFormat="1" ht="15.9" x14ac:dyDescent="0.4">
      <c r="A26" s="235" t="s">
        <v>163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</row>
    <row r="27" spans="1:45" s="27" customFormat="1" ht="15.9" x14ac:dyDescent="0.4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</row>
    <row r="28" spans="1:45" ht="15.45" x14ac:dyDescent="0.4">
      <c r="A28" s="219"/>
      <c r="B28" s="220"/>
      <c r="C28" s="220"/>
      <c r="D28" s="220"/>
      <c r="E28" s="220"/>
      <c r="F28" s="220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</row>
    <row r="29" spans="1:45" s="179" customFormat="1" ht="15.45" x14ac:dyDescent="0.4">
      <c r="A29" s="219"/>
      <c r="B29" s="220"/>
      <c r="C29" s="220"/>
      <c r="D29" s="220"/>
      <c r="E29" s="220"/>
      <c r="F29" s="221">
        <f>'Plan Inputs'!F5</f>
        <v>2026</v>
      </c>
      <c r="G29" s="221">
        <f>'Plan Inputs'!G5</f>
        <v>2027</v>
      </c>
      <c r="H29" s="221">
        <f>'Plan Inputs'!H5</f>
        <v>2028</v>
      </c>
      <c r="I29" s="221">
        <f>'Plan Inputs'!I5</f>
        <v>2029</v>
      </c>
      <c r="J29" s="221">
        <f>'Plan Inputs'!J5</f>
        <v>2030</v>
      </c>
      <c r="K29" s="221">
        <f>'Plan Inputs'!K5</f>
        <v>2031</v>
      </c>
      <c r="L29" s="221">
        <f>'Plan Inputs'!L5</f>
        <v>2032</v>
      </c>
      <c r="M29" s="221">
        <f>'Plan Inputs'!M5</f>
        <v>2033</v>
      </c>
      <c r="N29" s="221">
        <f>'Plan Inputs'!N5</f>
        <v>2034</v>
      </c>
      <c r="O29" s="221">
        <f>'Plan Inputs'!O5</f>
        <v>2035</v>
      </c>
      <c r="P29" s="221">
        <f>'Plan Inputs'!P5</f>
        <v>2036</v>
      </c>
      <c r="Q29" s="221">
        <f>'Plan Inputs'!Q5</f>
        <v>2037</v>
      </c>
      <c r="R29" s="221">
        <f>'Plan Inputs'!R5</f>
        <v>2038</v>
      </c>
      <c r="S29" s="221">
        <f>'Plan Inputs'!S5</f>
        <v>2039</v>
      </c>
      <c r="T29" s="221">
        <f>'Plan Inputs'!T5</f>
        <v>2040</v>
      </c>
      <c r="U29" s="221">
        <f>'Plan Inputs'!U5</f>
        <v>2041</v>
      </c>
      <c r="V29" s="221">
        <f>'Plan Inputs'!V5</f>
        <v>2042</v>
      </c>
      <c r="W29" s="221">
        <f>'Plan Inputs'!W5</f>
        <v>2043</v>
      </c>
      <c r="X29" s="221">
        <f>'Plan Inputs'!X5</f>
        <v>2044</v>
      </c>
      <c r="Y29" s="221">
        <f>'Plan Inputs'!Y5</f>
        <v>2045</v>
      </c>
      <c r="Z29" s="221">
        <f>'Plan Inputs'!Z5</f>
        <v>2046</v>
      </c>
      <c r="AA29" s="221">
        <f>'Plan Inputs'!AA5</f>
        <v>2047</v>
      </c>
      <c r="AB29" s="221">
        <f>'Plan Inputs'!AB5</f>
        <v>2048</v>
      </c>
      <c r="AC29" s="221">
        <f>'Plan Inputs'!AC5</f>
        <v>2049</v>
      </c>
      <c r="AD29" s="221">
        <f>'Plan Inputs'!AD5</f>
        <v>2050</v>
      </c>
      <c r="AE29" s="221">
        <f>'Plan Inputs'!AE5</f>
        <v>2051</v>
      </c>
      <c r="AF29" s="221">
        <f>'Plan Inputs'!AF5</f>
        <v>2052</v>
      </c>
      <c r="AG29" s="221">
        <f>'Plan Inputs'!AG5</f>
        <v>2053</v>
      </c>
      <c r="AH29" s="221">
        <f>'Plan Inputs'!AH5</f>
        <v>2054</v>
      </c>
      <c r="AI29" s="221">
        <f>'Plan Inputs'!AI5</f>
        <v>2055</v>
      </c>
      <c r="AJ29" s="221">
        <f>'Plan Inputs'!AJ5</f>
        <v>2056</v>
      </c>
      <c r="AK29" s="221">
        <f>'Plan Inputs'!AK5</f>
        <v>2057</v>
      </c>
      <c r="AL29" s="221">
        <f>'Plan Inputs'!AL5</f>
        <v>2058</v>
      </c>
      <c r="AM29" s="221">
        <f>'Plan Inputs'!AM5</f>
        <v>2059</v>
      </c>
      <c r="AN29" s="221">
        <f>'Plan Inputs'!AN5</f>
        <v>2060</v>
      </c>
      <c r="AO29" s="221">
        <f>'Plan Inputs'!AO5</f>
        <v>2061</v>
      </c>
      <c r="AP29" s="221">
        <f>'Plan Inputs'!AP5</f>
        <v>2062</v>
      </c>
      <c r="AQ29" s="221">
        <f>'Plan Inputs'!AQ5</f>
        <v>2063</v>
      </c>
      <c r="AR29" s="221">
        <f>'Plan Inputs'!AR5</f>
        <v>2064</v>
      </c>
      <c r="AS29" s="221">
        <f>'Plan Inputs'!AS5</f>
        <v>2065</v>
      </c>
    </row>
    <row r="30" spans="1:45" s="26" customFormat="1" ht="15.45" x14ac:dyDescent="0.4">
      <c r="A30" s="31" t="s">
        <v>231</v>
      </c>
      <c r="B30" s="23"/>
      <c r="C30" s="23"/>
      <c r="D30" s="23"/>
      <c r="E30" s="23"/>
      <c r="F30" s="217">
        <f>'Revenue Requirement'!F44</f>
        <v>5379276.8200000003</v>
      </c>
      <c r="G30" s="217">
        <f>'Revenue Requirement'!G44</f>
        <v>6152892.6799999997</v>
      </c>
      <c r="H30" s="217">
        <f>'Revenue Requirement'!H44</f>
        <v>6781762.5499999998</v>
      </c>
      <c r="I30" s="217">
        <f>'Revenue Requirement'!I44</f>
        <v>6907977.5099999998</v>
      </c>
      <c r="J30" s="217">
        <f>'Revenue Requirement'!J44</f>
        <v>7063923.5499999998</v>
      </c>
      <c r="K30" s="217">
        <f>'Revenue Requirement'!K44</f>
        <v>7054020.0099999998</v>
      </c>
      <c r="L30" s="217">
        <f>'Revenue Requirement'!L44</f>
        <v>7161812.0700000003</v>
      </c>
      <c r="M30" s="217">
        <f>'Revenue Requirement'!M44</f>
        <v>7345114.8600000003</v>
      </c>
      <c r="N30" s="217">
        <f>'Revenue Requirement'!N44</f>
        <v>7469374.4000000004</v>
      </c>
      <c r="O30" s="217">
        <f>'Revenue Requirement'!O44</f>
        <v>7602042.8000000007</v>
      </c>
      <c r="P30" s="217">
        <f>'Revenue Requirement'!P44</f>
        <v>7813551.7199999988</v>
      </c>
      <c r="Q30" s="217">
        <f>'Revenue Requirement'!Q44</f>
        <v>8016896</v>
      </c>
      <c r="R30" s="217">
        <f>'Revenue Requirement'!R44</f>
        <v>8252189</v>
      </c>
      <c r="S30" s="217">
        <f>'Revenue Requirement'!S44</f>
        <v>8497277</v>
      </c>
      <c r="T30" s="217">
        <f>'Revenue Requirement'!T44</f>
        <v>8758973</v>
      </c>
      <c r="U30" s="217">
        <f>'Revenue Requirement'!U44</f>
        <v>9031594</v>
      </c>
      <c r="V30" s="217">
        <f>'Revenue Requirement'!V44</f>
        <v>9322649</v>
      </c>
      <c r="W30" s="217">
        <f>'Revenue Requirement'!W44</f>
        <v>9626599</v>
      </c>
      <c r="X30" s="217">
        <f>'Revenue Requirement'!X44</f>
        <v>9949478</v>
      </c>
      <c r="Y30" s="217">
        <f>'Revenue Requirement'!Y44</f>
        <v>10286966</v>
      </c>
      <c r="Z30" s="217">
        <f>'Revenue Requirement'!Z44</f>
        <v>10645834</v>
      </c>
      <c r="AA30" s="217">
        <f>'Revenue Requirement'!AA44</f>
        <v>11021796</v>
      </c>
      <c r="AB30" s="217">
        <f>'Revenue Requirement'!AB44</f>
        <v>11409217</v>
      </c>
      <c r="AC30" s="217">
        <f>'Revenue Requirement'!AC44</f>
        <v>11818315</v>
      </c>
      <c r="AD30" s="217">
        <f>'Revenue Requirement'!AD44</f>
        <v>12242568</v>
      </c>
      <c r="AE30" s="217">
        <f>'Revenue Requirement'!AE44</f>
        <v>12690147</v>
      </c>
      <c r="AF30" s="217">
        <f>'Revenue Requirement'!AF44</f>
        <v>13161767</v>
      </c>
      <c r="AG30" s="217">
        <f>'Revenue Requirement'!AG44</f>
        <v>13658178</v>
      </c>
      <c r="AH30" s="217">
        <f>'Revenue Requirement'!AH44</f>
        <v>14172616</v>
      </c>
      <c r="AI30" s="217">
        <f>'Revenue Requirement'!AI44</f>
        <v>14713249</v>
      </c>
      <c r="AJ30" s="217">
        <f>'Revenue Requirement'!AJ44</f>
        <v>14635280</v>
      </c>
      <c r="AK30" s="217">
        <f>'Revenue Requirement'!AK44</f>
        <v>14591734</v>
      </c>
      <c r="AL30" s="217">
        <f>'Revenue Requirement'!AL44</f>
        <v>15211798</v>
      </c>
      <c r="AM30" s="217">
        <f>'Revenue Requirement'!AM44</f>
        <v>15870649</v>
      </c>
      <c r="AN30" s="217">
        <f>'Revenue Requirement'!AN44</f>
        <v>16569075</v>
      </c>
      <c r="AO30" s="217">
        <f>'Revenue Requirement'!AO44</f>
        <v>17308664</v>
      </c>
      <c r="AP30" s="217">
        <f>'Revenue Requirement'!AP44</f>
        <v>18072396</v>
      </c>
      <c r="AQ30" s="217">
        <f>'Revenue Requirement'!AQ44</f>
        <v>18869158</v>
      </c>
      <c r="AR30" s="217">
        <f>'Revenue Requirement'!AR44</f>
        <v>19704756</v>
      </c>
      <c r="AS30" s="217">
        <f>'Revenue Requirement'!AS44</f>
        <v>20581976</v>
      </c>
    </row>
    <row r="31" spans="1:45" s="26" customFormat="1" ht="15.45" x14ac:dyDescent="0.4">
      <c r="A31" s="31" t="s">
        <v>281</v>
      </c>
      <c r="B31" s="23"/>
      <c r="C31" s="23"/>
      <c r="D31" s="223">
        <v>0</v>
      </c>
      <c r="E31" s="200">
        <f>NPV(D31,F30:AS30)</f>
        <v>455423542.97000003</v>
      </c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</row>
    <row r="32" spans="1:45" s="26" customFormat="1" ht="15.45" x14ac:dyDescent="0.4">
      <c r="A32" s="31"/>
      <c r="B32" s="23"/>
      <c r="C32" s="23"/>
      <c r="D32" s="223">
        <v>0.04</v>
      </c>
      <c r="E32" s="200">
        <f>NPV(D32,F30:AS30)</f>
        <v>192195107.13457423</v>
      </c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</row>
    <row r="33" spans="1:45" s="26" customFormat="1" ht="15.45" x14ac:dyDescent="0.4">
      <c r="A33" s="31"/>
      <c r="B33" s="23"/>
      <c r="C33" s="23"/>
      <c r="D33" s="224">
        <v>4.4999999999999998E-2</v>
      </c>
      <c r="E33" s="200">
        <f>NPV(D33,F30:AS30)</f>
        <v>175416164.72153738</v>
      </c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</row>
    <row r="34" spans="1:45" s="26" customFormat="1" ht="15.45" x14ac:dyDescent="0.4">
      <c r="A34" s="31"/>
      <c r="B34" s="23"/>
      <c r="C34" s="23"/>
      <c r="D34" s="224">
        <v>0.05</v>
      </c>
      <c r="E34" s="200">
        <f>NPV(D34,F30:AS30)</f>
        <v>160659895.89815882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</row>
    <row r="35" spans="1:45" s="26" customFormat="1" ht="15.45" x14ac:dyDescent="0.4">
      <c r="A35" s="31"/>
      <c r="B35" s="23"/>
      <c r="C35" s="23"/>
      <c r="D35" s="224">
        <v>5.5E-2</v>
      </c>
      <c r="E35" s="200">
        <f>NPV(D35,F30:AS30)</f>
        <v>147645240.24093002</v>
      </c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</row>
    <row r="36" spans="1:45" s="26" customFormat="1" ht="15.45" x14ac:dyDescent="0.4">
      <c r="A36" s="31"/>
      <c r="B36" s="23"/>
      <c r="C36" s="23"/>
      <c r="D36" s="23"/>
      <c r="E36" s="23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</row>
    <row r="37" spans="1:45" s="26" customFormat="1" ht="15.45" x14ac:dyDescent="0.4">
      <c r="A37" s="27" t="s">
        <v>239</v>
      </c>
      <c r="B37" s="23"/>
      <c r="C37" s="23"/>
      <c r="D37" s="23"/>
      <c r="E37" s="23"/>
      <c r="F37" s="217">
        <f>'Revenue Requirement'!F44-'Revenue Requirement'!F35-'Revenue Requirement'!F36</f>
        <v>4759364.82</v>
      </c>
      <c r="G37" s="217">
        <f>'Revenue Requirement'!G44-'Revenue Requirement'!G35-'Revenue Requirement'!G36</f>
        <v>5532980.6799999997</v>
      </c>
      <c r="H37" s="217">
        <f>'Revenue Requirement'!H44-'Revenue Requirement'!H35-'Revenue Requirement'!H36</f>
        <v>5866250.5499999998</v>
      </c>
      <c r="I37" s="217">
        <f>'Revenue Requirement'!I44-'Revenue Requirement'!I35-'Revenue Requirement'!I36</f>
        <v>5992465.5099999998</v>
      </c>
      <c r="J37" s="217">
        <f>'Revenue Requirement'!J44-'Revenue Requirement'!J35-'Revenue Requirement'!J36</f>
        <v>6148411.5499999998</v>
      </c>
      <c r="K37" s="217">
        <f>'Revenue Requirement'!K44-'Revenue Requirement'!K35-'Revenue Requirement'!K36</f>
        <v>6138508.0099999998</v>
      </c>
      <c r="L37" s="217">
        <f>'Revenue Requirement'!L44-'Revenue Requirement'!L35-'Revenue Requirement'!L36</f>
        <v>6246300.0700000003</v>
      </c>
      <c r="M37" s="217">
        <f>'Revenue Requirement'!M44-'Revenue Requirement'!M35-'Revenue Requirement'!M36</f>
        <v>6429602.8600000003</v>
      </c>
      <c r="N37" s="217">
        <f>'Revenue Requirement'!N44-'Revenue Requirement'!N35-'Revenue Requirement'!N36</f>
        <v>6553862.4000000004</v>
      </c>
      <c r="O37" s="217">
        <f>'Revenue Requirement'!O44-'Revenue Requirement'!O35-'Revenue Requirement'!O36</f>
        <v>6686530.8000000007</v>
      </c>
      <c r="P37" s="217">
        <f>'Revenue Requirement'!P44-'Revenue Requirement'!P35-'Revenue Requirement'!P36</f>
        <v>6898039.7199999988</v>
      </c>
      <c r="Q37" s="217">
        <f>'Revenue Requirement'!Q44-'Revenue Requirement'!Q35-'Revenue Requirement'!Q36</f>
        <v>7101384</v>
      </c>
      <c r="R37" s="217">
        <f>'Revenue Requirement'!R44-'Revenue Requirement'!R35-'Revenue Requirement'!R36</f>
        <v>7336677</v>
      </c>
      <c r="S37" s="217">
        <f>'Revenue Requirement'!S44-'Revenue Requirement'!S35-'Revenue Requirement'!S36</f>
        <v>7581765</v>
      </c>
      <c r="T37" s="217">
        <f>'Revenue Requirement'!T44-'Revenue Requirement'!T35-'Revenue Requirement'!T36</f>
        <v>7843461</v>
      </c>
      <c r="U37" s="217">
        <f>'Revenue Requirement'!U44-'Revenue Requirement'!U35-'Revenue Requirement'!U36</f>
        <v>8116082</v>
      </c>
      <c r="V37" s="217">
        <f>'Revenue Requirement'!V44-'Revenue Requirement'!V35-'Revenue Requirement'!V36</f>
        <v>8407137</v>
      </c>
      <c r="W37" s="217">
        <f>'Revenue Requirement'!W44-'Revenue Requirement'!W35-'Revenue Requirement'!W36</f>
        <v>8711087</v>
      </c>
      <c r="X37" s="217">
        <f>'Revenue Requirement'!X44-'Revenue Requirement'!X35-'Revenue Requirement'!X36</f>
        <v>9033966</v>
      </c>
      <c r="Y37" s="217">
        <f>'Revenue Requirement'!Y44-'Revenue Requirement'!Y35-'Revenue Requirement'!Y36</f>
        <v>9371454</v>
      </c>
      <c r="Z37" s="217">
        <f>'Revenue Requirement'!Z44-'Revenue Requirement'!Z35-'Revenue Requirement'!Z36</f>
        <v>9730322</v>
      </c>
      <c r="AA37" s="217">
        <f>'Revenue Requirement'!AA44-'Revenue Requirement'!AA35-'Revenue Requirement'!AA36</f>
        <v>10106284</v>
      </c>
      <c r="AB37" s="217">
        <f>'Revenue Requirement'!AB44-'Revenue Requirement'!AB35-'Revenue Requirement'!AB36</f>
        <v>10493705</v>
      </c>
      <c r="AC37" s="217">
        <f>'Revenue Requirement'!AC44-'Revenue Requirement'!AC35-'Revenue Requirement'!AC36</f>
        <v>10902803</v>
      </c>
      <c r="AD37" s="217">
        <f>'Revenue Requirement'!AD44-'Revenue Requirement'!AD35-'Revenue Requirement'!AD36</f>
        <v>11327056</v>
      </c>
      <c r="AE37" s="217">
        <f>'Revenue Requirement'!AE44-'Revenue Requirement'!AE35-'Revenue Requirement'!AE36</f>
        <v>11774635</v>
      </c>
      <c r="AF37" s="217">
        <f>'Revenue Requirement'!AF44-'Revenue Requirement'!AF35-'Revenue Requirement'!AF36</f>
        <v>12246255</v>
      </c>
      <c r="AG37" s="217">
        <f>'Revenue Requirement'!AG44-'Revenue Requirement'!AG35-'Revenue Requirement'!AG36</f>
        <v>12742666</v>
      </c>
      <c r="AH37" s="217">
        <f>'Revenue Requirement'!AH44-'Revenue Requirement'!AH35-'Revenue Requirement'!AH36</f>
        <v>13257104</v>
      </c>
      <c r="AI37" s="217">
        <f>'Revenue Requirement'!AI44-'Revenue Requirement'!AI35-'Revenue Requirement'!AI36</f>
        <v>13797737</v>
      </c>
      <c r="AJ37" s="217">
        <f>'Revenue Requirement'!AJ44-'Revenue Requirement'!AJ35-'Revenue Requirement'!AJ36</f>
        <v>13719768</v>
      </c>
      <c r="AK37" s="217">
        <f>'Revenue Requirement'!AK44-'Revenue Requirement'!AK35-'Revenue Requirement'!AK36</f>
        <v>13676222</v>
      </c>
      <c r="AL37" s="217">
        <f>'Revenue Requirement'!AL44-'Revenue Requirement'!AL35-'Revenue Requirement'!AL36</f>
        <v>14296286</v>
      </c>
      <c r="AM37" s="217">
        <f>'Revenue Requirement'!AM44-'Revenue Requirement'!AM35-'Revenue Requirement'!AM36</f>
        <v>14955137</v>
      </c>
      <c r="AN37" s="217">
        <f>'Revenue Requirement'!AN44-'Revenue Requirement'!AN35-'Revenue Requirement'!AN36</f>
        <v>15653563</v>
      </c>
      <c r="AO37" s="217">
        <f>'Revenue Requirement'!AO44-'Revenue Requirement'!AO35-'Revenue Requirement'!AO36</f>
        <v>16393152</v>
      </c>
      <c r="AP37" s="217">
        <f>'Revenue Requirement'!AP44-'Revenue Requirement'!AP35-'Revenue Requirement'!AP36</f>
        <v>17156884</v>
      </c>
      <c r="AQ37" s="217">
        <f>'Revenue Requirement'!AQ44-'Revenue Requirement'!AQ35-'Revenue Requirement'!AQ36</f>
        <v>17953646</v>
      </c>
      <c r="AR37" s="217">
        <f>'Revenue Requirement'!AR44-'Revenue Requirement'!AR35-'Revenue Requirement'!AR36</f>
        <v>18789244</v>
      </c>
      <c r="AS37" s="217">
        <f>'Revenue Requirement'!AS44-'Revenue Requirement'!AS35-'Revenue Requirement'!AS36</f>
        <v>19666464</v>
      </c>
    </row>
    <row r="38" spans="1:45" s="26" customFormat="1" ht="15.45" x14ac:dyDescent="0.4">
      <c r="A38" s="31" t="s">
        <v>281</v>
      </c>
      <c r="B38" s="23"/>
      <c r="C38" s="23"/>
      <c r="D38" s="223">
        <v>0</v>
      </c>
      <c r="E38" s="200">
        <f>NPV(D38,F37:AS37)</f>
        <v>419394262.97000003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</row>
    <row r="39" spans="1:45" ht="15.45" x14ac:dyDescent="0.4">
      <c r="A39" s="31"/>
      <c r="B39" s="23"/>
      <c r="C39" s="23"/>
      <c r="D39" s="223">
        <v>0.04</v>
      </c>
      <c r="E39" s="200">
        <f>NPV(D39,F37:AS37)</f>
        <v>174632114.71680963</v>
      </c>
    </row>
    <row r="40" spans="1:45" ht="15.45" x14ac:dyDescent="0.4">
      <c r="A40" s="31"/>
      <c r="B40" s="23"/>
      <c r="C40" s="23"/>
      <c r="D40" s="224">
        <v>4.4999999999999998E-2</v>
      </c>
      <c r="E40" s="200">
        <f>NPV(D40,F37:AS37)</f>
        <v>159122853.95274103</v>
      </c>
    </row>
    <row r="41" spans="1:45" ht="15.45" x14ac:dyDescent="0.4">
      <c r="A41" s="31"/>
      <c r="B41" s="23"/>
      <c r="C41" s="23"/>
      <c r="D41" s="224">
        <v>0.05</v>
      </c>
      <c r="E41" s="200">
        <f>NPV(D41,F37:AS37)</f>
        <v>145500188.15539661</v>
      </c>
    </row>
    <row r="42" spans="1:45" ht="15.45" x14ac:dyDescent="0.4">
      <c r="A42" s="31"/>
      <c r="B42" s="23"/>
      <c r="C42" s="23"/>
      <c r="D42" s="224">
        <v>5.5E-2</v>
      </c>
      <c r="E42" s="200">
        <f>NPV(D42,F37:AS37)</f>
        <v>133500592.64552031</v>
      </c>
    </row>
    <row r="43" spans="1:45" ht="15.45" x14ac:dyDescent="0.4">
      <c r="A43" s="16"/>
      <c r="B43" s="16"/>
      <c r="C43" s="16"/>
      <c r="D43" s="16"/>
      <c r="E43" s="16"/>
    </row>
    <row r="44" spans="1:45" ht="15.45" x14ac:dyDescent="0.4">
      <c r="A44" s="16"/>
      <c r="B44" s="16"/>
      <c r="C44" s="16"/>
      <c r="D44" s="16"/>
      <c r="E44" s="16"/>
    </row>
    <row r="45" spans="1:45" ht="15.45" x14ac:dyDescent="0.4">
      <c r="A45" s="16"/>
      <c r="B45" s="16"/>
      <c r="C45" s="16"/>
      <c r="D45" s="16"/>
      <c r="E45" s="16"/>
    </row>
  </sheetData>
  <mergeCells count="6">
    <mergeCell ref="A26:K26"/>
    <mergeCell ref="A1:K1"/>
    <mergeCell ref="A2:K2"/>
    <mergeCell ref="A3:K3"/>
    <mergeCell ref="A24:K24"/>
    <mergeCell ref="A25:K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91B3-D556-439B-A9B4-88049B71CE7B}">
  <sheetPr>
    <pageSetUpPr fitToPage="1"/>
  </sheetPr>
  <dimension ref="A1:CL70"/>
  <sheetViews>
    <sheetView workbookViewId="0">
      <selection sqref="A1:F1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6" width="12.5625" customWidth="1"/>
  </cols>
  <sheetData>
    <row r="1" spans="1:90" s="1" customFormat="1" ht="18.45" x14ac:dyDescent="0.4">
      <c r="A1" s="225" t="s">
        <v>89</v>
      </c>
      <c r="B1" s="225"/>
      <c r="C1" s="225"/>
      <c r="D1" s="225"/>
      <c r="E1" s="225"/>
      <c r="F1" s="225"/>
      <c r="G1" s="59"/>
      <c r="H1" s="59"/>
      <c r="I1" s="59"/>
      <c r="J1" s="59"/>
      <c r="K1" s="59"/>
      <c r="L1" s="5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</row>
    <row r="2" spans="1:90" s="1" customFormat="1" ht="18.45" x14ac:dyDescent="0.4">
      <c r="A2" s="226" t="s">
        <v>90</v>
      </c>
      <c r="B2" s="226"/>
      <c r="C2" s="226"/>
      <c r="D2" s="226"/>
      <c r="E2" s="226"/>
      <c r="F2" s="226"/>
      <c r="H2" s="206"/>
      <c r="I2" s="206"/>
      <c r="J2" s="206"/>
      <c r="K2" s="206"/>
      <c r="L2" s="206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</row>
    <row r="3" spans="1:90" s="1" customFormat="1" ht="15.9" x14ac:dyDescent="0.4">
      <c r="A3" s="227" t="s">
        <v>91</v>
      </c>
      <c r="B3" s="227"/>
      <c r="C3" s="227"/>
      <c r="D3" s="227"/>
      <c r="E3" s="227"/>
      <c r="F3" s="227"/>
      <c r="G3" s="60"/>
      <c r="H3" s="60"/>
      <c r="I3" s="60"/>
      <c r="J3" s="60"/>
      <c r="K3" s="60"/>
      <c r="L3" s="60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</row>
    <row r="4" spans="1:90" s="1" customFormat="1" ht="15.9" x14ac:dyDescent="0.4">
      <c r="A4" s="207"/>
      <c r="B4" s="207"/>
      <c r="C4" s="207"/>
      <c r="D4" s="207"/>
      <c r="E4" s="207"/>
      <c r="F4" s="207"/>
      <c r="G4" s="207"/>
      <c r="H4" s="37"/>
      <c r="I4" s="207"/>
      <c r="J4" s="207"/>
      <c r="K4" s="207"/>
      <c r="L4" s="207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</row>
    <row r="5" spans="1:90" s="1" customFormat="1" ht="14.6" x14ac:dyDescent="0.4">
      <c r="A5" s="17"/>
      <c r="B5" s="9"/>
      <c r="C5" s="9"/>
      <c r="D5" s="62" t="s">
        <v>92</v>
      </c>
      <c r="E5" s="62" t="s">
        <v>93</v>
      </c>
      <c r="F5" s="62" t="s">
        <v>94</v>
      </c>
      <c r="G5" s="9"/>
      <c r="H5" s="18"/>
      <c r="I5" s="9"/>
      <c r="J5" s="9"/>
      <c r="K5" s="9"/>
      <c r="L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</row>
    <row r="6" spans="1:90" s="1" customFormat="1" ht="14.6" x14ac:dyDescent="0.4">
      <c r="A6" s="28" t="s">
        <v>95</v>
      </c>
      <c r="B6" s="9"/>
      <c r="C6" s="9"/>
      <c r="D6" s="19"/>
      <c r="E6" s="19"/>
      <c r="F6" s="19"/>
      <c r="G6" s="9"/>
      <c r="H6" s="18"/>
      <c r="I6" s="9"/>
      <c r="J6" s="9"/>
      <c r="K6" s="9"/>
      <c r="L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</row>
    <row r="7" spans="1:90" s="1" customFormat="1" ht="14.6" x14ac:dyDescent="0.4">
      <c r="A7" s="29" t="s">
        <v>96</v>
      </c>
      <c r="B7" s="9"/>
      <c r="C7" s="9"/>
      <c r="D7" s="9">
        <f>5033365+4363</f>
        <v>5037728</v>
      </c>
      <c r="E7" s="9">
        <f>ROUND(D7*'Demand Inputs'!$C$7,0)</f>
        <v>125943</v>
      </c>
      <c r="F7" s="9"/>
      <c r="G7" s="9" t="s">
        <v>97</v>
      </c>
      <c r="H7" s="18"/>
      <c r="I7" s="9"/>
      <c r="J7" s="9"/>
      <c r="K7" s="9"/>
      <c r="L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</row>
    <row r="8" spans="1:90" s="1" customFormat="1" ht="14.6" x14ac:dyDescent="0.4">
      <c r="A8" s="29"/>
      <c r="B8" s="9"/>
      <c r="C8" s="9"/>
      <c r="D8" s="9"/>
      <c r="E8" s="9">
        <f>E15+E16+E17+E18+E19</f>
        <v>-6184.2415400000755</v>
      </c>
      <c r="F8" s="9">
        <f>D7+E7+E8</f>
        <v>5157486.7584600002</v>
      </c>
      <c r="G8" s="9" t="s">
        <v>98</v>
      </c>
      <c r="H8" s="18"/>
      <c r="I8" s="9"/>
      <c r="J8" s="9"/>
      <c r="K8" s="9"/>
      <c r="L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</row>
    <row r="9" spans="1:90" s="1" customFormat="1" ht="14.6" x14ac:dyDescent="0.4">
      <c r="A9" s="29" t="s">
        <v>99</v>
      </c>
      <c r="B9" s="9"/>
      <c r="C9" s="9"/>
      <c r="D9" s="61">
        <v>334391</v>
      </c>
      <c r="E9" s="61">
        <f>ROUND(D9*'Demand Inputs'!$C$7,0)</f>
        <v>8360</v>
      </c>
      <c r="F9" s="61">
        <f>D9+E9</f>
        <v>342751</v>
      </c>
      <c r="G9" s="9" t="s">
        <v>97</v>
      </c>
      <c r="H9" s="18"/>
      <c r="I9" s="9"/>
      <c r="J9" s="9"/>
      <c r="K9" s="9"/>
      <c r="L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</row>
    <row r="10" spans="1:90" s="1" customFormat="1" ht="14.6" x14ac:dyDescent="0.4">
      <c r="A10" s="30" t="s">
        <v>101</v>
      </c>
      <c r="B10" s="9"/>
      <c r="C10" s="9"/>
      <c r="D10" s="9">
        <f>SUM(D7:D9)</f>
        <v>5372119</v>
      </c>
      <c r="E10" s="9">
        <f>SUM(E7:E9)</f>
        <v>128118.75845999992</v>
      </c>
      <c r="F10" s="9">
        <f>SUM(F7:F9)</f>
        <v>5500237.7584600002</v>
      </c>
      <c r="G10" s="9"/>
      <c r="H10" s="18"/>
      <c r="I10" s="9"/>
      <c r="J10" s="9"/>
      <c r="K10" s="9"/>
      <c r="L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</row>
    <row r="11" spans="1:90" s="1" customFormat="1" ht="14.6" x14ac:dyDescent="0.4">
      <c r="A11" s="30"/>
      <c r="B11" s="9"/>
      <c r="C11" s="9"/>
      <c r="D11" s="9"/>
      <c r="E11" s="9"/>
      <c r="F11" s="9"/>
      <c r="G11" s="9"/>
      <c r="H11" s="18"/>
      <c r="I11" s="9"/>
      <c r="J11" s="9"/>
      <c r="K11" s="9"/>
      <c r="L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</row>
    <row r="12" spans="1:90" s="1" customFormat="1" ht="14.6" x14ac:dyDescent="0.4">
      <c r="A12" s="28" t="s">
        <v>102</v>
      </c>
      <c r="B12" s="9"/>
      <c r="C12" s="9"/>
      <c r="D12" s="9"/>
      <c r="E12" s="9"/>
      <c r="F12" s="9"/>
      <c r="G12" s="9"/>
      <c r="H12" s="18"/>
      <c r="I12" s="9"/>
      <c r="J12" s="9"/>
      <c r="K12" s="9"/>
      <c r="L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</row>
    <row r="13" spans="1:90" s="1" customFormat="1" ht="14.6" x14ac:dyDescent="0.4">
      <c r="A13" s="31" t="s">
        <v>103</v>
      </c>
      <c r="B13" s="9"/>
      <c r="C13" s="9"/>
      <c r="D13" s="9"/>
      <c r="E13" s="9"/>
      <c r="F13" s="9"/>
      <c r="G13" s="9"/>
      <c r="H13" s="18"/>
      <c r="I13" s="9"/>
      <c r="J13" s="9"/>
      <c r="K13" s="9"/>
      <c r="L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</row>
    <row r="14" spans="1:90" s="1" customFormat="1" ht="14.6" x14ac:dyDescent="0.4">
      <c r="A14" s="31"/>
      <c r="B14" s="67" t="s">
        <v>104</v>
      </c>
      <c r="C14" s="9"/>
      <c r="D14" s="9">
        <f>1730957-1585024</f>
        <v>145933</v>
      </c>
      <c r="E14" s="9">
        <f>ROUND(D14*'Plan Inputs'!$F$10,0)</f>
        <v>4378</v>
      </c>
      <c r="F14" s="9">
        <f t="shared" ref="F14:F18" si="0">D14+E14</f>
        <v>150311</v>
      </c>
      <c r="G14" s="9" t="s">
        <v>105</v>
      </c>
      <c r="H14" s="18"/>
      <c r="I14" s="9"/>
      <c r="J14" s="9"/>
      <c r="K14" s="9"/>
      <c r="L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</row>
    <row r="15" spans="1:90" s="1" customFormat="1" ht="14.6" x14ac:dyDescent="0.4">
      <c r="A15" s="31"/>
      <c r="B15" s="67" t="s">
        <v>106</v>
      </c>
      <c r="C15" s="9"/>
      <c r="D15" s="9">
        <f>'Demand Inputs'!B18*'Demand Inputs'!B33/1000</f>
        <v>419138.69752000005</v>
      </c>
      <c r="E15" s="9">
        <v>0</v>
      </c>
      <c r="F15" s="9">
        <f t="shared" si="0"/>
        <v>419138.69752000005</v>
      </c>
      <c r="G15" s="9" t="s">
        <v>100</v>
      </c>
      <c r="H15" s="18"/>
      <c r="I15" s="9"/>
      <c r="J15" s="9"/>
      <c r="K15" s="9"/>
      <c r="L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</row>
    <row r="16" spans="1:90" s="1" customFormat="1" ht="14.6" x14ac:dyDescent="0.4">
      <c r="A16" s="31"/>
      <c r="B16" s="67" t="s">
        <v>107</v>
      </c>
      <c r="C16" s="9"/>
      <c r="D16" s="9">
        <f>'Demand Inputs'!B19*'Demand Inputs'!B34/1000</f>
        <v>293885.34399999998</v>
      </c>
      <c r="E16" s="9">
        <v>0</v>
      </c>
      <c r="F16" s="9">
        <f t="shared" si="0"/>
        <v>293885.34399999998</v>
      </c>
      <c r="G16" s="9" t="s">
        <v>100</v>
      </c>
      <c r="H16" s="18"/>
      <c r="I16" s="9"/>
      <c r="J16" s="9"/>
      <c r="K16" s="9"/>
      <c r="L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</row>
    <row r="17" spans="1:90" s="1" customFormat="1" ht="14.6" x14ac:dyDescent="0.4">
      <c r="A17" s="31"/>
      <c r="B17" s="67" t="s">
        <v>108</v>
      </c>
      <c r="C17" s="9"/>
      <c r="D17" s="9">
        <f>'Demand Inputs'!B20*'Demand Inputs'!B35/1000</f>
        <v>55462.847999999991</v>
      </c>
      <c r="E17" s="9">
        <v>0</v>
      </c>
      <c r="F17" s="9">
        <f t="shared" si="0"/>
        <v>55462.847999999991</v>
      </c>
      <c r="G17" s="9" t="s">
        <v>100</v>
      </c>
      <c r="H17" s="18"/>
      <c r="I17" s="9"/>
      <c r="J17" s="9"/>
      <c r="K17" s="9"/>
      <c r="L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</row>
    <row r="18" spans="1:90" s="1" customFormat="1" ht="14.6" x14ac:dyDescent="0.4">
      <c r="A18" s="31"/>
      <c r="B18" s="67" t="s">
        <v>109</v>
      </c>
      <c r="C18" s="9"/>
      <c r="D18" s="9">
        <f>'Demand Inputs'!B21*'Demand Inputs'!B36/1000</f>
        <v>810352.86893999996</v>
      </c>
      <c r="E18" s="9">
        <v>0</v>
      </c>
      <c r="F18" s="9">
        <f t="shared" si="0"/>
        <v>810352.86893999996</v>
      </c>
      <c r="G18" s="9" t="s">
        <v>100</v>
      </c>
      <c r="H18" s="18"/>
      <c r="I18" s="9"/>
      <c r="J18" s="9"/>
      <c r="K18" s="9"/>
      <c r="L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</row>
    <row r="19" spans="1:90" s="1" customFormat="1" ht="14.6" x14ac:dyDescent="0.4">
      <c r="A19" s="31"/>
      <c r="B19" s="67" t="s">
        <v>110</v>
      </c>
      <c r="C19" s="9"/>
      <c r="D19" s="9">
        <f>1585024-D15-D16-D17-D18</f>
        <v>6184.2415400000755</v>
      </c>
      <c r="E19" s="9">
        <f>-D19</f>
        <v>-6184.2415400000755</v>
      </c>
      <c r="F19" s="9">
        <f t="shared" ref="F19:F26" si="1">D19+E19</f>
        <v>0</v>
      </c>
      <c r="G19" s="9" t="s">
        <v>98</v>
      </c>
      <c r="H19" s="18"/>
      <c r="I19" s="9"/>
      <c r="J19" s="9"/>
      <c r="K19" s="9"/>
      <c r="L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</row>
    <row r="20" spans="1:90" s="1" customFormat="1" ht="14.6" x14ac:dyDescent="0.4">
      <c r="A20" s="31"/>
      <c r="B20" s="67" t="s">
        <v>111</v>
      </c>
      <c r="C20" s="9"/>
      <c r="D20" s="9">
        <v>8600</v>
      </c>
      <c r="E20" s="9">
        <f>D20*'Plan Inputs'!$F$10</f>
        <v>258</v>
      </c>
      <c r="F20" s="9">
        <f t="shared" si="1"/>
        <v>8858</v>
      </c>
      <c r="G20" s="9" t="s">
        <v>105</v>
      </c>
      <c r="H20" s="18"/>
      <c r="I20" s="9"/>
      <c r="J20" s="9"/>
      <c r="K20" s="9"/>
      <c r="L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</row>
    <row r="21" spans="1:90" s="1" customFormat="1" ht="14.6" x14ac:dyDescent="0.4">
      <c r="A21" s="31"/>
      <c r="B21" s="67" t="s">
        <v>112</v>
      </c>
      <c r="C21" s="9"/>
      <c r="D21" s="9">
        <v>222676</v>
      </c>
      <c r="E21" s="9">
        <f>ROUND(D21*'Plan Inputs'!$F$10,0)</f>
        <v>6680</v>
      </c>
      <c r="F21" s="9">
        <f t="shared" si="1"/>
        <v>229356</v>
      </c>
      <c r="G21" s="9" t="s">
        <v>105</v>
      </c>
      <c r="H21" s="18"/>
      <c r="I21" s="9"/>
      <c r="J21" s="9"/>
      <c r="K21" s="9"/>
      <c r="L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</row>
    <row r="22" spans="1:90" s="1" customFormat="1" ht="14.6" x14ac:dyDescent="0.4">
      <c r="A22" s="31"/>
      <c r="B22" s="67" t="s">
        <v>113</v>
      </c>
      <c r="C22" s="9"/>
      <c r="D22" s="9">
        <v>27744</v>
      </c>
      <c r="E22" s="9">
        <f>ROUND(D22*'Plan Inputs'!$F$10,0)</f>
        <v>832</v>
      </c>
      <c r="F22" s="9">
        <f t="shared" si="1"/>
        <v>28576</v>
      </c>
      <c r="G22" s="9" t="s">
        <v>105</v>
      </c>
      <c r="H22" s="18"/>
      <c r="I22" s="9"/>
      <c r="J22" s="9"/>
      <c r="K22" s="9"/>
      <c r="L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</row>
    <row r="23" spans="1:90" s="1" customFormat="1" ht="14.6" x14ac:dyDescent="0.4">
      <c r="A23" s="31"/>
      <c r="B23" s="67" t="s">
        <v>114</v>
      </c>
      <c r="C23" s="9"/>
      <c r="D23" s="9">
        <f>263820</f>
        <v>263820</v>
      </c>
      <c r="E23" s="9">
        <f>ROUND(D23*'Plan Inputs'!$F$10,0)</f>
        <v>7915</v>
      </c>
      <c r="F23" s="9">
        <f t="shared" si="1"/>
        <v>271735</v>
      </c>
      <c r="G23" s="9" t="s">
        <v>105</v>
      </c>
      <c r="H23" s="18"/>
      <c r="I23" s="9"/>
      <c r="J23" s="9"/>
      <c r="K23" s="9"/>
      <c r="L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</row>
    <row r="24" spans="1:90" s="1" customFormat="1" ht="14.6" x14ac:dyDescent="0.4">
      <c r="A24" s="31"/>
      <c r="B24" s="67" t="s">
        <v>115</v>
      </c>
      <c r="C24" s="9"/>
      <c r="D24" s="9">
        <v>829158</v>
      </c>
      <c r="E24" s="9">
        <f>ROUND(D24*'Plan Inputs'!$F$10,0)</f>
        <v>24875</v>
      </c>
      <c r="F24" s="9">
        <f t="shared" si="1"/>
        <v>854033</v>
      </c>
      <c r="G24" s="9" t="s">
        <v>105</v>
      </c>
      <c r="H24" s="18"/>
      <c r="I24" s="9"/>
      <c r="J24" s="9"/>
      <c r="K24" s="9"/>
      <c r="L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</row>
    <row r="25" spans="1:90" s="1" customFormat="1" ht="14.6" x14ac:dyDescent="0.4">
      <c r="A25" s="31"/>
      <c r="B25" s="67" t="s">
        <v>116</v>
      </c>
      <c r="C25" s="9"/>
      <c r="D25" s="9">
        <v>330902</v>
      </c>
      <c r="E25" s="9">
        <f>ROUND(D25*'Plan Inputs'!$F$10,0)</f>
        <v>9927</v>
      </c>
      <c r="F25" s="9">
        <f t="shared" si="1"/>
        <v>340829</v>
      </c>
      <c r="G25" s="9" t="s">
        <v>105</v>
      </c>
      <c r="H25" s="18"/>
      <c r="I25" s="9"/>
      <c r="J25" s="9"/>
      <c r="K25" s="9"/>
      <c r="L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</row>
    <row r="26" spans="1:90" s="1" customFormat="1" ht="14.6" x14ac:dyDescent="0.4">
      <c r="A26" s="31"/>
      <c r="B26" s="67" t="s">
        <v>117</v>
      </c>
      <c r="C26" s="9"/>
      <c r="D26" s="61">
        <v>459267</v>
      </c>
      <c r="E26" s="61">
        <f>ROUND(D26*'Plan Inputs'!$F$10,0)</f>
        <v>13778</v>
      </c>
      <c r="F26" s="61">
        <f t="shared" si="1"/>
        <v>473045</v>
      </c>
      <c r="G26" s="9" t="s">
        <v>105</v>
      </c>
      <c r="H26" s="18"/>
      <c r="I26" s="9"/>
      <c r="J26" s="9"/>
      <c r="K26" s="9"/>
      <c r="L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</row>
    <row r="27" spans="1:90" s="1" customFormat="1" ht="14.6" x14ac:dyDescent="0.4">
      <c r="A27" s="31" t="s">
        <v>118</v>
      </c>
      <c r="B27" s="9"/>
      <c r="C27" s="9"/>
      <c r="D27" s="9">
        <f>SUM(D14:D26)</f>
        <v>3873124</v>
      </c>
      <c r="E27" s="9">
        <f>SUM(E14:E26)</f>
        <v>62458.758459999925</v>
      </c>
      <c r="F27" s="9">
        <f>SUM(F14:F26)</f>
        <v>3935582.7584600002</v>
      </c>
      <c r="G27" s="9"/>
      <c r="H27" s="18"/>
      <c r="I27" s="9"/>
      <c r="J27" s="9"/>
      <c r="K27" s="9"/>
      <c r="L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</row>
    <row r="28" spans="1:90" s="1" customFormat="1" ht="14.6" x14ac:dyDescent="0.4">
      <c r="A28" s="29" t="s">
        <v>119</v>
      </c>
      <c r="B28" s="9"/>
      <c r="C28" s="9"/>
      <c r="D28" s="9">
        <v>619912</v>
      </c>
      <c r="E28" s="9">
        <v>0</v>
      </c>
      <c r="F28" s="9">
        <f>D28+E28</f>
        <v>619912</v>
      </c>
      <c r="G28" s="9" t="s">
        <v>100</v>
      </c>
      <c r="H28" s="18"/>
      <c r="I28" s="9"/>
      <c r="J28" s="9"/>
      <c r="K28" s="9"/>
      <c r="L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</row>
    <row r="29" spans="1:90" s="1" customFormat="1" ht="14.6" x14ac:dyDescent="0.4">
      <c r="A29" s="29" t="s">
        <v>120</v>
      </c>
      <c r="B29" s="9"/>
      <c r="C29" s="9"/>
      <c r="D29" s="61">
        <f>1633+76128</f>
        <v>77761</v>
      </c>
      <c r="E29" s="61">
        <f>ROUND(D29*'Plan Inputs'!$F$10,0)</f>
        <v>2333</v>
      </c>
      <c r="F29" s="61">
        <f>D29+E29</f>
        <v>80094</v>
      </c>
      <c r="G29" s="9" t="s">
        <v>105</v>
      </c>
      <c r="H29" s="18"/>
      <c r="I29" s="9"/>
      <c r="J29" s="9"/>
      <c r="K29" s="9"/>
      <c r="L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90" s="1" customFormat="1" ht="14.6" x14ac:dyDescent="0.4">
      <c r="A30" s="30" t="s">
        <v>121</v>
      </c>
      <c r="B30" s="9"/>
      <c r="C30" s="9"/>
      <c r="D30" s="9">
        <f>SUM(D27:D29)</f>
        <v>4570797</v>
      </c>
      <c r="E30" s="9">
        <f>SUM(E27:E29)</f>
        <v>64791.758459999925</v>
      </c>
      <c r="F30" s="9">
        <f>SUM(F27:F29)</f>
        <v>4635588.7584600002</v>
      </c>
      <c r="G30" s="9"/>
      <c r="H30" s="18"/>
      <c r="I30" s="9"/>
      <c r="J30" s="9"/>
      <c r="K30" s="9"/>
      <c r="L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90" s="1" customFormat="1" ht="14.6" x14ac:dyDescent="0.4">
      <c r="A31" s="30"/>
      <c r="B31" s="9"/>
      <c r="C31" s="9"/>
      <c r="D31" s="61"/>
      <c r="E31" s="61"/>
      <c r="F31" s="61"/>
      <c r="G31" s="9"/>
      <c r="H31" s="18"/>
      <c r="I31" s="9"/>
      <c r="J31" s="9"/>
      <c r="K31" s="9"/>
      <c r="L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32" spans="1:90" s="1" customFormat="1" ht="14.6" x14ac:dyDescent="0.4">
      <c r="A32" s="30" t="s">
        <v>122</v>
      </c>
      <c r="B32" s="9"/>
      <c r="C32" s="9"/>
      <c r="D32" s="9">
        <f>D10-D30</f>
        <v>801322</v>
      </c>
      <c r="E32" s="9">
        <f t="shared" ref="E32:F32" si="2">E10-E30</f>
        <v>63327</v>
      </c>
      <c r="F32" s="9">
        <f t="shared" si="2"/>
        <v>864649</v>
      </c>
      <c r="G32" s="9"/>
      <c r="H32" s="18"/>
      <c r="I32" s="9"/>
      <c r="J32" s="9"/>
      <c r="K32" s="9"/>
      <c r="L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</row>
    <row r="33" spans="1:90" s="1" customFormat="1" ht="14.6" x14ac:dyDescent="0.4">
      <c r="A33" s="30"/>
      <c r="B33" s="9"/>
      <c r="C33" s="9"/>
      <c r="D33" s="9"/>
      <c r="E33" s="9"/>
      <c r="F33" s="9"/>
      <c r="G33" s="9"/>
      <c r="H33" s="18"/>
      <c r="I33" s="9"/>
      <c r="J33" s="9"/>
      <c r="K33" s="9"/>
      <c r="L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</row>
    <row r="34" spans="1:90" s="1" customFormat="1" ht="14.6" x14ac:dyDescent="0.4">
      <c r="A34" s="30" t="s">
        <v>123</v>
      </c>
      <c r="B34" s="9"/>
      <c r="C34" s="9"/>
      <c r="D34" s="9"/>
      <c r="E34" s="9"/>
      <c r="F34" s="9"/>
      <c r="G34" s="9"/>
      <c r="H34" s="18"/>
      <c r="I34" s="9"/>
      <c r="J34" s="9"/>
      <c r="K34" s="9"/>
      <c r="L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</row>
    <row r="35" spans="1:90" s="1" customFormat="1" ht="14.6" x14ac:dyDescent="0.4">
      <c r="A35" s="30"/>
      <c r="B35" s="9"/>
      <c r="C35" s="9"/>
      <c r="D35" s="9"/>
      <c r="E35" s="9"/>
      <c r="F35" s="9"/>
      <c r="G35" s="9"/>
      <c r="H35" s="18"/>
      <c r="I35" s="9"/>
      <c r="J35" s="9"/>
      <c r="K35" s="9"/>
      <c r="L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</row>
    <row r="36" spans="1:90" s="1" customFormat="1" ht="14.6" x14ac:dyDescent="0.4">
      <c r="A36" s="30" t="s">
        <v>124</v>
      </c>
      <c r="B36" s="9"/>
      <c r="C36" s="9"/>
      <c r="D36" s="9"/>
      <c r="E36" s="9"/>
      <c r="F36" s="9"/>
      <c r="G36" s="9"/>
      <c r="H36" s="18"/>
      <c r="I36" s="9"/>
      <c r="J36" s="9"/>
      <c r="K36" s="9"/>
      <c r="L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</row>
    <row r="37" spans="1:90" s="1" customFormat="1" ht="14.6" x14ac:dyDescent="0.4">
      <c r="A37" s="30"/>
      <c r="B37" s="67" t="s">
        <v>125</v>
      </c>
      <c r="C37" s="9"/>
      <c r="D37" s="9">
        <v>1118027</v>
      </c>
      <c r="E37" s="9"/>
      <c r="F37" s="9"/>
      <c r="G37" s="9"/>
      <c r="H37" s="18"/>
      <c r="I37" s="9"/>
      <c r="J37" s="9"/>
      <c r="K37" s="9"/>
      <c r="L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</row>
    <row r="38" spans="1:90" s="1" customFormat="1" ht="14.6" x14ac:dyDescent="0.4">
      <c r="B38" s="68" t="s">
        <v>126</v>
      </c>
      <c r="C38" s="9"/>
      <c r="D38" s="9">
        <v>-10265</v>
      </c>
      <c r="E38" s="9"/>
      <c r="F38" s="9"/>
      <c r="G38" s="9"/>
      <c r="H38" s="18"/>
      <c r="I38" s="9"/>
      <c r="J38" s="9"/>
      <c r="K38" s="9"/>
      <c r="L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</row>
    <row r="39" spans="1:90" s="1" customFormat="1" ht="14.6" x14ac:dyDescent="0.4">
      <c r="A39" s="30"/>
      <c r="B39" s="67" t="s">
        <v>127</v>
      </c>
      <c r="C39" s="9"/>
      <c r="D39" s="9">
        <v>-300753</v>
      </c>
      <c r="E39" s="9"/>
      <c r="F39" s="9"/>
      <c r="G39" s="9"/>
      <c r="H39" s="18"/>
      <c r="I39" s="9"/>
      <c r="J39" s="9"/>
      <c r="K39" s="9"/>
      <c r="L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</row>
    <row r="40" spans="1:90" s="1" customFormat="1" ht="14.6" x14ac:dyDescent="0.4">
      <c r="A40" s="30"/>
      <c r="B40" s="67" t="s">
        <v>128</v>
      </c>
      <c r="C40" s="9"/>
      <c r="D40" s="9">
        <v>-75007</v>
      </c>
      <c r="E40" s="9"/>
      <c r="F40" s="9"/>
      <c r="G40" s="9"/>
      <c r="H40" s="18"/>
      <c r="I40" s="9"/>
      <c r="J40" s="9"/>
      <c r="K40" s="9"/>
      <c r="L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</row>
    <row r="41" spans="1:90" s="1" customFormat="1" ht="14.6" x14ac:dyDescent="0.4">
      <c r="A41" s="30"/>
      <c r="B41" s="67" t="s">
        <v>129</v>
      </c>
      <c r="C41" s="9"/>
      <c r="D41" s="61">
        <f>68884+436</f>
        <v>69320</v>
      </c>
      <c r="E41" s="63"/>
      <c r="F41" s="9"/>
      <c r="G41" s="9"/>
      <c r="H41" s="18"/>
      <c r="I41" s="9"/>
      <c r="J41" s="9"/>
      <c r="K41" s="9"/>
      <c r="L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</row>
    <row r="42" spans="1:90" s="1" customFormat="1" ht="14.6" x14ac:dyDescent="0.4">
      <c r="A42" s="30"/>
      <c r="B42" s="67" t="s">
        <v>122</v>
      </c>
      <c r="C42" s="9"/>
      <c r="D42" s="9">
        <f>SUM(D37:D41)</f>
        <v>801322</v>
      </c>
      <c r="E42" s="9"/>
      <c r="F42" s="9"/>
      <c r="G42" s="9"/>
      <c r="H42" s="18"/>
      <c r="I42" s="9"/>
      <c r="J42" s="9"/>
      <c r="K42" s="9"/>
      <c r="L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</row>
    <row r="43" spans="1:90" s="1" customFormat="1" ht="14.6" x14ac:dyDescent="0.4">
      <c r="A43" s="30"/>
      <c r="B43" s="67" t="s">
        <v>124</v>
      </c>
      <c r="C43" s="9"/>
      <c r="D43" s="61">
        <f>D32</f>
        <v>801322</v>
      </c>
      <c r="E43" s="9"/>
      <c r="F43" s="9"/>
      <c r="G43" s="9"/>
      <c r="H43" s="18"/>
      <c r="I43" s="9"/>
      <c r="J43" s="9"/>
      <c r="K43" s="9"/>
      <c r="L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</row>
    <row r="44" spans="1:90" s="1" customFormat="1" ht="14.6" x14ac:dyDescent="0.4">
      <c r="A44" s="17"/>
      <c r="B44" s="67" t="s">
        <v>80</v>
      </c>
      <c r="C44" s="9"/>
      <c r="D44" s="9">
        <f>D42-D43</f>
        <v>0</v>
      </c>
      <c r="E44" s="9"/>
      <c r="F44" s="64"/>
      <c r="G44" s="9"/>
      <c r="H44" s="18"/>
      <c r="I44" s="9"/>
      <c r="J44" s="9"/>
      <c r="K44" s="9"/>
      <c r="L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</row>
    <row r="45" spans="1:90" s="1" customFormat="1" ht="14.6" x14ac:dyDescent="0.4">
      <c r="A45" s="17"/>
      <c r="B45" s="9"/>
      <c r="C45" s="9"/>
      <c r="D45" s="19"/>
      <c r="E45" s="19"/>
      <c r="F45" s="19"/>
      <c r="G45" s="9"/>
      <c r="H45" s="18"/>
      <c r="I45" s="9"/>
      <c r="J45" s="9"/>
      <c r="K45" s="9"/>
      <c r="L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</row>
    <row r="46" spans="1:90" s="1" customFormat="1" ht="14.6" x14ac:dyDescent="0.4">
      <c r="G46" s="9"/>
      <c r="H46" s="18"/>
      <c r="I46" s="9"/>
      <c r="J46" s="9"/>
      <c r="K46" s="9"/>
      <c r="L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</row>
    <row r="47" spans="1:90" s="27" customFormat="1" ht="14.6" x14ac:dyDescent="0.4"/>
    <row r="48" spans="1:90" s="27" customFormat="1" ht="14.6" x14ac:dyDescent="0.4"/>
    <row r="49" spans="7:7" s="27" customFormat="1" ht="14.6" x14ac:dyDescent="0.4"/>
    <row r="50" spans="7:7" s="27" customFormat="1" ht="14.6" x14ac:dyDescent="0.4"/>
    <row r="51" spans="7:7" s="27" customFormat="1" ht="14.6" x14ac:dyDescent="0.4"/>
    <row r="52" spans="7:7" s="27" customFormat="1" ht="14.6" x14ac:dyDescent="0.4"/>
    <row r="53" spans="7:7" s="27" customFormat="1" ht="14.6" x14ac:dyDescent="0.4"/>
    <row r="54" spans="7:7" s="27" customFormat="1" ht="14.6" x14ac:dyDescent="0.4"/>
    <row r="55" spans="7:7" s="27" customFormat="1" ht="14.6" x14ac:dyDescent="0.4"/>
    <row r="56" spans="7:7" s="27" customFormat="1" ht="14.6" x14ac:dyDescent="0.4"/>
    <row r="57" spans="7:7" s="27" customFormat="1" ht="14.6" x14ac:dyDescent="0.4"/>
    <row r="58" spans="7:7" s="27" customFormat="1" ht="14.6" x14ac:dyDescent="0.4"/>
    <row r="59" spans="7:7" s="27" customFormat="1" ht="14.6" x14ac:dyDescent="0.4"/>
    <row r="60" spans="7:7" s="27" customFormat="1" ht="14.6" x14ac:dyDescent="0.4"/>
    <row r="61" spans="7:7" s="16" customFormat="1" ht="14.6" x14ac:dyDescent="0.4">
      <c r="G61" s="15"/>
    </row>
    <row r="62" spans="7:7" s="16" customFormat="1" ht="14.6" x14ac:dyDescent="0.4"/>
    <row r="63" spans="7:7" s="16" customFormat="1" ht="14.6" x14ac:dyDescent="0.4"/>
    <row r="64" spans="7:7" s="16" customFormat="1" ht="14.6" x14ac:dyDescent="0.4"/>
    <row r="65" s="16" customFormat="1" ht="14.6" x14ac:dyDescent="0.4"/>
    <row r="66" s="16" customFormat="1" ht="14.6" x14ac:dyDescent="0.4"/>
    <row r="67" s="16" customFormat="1" ht="14.6" x14ac:dyDescent="0.4"/>
    <row r="68" s="16" customFormat="1" ht="14.6" x14ac:dyDescent="0.4"/>
    <row r="69" s="16" customFormat="1" ht="14.6" x14ac:dyDescent="0.4"/>
    <row r="70" s="16" customFormat="1" ht="14.6" x14ac:dyDescent="0.4"/>
  </sheetData>
  <mergeCells count="3">
    <mergeCell ref="A1:F1"/>
    <mergeCell ref="A2:F2"/>
    <mergeCell ref="A3:F3"/>
  </mergeCells>
  <pageMargins left="0.7" right="0.7" top="0.75" bottom="0.75" header="0.3" footer="0.3"/>
  <pageSetup scale="8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D9D1-6CED-47C4-90A4-CEFC177D7FD5}">
  <dimension ref="A1:CK58"/>
  <sheetViews>
    <sheetView workbookViewId="0">
      <selection activeCell="F22" sqref="F22:G22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5" width="12.5625" customWidth="1"/>
  </cols>
  <sheetData>
    <row r="1" spans="1:89" s="1" customFormat="1" ht="18.45" x14ac:dyDescent="0.4">
      <c r="A1" s="226" t="s">
        <v>130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</row>
    <row r="2" spans="1:89" s="1" customFormat="1" ht="18.45" x14ac:dyDescent="0.4">
      <c r="A2" s="206"/>
      <c r="B2" s="206"/>
      <c r="C2" s="206"/>
      <c r="D2" s="206"/>
      <c r="E2" s="206"/>
      <c r="F2" s="206" t="s">
        <v>0</v>
      </c>
      <c r="G2" s="206"/>
      <c r="H2" s="206"/>
      <c r="I2" s="206"/>
      <c r="J2" s="206"/>
      <c r="K2" s="206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</row>
    <row r="3" spans="1:89" s="1" customFormat="1" ht="15.9" x14ac:dyDescent="0.4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</row>
    <row r="4" spans="1:89" s="1" customFormat="1" ht="15.9" x14ac:dyDescent="0.4">
      <c r="A4" s="207"/>
      <c r="B4" s="207"/>
      <c r="C4" s="207"/>
      <c r="D4" s="207"/>
      <c r="E4" s="207"/>
      <c r="F4" s="207"/>
      <c r="G4" s="37"/>
      <c r="H4" s="207"/>
      <c r="I4" s="207"/>
      <c r="J4" s="207"/>
      <c r="K4" s="207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</row>
    <row r="5" spans="1:89" s="1" customFormat="1" ht="14.6" x14ac:dyDescent="0.4">
      <c r="A5" s="19" t="s">
        <v>131</v>
      </c>
      <c r="B5" s="9"/>
      <c r="C5" s="9"/>
      <c r="D5" s="9"/>
      <c r="E5" s="9"/>
      <c r="F5" s="21">
        <v>2026</v>
      </c>
      <c r="G5" s="38">
        <f>F5+1</f>
        <v>2027</v>
      </c>
      <c r="H5" s="38">
        <f t="shared" ref="H5:K5" si="0">G5+1</f>
        <v>2028</v>
      </c>
      <c r="I5" s="38">
        <f t="shared" si="0"/>
        <v>2029</v>
      </c>
      <c r="J5" s="38">
        <f t="shared" si="0"/>
        <v>2030</v>
      </c>
      <c r="K5" s="38">
        <f t="shared" si="0"/>
        <v>2031</v>
      </c>
      <c r="L5" s="38">
        <f t="shared" ref="L5" si="1">K5+1</f>
        <v>2032</v>
      </c>
      <c r="M5" s="38">
        <f t="shared" ref="M5" si="2">L5+1</f>
        <v>2033</v>
      </c>
      <c r="N5" s="38">
        <f t="shared" ref="N5" si="3">M5+1</f>
        <v>2034</v>
      </c>
      <c r="O5" s="38">
        <f t="shared" ref="O5" si="4">N5+1</f>
        <v>2035</v>
      </c>
      <c r="P5" s="38">
        <f t="shared" ref="P5" si="5">O5+1</f>
        <v>2036</v>
      </c>
      <c r="Q5" s="38">
        <f t="shared" ref="Q5" si="6">P5+1</f>
        <v>2037</v>
      </c>
      <c r="R5" s="38">
        <f t="shared" ref="R5" si="7">Q5+1</f>
        <v>2038</v>
      </c>
      <c r="S5" s="38">
        <f t="shared" ref="S5" si="8">R5+1</f>
        <v>2039</v>
      </c>
      <c r="T5" s="38">
        <f t="shared" ref="T5" si="9">S5+1</f>
        <v>2040</v>
      </c>
      <c r="U5" s="38">
        <f t="shared" ref="U5" si="10">T5+1</f>
        <v>2041</v>
      </c>
      <c r="V5" s="38">
        <f t="shared" ref="V5" si="11">U5+1</f>
        <v>2042</v>
      </c>
      <c r="W5" s="38">
        <f t="shared" ref="W5" si="12">V5+1</f>
        <v>2043</v>
      </c>
      <c r="X5" s="38">
        <f t="shared" ref="X5" si="13">W5+1</f>
        <v>2044</v>
      </c>
      <c r="Y5" s="38">
        <f t="shared" ref="Y5" si="14">X5+1</f>
        <v>2045</v>
      </c>
      <c r="Z5" s="38">
        <f t="shared" ref="Z5" si="15">Y5+1</f>
        <v>2046</v>
      </c>
      <c r="AA5" s="38">
        <f t="shared" ref="AA5" si="16">Z5+1</f>
        <v>2047</v>
      </c>
      <c r="AB5" s="38">
        <f t="shared" ref="AB5" si="17">AA5+1</f>
        <v>2048</v>
      </c>
      <c r="AC5" s="38">
        <f t="shared" ref="AC5" si="18">AB5+1</f>
        <v>2049</v>
      </c>
      <c r="AD5" s="38">
        <f t="shared" ref="AD5" si="19">AC5+1</f>
        <v>2050</v>
      </c>
      <c r="AE5" s="38">
        <f t="shared" ref="AE5" si="20">AD5+1</f>
        <v>2051</v>
      </c>
      <c r="AF5" s="38">
        <f t="shared" ref="AF5" si="21">AE5+1</f>
        <v>2052</v>
      </c>
      <c r="AG5" s="38">
        <f t="shared" ref="AG5" si="22">AF5+1</f>
        <v>2053</v>
      </c>
      <c r="AH5" s="38">
        <f t="shared" ref="AH5" si="23">AG5+1</f>
        <v>2054</v>
      </c>
      <c r="AI5" s="38">
        <f t="shared" ref="AI5" si="24">AH5+1</f>
        <v>2055</v>
      </c>
      <c r="AJ5" s="38">
        <f t="shared" ref="AJ5" si="25">AI5+1</f>
        <v>2056</v>
      </c>
      <c r="AK5" s="38">
        <f t="shared" ref="AK5" si="26">AJ5+1</f>
        <v>2057</v>
      </c>
      <c r="AL5" s="38">
        <f t="shared" ref="AL5" si="27">AK5+1</f>
        <v>2058</v>
      </c>
      <c r="AM5" s="38">
        <f t="shared" ref="AM5" si="28">AL5+1</f>
        <v>2059</v>
      </c>
      <c r="AN5" s="38">
        <f t="shared" ref="AN5" si="29">AM5+1</f>
        <v>2060</v>
      </c>
      <c r="AO5" s="38">
        <f t="shared" ref="AO5" si="30">AN5+1</f>
        <v>2061</v>
      </c>
      <c r="AP5" s="38">
        <f t="shared" ref="AP5" si="31">AO5+1</f>
        <v>2062</v>
      </c>
      <c r="AQ5" s="38">
        <f t="shared" ref="AQ5" si="32">AP5+1</f>
        <v>2063</v>
      </c>
      <c r="AR5" s="38">
        <f t="shared" ref="AR5" si="33">AQ5+1</f>
        <v>2064</v>
      </c>
      <c r="AS5" s="38">
        <f t="shared" ref="AS5" si="34">AR5+1</f>
        <v>2065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</row>
    <row r="6" spans="1:89" s="1" customFormat="1" ht="14.6" x14ac:dyDescent="0.4">
      <c r="A6" s="17" t="s">
        <v>132</v>
      </c>
      <c r="B6" s="9"/>
      <c r="C6" s="9"/>
      <c r="D6" s="9"/>
      <c r="E6" s="9"/>
      <c r="F6" s="44">
        <v>4008521</v>
      </c>
      <c r="G6" s="20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</row>
    <row r="7" spans="1:89" s="1" customFormat="1" ht="14.6" x14ac:dyDescent="0.4">
      <c r="A7" s="17" t="s">
        <v>133</v>
      </c>
      <c r="B7" s="9"/>
      <c r="C7" s="9"/>
      <c r="D7" s="9"/>
      <c r="E7" s="9"/>
      <c r="F7" s="210">
        <v>0</v>
      </c>
      <c r="G7" s="210">
        <v>0</v>
      </c>
      <c r="H7" s="210">
        <v>0</v>
      </c>
      <c r="I7" s="210">
        <v>0</v>
      </c>
      <c r="J7" s="210">
        <v>0</v>
      </c>
      <c r="K7" s="210">
        <v>0</v>
      </c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>
        <v>0</v>
      </c>
      <c r="AG7" s="210">
        <v>0</v>
      </c>
      <c r="AH7" s="210">
        <v>0</v>
      </c>
      <c r="AI7" s="210">
        <v>0</v>
      </c>
      <c r="AJ7" s="210">
        <v>0</v>
      </c>
      <c r="AK7" s="210">
        <v>0</v>
      </c>
      <c r="AL7" s="210">
        <v>0</v>
      </c>
      <c r="AM7" s="210">
        <v>0</v>
      </c>
      <c r="AN7" s="210">
        <v>0</v>
      </c>
      <c r="AO7" s="210">
        <v>0</v>
      </c>
      <c r="AP7" s="210">
        <v>0</v>
      </c>
      <c r="AQ7" s="210">
        <v>0</v>
      </c>
      <c r="AR7" s="210">
        <v>0</v>
      </c>
      <c r="AS7" s="210">
        <v>0</v>
      </c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</row>
    <row r="8" spans="1:89" s="1" customFormat="1" ht="14.6" x14ac:dyDescent="0.4">
      <c r="A8" s="17" t="s">
        <v>134</v>
      </c>
      <c r="B8" s="9"/>
      <c r="C8" s="9"/>
      <c r="D8" s="9"/>
      <c r="E8" s="9"/>
      <c r="F8" s="194">
        <v>0</v>
      </c>
      <c r="G8" s="212">
        <f>'Revenue Requirement'!F21</f>
        <v>2.6200000000000001E-2</v>
      </c>
      <c r="H8" s="212">
        <f>'Revenue Requirement'!G21</f>
        <v>0.1242</v>
      </c>
      <c r="I8" s="212">
        <f>'Revenue Requirement'!H21</f>
        <v>5.6899999999999999E-2</v>
      </c>
      <c r="J8" s="212">
        <f>'Revenue Requirement'!I21</f>
        <v>0</v>
      </c>
      <c r="K8" s="212">
        <f>'Revenue Requirement'!J21</f>
        <v>0</v>
      </c>
      <c r="L8" s="212">
        <f>'Revenue Requirement'!K21</f>
        <v>0</v>
      </c>
      <c r="M8" s="212">
        <f>'Revenue Requirement'!L21</f>
        <v>0</v>
      </c>
      <c r="N8" s="212">
        <f>'Revenue Requirement'!M21</f>
        <v>0</v>
      </c>
      <c r="O8" s="212">
        <f>'Revenue Requirement'!N21</f>
        <v>0</v>
      </c>
      <c r="P8" s="212">
        <f>'Revenue Requirement'!O21</f>
        <v>0</v>
      </c>
      <c r="Q8" s="212">
        <f>'Revenue Requirement'!P21</f>
        <v>0</v>
      </c>
      <c r="R8" s="212">
        <f>'Revenue Requirement'!Q21</f>
        <v>0</v>
      </c>
      <c r="S8" s="212">
        <f>'Revenue Requirement'!R21</f>
        <v>0</v>
      </c>
      <c r="T8" s="212">
        <f>'Revenue Requirement'!S21</f>
        <v>0</v>
      </c>
      <c r="U8" s="212">
        <f>'Revenue Requirement'!T21</f>
        <v>0</v>
      </c>
      <c r="V8" s="212">
        <f>'Revenue Requirement'!U21</f>
        <v>0</v>
      </c>
      <c r="W8" s="212">
        <f>'Revenue Requirement'!V21</f>
        <v>0</v>
      </c>
      <c r="X8" s="212">
        <f>'Revenue Requirement'!W21</f>
        <v>0</v>
      </c>
      <c r="Y8" s="212">
        <f>'Revenue Requirement'!X21</f>
        <v>0</v>
      </c>
      <c r="Z8" s="212">
        <f>'Revenue Requirement'!Y21</f>
        <v>0</v>
      </c>
      <c r="AA8" s="212">
        <f>'Revenue Requirement'!Z21</f>
        <v>0</v>
      </c>
      <c r="AB8" s="212">
        <f>'Revenue Requirement'!AA21</f>
        <v>0</v>
      </c>
      <c r="AC8" s="212">
        <f>'Revenue Requirement'!AB21</f>
        <v>0</v>
      </c>
      <c r="AD8" s="212">
        <f>'Revenue Requirement'!AC21</f>
        <v>0</v>
      </c>
      <c r="AE8" s="212">
        <f>'Revenue Requirement'!AD21</f>
        <v>1.18E-2</v>
      </c>
      <c r="AF8" s="212">
        <f>'Revenue Requirement'!AE21</f>
        <v>1.32E-2</v>
      </c>
      <c r="AG8" s="212">
        <f>'Revenue Requirement'!AF21</f>
        <v>1.37E-2</v>
      </c>
      <c r="AH8" s="212">
        <f>'Revenue Requirement'!AG21</f>
        <v>1.4200000000000001E-2</v>
      </c>
      <c r="AI8" s="212">
        <f>'Revenue Requirement'!AH21</f>
        <v>1.47E-2</v>
      </c>
      <c r="AJ8" s="212">
        <f>'Revenue Requirement'!AI21</f>
        <v>7.4999999999999997E-3</v>
      </c>
      <c r="AK8" s="212">
        <f>'Revenue Requirement'!AJ21</f>
        <v>6.3299999999999995E-2</v>
      </c>
      <c r="AL8" s="212">
        <f>'Revenue Requirement'!AK21</f>
        <v>0</v>
      </c>
      <c r="AM8" s="212">
        <f>'Revenue Requirement'!AL21</f>
        <v>0</v>
      </c>
      <c r="AN8" s="212">
        <f>'Revenue Requirement'!AM21</f>
        <v>6.4999999999999997E-3</v>
      </c>
      <c r="AO8" s="212">
        <f>'Revenue Requirement'!AN21</f>
        <v>1.6500000000000001E-2</v>
      </c>
      <c r="AP8" s="212">
        <f>'Revenue Requirement'!AO21</f>
        <v>1.7100000000000001E-2</v>
      </c>
      <c r="AQ8" s="212">
        <f>'Revenue Requirement'!AP21</f>
        <v>1.7399999999999999E-2</v>
      </c>
      <c r="AR8" s="212">
        <f>'Revenue Requirement'!AQ21</f>
        <v>1.78E-2</v>
      </c>
      <c r="AS8" s="212">
        <f>'Revenue Requirement'!AR21</f>
        <v>1.84E-2</v>
      </c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</row>
    <row r="9" spans="1:89" s="9" customFormat="1" ht="14.6" x14ac:dyDescent="0.4">
      <c r="A9" s="17" t="s">
        <v>135</v>
      </c>
      <c r="F9" s="194">
        <v>0</v>
      </c>
      <c r="G9" s="212">
        <f>'Revenue Requirement'!F47</f>
        <v>1.7600000000000001E-2</v>
      </c>
      <c r="H9" s="212">
        <f>'Revenue Requirement'!G47</f>
        <v>0.1159</v>
      </c>
      <c r="I9" s="212">
        <f>'Revenue Requirement'!H47</f>
        <v>7.5300000000000006E-2</v>
      </c>
      <c r="J9" s="212">
        <f>'Revenue Requirement'!I47</f>
        <v>0</v>
      </c>
      <c r="K9" s="212">
        <f>'Revenue Requirement'!J47</f>
        <v>0</v>
      </c>
      <c r="L9" s="212">
        <f>'Revenue Requirement'!K47</f>
        <v>0</v>
      </c>
      <c r="M9" s="212">
        <f>'Revenue Requirement'!L47</f>
        <v>0</v>
      </c>
      <c r="N9" s="212">
        <f>'Revenue Requirement'!M47</f>
        <v>0</v>
      </c>
      <c r="O9" s="212">
        <f>'Revenue Requirement'!N47</f>
        <v>0</v>
      </c>
      <c r="P9" s="212">
        <f>'Revenue Requirement'!O47</f>
        <v>0</v>
      </c>
      <c r="Q9" s="212">
        <f>'Revenue Requirement'!P47</f>
        <v>0</v>
      </c>
      <c r="R9" s="212">
        <f>'Revenue Requirement'!Q47</f>
        <v>0</v>
      </c>
      <c r="S9" s="212">
        <f>'Revenue Requirement'!R47</f>
        <v>0</v>
      </c>
      <c r="T9" s="212">
        <f>'Revenue Requirement'!S47</f>
        <v>0</v>
      </c>
      <c r="U9" s="212">
        <f>'Revenue Requirement'!T47</f>
        <v>0</v>
      </c>
      <c r="V9" s="212">
        <f>'Revenue Requirement'!U47</f>
        <v>0</v>
      </c>
      <c r="W9" s="212">
        <f>'Revenue Requirement'!V47</f>
        <v>0</v>
      </c>
      <c r="X9" s="212">
        <f>'Revenue Requirement'!W47</f>
        <v>0</v>
      </c>
      <c r="Y9" s="212">
        <f>'Revenue Requirement'!X47</f>
        <v>0</v>
      </c>
      <c r="Z9" s="212">
        <f>'Revenue Requirement'!Y47</f>
        <v>0</v>
      </c>
      <c r="AA9" s="212">
        <f>'Revenue Requirement'!Z47</f>
        <v>6.4999999999999997E-3</v>
      </c>
      <c r="AB9" s="212">
        <f>'Revenue Requirement'!AA47</f>
        <v>1.01E-2</v>
      </c>
      <c r="AC9" s="212">
        <f>'Revenue Requirement'!AB47</f>
        <v>9.9000000000000008E-3</v>
      </c>
      <c r="AD9" s="212">
        <f>'Revenue Requirement'!AC47</f>
        <v>1.0500000000000001E-2</v>
      </c>
      <c r="AE9" s="212">
        <f>'Revenue Requirement'!AD47</f>
        <v>1.0699999999999999E-2</v>
      </c>
      <c r="AF9" s="212">
        <f>'Revenue Requirement'!AE47</f>
        <v>1.1299999999999999E-2</v>
      </c>
      <c r="AG9" s="212">
        <f>'Revenue Requirement'!AF47</f>
        <v>1.18E-2</v>
      </c>
      <c r="AH9" s="212">
        <f>'Revenue Requirement'!AG47</f>
        <v>1.24E-2</v>
      </c>
      <c r="AI9" s="212">
        <f>'Revenue Requirement'!AH47</f>
        <v>1.24E-2</v>
      </c>
      <c r="AJ9" s="212">
        <f>'Revenue Requirement'!AI47</f>
        <v>1.2800000000000001E-2</v>
      </c>
      <c r="AK9" s="212">
        <f>'Revenue Requirement'!AJ47</f>
        <v>0</v>
      </c>
      <c r="AL9" s="212">
        <f>'Revenue Requirement'!AK47</f>
        <v>0</v>
      </c>
      <c r="AM9" s="212">
        <f>'Revenue Requirement'!AL47</f>
        <v>0</v>
      </c>
      <c r="AN9" s="212">
        <f>'Revenue Requirement'!AM47</f>
        <v>0</v>
      </c>
      <c r="AO9" s="212">
        <f>'Revenue Requirement'!AN47</f>
        <v>0</v>
      </c>
      <c r="AP9" s="212">
        <f>'Revenue Requirement'!AO47</f>
        <v>1.44E-2</v>
      </c>
      <c r="AQ9" s="212">
        <f>'Revenue Requirement'!AP47</f>
        <v>1.8700000000000001E-2</v>
      </c>
      <c r="AR9" s="212">
        <f>'Revenue Requirement'!AQ47</f>
        <v>1.8599999999999998E-2</v>
      </c>
      <c r="AS9" s="212">
        <f>'Revenue Requirement'!AR47</f>
        <v>1.8800000000000001E-2</v>
      </c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</row>
    <row r="10" spans="1:89" s="1" customFormat="1" ht="14.6" x14ac:dyDescent="0.4">
      <c r="A10" s="17" t="s">
        <v>136</v>
      </c>
      <c r="B10" s="9"/>
      <c r="C10" s="9"/>
      <c r="D10" s="35"/>
      <c r="E10" s="9"/>
      <c r="F10" s="45">
        <v>0.03</v>
      </c>
      <c r="G10" s="45">
        <f>F10</f>
        <v>0.03</v>
      </c>
      <c r="H10" s="45">
        <f t="shared" ref="H10:AS10" si="35">G10</f>
        <v>0.03</v>
      </c>
      <c r="I10" s="45">
        <f t="shared" si="35"/>
        <v>0.03</v>
      </c>
      <c r="J10" s="45">
        <f t="shared" si="35"/>
        <v>0.03</v>
      </c>
      <c r="K10" s="45">
        <f t="shared" si="35"/>
        <v>0.03</v>
      </c>
      <c r="L10" s="45">
        <f t="shared" si="35"/>
        <v>0.03</v>
      </c>
      <c r="M10" s="45">
        <f t="shared" si="35"/>
        <v>0.03</v>
      </c>
      <c r="N10" s="45">
        <f t="shared" si="35"/>
        <v>0.03</v>
      </c>
      <c r="O10" s="45">
        <f t="shared" si="35"/>
        <v>0.03</v>
      </c>
      <c r="P10" s="45">
        <f t="shared" si="35"/>
        <v>0.03</v>
      </c>
      <c r="Q10" s="45">
        <f t="shared" si="35"/>
        <v>0.03</v>
      </c>
      <c r="R10" s="45">
        <f t="shared" si="35"/>
        <v>0.03</v>
      </c>
      <c r="S10" s="45">
        <f t="shared" si="35"/>
        <v>0.03</v>
      </c>
      <c r="T10" s="45">
        <f t="shared" si="35"/>
        <v>0.03</v>
      </c>
      <c r="U10" s="45">
        <f t="shared" si="35"/>
        <v>0.03</v>
      </c>
      <c r="V10" s="45">
        <f t="shared" si="35"/>
        <v>0.03</v>
      </c>
      <c r="W10" s="45">
        <f t="shared" si="35"/>
        <v>0.03</v>
      </c>
      <c r="X10" s="45">
        <f t="shared" si="35"/>
        <v>0.03</v>
      </c>
      <c r="Y10" s="45">
        <f t="shared" si="35"/>
        <v>0.03</v>
      </c>
      <c r="Z10" s="45">
        <f t="shared" si="35"/>
        <v>0.03</v>
      </c>
      <c r="AA10" s="45">
        <f t="shared" si="35"/>
        <v>0.03</v>
      </c>
      <c r="AB10" s="45">
        <f t="shared" si="35"/>
        <v>0.03</v>
      </c>
      <c r="AC10" s="45">
        <f t="shared" si="35"/>
        <v>0.03</v>
      </c>
      <c r="AD10" s="45">
        <f t="shared" si="35"/>
        <v>0.03</v>
      </c>
      <c r="AE10" s="45">
        <f t="shared" si="35"/>
        <v>0.03</v>
      </c>
      <c r="AF10" s="45">
        <f t="shared" si="35"/>
        <v>0.03</v>
      </c>
      <c r="AG10" s="45">
        <f t="shared" si="35"/>
        <v>0.03</v>
      </c>
      <c r="AH10" s="45">
        <f t="shared" si="35"/>
        <v>0.03</v>
      </c>
      <c r="AI10" s="45">
        <f t="shared" si="35"/>
        <v>0.03</v>
      </c>
      <c r="AJ10" s="45">
        <f t="shared" si="35"/>
        <v>0.03</v>
      </c>
      <c r="AK10" s="45">
        <f t="shared" si="35"/>
        <v>0.03</v>
      </c>
      <c r="AL10" s="45">
        <f t="shared" si="35"/>
        <v>0.03</v>
      </c>
      <c r="AM10" s="45">
        <f t="shared" si="35"/>
        <v>0.03</v>
      </c>
      <c r="AN10" s="45">
        <f t="shared" si="35"/>
        <v>0.03</v>
      </c>
      <c r="AO10" s="45">
        <f t="shared" si="35"/>
        <v>0.03</v>
      </c>
      <c r="AP10" s="45">
        <f t="shared" si="35"/>
        <v>0.03</v>
      </c>
      <c r="AQ10" s="45">
        <f t="shared" si="35"/>
        <v>0.03</v>
      </c>
      <c r="AR10" s="45">
        <f t="shared" si="35"/>
        <v>0.03</v>
      </c>
      <c r="AS10" s="45">
        <f t="shared" si="35"/>
        <v>0.03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</row>
    <row r="11" spans="1:89" s="1" customFormat="1" ht="14.6" x14ac:dyDescent="0.4">
      <c r="A11" s="17" t="s">
        <v>137</v>
      </c>
      <c r="B11" s="9"/>
      <c r="C11" s="9"/>
      <c r="D11" s="35"/>
      <c r="E11" s="9"/>
      <c r="F11" s="45">
        <v>0.04</v>
      </c>
      <c r="G11" s="45">
        <f t="shared" ref="G11:AS11" si="36">F11</f>
        <v>0.04</v>
      </c>
      <c r="H11" s="45">
        <f t="shared" si="36"/>
        <v>0.04</v>
      </c>
      <c r="I11" s="45">
        <f t="shared" si="36"/>
        <v>0.04</v>
      </c>
      <c r="J11" s="45">
        <f t="shared" si="36"/>
        <v>0.04</v>
      </c>
      <c r="K11" s="45">
        <f t="shared" si="36"/>
        <v>0.04</v>
      </c>
      <c r="L11" s="45">
        <f t="shared" si="36"/>
        <v>0.04</v>
      </c>
      <c r="M11" s="45">
        <f t="shared" si="36"/>
        <v>0.04</v>
      </c>
      <c r="N11" s="45">
        <f t="shared" si="36"/>
        <v>0.04</v>
      </c>
      <c r="O11" s="45">
        <f t="shared" si="36"/>
        <v>0.04</v>
      </c>
      <c r="P11" s="45">
        <f t="shared" si="36"/>
        <v>0.04</v>
      </c>
      <c r="Q11" s="45">
        <f t="shared" si="36"/>
        <v>0.04</v>
      </c>
      <c r="R11" s="45">
        <f t="shared" si="36"/>
        <v>0.04</v>
      </c>
      <c r="S11" s="45">
        <f t="shared" si="36"/>
        <v>0.04</v>
      </c>
      <c r="T11" s="45">
        <f t="shared" si="36"/>
        <v>0.04</v>
      </c>
      <c r="U11" s="45">
        <f t="shared" si="36"/>
        <v>0.04</v>
      </c>
      <c r="V11" s="45">
        <f t="shared" si="36"/>
        <v>0.04</v>
      </c>
      <c r="W11" s="45">
        <f t="shared" si="36"/>
        <v>0.04</v>
      </c>
      <c r="X11" s="45">
        <f t="shared" si="36"/>
        <v>0.04</v>
      </c>
      <c r="Y11" s="45">
        <f t="shared" si="36"/>
        <v>0.04</v>
      </c>
      <c r="Z11" s="45">
        <f t="shared" si="36"/>
        <v>0.04</v>
      </c>
      <c r="AA11" s="45">
        <f t="shared" si="36"/>
        <v>0.04</v>
      </c>
      <c r="AB11" s="45">
        <f t="shared" si="36"/>
        <v>0.04</v>
      </c>
      <c r="AC11" s="45">
        <f t="shared" si="36"/>
        <v>0.04</v>
      </c>
      <c r="AD11" s="45">
        <f t="shared" si="36"/>
        <v>0.04</v>
      </c>
      <c r="AE11" s="45">
        <f t="shared" si="36"/>
        <v>0.04</v>
      </c>
      <c r="AF11" s="45">
        <f t="shared" si="36"/>
        <v>0.04</v>
      </c>
      <c r="AG11" s="45">
        <f t="shared" si="36"/>
        <v>0.04</v>
      </c>
      <c r="AH11" s="45">
        <f t="shared" si="36"/>
        <v>0.04</v>
      </c>
      <c r="AI11" s="45">
        <f t="shared" si="36"/>
        <v>0.04</v>
      </c>
      <c r="AJ11" s="45">
        <f t="shared" si="36"/>
        <v>0.04</v>
      </c>
      <c r="AK11" s="45">
        <f t="shared" si="36"/>
        <v>0.04</v>
      </c>
      <c r="AL11" s="45">
        <f t="shared" si="36"/>
        <v>0.04</v>
      </c>
      <c r="AM11" s="45">
        <f t="shared" si="36"/>
        <v>0.04</v>
      </c>
      <c r="AN11" s="45">
        <f t="shared" si="36"/>
        <v>0.04</v>
      </c>
      <c r="AO11" s="45">
        <f t="shared" si="36"/>
        <v>0.04</v>
      </c>
      <c r="AP11" s="45">
        <f t="shared" si="36"/>
        <v>0.04</v>
      </c>
      <c r="AQ11" s="45">
        <f t="shared" si="36"/>
        <v>0.04</v>
      </c>
      <c r="AR11" s="45">
        <f t="shared" si="36"/>
        <v>0.04</v>
      </c>
      <c r="AS11" s="45">
        <f t="shared" si="36"/>
        <v>0.04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</row>
    <row r="12" spans="1:89" s="1" customFormat="1" ht="14.6" x14ac:dyDescent="0.4">
      <c r="A12" s="17" t="s">
        <v>138</v>
      </c>
      <c r="B12" s="9"/>
      <c r="C12" s="9"/>
      <c r="D12" s="9"/>
      <c r="E12" s="9"/>
      <c r="F12" s="55">
        <v>0.25</v>
      </c>
      <c r="G12" s="45">
        <f t="shared" ref="G12:AS12" si="37">F12</f>
        <v>0.25</v>
      </c>
      <c r="H12" s="45">
        <f t="shared" si="37"/>
        <v>0.25</v>
      </c>
      <c r="I12" s="45">
        <f t="shared" si="37"/>
        <v>0.25</v>
      </c>
      <c r="J12" s="45">
        <f t="shared" si="37"/>
        <v>0.25</v>
      </c>
      <c r="K12" s="45">
        <f t="shared" si="37"/>
        <v>0.25</v>
      </c>
      <c r="L12" s="45">
        <f t="shared" si="37"/>
        <v>0.25</v>
      </c>
      <c r="M12" s="45">
        <f t="shared" si="37"/>
        <v>0.25</v>
      </c>
      <c r="N12" s="45">
        <f t="shared" si="37"/>
        <v>0.25</v>
      </c>
      <c r="O12" s="45">
        <f t="shared" si="37"/>
        <v>0.25</v>
      </c>
      <c r="P12" s="45">
        <f t="shared" si="37"/>
        <v>0.25</v>
      </c>
      <c r="Q12" s="45">
        <f t="shared" si="37"/>
        <v>0.25</v>
      </c>
      <c r="R12" s="45">
        <f t="shared" si="37"/>
        <v>0.25</v>
      </c>
      <c r="S12" s="45">
        <f t="shared" si="37"/>
        <v>0.25</v>
      </c>
      <c r="T12" s="45">
        <f t="shared" si="37"/>
        <v>0.25</v>
      </c>
      <c r="U12" s="45">
        <f t="shared" si="37"/>
        <v>0.25</v>
      </c>
      <c r="V12" s="45">
        <f t="shared" si="37"/>
        <v>0.25</v>
      </c>
      <c r="W12" s="45">
        <f t="shared" si="37"/>
        <v>0.25</v>
      </c>
      <c r="X12" s="45">
        <f t="shared" si="37"/>
        <v>0.25</v>
      </c>
      <c r="Y12" s="45">
        <f t="shared" si="37"/>
        <v>0.25</v>
      </c>
      <c r="Z12" s="45">
        <f t="shared" si="37"/>
        <v>0.25</v>
      </c>
      <c r="AA12" s="45">
        <f t="shared" si="37"/>
        <v>0.25</v>
      </c>
      <c r="AB12" s="45">
        <f t="shared" si="37"/>
        <v>0.25</v>
      </c>
      <c r="AC12" s="45">
        <f t="shared" si="37"/>
        <v>0.25</v>
      </c>
      <c r="AD12" s="45">
        <f t="shared" si="37"/>
        <v>0.25</v>
      </c>
      <c r="AE12" s="45">
        <f t="shared" si="37"/>
        <v>0.25</v>
      </c>
      <c r="AF12" s="45">
        <f t="shared" si="37"/>
        <v>0.25</v>
      </c>
      <c r="AG12" s="45">
        <f t="shared" si="37"/>
        <v>0.25</v>
      </c>
      <c r="AH12" s="45">
        <f t="shared" si="37"/>
        <v>0.25</v>
      </c>
      <c r="AI12" s="45">
        <f t="shared" si="37"/>
        <v>0.25</v>
      </c>
      <c r="AJ12" s="45">
        <f t="shared" si="37"/>
        <v>0.25</v>
      </c>
      <c r="AK12" s="45">
        <f t="shared" si="37"/>
        <v>0.25</v>
      </c>
      <c r="AL12" s="45">
        <f t="shared" si="37"/>
        <v>0.25</v>
      </c>
      <c r="AM12" s="45">
        <f t="shared" si="37"/>
        <v>0.25</v>
      </c>
      <c r="AN12" s="45">
        <f t="shared" si="37"/>
        <v>0.25</v>
      </c>
      <c r="AO12" s="45">
        <f t="shared" si="37"/>
        <v>0.25</v>
      </c>
      <c r="AP12" s="45">
        <f t="shared" si="37"/>
        <v>0.25</v>
      </c>
      <c r="AQ12" s="45">
        <f t="shared" si="37"/>
        <v>0.25</v>
      </c>
      <c r="AR12" s="45">
        <f t="shared" si="37"/>
        <v>0.25</v>
      </c>
      <c r="AS12" s="45">
        <f t="shared" si="37"/>
        <v>0.25</v>
      </c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</row>
    <row r="13" spans="1:89" s="24" customFormat="1" ht="14.6" x14ac:dyDescent="0.4">
      <c r="A13" s="157" t="s">
        <v>139</v>
      </c>
      <c r="B13" s="18"/>
      <c r="C13" s="18"/>
      <c r="D13" s="18"/>
      <c r="E13" s="18"/>
      <c r="F13" s="47">
        <v>0</v>
      </c>
      <c r="G13" s="44">
        <f t="shared" ref="G13:AS13" si="38">F13</f>
        <v>0</v>
      </c>
      <c r="H13" s="44">
        <f t="shared" si="38"/>
        <v>0</v>
      </c>
      <c r="I13" s="44">
        <f t="shared" si="38"/>
        <v>0</v>
      </c>
      <c r="J13" s="44">
        <f t="shared" si="38"/>
        <v>0</v>
      </c>
      <c r="K13" s="44">
        <f t="shared" si="38"/>
        <v>0</v>
      </c>
      <c r="L13" s="44">
        <f t="shared" si="38"/>
        <v>0</v>
      </c>
      <c r="M13" s="44">
        <f t="shared" si="38"/>
        <v>0</v>
      </c>
      <c r="N13" s="44">
        <f t="shared" si="38"/>
        <v>0</v>
      </c>
      <c r="O13" s="44">
        <f t="shared" si="38"/>
        <v>0</v>
      </c>
      <c r="P13" s="44">
        <f t="shared" si="38"/>
        <v>0</v>
      </c>
      <c r="Q13" s="44">
        <f t="shared" si="38"/>
        <v>0</v>
      </c>
      <c r="R13" s="44">
        <f t="shared" si="38"/>
        <v>0</v>
      </c>
      <c r="S13" s="44">
        <f t="shared" si="38"/>
        <v>0</v>
      </c>
      <c r="T13" s="44">
        <f t="shared" si="38"/>
        <v>0</v>
      </c>
      <c r="U13" s="44">
        <f t="shared" si="38"/>
        <v>0</v>
      </c>
      <c r="V13" s="44">
        <f t="shared" si="38"/>
        <v>0</v>
      </c>
      <c r="W13" s="44">
        <f t="shared" si="38"/>
        <v>0</v>
      </c>
      <c r="X13" s="44">
        <f t="shared" si="38"/>
        <v>0</v>
      </c>
      <c r="Y13" s="44">
        <f t="shared" si="38"/>
        <v>0</v>
      </c>
      <c r="Z13" s="44">
        <f t="shared" si="38"/>
        <v>0</v>
      </c>
      <c r="AA13" s="44">
        <f t="shared" si="38"/>
        <v>0</v>
      </c>
      <c r="AB13" s="44">
        <f t="shared" si="38"/>
        <v>0</v>
      </c>
      <c r="AC13" s="44">
        <f t="shared" si="38"/>
        <v>0</v>
      </c>
      <c r="AD13" s="44">
        <f t="shared" si="38"/>
        <v>0</v>
      </c>
      <c r="AE13" s="44">
        <f t="shared" si="38"/>
        <v>0</v>
      </c>
      <c r="AF13" s="44">
        <f t="shared" si="38"/>
        <v>0</v>
      </c>
      <c r="AG13" s="44">
        <f t="shared" si="38"/>
        <v>0</v>
      </c>
      <c r="AH13" s="44">
        <f t="shared" si="38"/>
        <v>0</v>
      </c>
      <c r="AI13" s="44">
        <f t="shared" si="38"/>
        <v>0</v>
      </c>
      <c r="AJ13" s="44">
        <f t="shared" si="38"/>
        <v>0</v>
      </c>
      <c r="AK13" s="44">
        <f t="shared" si="38"/>
        <v>0</v>
      </c>
      <c r="AL13" s="44">
        <f t="shared" si="38"/>
        <v>0</v>
      </c>
      <c r="AM13" s="44">
        <f t="shared" si="38"/>
        <v>0</v>
      </c>
      <c r="AN13" s="44">
        <f t="shared" si="38"/>
        <v>0</v>
      </c>
      <c r="AO13" s="44">
        <f t="shared" si="38"/>
        <v>0</v>
      </c>
      <c r="AP13" s="44">
        <f t="shared" si="38"/>
        <v>0</v>
      </c>
      <c r="AQ13" s="44">
        <f t="shared" si="38"/>
        <v>0</v>
      </c>
      <c r="AR13" s="44">
        <f t="shared" si="38"/>
        <v>0</v>
      </c>
      <c r="AS13" s="44">
        <f t="shared" si="38"/>
        <v>0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</row>
    <row r="14" spans="1:89" s="1" customFormat="1" ht="14.6" x14ac:dyDescent="0.4">
      <c r="A14" s="156" t="s">
        <v>140</v>
      </c>
      <c r="B14" s="123"/>
      <c r="C14" s="123"/>
      <c r="D14" s="123"/>
      <c r="E14" s="123"/>
      <c r="F14" s="46">
        <v>30</v>
      </c>
      <c r="G14" s="52">
        <f t="shared" ref="G14:AS14" si="39">F14</f>
        <v>30</v>
      </c>
      <c r="H14" s="52">
        <f t="shared" si="39"/>
        <v>30</v>
      </c>
      <c r="I14" s="52">
        <f t="shared" si="39"/>
        <v>30</v>
      </c>
      <c r="J14" s="52">
        <f t="shared" si="39"/>
        <v>30</v>
      </c>
      <c r="K14" s="52">
        <f t="shared" si="39"/>
        <v>30</v>
      </c>
      <c r="L14" s="52">
        <f t="shared" si="39"/>
        <v>30</v>
      </c>
      <c r="M14" s="52">
        <f t="shared" si="39"/>
        <v>30</v>
      </c>
      <c r="N14" s="52">
        <f t="shared" si="39"/>
        <v>30</v>
      </c>
      <c r="O14" s="52">
        <f t="shared" si="39"/>
        <v>30</v>
      </c>
      <c r="P14" s="52">
        <f t="shared" si="39"/>
        <v>30</v>
      </c>
      <c r="Q14" s="52">
        <f t="shared" si="39"/>
        <v>30</v>
      </c>
      <c r="R14" s="52">
        <f t="shared" si="39"/>
        <v>30</v>
      </c>
      <c r="S14" s="52">
        <f t="shared" si="39"/>
        <v>30</v>
      </c>
      <c r="T14" s="52">
        <f t="shared" si="39"/>
        <v>30</v>
      </c>
      <c r="U14" s="52">
        <f t="shared" si="39"/>
        <v>30</v>
      </c>
      <c r="V14" s="52">
        <f t="shared" si="39"/>
        <v>30</v>
      </c>
      <c r="W14" s="52">
        <f t="shared" si="39"/>
        <v>30</v>
      </c>
      <c r="X14" s="52">
        <f t="shared" si="39"/>
        <v>30</v>
      </c>
      <c r="Y14" s="52">
        <f t="shared" si="39"/>
        <v>30</v>
      </c>
      <c r="Z14" s="52">
        <f t="shared" si="39"/>
        <v>30</v>
      </c>
      <c r="AA14" s="52">
        <f t="shared" si="39"/>
        <v>30</v>
      </c>
      <c r="AB14" s="52">
        <f t="shared" si="39"/>
        <v>30</v>
      </c>
      <c r="AC14" s="52">
        <f t="shared" si="39"/>
        <v>30</v>
      </c>
      <c r="AD14" s="52">
        <f t="shared" si="39"/>
        <v>30</v>
      </c>
      <c r="AE14" s="52">
        <f t="shared" si="39"/>
        <v>30</v>
      </c>
      <c r="AF14" s="52">
        <f t="shared" si="39"/>
        <v>30</v>
      </c>
      <c r="AG14" s="52">
        <f t="shared" si="39"/>
        <v>30</v>
      </c>
      <c r="AH14" s="52">
        <f t="shared" si="39"/>
        <v>30</v>
      </c>
      <c r="AI14" s="52">
        <f t="shared" si="39"/>
        <v>30</v>
      </c>
      <c r="AJ14" s="52">
        <f t="shared" si="39"/>
        <v>30</v>
      </c>
      <c r="AK14" s="52">
        <f t="shared" si="39"/>
        <v>30</v>
      </c>
      <c r="AL14" s="52">
        <f t="shared" si="39"/>
        <v>30</v>
      </c>
      <c r="AM14" s="52">
        <f t="shared" si="39"/>
        <v>30</v>
      </c>
      <c r="AN14" s="52">
        <f t="shared" si="39"/>
        <v>30</v>
      </c>
      <c r="AO14" s="52">
        <f t="shared" si="39"/>
        <v>30</v>
      </c>
      <c r="AP14" s="52">
        <f t="shared" si="39"/>
        <v>30</v>
      </c>
      <c r="AQ14" s="52">
        <f t="shared" si="39"/>
        <v>30</v>
      </c>
      <c r="AR14" s="52">
        <f t="shared" si="39"/>
        <v>30</v>
      </c>
      <c r="AS14" s="52">
        <f t="shared" si="39"/>
        <v>30</v>
      </c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</row>
    <row r="15" spans="1:89" s="1" customFormat="1" ht="14.6" x14ac:dyDescent="0.4">
      <c r="A15" s="39" t="s">
        <v>141</v>
      </c>
      <c r="B15" s="39"/>
      <c r="C15" s="39"/>
      <c r="D15" s="39"/>
      <c r="E15" s="39"/>
      <c r="F15" s="66">
        <v>0.04</v>
      </c>
      <c r="G15" s="45">
        <f t="shared" ref="G15:AS15" si="40">F15</f>
        <v>0.04</v>
      </c>
      <c r="H15" s="45">
        <f t="shared" si="40"/>
        <v>0.04</v>
      </c>
      <c r="I15" s="45">
        <f t="shared" si="40"/>
        <v>0.04</v>
      </c>
      <c r="J15" s="45">
        <f t="shared" si="40"/>
        <v>0.04</v>
      </c>
      <c r="K15" s="45">
        <f t="shared" si="40"/>
        <v>0.04</v>
      </c>
      <c r="L15" s="45">
        <f t="shared" si="40"/>
        <v>0.04</v>
      </c>
      <c r="M15" s="45">
        <f t="shared" si="40"/>
        <v>0.04</v>
      </c>
      <c r="N15" s="45">
        <f t="shared" si="40"/>
        <v>0.04</v>
      </c>
      <c r="O15" s="45">
        <f t="shared" si="40"/>
        <v>0.04</v>
      </c>
      <c r="P15" s="45">
        <f t="shared" si="40"/>
        <v>0.04</v>
      </c>
      <c r="Q15" s="45">
        <f t="shared" si="40"/>
        <v>0.04</v>
      </c>
      <c r="R15" s="45">
        <f t="shared" si="40"/>
        <v>0.04</v>
      </c>
      <c r="S15" s="45">
        <f t="shared" si="40"/>
        <v>0.04</v>
      </c>
      <c r="T15" s="45">
        <f t="shared" si="40"/>
        <v>0.04</v>
      </c>
      <c r="U15" s="45">
        <f t="shared" si="40"/>
        <v>0.04</v>
      </c>
      <c r="V15" s="45">
        <f t="shared" si="40"/>
        <v>0.04</v>
      </c>
      <c r="W15" s="45">
        <f t="shared" si="40"/>
        <v>0.04</v>
      </c>
      <c r="X15" s="45">
        <f t="shared" si="40"/>
        <v>0.04</v>
      </c>
      <c r="Y15" s="45">
        <f t="shared" si="40"/>
        <v>0.04</v>
      </c>
      <c r="Z15" s="45">
        <f t="shared" si="40"/>
        <v>0.04</v>
      </c>
      <c r="AA15" s="45">
        <f t="shared" si="40"/>
        <v>0.04</v>
      </c>
      <c r="AB15" s="45">
        <f t="shared" si="40"/>
        <v>0.04</v>
      </c>
      <c r="AC15" s="45">
        <f t="shared" si="40"/>
        <v>0.04</v>
      </c>
      <c r="AD15" s="45">
        <f t="shared" si="40"/>
        <v>0.04</v>
      </c>
      <c r="AE15" s="45">
        <f t="shared" si="40"/>
        <v>0.04</v>
      </c>
      <c r="AF15" s="45">
        <f t="shared" si="40"/>
        <v>0.04</v>
      </c>
      <c r="AG15" s="45">
        <f t="shared" si="40"/>
        <v>0.04</v>
      </c>
      <c r="AH15" s="45">
        <f t="shared" si="40"/>
        <v>0.04</v>
      </c>
      <c r="AI15" s="45">
        <f t="shared" si="40"/>
        <v>0.04</v>
      </c>
      <c r="AJ15" s="45">
        <f t="shared" si="40"/>
        <v>0.04</v>
      </c>
      <c r="AK15" s="45">
        <f t="shared" si="40"/>
        <v>0.04</v>
      </c>
      <c r="AL15" s="45">
        <f t="shared" si="40"/>
        <v>0.04</v>
      </c>
      <c r="AM15" s="45">
        <f t="shared" si="40"/>
        <v>0.04</v>
      </c>
      <c r="AN15" s="45">
        <f t="shared" si="40"/>
        <v>0.04</v>
      </c>
      <c r="AO15" s="45">
        <f t="shared" si="40"/>
        <v>0.04</v>
      </c>
      <c r="AP15" s="45">
        <f t="shared" si="40"/>
        <v>0.04</v>
      </c>
      <c r="AQ15" s="45">
        <f t="shared" si="40"/>
        <v>0.04</v>
      </c>
      <c r="AR15" s="45">
        <f t="shared" si="40"/>
        <v>0.04</v>
      </c>
      <c r="AS15" s="45">
        <f t="shared" si="40"/>
        <v>0.04</v>
      </c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</row>
    <row r="16" spans="1:89" s="1" customFormat="1" ht="14.6" x14ac:dyDescent="0.4">
      <c r="A16" s="39" t="s">
        <v>142</v>
      </c>
      <c r="B16" s="39"/>
      <c r="C16" s="39"/>
      <c r="D16" s="39"/>
      <c r="E16" s="39"/>
      <c r="F16" s="66">
        <v>0.2</v>
      </c>
      <c r="G16" s="66">
        <v>0.2</v>
      </c>
      <c r="H16" s="66">
        <v>0.2</v>
      </c>
      <c r="I16" s="66">
        <v>0.2</v>
      </c>
      <c r="J16" s="66">
        <v>0.2</v>
      </c>
      <c r="K16" s="66">
        <v>0.2</v>
      </c>
      <c r="L16" s="66">
        <v>0.2</v>
      </c>
      <c r="M16" s="66">
        <v>0.2</v>
      </c>
      <c r="N16" s="66">
        <v>0.2</v>
      </c>
      <c r="O16" s="66">
        <v>0.2</v>
      </c>
      <c r="P16" s="66">
        <v>0.2</v>
      </c>
      <c r="Q16" s="66">
        <v>0.2</v>
      </c>
      <c r="R16" s="66">
        <v>0.2</v>
      </c>
      <c r="S16" s="66">
        <v>0.2</v>
      </c>
      <c r="T16" s="66">
        <v>0.2</v>
      </c>
      <c r="U16" s="66">
        <v>0.2</v>
      </c>
      <c r="V16" s="66">
        <v>0.2</v>
      </c>
      <c r="W16" s="66">
        <v>0.2</v>
      </c>
      <c r="X16" s="66">
        <v>0.2</v>
      </c>
      <c r="Y16" s="66">
        <v>0.2</v>
      </c>
      <c r="Z16" s="66">
        <v>0.2</v>
      </c>
      <c r="AA16" s="66">
        <v>0.2</v>
      </c>
      <c r="AB16" s="66">
        <v>0.2</v>
      </c>
      <c r="AC16" s="66">
        <v>0.2</v>
      </c>
      <c r="AD16" s="66">
        <v>0.2</v>
      </c>
      <c r="AE16" s="66">
        <v>0.2</v>
      </c>
      <c r="AF16" s="66">
        <v>0.2</v>
      </c>
      <c r="AG16" s="66">
        <v>0.2</v>
      </c>
      <c r="AH16" s="66">
        <v>0.2</v>
      </c>
      <c r="AI16" s="66">
        <v>0.2</v>
      </c>
      <c r="AJ16" s="66">
        <v>0.2</v>
      </c>
      <c r="AK16" s="66">
        <v>0.2</v>
      </c>
      <c r="AL16" s="66">
        <v>0.2</v>
      </c>
      <c r="AM16" s="66">
        <v>0.2</v>
      </c>
      <c r="AN16" s="66">
        <v>0.2</v>
      </c>
      <c r="AO16" s="66">
        <v>0.2</v>
      </c>
      <c r="AP16" s="66">
        <v>0.2</v>
      </c>
      <c r="AQ16" s="66">
        <v>0.2</v>
      </c>
      <c r="AR16" s="66">
        <v>0.2</v>
      </c>
      <c r="AS16" s="66">
        <v>0.2</v>
      </c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</row>
    <row r="17" spans="1:89" s="9" customFormat="1" ht="14.6" x14ac:dyDescent="0.4">
      <c r="A17" s="39" t="s">
        <v>143</v>
      </c>
      <c r="B17" s="39"/>
      <c r="C17" s="39"/>
      <c r="D17" s="39"/>
      <c r="E17" s="39"/>
      <c r="F17" s="164">
        <f>IF(F15&lt;0.02,0,F15-0.02)</f>
        <v>0.02</v>
      </c>
      <c r="G17" s="164">
        <f t="shared" ref="G17:AS17" si="41">IF(G15&lt;0.02,0,G15-0.02)</f>
        <v>0.02</v>
      </c>
      <c r="H17" s="164">
        <f t="shared" si="41"/>
        <v>0.02</v>
      </c>
      <c r="I17" s="164">
        <f t="shared" si="41"/>
        <v>0.02</v>
      </c>
      <c r="J17" s="164">
        <f t="shared" si="41"/>
        <v>0.02</v>
      </c>
      <c r="K17" s="164">
        <f t="shared" si="41"/>
        <v>0.02</v>
      </c>
      <c r="L17" s="164">
        <f t="shared" si="41"/>
        <v>0.02</v>
      </c>
      <c r="M17" s="164">
        <f t="shared" si="41"/>
        <v>0.02</v>
      </c>
      <c r="N17" s="164">
        <f t="shared" si="41"/>
        <v>0.02</v>
      </c>
      <c r="O17" s="164">
        <f t="shared" si="41"/>
        <v>0.02</v>
      </c>
      <c r="P17" s="164">
        <f t="shared" si="41"/>
        <v>0.02</v>
      </c>
      <c r="Q17" s="164">
        <f t="shared" si="41"/>
        <v>0.02</v>
      </c>
      <c r="R17" s="164">
        <f t="shared" si="41"/>
        <v>0.02</v>
      </c>
      <c r="S17" s="164">
        <f t="shared" si="41"/>
        <v>0.02</v>
      </c>
      <c r="T17" s="164">
        <f t="shared" si="41"/>
        <v>0.02</v>
      </c>
      <c r="U17" s="164">
        <f t="shared" si="41"/>
        <v>0.02</v>
      </c>
      <c r="V17" s="164">
        <f t="shared" si="41"/>
        <v>0.02</v>
      </c>
      <c r="W17" s="164">
        <f t="shared" si="41"/>
        <v>0.02</v>
      </c>
      <c r="X17" s="164">
        <f t="shared" si="41"/>
        <v>0.02</v>
      </c>
      <c r="Y17" s="164">
        <f t="shared" si="41"/>
        <v>0.02</v>
      </c>
      <c r="Z17" s="164">
        <f t="shared" si="41"/>
        <v>0.02</v>
      </c>
      <c r="AA17" s="164">
        <f t="shared" si="41"/>
        <v>0.02</v>
      </c>
      <c r="AB17" s="164">
        <f t="shared" si="41"/>
        <v>0.02</v>
      </c>
      <c r="AC17" s="164">
        <f t="shared" si="41"/>
        <v>0.02</v>
      </c>
      <c r="AD17" s="164">
        <f t="shared" si="41"/>
        <v>0.02</v>
      </c>
      <c r="AE17" s="164">
        <f t="shared" si="41"/>
        <v>0.02</v>
      </c>
      <c r="AF17" s="164">
        <f t="shared" si="41"/>
        <v>0.02</v>
      </c>
      <c r="AG17" s="164">
        <f t="shared" si="41"/>
        <v>0.02</v>
      </c>
      <c r="AH17" s="164">
        <f t="shared" si="41"/>
        <v>0.02</v>
      </c>
      <c r="AI17" s="164">
        <f t="shared" si="41"/>
        <v>0.02</v>
      </c>
      <c r="AJ17" s="164">
        <f t="shared" si="41"/>
        <v>0.02</v>
      </c>
      <c r="AK17" s="164">
        <f t="shared" si="41"/>
        <v>0.02</v>
      </c>
      <c r="AL17" s="164">
        <f t="shared" si="41"/>
        <v>0.02</v>
      </c>
      <c r="AM17" s="164">
        <f t="shared" si="41"/>
        <v>0.02</v>
      </c>
      <c r="AN17" s="164">
        <f t="shared" si="41"/>
        <v>0.02</v>
      </c>
      <c r="AO17" s="164">
        <f t="shared" si="41"/>
        <v>0.02</v>
      </c>
      <c r="AP17" s="164">
        <f t="shared" si="41"/>
        <v>0.02</v>
      </c>
      <c r="AQ17" s="164">
        <f t="shared" si="41"/>
        <v>0.02</v>
      </c>
      <c r="AR17" s="164">
        <f t="shared" si="41"/>
        <v>0.02</v>
      </c>
      <c r="AS17" s="164">
        <f t="shared" si="41"/>
        <v>0.02</v>
      </c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</row>
    <row r="18" spans="1:89" s="9" customFormat="1" ht="14.6" x14ac:dyDescent="0.4">
      <c r="A18" s="17" t="s">
        <v>144</v>
      </c>
      <c r="F18" s="44">
        <f>F19/2</f>
        <v>9891000</v>
      </c>
      <c r="G18" s="44">
        <f>F19-F18</f>
        <v>9891000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10000000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</row>
    <row r="19" spans="1:89" s="1" customFormat="1" ht="14.6" x14ac:dyDescent="0.4">
      <c r="A19" s="17" t="s">
        <v>145</v>
      </c>
      <c r="B19" s="9"/>
      <c r="C19" s="9"/>
      <c r="D19" s="9"/>
      <c r="E19" s="9"/>
      <c r="F19" s="44">
        <f>19782000</f>
        <v>19782000</v>
      </c>
      <c r="G19" s="1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s="1" customFormat="1" ht="14.6" x14ac:dyDescent="0.4">
      <c r="A20" s="17" t="s">
        <v>146</v>
      </c>
      <c r="B20" s="9"/>
      <c r="C20" s="9"/>
      <c r="D20" s="9"/>
      <c r="E20" s="9"/>
      <c r="F20" s="45">
        <v>0.7</v>
      </c>
      <c r="G20" s="1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s="1" customFormat="1" ht="14.6" x14ac:dyDescent="0.4">
      <c r="A21" s="17" t="s">
        <v>147</v>
      </c>
      <c r="B21" s="9"/>
      <c r="C21" s="9"/>
      <c r="D21" s="9"/>
      <c r="E21" s="9"/>
      <c r="F21" s="35">
        <f>1-F20</f>
        <v>0.30000000000000004</v>
      </c>
      <c r="G21" s="1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s="1" customFormat="1" ht="14.6" x14ac:dyDescent="0.4">
      <c r="A22" s="17" t="s">
        <v>148</v>
      </c>
      <c r="B22" s="9"/>
      <c r="C22" s="9"/>
      <c r="D22" s="9"/>
      <c r="E22" s="9"/>
      <c r="F22" s="44">
        <f>F23/2</f>
        <v>9237500</v>
      </c>
      <c r="G22" s="44">
        <f>F23-F22</f>
        <v>9237500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s="1" customFormat="1" ht="14.6" x14ac:dyDescent="0.4">
      <c r="A23" s="17" t="s">
        <v>149</v>
      </c>
      <c r="B23" s="9"/>
      <c r="C23" s="9"/>
      <c r="D23" s="9"/>
      <c r="E23" s="9"/>
      <c r="F23" s="44">
        <f>18475000</f>
        <v>18475000</v>
      </c>
      <c r="G23" s="1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s="1" customFormat="1" ht="14.6" x14ac:dyDescent="0.4">
      <c r="A24" s="17" t="s">
        <v>150</v>
      </c>
      <c r="B24" s="9"/>
      <c r="C24" s="9"/>
      <c r="D24" s="9"/>
      <c r="E24" s="9"/>
      <c r="F24" s="154">
        <v>12</v>
      </c>
      <c r="G24" s="1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s="1" customFormat="1" ht="14.6" x14ac:dyDescent="0.4">
      <c r="A25" s="17" t="s">
        <v>151</v>
      </c>
      <c r="B25" s="9"/>
      <c r="C25" s="9"/>
      <c r="D25" s="9"/>
      <c r="E25" s="9"/>
      <c r="F25" s="52">
        <v>67000</v>
      </c>
      <c r="G25" s="1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  <row r="26" spans="1:89" s="1" customFormat="1" ht="14.6" x14ac:dyDescent="0.4">
      <c r="A26" s="17"/>
      <c r="B26" s="9"/>
      <c r="C26" s="9"/>
      <c r="D26" s="9"/>
      <c r="E26" s="9"/>
      <c r="F26" s="9"/>
      <c r="G26" s="1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</row>
    <row r="27" spans="1:89" s="1" customFormat="1" ht="14.6" x14ac:dyDescent="0.4">
      <c r="A27" s="19"/>
      <c r="B27" s="9"/>
      <c r="C27" s="9"/>
      <c r="D27" s="9"/>
      <c r="E27" s="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</row>
    <row r="28" spans="1:89" s="1" customFormat="1" ht="14.6" x14ac:dyDescent="0.4">
      <c r="A28" s="9"/>
      <c r="B28" s="18"/>
      <c r="C28" s="9"/>
      <c r="D28" s="9"/>
      <c r="E28" s="9"/>
      <c r="F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9" s="1" customFormat="1" ht="14.6" x14ac:dyDescent="0.4">
      <c r="B29" s="214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9" s="1" customFormat="1" ht="14.6" x14ac:dyDescent="0.4"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9" s="1" customFormat="1" ht="14.6" x14ac:dyDescent="0.4"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9" s="1" customFormat="1" ht="14.6" x14ac:dyDescent="0.4"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="27" customFormat="1" ht="14.6" x14ac:dyDescent="0.4"/>
    <row r="34" s="27" customFormat="1" ht="14.6" x14ac:dyDescent="0.4"/>
    <row r="35" s="27" customFormat="1" ht="14.6" x14ac:dyDescent="0.4"/>
    <row r="36" s="27" customFormat="1" ht="14.6" x14ac:dyDescent="0.4"/>
    <row r="37" s="27" customFormat="1" ht="14.6" x14ac:dyDescent="0.4"/>
    <row r="38" s="27" customFormat="1" ht="14.6" x14ac:dyDescent="0.4"/>
    <row r="39" s="27" customFormat="1" ht="14.6" x14ac:dyDescent="0.4"/>
    <row r="40" s="27" customFormat="1" ht="14.6" x14ac:dyDescent="0.4"/>
    <row r="41" s="27" customFormat="1" ht="14.6" x14ac:dyDescent="0.4"/>
    <row r="42" s="27" customFormat="1" ht="14.6" x14ac:dyDescent="0.4"/>
    <row r="43" s="27" customFormat="1" ht="14.6" x14ac:dyDescent="0.4"/>
    <row r="44" s="27" customFormat="1" ht="14.6" x14ac:dyDescent="0.4"/>
    <row r="45" s="27" customFormat="1" ht="14.6" x14ac:dyDescent="0.4"/>
    <row r="46" s="27" customFormat="1" ht="14.6" x14ac:dyDescent="0.4"/>
    <row r="47" s="27" customFormat="1" ht="14.6" x14ac:dyDescent="0.4"/>
    <row r="48" s="27" customFormat="1" ht="14.6" x14ac:dyDescent="0.4"/>
    <row r="49" spans="6:6" s="16" customFormat="1" ht="14.6" x14ac:dyDescent="0.4">
      <c r="F49" s="15"/>
    </row>
    <row r="50" spans="6:6" s="16" customFormat="1" ht="14.6" x14ac:dyDescent="0.4"/>
    <row r="51" spans="6:6" s="16" customFormat="1" ht="14.6" x14ac:dyDescent="0.4"/>
    <row r="52" spans="6:6" s="16" customFormat="1" ht="14.6" x14ac:dyDescent="0.4"/>
    <row r="53" spans="6:6" s="16" customFormat="1" ht="14.6" x14ac:dyDescent="0.4"/>
    <row r="54" spans="6:6" s="16" customFormat="1" ht="14.6" x14ac:dyDescent="0.4"/>
    <row r="55" spans="6:6" s="16" customFormat="1" ht="14.6" x14ac:dyDescent="0.4"/>
    <row r="56" spans="6:6" s="16" customFormat="1" ht="14.6" x14ac:dyDescent="0.4"/>
    <row r="57" spans="6:6" s="16" customFormat="1" ht="14.6" x14ac:dyDescent="0.4"/>
    <row r="58" spans="6:6" s="16" customFormat="1" ht="14.6" x14ac:dyDescent="0.4"/>
  </sheetData>
  <mergeCells count="2">
    <mergeCell ref="A3:K3"/>
    <mergeCell ref="A1:K1"/>
  </mergeCells>
  <printOptions verticalCentered="1"/>
  <pageMargins left="0.7" right="0.7" top="0.75" bottom="0.75" header="0.3" footer="0.3"/>
  <pageSetup scale="63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1468-D5CF-4602-8C7A-AC04C72FD55D}">
  <sheetPr>
    <pageSetUpPr fitToPage="1"/>
  </sheetPr>
  <dimension ref="A1:AT55"/>
  <sheetViews>
    <sheetView workbookViewId="0">
      <selection sqref="A1:K1"/>
    </sheetView>
  </sheetViews>
  <sheetFormatPr defaultColWidth="8.875" defaultRowHeight="14.6" x14ac:dyDescent="0.4"/>
  <cols>
    <col min="1" max="1" width="3.5625" style="27" customWidth="1"/>
    <col min="2" max="2" width="2.5625" style="27" customWidth="1"/>
    <col min="3" max="3" width="30.5625" style="27" customWidth="1"/>
    <col min="4" max="46" width="12.5625" style="27" customWidth="1"/>
    <col min="47" max="16384" width="8.875" style="27"/>
  </cols>
  <sheetData>
    <row r="1" spans="1:46" s="122" customFormat="1" ht="18.45" x14ac:dyDescent="0.5">
      <c r="A1" s="230" t="s">
        <v>152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46" s="122" customFormat="1" ht="18.45" x14ac:dyDescent="0.5">
      <c r="A2" s="230" t="str">
        <f>'Plan Inputs'!$F$2</f>
        <v>2026-2065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46" s="69" customFormat="1" ht="15.9" x14ac:dyDescent="0.45">
      <c r="A3" s="229" t="s">
        <v>91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46" s="69" customFormat="1" ht="15.9" x14ac:dyDescent="0.4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46" s="1" customFormat="1" x14ac:dyDescent="0.4">
      <c r="A5" s="160"/>
      <c r="B5" s="160"/>
      <c r="C5" s="160"/>
      <c r="D5" s="160"/>
      <c r="E5" s="159" t="s">
        <v>153</v>
      </c>
      <c r="F5" s="160"/>
      <c r="G5" s="160"/>
      <c r="H5" s="160">
        <v>0</v>
      </c>
      <c r="I5" s="160">
        <v>1</v>
      </c>
      <c r="J5" s="160">
        <f>I5+1</f>
        <v>2</v>
      </c>
      <c r="K5" s="160">
        <f t="shared" ref="K5:AS5" si="0">J5+1</f>
        <v>3</v>
      </c>
      <c r="L5" s="160">
        <f t="shared" si="0"/>
        <v>4</v>
      </c>
      <c r="M5" s="160">
        <f t="shared" si="0"/>
        <v>5</v>
      </c>
      <c r="N5" s="160">
        <f t="shared" si="0"/>
        <v>6</v>
      </c>
      <c r="O5" s="160">
        <f t="shared" si="0"/>
        <v>7</v>
      </c>
      <c r="P5" s="160">
        <f t="shared" si="0"/>
        <v>8</v>
      </c>
      <c r="Q5" s="160">
        <f t="shared" si="0"/>
        <v>9</v>
      </c>
      <c r="R5" s="160">
        <f t="shared" si="0"/>
        <v>10</v>
      </c>
      <c r="S5" s="160">
        <f t="shared" si="0"/>
        <v>11</v>
      </c>
      <c r="T5" s="160">
        <f t="shared" si="0"/>
        <v>12</v>
      </c>
      <c r="U5" s="160">
        <f t="shared" si="0"/>
        <v>13</v>
      </c>
      <c r="V5" s="160">
        <f t="shared" si="0"/>
        <v>14</v>
      </c>
      <c r="W5" s="160">
        <f t="shared" si="0"/>
        <v>15</v>
      </c>
      <c r="X5" s="160">
        <f t="shared" si="0"/>
        <v>16</v>
      </c>
      <c r="Y5" s="160">
        <f t="shared" si="0"/>
        <v>17</v>
      </c>
      <c r="Z5" s="160">
        <f t="shared" si="0"/>
        <v>18</v>
      </c>
      <c r="AA5" s="160">
        <f t="shared" si="0"/>
        <v>19</v>
      </c>
      <c r="AB5" s="160">
        <f t="shared" si="0"/>
        <v>20</v>
      </c>
      <c r="AC5" s="160">
        <f t="shared" si="0"/>
        <v>21</v>
      </c>
      <c r="AD5" s="160">
        <f t="shared" si="0"/>
        <v>22</v>
      </c>
      <c r="AE5" s="160">
        <f t="shared" si="0"/>
        <v>23</v>
      </c>
      <c r="AF5" s="160">
        <f t="shared" si="0"/>
        <v>24</v>
      </c>
      <c r="AG5" s="160">
        <f t="shared" si="0"/>
        <v>25</v>
      </c>
      <c r="AH5" s="160">
        <f t="shared" si="0"/>
        <v>26</v>
      </c>
      <c r="AI5" s="160">
        <f t="shared" si="0"/>
        <v>27</v>
      </c>
      <c r="AJ5" s="160">
        <f t="shared" si="0"/>
        <v>28</v>
      </c>
      <c r="AK5" s="160">
        <f t="shared" si="0"/>
        <v>29</v>
      </c>
      <c r="AL5" s="160">
        <f t="shared" si="0"/>
        <v>30</v>
      </c>
      <c r="AM5" s="160">
        <f t="shared" si="0"/>
        <v>31</v>
      </c>
      <c r="AN5" s="160">
        <f t="shared" si="0"/>
        <v>32</v>
      </c>
      <c r="AO5" s="160">
        <f t="shared" si="0"/>
        <v>33</v>
      </c>
      <c r="AP5" s="160">
        <f t="shared" si="0"/>
        <v>34</v>
      </c>
      <c r="AQ5" s="160">
        <f t="shared" si="0"/>
        <v>35</v>
      </c>
      <c r="AR5" s="160">
        <f t="shared" si="0"/>
        <v>36</v>
      </c>
      <c r="AS5" s="160">
        <f t="shared" si="0"/>
        <v>37</v>
      </c>
    </row>
    <row r="6" spans="1:46" s="1" customFormat="1" x14ac:dyDescent="0.4">
      <c r="A6" s="3"/>
      <c r="B6" s="4"/>
      <c r="C6" s="4"/>
      <c r="D6" s="11"/>
      <c r="E6" s="11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  <c r="AT6" s="161" t="s">
        <v>154</v>
      </c>
    </row>
    <row r="7" spans="1:46" s="1" customFormat="1" x14ac:dyDescent="0.4">
      <c r="A7" s="48" t="s">
        <v>155</v>
      </c>
      <c r="B7" s="49"/>
      <c r="C7" s="49"/>
      <c r="D7" s="9"/>
      <c r="E7" s="9"/>
      <c r="F7" s="52">
        <f>'Plan Inputs'!F19*'Plan Inputs'!F20/2</f>
        <v>6923700</v>
      </c>
      <c r="G7" s="52">
        <f>F7</f>
        <v>6923700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2">
        <v>0</v>
      </c>
      <c r="AO7" s="52">
        <v>0</v>
      </c>
      <c r="AP7" s="52">
        <v>0</v>
      </c>
      <c r="AQ7" s="52">
        <v>0</v>
      </c>
      <c r="AR7" s="52">
        <v>0</v>
      </c>
      <c r="AS7" s="52">
        <v>0</v>
      </c>
      <c r="AT7" s="1">
        <f>SUM(F7:AS7)</f>
        <v>13847400</v>
      </c>
    </row>
    <row r="8" spans="1:46" s="1" customFormat="1" x14ac:dyDescent="0.4">
      <c r="A8" s="50" t="s">
        <v>156</v>
      </c>
      <c r="B8" s="49"/>
      <c r="C8" s="49"/>
      <c r="D8" s="9"/>
      <c r="E8" s="9"/>
      <c r="F8" s="52">
        <f>'Plan Inputs'!F19*'Plan Inputs'!F21/2</f>
        <v>2967300.0000000005</v>
      </c>
      <c r="G8" s="215">
        <f>F8</f>
        <v>2967300.0000000005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0</v>
      </c>
      <c r="AP8" s="52">
        <v>0</v>
      </c>
      <c r="AQ8" s="52">
        <v>0</v>
      </c>
      <c r="AR8" s="52">
        <v>0</v>
      </c>
      <c r="AS8" s="52">
        <v>0</v>
      </c>
      <c r="AT8" s="1">
        <f t="shared" ref="AT8:AT11" si="1">SUM(F8:AS8)</f>
        <v>5934600.0000000009</v>
      </c>
    </row>
    <row r="9" spans="1:46" s="1" customFormat="1" x14ac:dyDescent="0.4">
      <c r="A9" s="50" t="s">
        <v>157</v>
      </c>
      <c r="B9" s="49"/>
      <c r="C9" s="49"/>
      <c r="D9" s="9"/>
      <c r="E9" s="9"/>
      <c r="F9" s="52">
        <v>0</v>
      </c>
      <c r="G9" s="215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1">
        <f t="shared" si="1"/>
        <v>0</v>
      </c>
    </row>
    <row r="10" spans="1:46" s="1" customFormat="1" ht="17.149999999999999" x14ac:dyDescent="0.7">
      <c r="A10" s="50" t="s">
        <v>158</v>
      </c>
      <c r="B10" s="49"/>
      <c r="C10" s="49"/>
      <c r="D10" s="9"/>
      <c r="E10" s="9"/>
      <c r="F10" s="53">
        <v>0</v>
      </c>
      <c r="G10" s="54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f>F8+G8</f>
        <v>5934600.0000000009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2">
        <f t="shared" si="1"/>
        <v>5934600.0000000009</v>
      </c>
    </row>
    <row r="11" spans="1:46" s="1" customFormat="1" x14ac:dyDescent="0.4">
      <c r="A11" s="153" t="s">
        <v>154</v>
      </c>
      <c r="F11" s="9">
        <f t="shared" ref="F11:AS11" si="2">SUM(F7:F10)</f>
        <v>9891000</v>
      </c>
      <c r="G11" s="9">
        <f t="shared" si="2"/>
        <v>9891000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  <c r="M11" s="9">
        <f t="shared" si="2"/>
        <v>0</v>
      </c>
      <c r="N11" s="9">
        <f t="shared" si="2"/>
        <v>0</v>
      </c>
      <c r="O11" s="9">
        <f t="shared" si="2"/>
        <v>0</v>
      </c>
      <c r="P11" s="9">
        <f t="shared" si="2"/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9">
        <f t="shared" si="2"/>
        <v>0</v>
      </c>
      <c r="U11" s="9">
        <f t="shared" si="2"/>
        <v>0</v>
      </c>
      <c r="V11" s="9">
        <f t="shared" si="2"/>
        <v>0</v>
      </c>
      <c r="W11" s="9">
        <f t="shared" si="2"/>
        <v>0</v>
      </c>
      <c r="X11" s="9">
        <f t="shared" si="2"/>
        <v>0</v>
      </c>
      <c r="Y11" s="9">
        <f t="shared" si="2"/>
        <v>0</v>
      </c>
      <c r="Z11" s="9">
        <f t="shared" si="2"/>
        <v>0</v>
      </c>
      <c r="AA11" s="9">
        <f t="shared" si="2"/>
        <v>0</v>
      </c>
      <c r="AB11" s="9">
        <f t="shared" si="2"/>
        <v>0</v>
      </c>
      <c r="AC11" s="9">
        <f t="shared" si="2"/>
        <v>0</v>
      </c>
      <c r="AD11" s="9">
        <f t="shared" si="2"/>
        <v>0</v>
      </c>
      <c r="AE11" s="9">
        <f t="shared" si="2"/>
        <v>0</v>
      </c>
      <c r="AF11" s="9">
        <f t="shared" si="2"/>
        <v>0</v>
      </c>
      <c r="AG11" s="9">
        <f t="shared" si="2"/>
        <v>0</v>
      </c>
      <c r="AH11" s="9">
        <f t="shared" si="2"/>
        <v>0</v>
      </c>
      <c r="AI11" s="9">
        <f t="shared" si="2"/>
        <v>0</v>
      </c>
      <c r="AJ11" s="9">
        <f t="shared" si="2"/>
        <v>5934600.0000000009</v>
      </c>
      <c r="AK11" s="9">
        <f t="shared" si="2"/>
        <v>0</v>
      </c>
      <c r="AL11" s="9">
        <f t="shared" si="2"/>
        <v>0</v>
      </c>
      <c r="AM11" s="9">
        <f t="shared" si="2"/>
        <v>0</v>
      </c>
      <c r="AN11" s="9">
        <f t="shared" si="2"/>
        <v>0</v>
      </c>
      <c r="AO11" s="9">
        <f t="shared" si="2"/>
        <v>0</v>
      </c>
      <c r="AP11" s="9">
        <f t="shared" si="2"/>
        <v>0</v>
      </c>
      <c r="AQ11" s="9">
        <f t="shared" si="2"/>
        <v>0</v>
      </c>
      <c r="AR11" s="9">
        <f t="shared" si="2"/>
        <v>0</v>
      </c>
      <c r="AS11" s="9">
        <f t="shared" si="2"/>
        <v>0</v>
      </c>
      <c r="AT11" s="1">
        <f t="shared" si="1"/>
        <v>25716600</v>
      </c>
    </row>
    <row r="12" spans="1:46" s="1" customFormat="1" x14ac:dyDescent="0.4">
      <c r="A12" s="14"/>
      <c r="F12" s="9"/>
      <c r="G12" s="209"/>
      <c r="H12" s="9"/>
      <c r="I12" s="9"/>
      <c r="J12" s="9"/>
      <c r="K12" s="9"/>
    </row>
    <row r="13" spans="1:46" s="1" customFormat="1" x14ac:dyDescent="0.4">
      <c r="A13" s="155" t="s">
        <v>159</v>
      </c>
      <c r="G13" s="214"/>
    </row>
    <row r="14" spans="1:46" s="1" customFormat="1" x14ac:dyDescent="0.4">
      <c r="A14" s="14"/>
      <c r="G14" s="214"/>
    </row>
    <row r="15" spans="1:46" s="1" customFormat="1" x14ac:dyDescent="0.4">
      <c r="A15" s="14"/>
      <c r="G15" s="214"/>
    </row>
    <row r="16" spans="1:46" s="1" customFormat="1" x14ac:dyDescent="0.4">
      <c r="A16" s="14"/>
      <c r="G16" s="214"/>
    </row>
    <row r="17" spans="1:46" s="122" customFormat="1" ht="18.45" x14ac:dyDescent="0.5">
      <c r="A17" s="230" t="s">
        <v>160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spans="1:46" s="122" customFormat="1" ht="18.45" x14ac:dyDescent="0.5">
      <c r="A18" s="230" t="str">
        <f>'Plan Inputs'!F2</f>
        <v>2026-2065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</row>
    <row r="19" spans="1:46" s="69" customFormat="1" ht="15.9" x14ac:dyDescent="0.45">
      <c r="A19" s="229" t="s">
        <v>91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</row>
    <row r="20" spans="1:46" s="1" customFormat="1" x14ac:dyDescent="0.4">
      <c r="A20" s="3"/>
      <c r="B20" s="4"/>
      <c r="C20" s="4"/>
      <c r="D20" s="4"/>
      <c r="E20" s="10"/>
      <c r="F20" s="4"/>
      <c r="G20" s="216"/>
    </row>
    <row r="21" spans="1:46" s="1" customFormat="1" x14ac:dyDescent="0.4">
      <c r="A21" s="158"/>
      <c r="B21" s="4"/>
      <c r="C21" s="4"/>
      <c r="E21" s="159" t="s">
        <v>161</v>
      </c>
      <c r="F21" s="4">
        <v>0</v>
      </c>
      <c r="G21" s="216">
        <v>0</v>
      </c>
      <c r="H21" s="216">
        <v>2</v>
      </c>
      <c r="I21" s="216">
        <f t="shared" ref="I21:AS21" si="3">H21+1</f>
        <v>3</v>
      </c>
      <c r="J21" s="216">
        <f t="shared" si="3"/>
        <v>4</v>
      </c>
      <c r="K21" s="216">
        <f t="shared" si="3"/>
        <v>5</v>
      </c>
      <c r="L21" s="216">
        <f t="shared" si="3"/>
        <v>6</v>
      </c>
      <c r="M21" s="216">
        <f t="shared" si="3"/>
        <v>7</v>
      </c>
      <c r="N21" s="216">
        <f t="shared" si="3"/>
        <v>8</v>
      </c>
      <c r="O21" s="216">
        <f t="shared" si="3"/>
        <v>9</v>
      </c>
      <c r="P21" s="216">
        <f t="shared" si="3"/>
        <v>10</v>
      </c>
      <c r="Q21" s="216">
        <f t="shared" si="3"/>
        <v>11</v>
      </c>
      <c r="R21" s="216">
        <f t="shared" si="3"/>
        <v>12</v>
      </c>
      <c r="S21" s="216">
        <f t="shared" si="3"/>
        <v>13</v>
      </c>
      <c r="T21" s="216">
        <f t="shared" si="3"/>
        <v>14</v>
      </c>
      <c r="U21" s="216">
        <f t="shared" si="3"/>
        <v>15</v>
      </c>
      <c r="V21" s="216">
        <f t="shared" si="3"/>
        <v>16</v>
      </c>
      <c r="W21" s="216">
        <f t="shared" si="3"/>
        <v>17</v>
      </c>
      <c r="X21" s="216">
        <f t="shared" si="3"/>
        <v>18</v>
      </c>
      <c r="Y21" s="216">
        <f t="shared" si="3"/>
        <v>19</v>
      </c>
      <c r="Z21" s="216">
        <f t="shared" si="3"/>
        <v>20</v>
      </c>
      <c r="AA21" s="216">
        <f t="shared" si="3"/>
        <v>21</v>
      </c>
      <c r="AB21" s="216">
        <f t="shared" si="3"/>
        <v>22</v>
      </c>
      <c r="AC21" s="216">
        <f t="shared" si="3"/>
        <v>23</v>
      </c>
      <c r="AD21" s="216">
        <f t="shared" si="3"/>
        <v>24</v>
      </c>
      <c r="AE21" s="216">
        <f t="shared" si="3"/>
        <v>25</v>
      </c>
      <c r="AF21" s="216">
        <f t="shared" si="3"/>
        <v>26</v>
      </c>
      <c r="AG21" s="216">
        <f t="shared" si="3"/>
        <v>27</v>
      </c>
      <c r="AH21" s="216">
        <f t="shared" si="3"/>
        <v>28</v>
      </c>
      <c r="AI21" s="216">
        <f t="shared" si="3"/>
        <v>29</v>
      </c>
      <c r="AJ21" s="216">
        <f t="shared" si="3"/>
        <v>30</v>
      </c>
      <c r="AK21" s="216">
        <f t="shared" si="3"/>
        <v>31</v>
      </c>
      <c r="AL21" s="216">
        <f t="shared" si="3"/>
        <v>32</v>
      </c>
      <c r="AM21" s="216">
        <f t="shared" si="3"/>
        <v>33</v>
      </c>
      <c r="AN21" s="216">
        <f t="shared" si="3"/>
        <v>34</v>
      </c>
      <c r="AO21" s="216">
        <f t="shared" si="3"/>
        <v>35</v>
      </c>
      <c r="AP21" s="216">
        <f t="shared" si="3"/>
        <v>36</v>
      </c>
      <c r="AQ21" s="216">
        <f t="shared" si="3"/>
        <v>37</v>
      </c>
      <c r="AR21" s="216">
        <f t="shared" si="3"/>
        <v>38</v>
      </c>
      <c r="AS21" s="216">
        <f t="shared" si="3"/>
        <v>39</v>
      </c>
    </row>
    <row r="22" spans="1:46" s="1" customFormat="1" x14ac:dyDescent="0.4">
      <c r="A22" s="3"/>
      <c r="B22" s="4"/>
      <c r="C22" s="4"/>
      <c r="D22" s="11"/>
      <c r="E22" s="11"/>
      <c r="F22" s="21">
        <f>'Plan Inputs'!F5</f>
        <v>2026</v>
      </c>
      <c r="G22" s="21">
        <f>'Plan Inputs'!G5</f>
        <v>2027</v>
      </c>
      <c r="H22" s="21">
        <f>'Plan Inputs'!H5</f>
        <v>2028</v>
      </c>
      <c r="I22" s="21">
        <f>'Plan Inputs'!I5</f>
        <v>2029</v>
      </c>
      <c r="J22" s="21">
        <f>'Plan Inputs'!J5</f>
        <v>2030</v>
      </c>
      <c r="K22" s="21">
        <f>'Plan Inputs'!K5</f>
        <v>2031</v>
      </c>
      <c r="L22" s="21">
        <f>'Plan Inputs'!L5</f>
        <v>2032</v>
      </c>
      <c r="M22" s="21">
        <f>'Plan Inputs'!M5</f>
        <v>2033</v>
      </c>
      <c r="N22" s="21">
        <f>'Plan Inputs'!N5</f>
        <v>2034</v>
      </c>
      <c r="O22" s="21">
        <f>'Plan Inputs'!O5</f>
        <v>2035</v>
      </c>
      <c r="P22" s="21">
        <f>'Plan Inputs'!P5</f>
        <v>2036</v>
      </c>
      <c r="Q22" s="21">
        <f>'Plan Inputs'!Q5</f>
        <v>2037</v>
      </c>
      <c r="R22" s="21">
        <f>'Plan Inputs'!R5</f>
        <v>2038</v>
      </c>
      <c r="S22" s="21">
        <f>'Plan Inputs'!S5</f>
        <v>2039</v>
      </c>
      <c r="T22" s="21">
        <f>'Plan Inputs'!T5</f>
        <v>2040</v>
      </c>
      <c r="U22" s="21">
        <f>'Plan Inputs'!U5</f>
        <v>2041</v>
      </c>
      <c r="V22" s="21">
        <f>'Plan Inputs'!V5</f>
        <v>2042</v>
      </c>
      <c r="W22" s="21">
        <f>'Plan Inputs'!W5</f>
        <v>2043</v>
      </c>
      <c r="X22" s="21">
        <f>'Plan Inputs'!X5</f>
        <v>2044</v>
      </c>
      <c r="Y22" s="21">
        <f>'Plan Inputs'!Y5</f>
        <v>2045</v>
      </c>
      <c r="Z22" s="21">
        <f>'Plan Inputs'!Z5</f>
        <v>2046</v>
      </c>
      <c r="AA22" s="21">
        <f>'Plan Inputs'!AA5</f>
        <v>2047</v>
      </c>
      <c r="AB22" s="21">
        <f>'Plan Inputs'!AB5</f>
        <v>2048</v>
      </c>
      <c r="AC22" s="21">
        <f>'Plan Inputs'!AC5</f>
        <v>2049</v>
      </c>
      <c r="AD22" s="21">
        <f>'Plan Inputs'!AD5</f>
        <v>2050</v>
      </c>
      <c r="AE22" s="21">
        <f>'Plan Inputs'!AE5</f>
        <v>2051</v>
      </c>
      <c r="AF22" s="21">
        <f>'Plan Inputs'!AF5</f>
        <v>2052</v>
      </c>
      <c r="AG22" s="21">
        <f>'Plan Inputs'!AG5</f>
        <v>2053</v>
      </c>
      <c r="AH22" s="21">
        <f>'Plan Inputs'!AH5</f>
        <v>2054</v>
      </c>
      <c r="AI22" s="21">
        <f>'Plan Inputs'!AI5</f>
        <v>2055</v>
      </c>
      <c r="AJ22" s="21">
        <f>'Plan Inputs'!AJ5</f>
        <v>2056</v>
      </c>
      <c r="AK22" s="21">
        <f>'Plan Inputs'!AK5</f>
        <v>2057</v>
      </c>
      <c r="AL22" s="21">
        <f>'Plan Inputs'!AL5</f>
        <v>2058</v>
      </c>
      <c r="AM22" s="21">
        <f>'Plan Inputs'!AM5</f>
        <v>2059</v>
      </c>
      <c r="AN22" s="21">
        <f>'Plan Inputs'!AN5</f>
        <v>2060</v>
      </c>
      <c r="AO22" s="21">
        <f>'Plan Inputs'!AO5</f>
        <v>2061</v>
      </c>
      <c r="AP22" s="21">
        <f>'Plan Inputs'!AP5</f>
        <v>2062</v>
      </c>
      <c r="AQ22" s="21">
        <f>'Plan Inputs'!AQ5</f>
        <v>2063</v>
      </c>
      <c r="AR22" s="21">
        <f>'Plan Inputs'!AR5</f>
        <v>2064</v>
      </c>
      <c r="AS22" s="21">
        <f>'Plan Inputs'!AS5</f>
        <v>2065</v>
      </c>
      <c r="AT22" s="161" t="s">
        <v>154</v>
      </c>
    </row>
    <row r="23" spans="1:46" s="1" customFormat="1" x14ac:dyDescent="0.4">
      <c r="A23" s="27" t="str">
        <f>A7</f>
        <v>New Water Treatment Plant Structures</v>
      </c>
      <c r="F23" s="1">
        <f>F7*((1+'Plan Inputs'!$F$11)^F$21)</f>
        <v>6923700</v>
      </c>
      <c r="G23" s="1">
        <f>G7*((1+'Plan Inputs'!$F$11)^G$21)</f>
        <v>6923700</v>
      </c>
      <c r="H23" s="1">
        <f>H7*((1+'Plan Inputs'!$F$11)^H$21)</f>
        <v>0</v>
      </c>
      <c r="I23" s="1">
        <f>I7*((1+'Plan Inputs'!$F$11)^I$21)</f>
        <v>0</v>
      </c>
      <c r="J23" s="1">
        <f>J7*((1+'Plan Inputs'!$F$11)^J$21)</f>
        <v>0</v>
      </c>
      <c r="K23" s="1">
        <f>K7*((1+'Plan Inputs'!$F$11)^K$21)</f>
        <v>0</v>
      </c>
      <c r="L23" s="1">
        <f>L7*((1+'Plan Inputs'!$F$11)^L$21)</f>
        <v>0</v>
      </c>
      <c r="M23" s="1">
        <f>M7*((1+'Plan Inputs'!$F$11)^M$21)</f>
        <v>0</v>
      </c>
      <c r="N23" s="1">
        <f>N7*((1+'Plan Inputs'!$F$11)^N$21)</f>
        <v>0</v>
      </c>
      <c r="O23" s="1">
        <f>O7*((1+'Plan Inputs'!$F$11)^O$21)</f>
        <v>0</v>
      </c>
      <c r="P23" s="1">
        <f>P7*((1+'Plan Inputs'!$F$11)^P$21)</f>
        <v>0</v>
      </c>
      <c r="Q23" s="1">
        <f>Q7*((1+'Plan Inputs'!$F$11)^Q$21)</f>
        <v>0</v>
      </c>
      <c r="R23" s="1">
        <f>R7*((1+'Plan Inputs'!$F$11)^R$21)</f>
        <v>0</v>
      </c>
      <c r="S23" s="1">
        <f>S7*((1+'Plan Inputs'!$F$11)^S$21)</f>
        <v>0</v>
      </c>
      <c r="T23" s="1">
        <f>T7*((1+'Plan Inputs'!$F$11)^T$21)</f>
        <v>0</v>
      </c>
      <c r="U23" s="1">
        <f>U7*((1+'Plan Inputs'!$F$11)^U$21)</f>
        <v>0</v>
      </c>
      <c r="V23" s="1">
        <f>V7*((1+'Plan Inputs'!$F$11)^V$21)</f>
        <v>0</v>
      </c>
      <c r="W23" s="1">
        <f>W7*((1+'Plan Inputs'!$F$11)^W$21)</f>
        <v>0</v>
      </c>
      <c r="X23" s="1">
        <f>X7*((1+'Plan Inputs'!$F$11)^X$21)</f>
        <v>0</v>
      </c>
      <c r="Y23" s="1">
        <f>Y7*((1+'Plan Inputs'!$F$11)^Y$21)</f>
        <v>0</v>
      </c>
      <c r="Z23" s="1">
        <f>Z7*((1+'Plan Inputs'!$F$11)^Z$21)</f>
        <v>0</v>
      </c>
      <c r="AA23" s="1">
        <f>AA7*((1+'Plan Inputs'!$F$11)^AA$21)</f>
        <v>0</v>
      </c>
      <c r="AB23" s="1">
        <f>AB7*((1+'Plan Inputs'!$F$11)^AB$21)</f>
        <v>0</v>
      </c>
      <c r="AC23" s="1">
        <f>AC7*((1+'Plan Inputs'!$F$11)^AC$21)</f>
        <v>0</v>
      </c>
      <c r="AD23" s="1">
        <f>AD7*((1+'Plan Inputs'!$F$11)^AD$21)</f>
        <v>0</v>
      </c>
      <c r="AE23" s="1">
        <f>AE7*((1+'Plan Inputs'!$F$11)^AE$21)</f>
        <v>0</v>
      </c>
      <c r="AF23" s="1">
        <f>AF7*((1+'Plan Inputs'!$F$11)^AF$21)</f>
        <v>0</v>
      </c>
      <c r="AG23" s="1">
        <f>AG7*((1+'Plan Inputs'!$F$11)^AG$21)</f>
        <v>0</v>
      </c>
      <c r="AH23" s="1">
        <f>AH7*((1+'Plan Inputs'!$F$11)^AH$21)</f>
        <v>0</v>
      </c>
      <c r="AI23" s="1">
        <f>AI7*((1+'Plan Inputs'!$F$11)^AI$21)</f>
        <v>0</v>
      </c>
      <c r="AJ23" s="1">
        <f>AJ7*((1+'Plan Inputs'!$F$11)^AJ$21)</f>
        <v>0</v>
      </c>
      <c r="AK23" s="1">
        <f>AK7*((1+'Plan Inputs'!$F$11)^AK$21)</f>
        <v>0</v>
      </c>
      <c r="AL23" s="1">
        <f>AL7*((1+'Plan Inputs'!$F$11)^AL$21)</f>
        <v>0</v>
      </c>
      <c r="AM23" s="1">
        <f>AM7*((1+'Plan Inputs'!$F$11)^AM$21)</f>
        <v>0</v>
      </c>
      <c r="AN23" s="1">
        <f>AN7*((1+'Plan Inputs'!$F$11)^AN$21)</f>
        <v>0</v>
      </c>
      <c r="AO23" s="1">
        <f>AO7*((1+'Plan Inputs'!$F$11)^AO$21)</f>
        <v>0</v>
      </c>
      <c r="AP23" s="1">
        <f>AP7*((1+'Plan Inputs'!$F$11)^AP$21)</f>
        <v>0</v>
      </c>
      <c r="AQ23" s="1">
        <f>AQ7*((1+'Plan Inputs'!$F$11)^AQ$21)</f>
        <v>0</v>
      </c>
      <c r="AR23" s="1">
        <f>AR7*((1+'Plan Inputs'!$F$11)^AR$21)</f>
        <v>0</v>
      </c>
      <c r="AS23" s="1">
        <f>AS7*((1+'Plan Inputs'!$F$11)^AS$21)</f>
        <v>0</v>
      </c>
      <c r="AT23" s="1">
        <f>SUM(F23:AS23)</f>
        <v>13847400</v>
      </c>
    </row>
    <row r="24" spans="1:46" s="1" customFormat="1" x14ac:dyDescent="0.4">
      <c r="A24" s="27" t="str">
        <f>A8</f>
        <v>New Water Treatment Plant Equipment</v>
      </c>
      <c r="F24" s="1">
        <f>F8*((1+'Plan Inputs'!$F$11)^F$21)</f>
        <v>2967300.0000000005</v>
      </c>
      <c r="G24" s="1">
        <f>G8*((1+'Plan Inputs'!$F$11)^G$21)</f>
        <v>2967300.0000000005</v>
      </c>
      <c r="H24" s="1">
        <f>H8*((1+'Plan Inputs'!$F$11)^H$21)</f>
        <v>0</v>
      </c>
      <c r="I24" s="1">
        <f>I8*((1+'Plan Inputs'!$F$11)^I$21)</f>
        <v>0</v>
      </c>
      <c r="J24" s="1">
        <f>J8*((1+'Plan Inputs'!$F$11)^J$21)</f>
        <v>0</v>
      </c>
      <c r="K24" s="1">
        <f>K8*((1+'Plan Inputs'!$F$11)^K$21)</f>
        <v>0</v>
      </c>
      <c r="L24" s="1">
        <f>L8*((1+'Plan Inputs'!$F$11)^L$21)</f>
        <v>0</v>
      </c>
      <c r="M24" s="1">
        <f>M8*((1+'Plan Inputs'!$F$11)^M$21)</f>
        <v>0</v>
      </c>
      <c r="N24" s="1">
        <f>N8*((1+'Plan Inputs'!$F$11)^N$21)</f>
        <v>0</v>
      </c>
      <c r="O24" s="1">
        <f>O8*((1+'Plan Inputs'!$F$11)^O$21)</f>
        <v>0</v>
      </c>
      <c r="P24" s="1">
        <f>P8*((1+'Plan Inputs'!$F$11)^P$21)</f>
        <v>0</v>
      </c>
      <c r="Q24" s="1">
        <f>Q8*((1+'Plan Inputs'!$F$11)^Q$21)</f>
        <v>0</v>
      </c>
      <c r="R24" s="1">
        <f>R8*((1+'Plan Inputs'!$F$11)^R$21)</f>
        <v>0</v>
      </c>
      <c r="S24" s="1">
        <f>S8*((1+'Plan Inputs'!$F$11)^S$21)</f>
        <v>0</v>
      </c>
      <c r="T24" s="1">
        <f>T8*((1+'Plan Inputs'!$F$11)^T$21)</f>
        <v>0</v>
      </c>
      <c r="U24" s="1">
        <f>U8*((1+'Plan Inputs'!$F$11)^U$21)</f>
        <v>0</v>
      </c>
      <c r="V24" s="1">
        <f>V8*((1+'Plan Inputs'!$F$11)^V$21)</f>
        <v>0</v>
      </c>
      <c r="W24" s="1">
        <f>W8*((1+'Plan Inputs'!$F$11)^W$21)</f>
        <v>0</v>
      </c>
      <c r="X24" s="1">
        <f>X8*((1+'Plan Inputs'!$F$11)^X$21)</f>
        <v>0</v>
      </c>
      <c r="Y24" s="1">
        <f>Y8*((1+'Plan Inputs'!$F$11)^Y$21)</f>
        <v>0</v>
      </c>
      <c r="Z24" s="1">
        <f>Z8*((1+'Plan Inputs'!$F$11)^Z$21)</f>
        <v>0</v>
      </c>
      <c r="AA24" s="1">
        <f>AA8*((1+'Plan Inputs'!$F$11)^AA$21)</f>
        <v>0</v>
      </c>
      <c r="AB24" s="1">
        <f>AB8*((1+'Plan Inputs'!$F$11)^AB$21)</f>
        <v>0</v>
      </c>
      <c r="AC24" s="1">
        <f>AC8*((1+'Plan Inputs'!$F$11)^AC$21)</f>
        <v>0</v>
      </c>
      <c r="AD24" s="1">
        <f>AD8*((1+'Plan Inputs'!$F$11)^AD$21)</f>
        <v>0</v>
      </c>
      <c r="AE24" s="1">
        <f>AE8*((1+'Plan Inputs'!$F$11)^AE$21)</f>
        <v>0</v>
      </c>
      <c r="AF24" s="1">
        <f>AF8*((1+'Plan Inputs'!$F$11)^AF$21)</f>
        <v>0</v>
      </c>
      <c r="AG24" s="1">
        <f>AG8*((1+'Plan Inputs'!$F$11)^AG$21)</f>
        <v>0</v>
      </c>
      <c r="AH24" s="1">
        <f>AH8*((1+'Plan Inputs'!$F$11)^AH$21)</f>
        <v>0</v>
      </c>
      <c r="AI24" s="1">
        <f>AI8*((1+'Plan Inputs'!$F$11)^AI$21)</f>
        <v>0</v>
      </c>
      <c r="AJ24" s="1">
        <f>AJ8*((1+'Plan Inputs'!$F$11)^AJ$21)</f>
        <v>0</v>
      </c>
      <c r="AK24" s="1">
        <f>AK8*((1+'Plan Inputs'!$F$11)^AK$21)</f>
        <v>0</v>
      </c>
      <c r="AL24" s="1">
        <f>AL8*((1+'Plan Inputs'!$F$11)^AL$21)</f>
        <v>0</v>
      </c>
      <c r="AM24" s="1">
        <f>AM8*((1+'Plan Inputs'!$F$11)^AM$21)</f>
        <v>0</v>
      </c>
      <c r="AN24" s="1">
        <f>AN8*((1+'Plan Inputs'!$F$11)^AN$21)</f>
        <v>0</v>
      </c>
      <c r="AO24" s="1">
        <f>AO8*((1+'Plan Inputs'!$F$11)^AO$21)</f>
        <v>0</v>
      </c>
      <c r="AP24" s="1">
        <f>AP8*((1+'Plan Inputs'!$F$11)^AP$21)</f>
        <v>0</v>
      </c>
      <c r="AQ24" s="1">
        <f>AQ8*((1+'Plan Inputs'!$F$11)^AQ$21)</f>
        <v>0</v>
      </c>
      <c r="AR24" s="1">
        <f>AR8*((1+'Plan Inputs'!$F$11)^AR$21)</f>
        <v>0</v>
      </c>
      <c r="AS24" s="1">
        <f>AS8*((1+'Plan Inputs'!$F$11)^AS$21)</f>
        <v>0</v>
      </c>
      <c r="AT24" s="1">
        <f t="shared" ref="AT24:AT27" si="4">SUM(F24:AS24)</f>
        <v>5934600.0000000009</v>
      </c>
    </row>
    <row r="25" spans="1:46" s="1" customFormat="1" x14ac:dyDescent="0.4">
      <c r="A25" s="27" t="str">
        <f>A9</f>
        <v>Replacement Plant Structures after 37.5 years</v>
      </c>
      <c r="F25" s="1">
        <f>F9*((1+'Plan Inputs'!$F$11)^F$21)</f>
        <v>0</v>
      </c>
      <c r="G25" s="1">
        <f>G9*((1+'Plan Inputs'!$F$11)^G$21)</f>
        <v>0</v>
      </c>
      <c r="H25" s="1">
        <f>H9*((1+'Plan Inputs'!$F$11)^H$21)</f>
        <v>0</v>
      </c>
      <c r="I25" s="1">
        <f>I9*((1+'Plan Inputs'!$F$11)^I$21)</f>
        <v>0</v>
      </c>
      <c r="J25" s="1">
        <f>J9*((1+'Plan Inputs'!$F$11)^J$21)</f>
        <v>0</v>
      </c>
      <c r="K25" s="1">
        <f>K9*((1+'Plan Inputs'!$F$11)^K$21)</f>
        <v>0</v>
      </c>
      <c r="L25" s="1">
        <f>L9*((1+'Plan Inputs'!$F$11)^L$21)</f>
        <v>0</v>
      </c>
      <c r="M25" s="1">
        <f>M9*((1+'Plan Inputs'!$F$11)^M$21)</f>
        <v>0</v>
      </c>
      <c r="N25" s="1">
        <f>N9*((1+'Plan Inputs'!$F$11)^N$21)</f>
        <v>0</v>
      </c>
      <c r="O25" s="1">
        <f>O9*((1+'Plan Inputs'!$F$11)^O$21)</f>
        <v>0</v>
      </c>
      <c r="P25" s="1">
        <f>P9*((1+'Plan Inputs'!$F$11)^P$21)</f>
        <v>0</v>
      </c>
      <c r="Q25" s="1">
        <f>Q9*((1+'Plan Inputs'!$F$11)^Q$21)</f>
        <v>0</v>
      </c>
      <c r="R25" s="1">
        <f>R9*((1+'Plan Inputs'!$F$11)^R$21)</f>
        <v>0</v>
      </c>
      <c r="S25" s="1">
        <f>S9*((1+'Plan Inputs'!$F$11)^S$21)</f>
        <v>0</v>
      </c>
      <c r="T25" s="1">
        <f>T9*((1+'Plan Inputs'!$F$11)^T$21)</f>
        <v>0</v>
      </c>
      <c r="U25" s="1">
        <f>U9*((1+'Plan Inputs'!$F$11)^U$21)</f>
        <v>0</v>
      </c>
      <c r="V25" s="1">
        <f>V9*((1+'Plan Inputs'!$F$11)^V$21)</f>
        <v>0</v>
      </c>
      <c r="W25" s="1">
        <f>W9*((1+'Plan Inputs'!$F$11)^W$21)</f>
        <v>0</v>
      </c>
      <c r="X25" s="1">
        <f>X9*((1+'Plan Inputs'!$F$11)^X$21)</f>
        <v>0</v>
      </c>
      <c r="Y25" s="1">
        <f>Y9*((1+'Plan Inputs'!$F$11)^Y$21)</f>
        <v>0</v>
      </c>
      <c r="Z25" s="1">
        <f>Z9*((1+'Plan Inputs'!$F$11)^Z$21)</f>
        <v>0</v>
      </c>
      <c r="AA25" s="1">
        <f>AA9*((1+'Plan Inputs'!$F$11)^AA$21)</f>
        <v>0</v>
      </c>
      <c r="AB25" s="1">
        <f>AB9*((1+'Plan Inputs'!$F$11)^AB$21)</f>
        <v>0</v>
      </c>
      <c r="AC25" s="1">
        <f>AC9*((1+'Plan Inputs'!$F$11)^AC$21)</f>
        <v>0</v>
      </c>
      <c r="AD25" s="1">
        <f>AD9*((1+'Plan Inputs'!$F$11)^AD$21)</f>
        <v>0</v>
      </c>
      <c r="AE25" s="1">
        <f>AE9*((1+'Plan Inputs'!$F$11)^AE$21)</f>
        <v>0</v>
      </c>
      <c r="AF25" s="1">
        <f>AF9*((1+'Plan Inputs'!$F$11)^AF$21)</f>
        <v>0</v>
      </c>
      <c r="AG25" s="1">
        <f>AG9*((1+'Plan Inputs'!$F$11)^AG$21)</f>
        <v>0</v>
      </c>
      <c r="AH25" s="1">
        <f>AH9*((1+'Plan Inputs'!$F$11)^AH$21)</f>
        <v>0</v>
      </c>
      <c r="AI25" s="1">
        <f>AI9*((1+'Plan Inputs'!$F$11)^AI$21)</f>
        <v>0</v>
      </c>
      <c r="AJ25" s="1">
        <f>AJ9*((1+'Plan Inputs'!$F$11)^AJ$21)</f>
        <v>0</v>
      </c>
      <c r="AK25" s="1">
        <f>AK9*((1+'Plan Inputs'!$F$11)^AK$21)</f>
        <v>0</v>
      </c>
      <c r="AL25" s="1">
        <f>AL9*((1+'Plan Inputs'!$F$11)^AL$21)</f>
        <v>0</v>
      </c>
      <c r="AM25" s="1">
        <f>AM9*((1+'Plan Inputs'!$F$11)^AM$21)</f>
        <v>0</v>
      </c>
      <c r="AN25" s="1">
        <f>AN9*((1+'Plan Inputs'!$F$11)^AN$21)</f>
        <v>0</v>
      </c>
      <c r="AO25" s="1">
        <f>AO9*((1+'Plan Inputs'!$F$11)^AO$21)</f>
        <v>0</v>
      </c>
      <c r="AP25" s="1">
        <f>AP9*((1+'Plan Inputs'!$F$11)^AP$21)</f>
        <v>0</v>
      </c>
      <c r="AQ25" s="1">
        <f>AQ9*((1+'Plan Inputs'!$F$11)^AQ$21)</f>
        <v>0</v>
      </c>
      <c r="AR25" s="1">
        <f>AR9*((1+'Plan Inputs'!$F$11)^AR$21)</f>
        <v>0</v>
      </c>
      <c r="AS25" s="1">
        <f>AS9*((1+'Plan Inputs'!$F$11)^AS$21)</f>
        <v>0</v>
      </c>
      <c r="AT25" s="1">
        <f t="shared" si="4"/>
        <v>0</v>
      </c>
    </row>
    <row r="26" spans="1:46" s="1" customFormat="1" ht="17.149999999999999" x14ac:dyDescent="0.7">
      <c r="A26" s="27" t="str">
        <f>A10</f>
        <v>Replacement Plant Equipment after 27.5 years</v>
      </c>
      <c r="F26" s="2">
        <f>F10*((1+'Plan Inputs'!$F$11)^F$21)</f>
        <v>0</v>
      </c>
      <c r="G26" s="2">
        <f>G10*((1+'Plan Inputs'!$F$11)^G$21)</f>
        <v>0</v>
      </c>
      <c r="H26" s="2">
        <f>H10*((1+'Plan Inputs'!$F$11)^H$21)</f>
        <v>0</v>
      </c>
      <c r="I26" s="2">
        <f>I10*((1+'Plan Inputs'!$F$11)^I$21)</f>
        <v>0</v>
      </c>
      <c r="J26" s="2">
        <f>J10*((1+'Plan Inputs'!$F$11)^J$21)</f>
        <v>0</v>
      </c>
      <c r="K26" s="2">
        <f>K10*((1+'Plan Inputs'!$F$11)^K$21)</f>
        <v>0</v>
      </c>
      <c r="L26" s="2">
        <f>L10*((1+'Plan Inputs'!$F$11)^L$21)</f>
        <v>0</v>
      </c>
      <c r="M26" s="2">
        <f>M10*((1+'Plan Inputs'!$F$11)^M$21)</f>
        <v>0</v>
      </c>
      <c r="N26" s="2">
        <f>N10*((1+'Plan Inputs'!$F$11)^N$21)</f>
        <v>0</v>
      </c>
      <c r="O26" s="2">
        <f>O10*((1+'Plan Inputs'!$F$11)^O$21)</f>
        <v>0</v>
      </c>
      <c r="P26" s="2">
        <f>P10*((1+'Plan Inputs'!$F$11)^P$21)</f>
        <v>0</v>
      </c>
      <c r="Q26" s="2">
        <f>Q10*((1+'Plan Inputs'!$F$11)^Q$21)</f>
        <v>0</v>
      </c>
      <c r="R26" s="2">
        <f>R10*((1+'Plan Inputs'!$F$11)^R$21)</f>
        <v>0</v>
      </c>
      <c r="S26" s="2">
        <f>S10*((1+'Plan Inputs'!$F$11)^S$21)</f>
        <v>0</v>
      </c>
      <c r="T26" s="2">
        <f>T10*((1+'Plan Inputs'!$F$11)^T$21)</f>
        <v>0</v>
      </c>
      <c r="U26" s="2">
        <f>U10*((1+'Plan Inputs'!$F$11)^U$21)</f>
        <v>0</v>
      </c>
      <c r="V26" s="2">
        <f>V10*((1+'Plan Inputs'!$F$11)^V$21)</f>
        <v>0</v>
      </c>
      <c r="W26" s="2">
        <f>W10*((1+'Plan Inputs'!$F$11)^W$21)</f>
        <v>0</v>
      </c>
      <c r="X26" s="2">
        <f>X10*((1+'Plan Inputs'!$F$11)^X$21)</f>
        <v>0</v>
      </c>
      <c r="Y26" s="2">
        <f>Y10*((1+'Plan Inputs'!$F$11)^Y$21)</f>
        <v>0</v>
      </c>
      <c r="Z26" s="2">
        <f>Z10*((1+'Plan Inputs'!$F$11)^Z$21)</f>
        <v>0</v>
      </c>
      <c r="AA26" s="2">
        <f>AA10*((1+'Plan Inputs'!$F$11)^AA$21)</f>
        <v>0</v>
      </c>
      <c r="AB26" s="2">
        <f>AB10*((1+'Plan Inputs'!$F$11)^AB$21)</f>
        <v>0</v>
      </c>
      <c r="AC26" s="2">
        <f>AC10*((1+'Plan Inputs'!$F$11)^AC$21)</f>
        <v>0</v>
      </c>
      <c r="AD26" s="2">
        <f>AD10*((1+'Plan Inputs'!$F$11)^AD$21)</f>
        <v>0</v>
      </c>
      <c r="AE26" s="2">
        <f>AE10*((1+'Plan Inputs'!$F$11)^AE$21)</f>
        <v>0</v>
      </c>
      <c r="AF26" s="2">
        <f>AF10*((1+'Plan Inputs'!$F$11)^AF$21)</f>
        <v>0</v>
      </c>
      <c r="AG26" s="2">
        <f>AG10*((1+'Plan Inputs'!$F$11)^AG$21)</f>
        <v>0</v>
      </c>
      <c r="AH26" s="2">
        <f>AH10*((1+'Plan Inputs'!$F$11)^AH$21)</f>
        <v>0</v>
      </c>
      <c r="AI26" s="2">
        <f>AI10*((1+'Plan Inputs'!$F$11)^AI$21)</f>
        <v>0</v>
      </c>
      <c r="AJ26" s="2">
        <f>AJ10*((1+'Plan Inputs'!$F$11)^AJ$21)</f>
        <v>19248266.863009457</v>
      </c>
      <c r="AK26" s="2">
        <f>AK10*((1+'Plan Inputs'!$F$11)^AK$21)</f>
        <v>0</v>
      </c>
      <c r="AL26" s="2">
        <f>AL10*((1+'Plan Inputs'!$F$11)^AL$21)</f>
        <v>0</v>
      </c>
      <c r="AM26" s="2">
        <f>AM10*((1+'Plan Inputs'!$F$11)^AM$21)</f>
        <v>0</v>
      </c>
      <c r="AN26" s="2">
        <f>AN10*((1+'Plan Inputs'!$F$11)^AN$21)</f>
        <v>0</v>
      </c>
      <c r="AO26" s="2">
        <f>AO10*((1+'Plan Inputs'!$F$11)^AO$21)</f>
        <v>0</v>
      </c>
      <c r="AP26" s="2">
        <f>AP10*((1+'Plan Inputs'!$F$11)^AP$21)</f>
        <v>0</v>
      </c>
      <c r="AQ26" s="2">
        <f>AQ10*((1+'Plan Inputs'!$F$11)^AQ$21)</f>
        <v>0</v>
      </c>
      <c r="AR26" s="2">
        <f>AR10*((1+'Plan Inputs'!$F$11)^AR$21)</f>
        <v>0</v>
      </c>
      <c r="AS26" s="2">
        <f>AS10*((1+'Plan Inputs'!$F$11)^AS$21)</f>
        <v>0</v>
      </c>
      <c r="AT26" s="2">
        <f t="shared" si="4"/>
        <v>19248266.863009457</v>
      </c>
    </row>
    <row r="27" spans="1:46" s="1" customFormat="1" x14ac:dyDescent="0.4">
      <c r="A27" s="153" t="s">
        <v>154</v>
      </c>
      <c r="F27" s="1">
        <f t="shared" ref="F27:AS27" si="5">SUM(F23:F26)</f>
        <v>9891000</v>
      </c>
      <c r="G27" s="1">
        <f t="shared" si="5"/>
        <v>9891000</v>
      </c>
      <c r="H27" s="1">
        <f t="shared" si="5"/>
        <v>0</v>
      </c>
      <c r="I27" s="1">
        <f t="shared" si="5"/>
        <v>0</v>
      </c>
      <c r="J27" s="1">
        <f t="shared" si="5"/>
        <v>0</v>
      </c>
      <c r="K27" s="1">
        <f t="shared" si="5"/>
        <v>0</v>
      </c>
      <c r="L27" s="1">
        <f t="shared" si="5"/>
        <v>0</v>
      </c>
      <c r="M27" s="1">
        <f t="shared" si="5"/>
        <v>0</v>
      </c>
      <c r="N27" s="1">
        <f t="shared" si="5"/>
        <v>0</v>
      </c>
      <c r="O27" s="1">
        <f t="shared" si="5"/>
        <v>0</v>
      </c>
      <c r="P27" s="1">
        <f t="shared" si="5"/>
        <v>0</v>
      </c>
      <c r="Q27" s="1">
        <f t="shared" si="5"/>
        <v>0</v>
      </c>
      <c r="R27" s="1">
        <f t="shared" si="5"/>
        <v>0</v>
      </c>
      <c r="S27" s="1">
        <f t="shared" si="5"/>
        <v>0</v>
      </c>
      <c r="T27" s="1">
        <f t="shared" si="5"/>
        <v>0</v>
      </c>
      <c r="U27" s="1">
        <f t="shared" si="5"/>
        <v>0</v>
      </c>
      <c r="V27" s="1">
        <f t="shared" si="5"/>
        <v>0</v>
      </c>
      <c r="W27" s="1">
        <f t="shared" si="5"/>
        <v>0</v>
      </c>
      <c r="X27" s="1">
        <f t="shared" si="5"/>
        <v>0</v>
      </c>
      <c r="Y27" s="1">
        <f t="shared" si="5"/>
        <v>0</v>
      </c>
      <c r="Z27" s="1">
        <f t="shared" si="5"/>
        <v>0</v>
      </c>
      <c r="AA27" s="1">
        <f t="shared" si="5"/>
        <v>0</v>
      </c>
      <c r="AB27" s="1">
        <f t="shared" si="5"/>
        <v>0</v>
      </c>
      <c r="AC27" s="1">
        <f t="shared" si="5"/>
        <v>0</v>
      </c>
      <c r="AD27" s="1">
        <f t="shared" si="5"/>
        <v>0</v>
      </c>
      <c r="AE27" s="1">
        <f t="shared" si="5"/>
        <v>0</v>
      </c>
      <c r="AF27" s="1">
        <f t="shared" si="5"/>
        <v>0</v>
      </c>
      <c r="AG27" s="1">
        <f t="shared" si="5"/>
        <v>0</v>
      </c>
      <c r="AH27" s="1">
        <f t="shared" si="5"/>
        <v>0</v>
      </c>
      <c r="AI27" s="1">
        <f t="shared" si="5"/>
        <v>0</v>
      </c>
      <c r="AJ27" s="1">
        <f t="shared" si="5"/>
        <v>19248266.863009457</v>
      </c>
      <c r="AK27" s="1">
        <f t="shared" si="5"/>
        <v>0</v>
      </c>
      <c r="AL27" s="1">
        <f t="shared" si="5"/>
        <v>0</v>
      </c>
      <c r="AM27" s="1">
        <f t="shared" si="5"/>
        <v>0</v>
      </c>
      <c r="AN27" s="1">
        <f t="shared" si="5"/>
        <v>0</v>
      </c>
      <c r="AO27" s="1">
        <f t="shared" si="5"/>
        <v>0</v>
      </c>
      <c r="AP27" s="1">
        <f t="shared" si="5"/>
        <v>0</v>
      </c>
      <c r="AQ27" s="1">
        <f t="shared" si="5"/>
        <v>0</v>
      </c>
      <c r="AR27" s="1">
        <f t="shared" si="5"/>
        <v>0</v>
      </c>
      <c r="AS27" s="1">
        <f t="shared" si="5"/>
        <v>0</v>
      </c>
      <c r="AT27" s="1">
        <f t="shared" si="4"/>
        <v>39030266.863009453</v>
      </c>
    </row>
    <row r="28" spans="1:46" s="1" customFormat="1" x14ac:dyDescent="0.4">
      <c r="A28" s="14"/>
      <c r="G28" s="214"/>
    </row>
    <row r="29" spans="1:46" x14ac:dyDescent="0.4">
      <c r="D29" s="40"/>
    </row>
    <row r="30" spans="1:46" x14ac:dyDescent="0.4">
      <c r="A30" s="48"/>
      <c r="B30" s="48"/>
      <c r="C30" s="48"/>
      <c r="D30" s="166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</row>
    <row r="31" spans="1:46" x14ac:dyDescent="0.4">
      <c r="D31" s="40"/>
    </row>
    <row r="32" spans="1:46" x14ac:dyDescent="0.4">
      <c r="D32" s="35"/>
    </row>
    <row r="33" spans="1:46" ht="18.45" x14ac:dyDescent="0.5">
      <c r="A33" s="230" t="s">
        <v>162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</row>
    <row r="34" spans="1:46" ht="18.45" x14ac:dyDescent="0.45">
      <c r="A34" s="230" t="str">
        <f>'Plan Inputs'!$F$2</f>
        <v>2026-2065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</row>
    <row r="35" spans="1:46" ht="15.9" x14ac:dyDescent="0.4">
      <c r="A35" s="229" t="s">
        <v>163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6" ht="15.9" x14ac:dyDescent="0.4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6" s="1" customFormat="1" x14ac:dyDescent="0.4">
      <c r="A37" s="160"/>
      <c r="B37" s="160"/>
      <c r="C37" s="160"/>
      <c r="D37" s="160"/>
      <c r="E37" s="159" t="s">
        <v>153</v>
      </c>
      <c r="F37" s="160"/>
      <c r="G37" s="160"/>
      <c r="H37" s="160">
        <v>0</v>
      </c>
      <c r="I37" s="160">
        <v>1</v>
      </c>
      <c r="J37" s="160">
        <f>I37+1</f>
        <v>2</v>
      </c>
      <c r="K37" s="160">
        <f t="shared" ref="K37:AS37" si="6">J37+1</f>
        <v>3</v>
      </c>
      <c r="L37" s="160">
        <f t="shared" si="6"/>
        <v>4</v>
      </c>
      <c r="M37" s="160">
        <f t="shared" si="6"/>
        <v>5</v>
      </c>
      <c r="N37" s="160">
        <f t="shared" si="6"/>
        <v>6</v>
      </c>
      <c r="O37" s="160">
        <f t="shared" si="6"/>
        <v>7</v>
      </c>
      <c r="P37" s="160">
        <f t="shared" si="6"/>
        <v>8</v>
      </c>
      <c r="Q37" s="160">
        <f t="shared" si="6"/>
        <v>9</v>
      </c>
      <c r="R37" s="160">
        <f t="shared" si="6"/>
        <v>10</v>
      </c>
      <c r="S37" s="160">
        <f t="shared" si="6"/>
        <v>11</v>
      </c>
      <c r="T37" s="160">
        <f t="shared" si="6"/>
        <v>12</v>
      </c>
      <c r="U37" s="160">
        <f t="shared" si="6"/>
        <v>13</v>
      </c>
      <c r="V37" s="160">
        <f t="shared" si="6"/>
        <v>14</v>
      </c>
      <c r="W37" s="160">
        <f t="shared" si="6"/>
        <v>15</v>
      </c>
      <c r="X37" s="160">
        <f t="shared" si="6"/>
        <v>16</v>
      </c>
      <c r="Y37" s="160">
        <f t="shared" si="6"/>
        <v>17</v>
      </c>
      <c r="Z37" s="160">
        <f t="shared" si="6"/>
        <v>18</v>
      </c>
      <c r="AA37" s="160">
        <f t="shared" si="6"/>
        <v>19</v>
      </c>
      <c r="AB37" s="160">
        <f t="shared" si="6"/>
        <v>20</v>
      </c>
      <c r="AC37" s="160">
        <f t="shared" si="6"/>
        <v>21</v>
      </c>
      <c r="AD37" s="160">
        <f t="shared" si="6"/>
        <v>22</v>
      </c>
      <c r="AE37" s="160">
        <f t="shared" si="6"/>
        <v>23</v>
      </c>
      <c r="AF37" s="160">
        <f t="shared" si="6"/>
        <v>24</v>
      </c>
      <c r="AG37" s="160">
        <f t="shared" si="6"/>
        <v>25</v>
      </c>
      <c r="AH37" s="160">
        <f t="shared" si="6"/>
        <v>26</v>
      </c>
      <c r="AI37" s="160">
        <f t="shared" si="6"/>
        <v>27</v>
      </c>
      <c r="AJ37" s="160">
        <f t="shared" si="6"/>
        <v>28</v>
      </c>
      <c r="AK37" s="160">
        <f t="shared" si="6"/>
        <v>29</v>
      </c>
      <c r="AL37" s="160">
        <f t="shared" si="6"/>
        <v>30</v>
      </c>
      <c r="AM37" s="160">
        <f t="shared" si="6"/>
        <v>31</v>
      </c>
      <c r="AN37" s="160">
        <f t="shared" si="6"/>
        <v>32</v>
      </c>
      <c r="AO37" s="160">
        <f t="shared" si="6"/>
        <v>33</v>
      </c>
      <c r="AP37" s="160">
        <f t="shared" si="6"/>
        <v>34</v>
      </c>
      <c r="AQ37" s="160">
        <f t="shared" si="6"/>
        <v>35</v>
      </c>
      <c r="AR37" s="160">
        <f t="shared" si="6"/>
        <v>36</v>
      </c>
      <c r="AS37" s="160">
        <f t="shared" si="6"/>
        <v>37</v>
      </c>
    </row>
    <row r="38" spans="1:46" x14ac:dyDescent="0.4">
      <c r="A38" s="3"/>
      <c r="B38" s="4"/>
      <c r="C38" s="4"/>
      <c r="D38" s="11"/>
      <c r="E38" s="11"/>
      <c r="F38" s="21">
        <f>'Plan Inputs'!F$5</f>
        <v>2026</v>
      </c>
      <c r="G38" s="21">
        <f>'Plan Inputs'!G$5</f>
        <v>2027</v>
      </c>
      <c r="H38" s="21">
        <f>'Plan Inputs'!H$5</f>
        <v>2028</v>
      </c>
      <c r="I38" s="21">
        <f>'Plan Inputs'!I$5</f>
        <v>2029</v>
      </c>
      <c r="J38" s="21">
        <f>'Plan Inputs'!J$5</f>
        <v>2030</v>
      </c>
      <c r="K38" s="21">
        <f>'Plan Inputs'!K$5</f>
        <v>2031</v>
      </c>
      <c r="L38" s="21">
        <f>'Plan Inputs'!L$5</f>
        <v>2032</v>
      </c>
      <c r="M38" s="21">
        <f>'Plan Inputs'!M$5</f>
        <v>2033</v>
      </c>
      <c r="N38" s="21">
        <f>'Plan Inputs'!N$5</f>
        <v>2034</v>
      </c>
      <c r="O38" s="21">
        <f>'Plan Inputs'!O$5</f>
        <v>2035</v>
      </c>
      <c r="P38" s="21">
        <f>'Plan Inputs'!P$5</f>
        <v>2036</v>
      </c>
      <c r="Q38" s="21">
        <f>'Plan Inputs'!Q$5</f>
        <v>2037</v>
      </c>
      <c r="R38" s="21">
        <f>'Plan Inputs'!R$5</f>
        <v>2038</v>
      </c>
      <c r="S38" s="21">
        <f>'Plan Inputs'!S$5</f>
        <v>2039</v>
      </c>
      <c r="T38" s="21">
        <f>'Plan Inputs'!T$5</f>
        <v>2040</v>
      </c>
      <c r="U38" s="21">
        <f>'Plan Inputs'!U$5</f>
        <v>2041</v>
      </c>
      <c r="V38" s="21">
        <f>'Plan Inputs'!V$5</f>
        <v>2042</v>
      </c>
      <c r="W38" s="21">
        <f>'Plan Inputs'!W$5</f>
        <v>2043</v>
      </c>
      <c r="X38" s="21">
        <f>'Plan Inputs'!X$5</f>
        <v>2044</v>
      </c>
      <c r="Y38" s="21">
        <f>'Plan Inputs'!Y$5</f>
        <v>2045</v>
      </c>
      <c r="Z38" s="21">
        <f>'Plan Inputs'!Z$5</f>
        <v>2046</v>
      </c>
      <c r="AA38" s="21">
        <f>'Plan Inputs'!AA$5</f>
        <v>2047</v>
      </c>
      <c r="AB38" s="21">
        <f>'Plan Inputs'!AB$5</f>
        <v>2048</v>
      </c>
      <c r="AC38" s="21">
        <f>'Plan Inputs'!AC$5</f>
        <v>2049</v>
      </c>
      <c r="AD38" s="21">
        <f>'Plan Inputs'!AD$5</f>
        <v>2050</v>
      </c>
      <c r="AE38" s="21">
        <f>'Plan Inputs'!AE$5</f>
        <v>2051</v>
      </c>
      <c r="AF38" s="21">
        <f>'Plan Inputs'!AF$5</f>
        <v>2052</v>
      </c>
      <c r="AG38" s="21">
        <f>'Plan Inputs'!AG$5</f>
        <v>2053</v>
      </c>
      <c r="AH38" s="21">
        <f>'Plan Inputs'!AH$5</f>
        <v>2054</v>
      </c>
      <c r="AI38" s="21">
        <f>'Plan Inputs'!AI$5</f>
        <v>2055</v>
      </c>
      <c r="AJ38" s="21">
        <f>'Plan Inputs'!AJ$5</f>
        <v>2056</v>
      </c>
      <c r="AK38" s="21">
        <f>'Plan Inputs'!AK$5</f>
        <v>2057</v>
      </c>
      <c r="AL38" s="21">
        <f>'Plan Inputs'!AL$5</f>
        <v>2058</v>
      </c>
      <c r="AM38" s="21">
        <f>'Plan Inputs'!AM$5</f>
        <v>2059</v>
      </c>
      <c r="AN38" s="21">
        <f>'Plan Inputs'!AN$5</f>
        <v>2060</v>
      </c>
      <c r="AO38" s="21">
        <f>'Plan Inputs'!AO$5</f>
        <v>2061</v>
      </c>
      <c r="AP38" s="21">
        <f>'Plan Inputs'!AP$5</f>
        <v>2062</v>
      </c>
      <c r="AQ38" s="21">
        <f>'Plan Inputs'!AQ$5</f>
        <v>2063</v>
      </c>
      <c r="AR38" s="21">
        <f>'Plan Inputs'!AR$5</f>
        <v>2064</v>
      </c>
      <c r="AS38" s="21">
        <f>'Plan Inputs'!AS$5</f>
        <v>2065</v>
      </c>
      <c r="AT38" s="161" t="s">
        <v>154</v>
      </c>
    </row>
    <row r="39" spans="1:46" x14ac:dyDescent="0.4">
      <c r="A39" s="48" t="s">
        <v>164</v>
      </c>
      <c r="B39" s="49"/>
      <c r="C39" s="49"/>
      <c r="D39" s="9"/>
      <c r="E39" s="9"/>
      <c r="F39" s="52">
        <f>'Plan Inputs'!F23/2</f>
        <v>9237500</v>
      </c>
      <c r="G39" s="215">
        <f>F39</f>
        <v>9237500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1">
        <f>SUM(F39:AS39)</f>
        <v>18475000</v>
      </c>
    </row>
    <row r="40" spans="1:46" ht="17.149999999999999" x14ac:dyDescent="0.7">
      <c r="A40" s="50" t="s">
        <v>165</v>
      </c>
      <c r="B40" s="49"/>
      <c r="C40" s="49"/>
      <c r="D40" s="9"/>
      <c r="E40" s="9"/>
      <c r="F40" s="53">
        <v>0</v>
      </c>
      <c r="G40" s="54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2">
        <f t="shared" ref="AT40" si="7">SUM(F40:AS40)</f>
        <v>0</v>
      </c>
    </row>
    <row r="41" spans="1:46" x14ac:dyDescent="0.4">
      <c r="A41" s="153" t="s">
        <v>154</v>
      </c>
      <c r="B41" s="1"/>
      <c r="C41" s="1"/>
      <c r="D41" s="1"/>
      <c r="E41" s="1"/>
      <c r="F41" s="9">
        <f t="shared" ref="F41:AS41" si="8">SUM(F39:F40)</f>
        <v>9237500</v>
      </c>
      <c r="G41" s="9">
        <f t="shared" si="8"/>
        <v>9237500</v>
      </c>
      <c r="H41" s="9">
        <f t="shared" si="8"/>
        <v>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0</v>
      </c>
      <c r="S41" s="9">
        <f t="shared" si="8"/>
        <v>0</v>
      </c>
      <c r="T41" s="9">
        <f t="shared" si="8"/>
        <v>0</v>
      </c>
      <c r="U41" s="9">
        <f t="shared" si="8"/>
        <v>0</v>
      </c>
      <c r="V41" s="9">
        <f t="shared" si="8"/>
        <v>0</v>
      </c>
      <c r="W41" s="9">
        <f t="shared" si="8"/>
        <v>0</v>
      </c>
      <c r="X41" s="9">
        <f t="shared" si="8"/>
        <v>0</v>
      </c>
      <c r="Y41" s="9">
        <f t="shared" si="8"/>
        <v>0</v>
      </c>
      <c r="Z41" s="9">
        <f t="shared" si="8"/>
        <v>0</v>
      </c>
      <c r="AA41" s="9">
        <f t="shared" si="8"/>
        <v>0</v>
      </c>
      <c r="AB41" s="9">
        <f t="shared" si="8"/>
        <v>0</v>
      </c>
      <c r="AC41" s="9">
        <f t="shared" si="8"/>
        <v>0</v>
      </c>
      <c r="AD41" s="9">
        <f t="shared" si="8"/>
        <v>0</v>
      </c>
      <c r="AE41" s="9">
        <f t="shared" si="8"/>
        <v>0</v>
      </c>
      <c r="AF41" s="9">
        <f t="shared" si="8"/>
        <v>0</v>
      </c>
      <c r="AG41" s="9">
        <f t="shared" si="8"/>
        <v>0</v>
      </c>
      <c r="AH41" s="9">
        <f t="shared" si="8"/>
        <v>0</v>
      </c>
      <c r="AI41" s="9">
        <f t="shared" si="8"/>
        <v>0</v>
      </c>
      <c r="AJ41" s="9">
        <f t="shared" si="8"/>
        <v>0</v>
      </c>
      <c r="AK41" s="9">
        <f t="shared" si="8"/>
        <v>0</v>
      </c>
      <c r="AL41" s="9">
        <f t="shared" si="8"/>
        <v>0</v>
      </c>
      <c r="AM41" s="9">
        <f t="shared" si="8"/>
        <v>0</v>
      </c>
      <c r="AN41" s="9">
        <f t="shared" si="8"/>
        <v>0</v>
      </c>
      <c r="AO41" s="9">
        <f t="shared" si="8"/>
        <v>0</v>
      </c>
      <c r="AP41" s="9">
        <f t="shared" si="8"/>
        <v>0</v>
      </c>
      <c r="AQ41" s="9">
        <f t="shared" si="8"/>
        <v>0</v>
      </c>
      <c r="AR41" s="9">
        <f t="shared" si="8"/>
        <v>0</v>
      </c>
      <c r="AS41" s="9">
        <f t="shared" si="8"/>
        <v>0</v>
      </c>
      <c r="AT41" s="1">
        <f>SUM(AT39:AT40)</f>
        <v>18475000</v>
      </c>
    </row>
    <row r="42" spans="1:46" ht="17.149999999999999" x14ac:dyDescent="0.7">
      <c r="A42" s="14"/>
      <c r="B42" s="1"/>
      <c r="C42" s="1"/>
      <c r="D42" s="1"/>
      <c r="E42" s="1"/>
      <c r="F42" s="9"/>
      <c r="G42" s="209"/>
      <c r="H42" s="9"/>
      <c r="I42" s="9"/>
      <c r="J42" s="9"/>
      <c r="K42" s="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2"/>
    </row>
    <row r="43" spans="1:46" s="1" customFormat="1" x14ac:dyDescent="0.4">
      <c r="A43" s="155" t="s">
        <v>166</v>
      </c>
      <c r="G43" s="214"/>
    </row>
    <row r="44" spans="1:46" x14ac:dyDescent="0.4">
      <c r="A44" s="14"/>
      <c r="B44" s="1"/>
      <c r="C44" s="1"/>
      <c r="D44" s="1"/>
      <c r="E44" s="1"/>
      <c r="F44" s="1"/>
      <c r="G44" s="21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6" x14ac:dyDescent="0.4">
      <c r="A45" s="14"/>
      <c r="B45" s="1"/>
      <c r="C45" s="1"/>
      <c r="D45" s="1"/>
      <c r="E45" s="1"/>
      <c r="F45" s="1"/>
      <c r="G45" s="21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6" x14ac:dyDescent="0.4">
      <c r="A46" s="14"/>
      <c r="B46" s="1"/>
      <c r="C46" s="1"/>
      <c r="D46" s="1"/>
      <c r="E46" s="1"/>
      <c r="F46" s="1"/>
      <c r="G46" s="21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6" ht="18.45" x14ac:dyDescent="0.5">
      <c r="A47" s="230" t="s">
        <v>167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</row>
    <row r="48" spans="1:46" ht="18.45" x14ac:dyDescent="0.5">
      <c r="A48" s="230" t="str">
        <f>'Plan Inputs'!$F$2</f>
        <v>2026-2065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</row>
    <row r="49" spans="1:46" ht="15.9" x14ac:dyDescent="0.45">
      <c r="A49" s="229" t="s">
        <v>163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</row>
    <row r="50" spans="1:46" x14ac:dyDescent="0.4">
      <c r="A50" s="3"/>
      <c r="B50" s="4"/>
      <c r="C50" s="4"/>
      <c r="D50" s="4"/>
      <c r="E50" s="10"/>
      <c r="F50" s="4"/>
      <c r="G50" s="21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6" x14ac:dyDescent="0.4">
      <c r="A51" s="158"/>
      <c r="B51" s="4"/>
      <c r="C51" s="4"/>
      <c r="E51" s="159" t="s">
        <v>161</v>
      </c>
      <c r="F51" s="4">
        <v>0</v>
      </c>
      <c r="G51" s="216">
        <v>0</v>
      </c>
      <c r="H51" s="216">
        <v>2</v>
      </c>
      <c r="I51" s="216">
        <f t="shared" ref="I51" si="9">H51+1</f>
        <v>3</v>
      </c>
      <c r="J51" s="216">
        <f t="shared" ref="J51" si="10">I51+1</f>
        <v>4</v>
      </c>
      <c r="K51" s="216">
        <f t="shared" ref="K51" si="11">J51+1</f>
        <v>5</v>
      </c>
      <c r="L51" s="216">
        <f t="shared" ref="L51" si="12">K51+1</f>
        <v>6</v>
      </c>
      <c r="M51" s="216">
        <f t="shared" ref="M51" si="13">L51+1</f>
        <v>7</v>
      </c>
      <c r="N51" s="216">
        <f t="shared" ref="N51" si="14">M51+1</f>
        <v>8</v>
      </c>
      <c r="O51" s="216">
        <f t="shared" ref="O51" si="15">N51+1</f>
        <v>9</v>
      </c>
      <c r="P51" s="216">
        <f t="shared" ref="P51" si="16">O51+1</f>
        <v>10</v>
      </c>
      <c r="Q51" s="216">
        <f t="shared" ref="Q51" si="17">P51+1</f>
        <v>11</v>
      </c>
      <c r="R51" s="216">
        <f t="shared" ref="R51" si="18">Q51+1</f>
        <v>12</v>
      </c>
      <c r="S51" s="216">
        <f t="shared" ref="S51" si="19">R51+1</f>
        <v>13</v>
      </c>
      <c r="T51" s="216">
        <f t="shared" ref="T51" si="20">S51+1</f>
        <v>14</v>
      </c>
      <c r="U51" s="216">
        <f t="shared" ref="U51" si="21">T51+1</f>
        <v>15</v>
      </c>
      <c r="V51" s="216">
        <f t="shared" ref="V51" si="22">U51+1</f>
        <v>16</v>
      </c>
      <c r="W51" s="216">
        <f t="shared" ref="W51" si="23">V51+1</f>
        <v>17</v>
      </c>
      <c r="X51" s="216">
        <f t="shared" ref="X51" si="24">W51+1</f>
        <v>18</v>
      </c>
      <c r="Y51" s="216">
        <f t="shared" ref="Y51" si="25">X51+1</f>
        <v>19</v>
      </c>
      <c r="Z51" s="216">
        <f t="shared" ref="Z51" si="26">Y51+1</f>
        <v>20</v>
      </c>
      <c r="AA51" s="216">
        <f t="shared" ref="AA51" si="27">Z51+1</f>
        <v>21</v>
      </c>
      <c r="AB51" s="216">
        <f t="shared" ref="AB51" si="28">AA51+1</f>
        <v>22</v>
      </c>
      <c r="AC51" s="216">
        <f t="shared" ref="AC51" si="29">AB51+1</f>
        <v>23</v>
      </c>
      <c r="AD51" s="216">
        <f t="shared" ref="AD51" si="30">AC51+1</f>
        <v>24</v>
      </c>
      <c r="AE51" s="216">
        <f t="shared" ref="AE51" si="31">AD51+1</f>
        <v>25</v>
      </c>
      <c r="AF51" s="216">
        <f t="shared" ref="AF51" si="32">AE51+1</f>
        <v>26</v>
      </c>
      <c r="AG51" s="216">
        <f t="shared" ref="AG51" si="33">AF51+1</f>
        <v>27</v>
      </c>
      <c r="AH51" s="216">
        <f t="shared" ref="AH51" si="34">AG51+1</f>
        <v>28</v>
      </c>
      <c r="AI51" s="216">
        <f t="shared" ref="AI51" si="35">AH51+1</f>
        <v>29</v>
      </c>
      <c r="AJ51" s="216">
        <f t="shared" ref="AJ51" si="36">AI51+1</f>
        <v>30</v>
      </c>
      <c r="AK51" s="216">
        <f t="shared" ref="AK51" si="37">AJ51+1</f>
        <v>31</v>
      </c>
      <c r="AL51" s="216">
        <f t="shared" ref="AL51" si="38">AK51+1</f>
        <v>32</v>
      </c>
      <c r="AM51" s="216">
        <f t="shared" ref="AM51" si="39">AL51+1</f>
        <v>33</v>
      </c>
      <c r="AN51" s="216">
        <f t="shared" ref="AN51" si="40">AM51+1</f>
        <v>34</v>
      </c>
      <c r="AO51" s="216">
        <f t="shared" ref="AO51" si="41">AN51+1</f>
        <v>35</v>
      </c>
      <c r="AP51" s="216">
        <f t="shared" ref="AP51" si="42">AO51+1</f>
        <v>36</v>
      </c>
      <c r="AQ51" s="216">
        <f t="shared" ref="AQ51" si="43">AP51+1</f>
        <v>37</v>
      </c>
      <c r="AR51" s="216">
        <f t="shared" ref="AR51" si="44">AQ51+1</f>
        <v>38</v>
      </c>
      <c r="AS51" s="216">
        <f t="shared" ref="AS51" si="45">AR51+1</f>
        <v>39</v>
      </c>
    </row>
    <row r="52" spans="1:46" x14ac:dyDescent="0.4">
      <c r="A52" s="3"/>
      <c r="B52" s="4"/>
      <c r="C52" s="4"/>
      <c r="D52" s="11"/>
      <c r="E52" s="11"/>
      <c r="F52" s="21">
        <f>'Plan Inputs'!F5</f>
        <v>2026</v>
      </c>
      <c r="G52" s="21">
        <f>'Plan Inputs'!G5</f>
        <v>2027</v>
      </c>
      <c r="H52" s="21">
        <f>'Plan Inputs'!H5</f>
        <v>2028</v>
      </c>
      <c r="I52" s="21">
        <f>'Plan Inputs'!I5</f>
        <v>2029</v>
      </c>
      <c r="J52" s="21">
        <f>'Plan Inputs'!J5</f>
        <v>2030</v>
      </c>
      <c r="K52" s="21">
        <f>'Plan Inputs'!K5</f>
        <v>2031</v>
      </c>
      <c r="L52" s="21">
        <f>'Plan Inputs'!L5</f>
        <v>2032</v>
      </c>
      <c r="M52" s="21">
        <f>'Plan Inputs'!M5</f>
        <v>2033</v>
      </c>
      <c r="N52" s="21">
        <f>'Plan Inputs'!N5</f>
        <v>2034</v>
      </c>
      <c r="O52" s="21">
        <f>'Plan Inputs'!O5</f>
        <v>2035</v>
      </c>
      <c r="P52" s="21">
        <f>'Plan Inputs'!P5</f>
        <v>2036</v>
      </c>
      <c r="Q52" s="21">
        <f>'Plan Inputs'!Q5</f>
        <v>2037</v>
      </c>
      <c r="R52" s="21">
        <f>'Plan Inputs'!R5</f>
        <v>2038</v>
      </c>
      <c r="S52" s="21">
        <f>'Plan Inputs'!S5</f>
        <v>2039</v>
      </c>
      <c r="T52" s="21">
        <f>'Plan Inputs'!T5</f>
        <v>2040</v>
      </c>
      <c r="U52" s="21">
        <f>'Plan Inputs'!U5</f>
        <v>2041</v>
      </c>
      <c r="V52" s="21">
        <f>'Plan Inputs'!V5</f>
        <v>2042</v>
      </c>
      <c r="W52" s="21">
        <f>'Plan Inputs'!W5</f>
        <v>2043</v>
      </c>
      <c r="X52" s="21">
        <f>'Plan Inputs'!X5</f>
        <v>2044</v>
      </c>
      <c r="Y52" s="21">
        <f>'Plan Inputs'!Y5</f>
        <v>2045</v>
      </c>
      <c r="Z52" s="21">
        <f>'Plan Inputs'!Z5</f>
        <v>2046</v>
      </c>
      <c r="AA52" s="21">
        <f>'Plan Inputs'!AA5</f>
        <v>2047</v>
      </c>
      <c r="AB52" s="21">
        <f>'Plan Inputs'!AB5</f>
        <v>2048</v>
      </c>
      <c r="AC52" s="21">
        <f>'Plan Inputs'!AC5</f>
        <v>2049</v>
      </c>
      <c r="AD52" s="21">
        <f>'Plan Inputs'!AD5</f>
        <v>2050</v>
      </c>
      <c r="AE52" s="21">
        <f>'Plan Inputs'!AE5</f>
        <v>2051</v>
      </c>
      <c r="AF52" s="21">
        <f>'Plan Inputs'!AF5</f>
        <v>2052</v>
      </c>
      <c r="AG52" s="21">
        <f>'Plan Inputs'!AG5</f>
        <v>2053</v>
      </c>
      <c r="AH52" s="21">
        <f>'Plan Inputs'!AH5</f>
        <v>2054</v>
      </c>
      <c r="AI52" s="21">
        <f>'Plan Inputs'!AI5</f>
        <v>2055</v>
      </c>
      <c r="AJ52" s="21">
        <f>'Plan Inputs'!AJ5</f>
        <v>2056</v>
      </c>
      <c r="AK52" s="21">
        <f>'Plan Inputs'!AK5</f>
        <v>2057</v>
      </c>
      <c r="AL52" s="21">
        <f>'Plan Inputs'!AL5</f>
        <v>2058</v>
      </c>
      <c r="AM52" s="21">
        <f>'Plan Inputs'!AM5</f>
        <v>2059</v>
      </c>
      <c r="AN52" s="21">
        <f>'Plan Inputs'!AN5</f>
        <v>2060</v>
      </c>
      <c r="AO52" s="21">
        <f>'Plan Inputs'!AO5</f>
        <v>2061</v>
      </c>
      <c r="AP52" s="21">
        <f>'Plan Inputs'!AP5</f>
        <v>2062</v>
      </c>
      <c r="AQ52" s="21">
        <f>'Plan Inputs'!AQ5</f>
        <v>2063</v>
      </c>
      <c r="AR52" s="21">
        <f>'Plan Inputs'!AR5</f>
        <v>2064</v>
      </c>
      <c r="AS52" s="21">
        <f>'Plan Inputs'!AS5</f>
        <v>2065</v>
      </c>
      <c r="AT52" s="161" t="s">
        <v>154</v>
      </c>
    </row>
    <row r="53" spans="1:46" x14ac:dyDescent="0.4">
      <c r="A53" s="27" t="str">
        <f>A39</f>
        <v>New Pipleline</v>
      </c>
      <c r="B53" s="1"/>
      <c r="C53" s="1"/>
      <c r="D53" s="1"/>
      <c r="E53" s="1"/>
      <c r="F53" s="1">
        <f>F39*((1+'Plan Inputs'!$F$11)^F$21)</f>
        <v>9237500</v>
      </c>
      <c r="G53" s="1">
        <f>G39*((1+'Plan Inputs'!$F$11)^G$51)</f>
        <v>9237500</v>
      </c>
      <c r="H53" s="1">
        <f>H39*((1+'Plan Inputs'!$F$11)^H$51)</f>
        <v>0</v>
      </c>
      <c r="I53" s="1">
        <f>I39*((1+'Plan Inputs'!$F$11)^I$51)</f>
        <v>0</v>
      </c>
      <c r="J53" s="1">
        <f>J39*((1+'Plan Inputs'!$F$11)^J$51)</f>
        <v>0</v>
      </c>
      <c r="K53" s="1">
        <f>K39*((1+'Plan Inputs'!$F$11)^K$51)</f>
        <v>0</v>
      </c>
      <c r="L53" s="1">
        <f>L39*((1+'Plan Inputs'!$F$11)^L$51)</f>
        <v>0</v>
      </c>
      <c r="M53" s="1">
        <f>M39*((1+'Plan Inputs'!$F$11)^M$51)</f>
        <v>0</v>
      </c>
      <c r="N53" s="1">
        <f>N39*((1+'Plan Inputs'!$F$11)^N$51)</f>
        <v>0</v>
      </c>
      <c r="O53" s="1">
        <f>O39*((1+'Plan Inputs'!$F$11)^O$51)</f>
        <v>0</v>
      </c>
      <c r="P53" s="1">
        <f>P39*((1+'Plan Inputs'!$F$11)^P$51)</f>
        <v>0</v>
      </c>
      <c r="Q53" s="1">
        <f>Q39*((1+'Plan Inputs'!$F$11)^Q$51)</f>
        <v>0</v>
      </c>
      <c r="R53" s="1">
        <f>R39*((1+'Plan Inputs'!$F$11)^R$51)</f>
        <v>0</v>
      </c>
      <c r="S53" s="1">
        <f>S39*((1+'Plan Inputs'!$F$11)^S$51)</f>
        <v>0</v>
      </c>
      <c r="T53" s="1">
        <f>T39*((1+'Plan Inputs'!$F$11)^T$51)</f>
        <v>0</v>
      </c>
      <c r="U53" s="1">
        <f>U39*((1+'Plan Inputs'!$F$11)^U$51)</f>
        <v>0</v>
      </c>
      <c r="V53" s="1">
        <f>V39*((1+'Plan Inputs'!$F$11)^V$51)</f>
        <v>0</v>
      </c>
      <c r="W53" s="1">
        <f>W39*((1+'Plan Inputs'!$F$11)^W$51)</f>
        <v>0</v>
      </c>
      <c r="X53" s="1">
        <f>X39*((1+'Plan Inputs'!$F$11)^X$51)</f>
        <v>0</v>
      </c>
      <c r="Y53" s="1">
        <f>Y39*((1+'Plan Inputs'!$F$11)^Y$51)</f>
        <v>0</v>
      </c>
      <c r="Z53" s="1">
        <f>Z39*((1+'Plan Inputs'!$F$11)^Z$51)</f>
        <v>0</v>
      </c>
      <c r="AA53" s="1">
        <f>AA39*((1+'Plan Inputs'!$F$11)^AA$51)</f>
        <v>0</v>
      </c>
      <c r="AB53" s="1">
        <f>AB39*((1+'Plan Inputs'!$F$11)^AB$51)</f>
        <v>0</v>
      </c>
      <c r="AC53" s="1">
        <f>AC39*((1+'Plan Inputs'!$F$11)^AC$51)</f>
        <v>0</v>
      </c>
      <c r="AD53" s="1">
        <f>AD39*((1+'Plan Inputs'!$F$11)^AD$51)</f>
        <v>0</v>
      </c>
      <c r="AE53" s="1">
        <f>AE39*((1+'Plan Inputs'!$F$11)^AE$51)</f>
        <v>0</v>
      </c>
      <c r="AF53" s="1">
        <f>AF39*((1+'Plan Inputs'!$F$11)^AF$51)</f>
        <v>0</v>
      </c>
      <c r="AG53" s="1">
        <f>AG39*((1+'Plan Inputs'!$F$11)^AG$51)</f>
        <v>0</v>
      </c>
      <c r="AH53" s="1">
        <f>AH39*((1+'Plan Inputs'!$F$11)^AH$51)</f>
        <v>0</v>
      </c>
      <c r="AI53" s="1">
        <f>AI39*((1+'Plan Inputs'!$F$11)^AI$51)</f>
        <v>0</v>
      </c>
      <c r="AJ53" s="1">
        <f>AJ39*((1+'Plan Inputs'!$F$11)^AJ$51)</f>
        <v>0</v>
      </c>
      <c r="AK53" s="1">
        <f>AK39*((1+'Plan Inputs'!$F$11)^AK$51)</f>
        <v>0</v>
      </c>
      <c r="AL53" s="1">
        <f>AL39*((1+'Plan Inputs'!$F$11)^AL$51)</f>
        <v>0</v>
      </c>
      <c r="AM53" s="1">
        <f>AM39*((1+'Plan Inputs'!$F$11)^AM$51)</f>
        <v>0</v>
      </c>
      <c r="AN53" s="1">
        <f>AN39*((1+'Plan Inputs'!$F$11)^AN$51)</f>
        <v>0</v>
      </c>
      <c r="AO53" s="1">
        <f>AO39*((1+'Plan Inputs'!$F$11)^AO$51)</f>
        <v>0</v>
      </c>
      <c r="AP53" s="1">
        <f>AP39*((1+'Plan Inputs'!$F$11)^AP$51)</f>
        <v>0</v>
      </c>
      <c r="AQ53" s="1">
        <f>AQ39*((1+'Plan Inputs'!$F$11)^AQ$51)</f>
        <v>0</v>
      </c>
      <c r="AR53" s="1">
        <f>AR39*((1+'Plan Inputs'!$F$11)^AR$51)</f>
        <v>0</v>
      </c>
      <c r="AS53" s="1">
        <f>AS39*((1+'Plan Inputs'!$F$11)^AS$51)</f>
        <v>0</v>
      </c>
      <c r="AT53" s="1">
        <f>SUM(F53:AS53)</f>
        <v>18475000</v>
      </c>
    </row>
    <row r="54" spans="1:46" ht="17.149999999999999" x14ac:dyDescent="0.7">
      <c r="A54" s="27" t="str">
        <f>A40</f>
        <v>Replacement Pipeline after 62.5 years</v>
      </c>
      <c r="B54" s="1"/>
      <c r="C54" s="1"/>
      <c r="D54" s="1"/>
      <c r="E54" s="1"/>
      <c r="F54" s="2">
        <f>F40*((1+'Plan Inputs'!$F$11)^F$21)</f>
        <v>0</v>
      </c>
      <c r="G54" s="2">
        <f>G40*((1+'Plan Inputs'!$F$11)^G$51)</f>
        <v>0</v>
      </c>
      <c r="H54" s="2">
        <f>H40*((1+'Plan Inputs'!$F$11)^H$51)</f>
        <v>0</v>
      </c>
      <c r="I54" s="2">
        <f>I40*((1+'Plan Inputs'!$F$11)^I$51)</f>
        <v>0</v>
      </c>
      <c r="J54" s="2">
        <f>J40*((1+'Plan Inputs'!$F$11)^J$51)</f>
        <v>0</v>
      </c>
      <c r="K54" s="2">
        <f>K40*((1+'Plan Inputs'!$F$11)^K$51)</f>
        <v>0</v>
      </c>
      <c r="L54" s="2">
        <f>L40*((1+'Plan Inputs'!$F$11)^L$51)</f>
        <v>0</v>
      </c>
      <c r="M54" s="2">
        <f>M40*((1+'Plan Inputs'!$F$11)^M$51)</f>
        <v>0</v>
      </c>
      <c r="N54" s="2">
        <f>N40*((1+'Plan Inputs'!$F$11)^N$51)</f>
        <v>0</v>
      </c>
      <c r="O54" s="2">
        <f>O40*((1+'Plan Inputs'!$F$11)^O$51)</f>
        <v>0</v>
      </c>
      <c r="P54" s="2">
        <f>P40*((1+'Plan Inputs'!$F$11)^P$51)</f>
        <v>0</v>
      </c>
      <c r="Q54" s="2">
        <f>Q40*((1+'Plan Inputs'!$F$11)^Q$51)</f>
        <v>0</v>
      </c>
      <c r="R54" s="2">
        <f>R40*((1+'Plan Inputs'!$F$11)^R$51)</f>
        <v>0</v>
      </c>
      <c r="S54" s="2">
        <f>S40*((1+'Plan Inputs'!$F$11)^S$51)</f>
        <v>0</v>
      </c>
      <c r="T54" s="2">
        <f>T40*((1+'Plan Inputs'!$F$11)^T$51)</f>
        <v>0</v>
      </c>
      <c r="U54" s="2">
        <f>U40*((1+'Plan Inputs'!$F$11)^U$51)</f>
        <v>0</v>
      </c>
      <c r="V54" s="2">
        <f>V40*((1+'Plan Inputs'!$F$11)^V$51)</f>
        <v>0</v>
      </c>
      <c r="W54" s="2">
        <f>W40*((1+'Plan Inputs'!$F$11)^W$51)</f>
        <v>0</v>
      </c>
      <c r="X54" s="2">
        <f>X40*((1+'Plan Inputs'!$F$11)^X$51)</f>
        <v>0</v>
      </c>
      <c r="Y54" s="2">
        <f>Y40*((1+'Plan Inputs'!$F$11)^Y$51)</f>
        <v>0</v>
      </c>
      <c r="Z54" s="2">
        <f>Z40*((1+'Plan Inputs'!$F$11)^Z$51)</f>
        <v>0</v>
      </c>
      <c r="AA54" s="2">
        <f>AA40*((1+'Plan Inputs'!$F$11)^AA$51)</f>
        <v>0</v>
      </c>
      <c r="AB54" s="2">
        <f>AB40*((1+'Plan Inputs'!$F$11)^AB$51)</f>
        <v>0</v>
      </c>
      <c r="AC54" s="2">
        <f>AC40*((1+'Plan Inputs'!$F$11)^AC$51)</f>
        <v>0</v>
      </c>
      <c r="AD54" s="2">
        <f>AD40*((1+'Plan Inputs'!$F$11)^AD$51)</f>
        <v>0</v>
      </c>
      <c r="AE54" s="2">
        <f>AE40*((1+'Plan Inputs'!$F$11)^AE$51)</f>
        <v>0</v>
      </c>
      <c r="AF54" s="2">
        <f>AF40*((1+'Plan Inputs'!$F$11)^AF$51)</f>
        <v>0</v>
      </c>
      <c r="AG54" s="2">
        <f>AG40*((1+'Plan Inputs'!$F$11)^AG$51)</f>
        <v>0</v>
      </c>
      <c r="AH54" s="2">
        <f>AH40*((1+'Plan Inputs'!$F$11)^AH$51)</f>
        <v>0</v>
      </c>
      <c r="AI54" s="2">
        <f>AI40*((1+'Plan Inputs'!$F$11)^AI$51)</f>
        <v>0</v>
      </c>
      <c r="AJ54" s="2">
        <f>AJ40*((1+'Plan Inputs'!$F$11)^AJ$51)</f>
        <v>0</v>
      </c>
      <c r="AK54" s="2">
        <f>AK40*((1+'Plan Inputs'!$F$11)^AK$51)</f>
        <v>0</v>
      </c>
      <c r="AL54" s="2">
        <f>AL40*((1+'Plan Inputs'!$F$11)^AL$51)</f>
        <v>0</v>
      </c>
      <c r="AM54" s="2">
        <f>AM40*((1+'Plan Inputs'!$F$11)^AM$51)</f>
        <v>0</v>
      </c>
      <c r="AN54" s="2">
        <f>AN40*((1+'Plan Inputs'!$F$11)^AN$51)</f>
        <v>0</v>
      </c>
      <c r="AO54" s="2">
        <f>AO40*((1+'Plan Inputs'!$F$11)^AO$51)</f>
        <v>0</v>
      </c>
      <c r="AP54" s="2">
        <f>AP40*((1+'Plan Inputs'!$F$11)^AP$51)</f>
        <v>0</v>
      </c>
      <c r="AQ54" s="2">
        <f>AQ40*((1+'Plan Inputs'!$F$11)^AQ$51)</f>
        <v>0</v>
      </c>
      <c r="AR54" s="2">
        <f>AR40*((1+'Plan Inputs'!$F$11)^AR$51)</f>
        <v>0</v>
      </c>
      <c r="AS54" s="2">
        <f>AS40*((1+'Plan Inputs'!$F$11)^AS$51)</f>
        <v>0</v>
      </c>
      <c r="AT54" s="2">
        <f t="shared" ref="AT54" si="46">SUM(F54:AS54)</f>
        <v>0</v>
      </c>
    </row>
    <row r="55" spans="1:46" x14ac:dyDescent="0.4">
      <c r="A55" s="153" t="s">
        <v>154</v>
      </c>
      <c r="B55" s="1"/>
      <c r="C55" s="1"/>
      <c r="D55" s="1"/>
      <c r="E55" s="1"/>
      <c r="F55" s="1">
        <f t="shared" ref="F55:AS55" si="47">SUM(F53:F54)</f>
        <v>9237500</v>
      </c>
      <c r="G55" s="1">
        <f t="shared" si="47"/>
        <v>9237500</v>
      </c>
      <c r="H55" s="1">
        <f t="shared" si="47"/>
        <v>0</v>
      </c>
      <c r="I55" s="1">
        <f t="shared" si="47"/>
        <v>0</v>
      </c>
      <c r="J55" s="1">
        <f t="shared" si="47"/>
        <v>0</v>
      </c>
      <c r="K55" s="1">
        <f t="shared" si="47"/>
        <v>0</v>
      </c>
      <c r="L55" s="1">
        <f t="shared" si="47"/>
        <v>0</v>
      </c>
      <c r="M55" s="1">
        <f t="shared" si="47"/>
        <v>0</v>
      </c>
      <c r="N55" s="1">
        <f t="shared" si="47"/>
        <v>0</v>
      </c>
      <c r="O55" s="1">
        <f t="shared" si="47"/>
        <v>0</v>
      </c>
      <c r="P55" s="1">
        <f t="shared" si="47"/>
        <v>0</v>
      </c>
      <c r="Q55" s="1">
        <f t="shared" si="47"/>
        <v>0</v>
      </c>
      <c r="R55" s="1">
        <f t="shared" si="47"/>
        <v>0</v>
      </c>
      <c r="S55" s="1">
        <f t="shared" si="47"/>
        <v>0</v>
      </c>
      <c r="T55" s="1">
        <f t="shared" si="47"/>
        <v>0</v>
      </c>
      <c r="U55" s="1">
        <f t="shared" si="47"/>
        <v>0</v>
      </c>
      <c r="V55" s="1">
        <f t="shared" si="47"/>
        <v>0</v>
      </c>
      <c r="W55" s="1">
        <f t="shared" si="47"/>
        <v>0</v>
      </c>
      <c r="X55" s="1">
        <f t="shared" si="47"/>
        <v>0</v>
      </c>
      <c r="Y55" s="1">
        <f t="shared" si="47"/>
        <v>0</v>
      </c>
      <c r="Z55" s="1">
        <f t="shared" si="47"/>
        <v>0</v>
      </c>
      <c r="AA55" s="1">
        <f t="shared" si="47"/>
        <v>0</v>
      </c>
      <c r="AB55" s="1">
        <f t="shared" si="47"/>
        <v>0</v>
      </c>
      <c r="AC55" s="1">
        <f t="shared" si="47"/>
        <v>0</v>
      </c>
      <c r="AD55" s="1">
        <f t="shared" si="47"/>
        <v>0</v>
      </c>
      <c r="AE55" s="1">
        <f t="shared" si="47"/>
        <v>0</v>
      </c>
      <c r="AF55" s="1">
        <f t="shared" si="47"/>
        <v>0</v>
      </c>
      <c r="AG55" s="1">
        <f t="shared" si="47"/>
        <v>0</v>
      </c>
      <c r="AH55" s="1">
        <f t="shared" si="47"/>
        <v>0</v>
      </c>
      <c r="AI55" s="1">
        <f t="shared" si="47"/>
        <v>0</v>
      </c>
      <c r="AJ55" s="1">
        <f t="shared" si="47"/>
        <v>0</v>
      </c>
      <c r="AK55" s="1">
        <f t="shared" si="47"/>
        <v>0</v>
      </c>
      <c r="AL55" s="1">
        <f t="shared" si="47"/>
        <v>0</v>
      </c>
      <c r="AM55" s="1">
        <f t="shared" si="47"/>
        <v>0</v>
      </c>
      <c r="AN55" s="1">
        <f t="shared" si="47"/>
        <v>0</v>
      </c>
      <c r="AO55" s="1">
        <f t="shared" si="47"/>
        <v>0</v>
      </c>
      <c r="AP55" s="1">
        <f t="shared" si="47"/>
        <v>0</v>
      </c>
      <c r="AQ55" s="1">
        <f t="shared" si="47"/>
        <v>0</v>
      </c>
      <c r="AR55" s="1">
        <f t="shared" si="47"/>
        <v>0</v>
      </c>
      <c r="AS55" s="1">
        <f t="shared" si="47"/>
        <v>0</v>
      </c>
      <c r="AT55" s="1">
        <f>SUM(AT53:AT54)</f>
        <v>18475000</v>
      </c>
    </row>
  </sheetData>
  <mergeCells count="12">
    <mergeCell ref="A49:K49"/>
    <mergeCell ref="A3:K3"/>
    <mergeCell ref="A17:K17"/>
    <mergeCell ref="A19:K19"/>
    <mergeCell ref="A1:K1"/>
    <mergeCell ref="A2:K2"/>
    <mergeCell ref="A18:K18"/>
    <mergeCell ref="A47:K47"/>
    <mergeCell ref="A33:K33"/>
    <mergeCell ref="A34:K34"/>
    <mergeCell ref="A35:K35"/>
    <mergeCell ref="A48:K48"/>
  </mergeCells>
  <printOptions verticalCentered="1"/>
  <pageMargins left="0.7" right="0.7" top="0.75" bottom="0.75" header="0.3" footer="0.3"/>
  <pageSetup scale="61" fitToWidth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8E3E-A6F4-48F0-9663-35364261CEC2}">
  <sheetPr>
    <pageSetUpPr fitToPage="1"/>
  </sheetPr>
  <dimension ref="A1:AO47"/>
  <sheetViews>
    <sheetView workbookViewId="0">
      <selection sqref="A1:G1"/>
    </sheetView>
  </sheetViews>
  <sheetFormatPr defaultColWidth="8.875" defaultRowHeight="15.9" x14ac:dyDescent="0.45"/>
  <cols>
    <col min="1" max="1" width="50.5625" style="41" customWidth="1"/>
    <col min="2" max="42" width="12.5625" style="41" customWidth="1"/>
    <col min="43" max="16384" width="8.875" style="41"/>
  </cols>
  <sheetData>
    <row r="1" spans="1:41" ht="18.45" x14ac:dyDescent="0.5">
      <c r="A1" s="232" t="s">
        <v>168</v>
      </c>
      <c r="B1" s="232"/>
      <c r="C1" s="232"/>
      <c r="D1" s="232"/>
      <c r="E1" s="232"/>
      <c r="F1" s="232"/>
      <c r="G1" s="232"/>
    </row>
    <row r="2" spans="1:41" ht="18.45" x14ac:dyDescent="0.5">
      <c r="A2" s="232" t="str">
        <f>'Plan Inputs'!F2</f>
        <v>2026-2065</v>
      </c>
      <c r="B2" s="232"/>
      <c r="C2" s="232"/>
      <c r="D2" s="232"/>
      <c r="E2" s="232"/>
      <c r="F2" s="232"/>
      <c r="G2" s="232"/>
    </row>
    <row r="3" spans="1:41" x14ac:dyDescent="0.45">
      <c r="A3" s="231" t="s">
        <v>91</v>
      </c>
      <c r="B3" s="231"/>
      <c r="C3" s="231"/>
      <c r="D3" s="231"/>
      <c r="E3" s="231"/>
      <c r="F3" s="231"/>
      <c r="G3" s="231"/>
    </row>
    <row r="4" spans="1:41" x14ac:dyDescent="0.45">
      <c r="A4" s="16"/>
      <c r="B4" s="16"/>
      <c r="C4" s="16"/>
      <c r="D4" s="16"/>
      <c r="E4" s="16"/>
      <c r="F4" s="16"/>
      <c r="G4" s="16"/>
    </row>
    <row r="5" spans="1:41" x14ac:dyDescent="0.45">
      <c r="A5" s="16"/>
      <c r="B5" s="42"/>
      <c r="C5" s="42"/>
      <c r="D5" s="42" t="s">
        <v>169</v>
      </c>
      <c r="E5" s="42" t="s">
        <v>169</v>
      </c>
      <c r="F5" s="42" t="s">
        <v>169</v>
      </c>
      <c r="G5" s="42" t="s">
        <v>169</v>
      </c>
      <c r="H5" s="42" t="s">
        <v>169</v>
      </c>
      <c r="I5" s="42" t="s">
        <v>169</v>
      </c>
      <c r="J5" s="42" t="s">
        <v>169</v>
      </c>
      <c r="K5" s="42" t="s">
        <v>169</v>
      </c>
      <c r="L5" s="42" t="s">
        <v>169</v>
      </c>
      <c r="M5" s="42" t="s">
        <v>169</v>
      </c>
      <c r="N5" s="42" t="s">
        <v>169</v>
      </c>
      <c r="O5" s="42" t="s">
        <v>169</v>
      </c>
      <c r="P5" s="42" t="s">
        <v>169</v>
      </c>
      <c r="Q5" s="42" t="s">
        <v>169</v>
      </c>
      <c r="R5" s="42" t="s">
        <v>169</v>
      </c>
      <c r="S5" s="42" t="s">
        <v>169</v>
      </c>
      <c r="T5" s="42" t="s">
        <v>169</v>
      </c>
      <c r="U5" s="42" t="s">
        <v>169</v>
      </c>
      <c r="V5" s="42" t="s">
        <v>169</v>
      </c>
      <c r="W5" s="42" t="s">
        <v>169</v>
      </c>
      <c r="X5" s="42" t="s">
        <v>169</v>
      </c>
      <c r="Y5" s="42" t="s">
        <v>169</v>
      </c>
      <c r="Z5" s="42" t="s">
        <v>169</v>
      </c>
      <c r="AA5" s="42" t="s">
        <v>169</v>
      </c>
      <c r="AB5" s="42" t="s">
        <v>169</v>
      </c>
      <c r="AC5" s="42" t="s">
        <v>169</v>
      </c>
      <c r="AD5" s="42" t="s">
        <v>169</v>
      </c>
      <c r="AE5" s="42" t="s">
        <v>169</v>
      </c>
      <c r="AF5" s="42" t="s">
        <v>169</v>
      </c>
      <c r="AG5" s="42" t="s">
        <v>169</v>
      </c>
      <c r="AH5" s="42" t="s">
        <v>169</v>
      </c>
      <c r="AI5" s="42" t="s">
        <v>169</v>
      </c>
      <c r="AJ5" s="42" t="s">
        <v>169</v>
      </c>
      <c r="AK5" s="42" t="s">
        <v>169</v>
      </c>
      <c r="AL5" s="42" t="s">
        <v>169</v>
      </c>
      <c r="AM5" s="42" t="s">
        <v>169</v>
      </c>
      <c r="AN5" s="42" t="s">
        <v>169</v>
      </c>
      <c r="AO5" s="42" t="s">
        <v>169</v>
      </c>
    </row>
    <row r="6" spans="1:41" x14ac:dyDescent="0.45">
      <c r="A6" s="16"/>
      <c r="B6" s="42"/>
      <c r="C6" s="42"/>
      <c r="D6" s="42" t="s">
        <v>170</v>
      </c>
      <c r="E6" s="42" t="s">
        <v>170</v>
      </c>
      <c r="F6" s="42" t="s">
        <v>170</v>
      </c>
      <c r="G6" s="42" t="s">
        <v>170</v>
      </c>
      <c r="H6" s="42" t="s">
        <v>170</v>
      </c>
      <c r="I6" s="42" t="s">
        <v>170</v>
      </c>
      <c r="J6" s="42" t="s">
        <v>170</v>
      </c>
      <c r="K6" s="42" t="s">
        <v>170</v>
      </c>
      <c r="L6" s="42" t="s">
        <v>170</v>
      </c>
      <c r="M6" s="42" t="s">
        <v>170</v>
      </c>
      <c r="N6" s="42" t="s">
        <v>170</v>
      </c>
      <c r="O6" s="42" t="s">
        <v>170</v>
      </c>
      <c r="P6" s="42" t="s">
        <v>170</v>
      </c>
      <c r="Q6" s="42" t="s">
        <v>170</v>
      </c>
      <c r="R6" s="42" t="s">
        <v>170</v>
      </c>
      <c r="S6" s="42" t="s">
        <v>170</v>
      </c>
      <c r="T6" s="42" t="s">
        <v>170</v>
      </c>
      <c r="U6" s="42" t="s">
        <v>170</v>
      </c>
      <c r="V6" s="42" t="s">
        <v>170</v>
      </c>
      <c r="W6" s="42" t="s">
        <v>170</v>
      </c>
      <c r="X6" s="42" t="s">
        <v>170</v>
      </c>
      <c r="Y6" s="42" t="s">
        <v>170</v>
      </c>
      <c r="Z6" s="42" t="s">
        <v>170</v>
      </c>
      <c r="AA6" s="42" t="s">
        <v>170</v>
      </c>
      <c r="AB6" s="42" t="s">
        <v>170</v>
      </c>
      <c r="AC6" s="42" t="s">
        <v>170</v>
      </c>
      <c r="AD6" s="42" t="s">
        <v>170</v>
      </c>
      <c r="AE6" s="42" t="s">
        <v>170</v>
      </c>
      <c r="AF6" s="42" t="s">
        <v>170</v>
      </c>
      <c r="AG6" s="42" t="s">
        <v>170</v>
      </c>
      <c r="AH6" s="42" t="s">
        <v>170</v>
      </c>
      <c r="AI6" s="42" t="s">
        <v>170</v>
      </c>
      <c r="AJ6" s="42" t="s">
        <v>170</v>
      </c>
      <c r="AK6" s="42" t="s">
        <v>170</v>
      </c>
      <c r="AL6" s="42" t="s">
        <v>170</v>
      </c>
      <c r="AM6" s="42" t="s">
        <v>170</v>
      </c>
      <c r="AN6" s="42" t="s">
        <v>170</v>
      </c>
      <c r="AO6" s="42" t="s">
        <v>170</v>
      </c>
    </row>
    <row r="7" spans="1:41" x14ac:dyDescent="0.45">
      <c r="A7" s="16" t="str">
        <f>'Capital Program'!A7</f>
        <v>New Water Treatment Plant Structures</v>
      </c>
      <c r="B7" s="51"/>
      <c r="C7" s="51"/>
      <c r="D7" s="51">
        <v>37.5</v>
      </c>
      <c r="E7" s="51">
        <v>37.5</v>
      </c>
      <c r="F7" s="51">
        <v>37.5</v>
      </c>
      <c r="G7" s="51">
        <v>37.5</v>
      </c>
      <c r="H7" s="51">
        <v>37.5</v>
      </c>
      <c r="I7" s="51">
        <v>37.5</v>
      </c>
      <c r="J7" s="51">
        <v>37.5</v>
      </c>
      <c r="K7" s="51">
        <v>37.5</v>
      </c>
      <c r="L7" s="51">
        <v>37.5</v>
      </c>
      <c r="M7" s="51">
        <v>37.5</v>
      </c>
      <c r="N7" s="51">
        <v>37.5</v>
      </c>
      <c r="O7" s="51">
        <v>37.5</v>
      </c>
      <c r="P7" s="51">
        <v>37.5</v>
      </c>
      <c r="Q7" s="51">
        <v>37.5</v>
      </c>
      <c r="R7" s="51">
        <v>37.5</v>
      </c>
      <c r="S7" s="51">
        <v>37.5</v>
      </c>
      <c r="T7" s="51">
        <v>37.5</v>
      </c>
      <c r="U7" s="51">
        <v>37.5</v>
      </c>
      <c r="V7" s="51">
        <v>37.5</v>
      </c>
      <c r="W7" s="51">
        <v>37.5</v>
      </c>
      <c r="X7" s="51">
        <v>37.5</v>
      </c>
      <c r="Y7" s="51">
        <v>37.5</v>
      </c>
      <c r="Z7" s="51">
        <v>37.5</v>
      </c>
      <c r="AA7" s="51">
        <v>37.5</v>
      </c>
      <c r="AB7" s="51">
        <v>37.5</v>
      </c>
      <c r="AC7" s="51">
        <v>37.5</v>
      </c>
      <c r="AD7" s="51">
        <v>37.5</v>
      </c>
      <c r="AE7" s="51">
        <v>37.5</v>
      </c>
      <c r="AF7" s="51">
        <v>37.5</v>
      </c>
      <c r="AG7" s="51">
        <v>37.5</v>
      </c>
      <c r="AH7" s="51">
        <v>37.5</v>
      </c>
      <c r="AI7" s="51">
        <v>37.5</v>
      </c>
      <c r="AJ7" s="51">
        <v>37.5</v>
      </c>
      <c r="AK7" s="51">
        <v>37.5</v>
      </c>
      <c r="AL7" s="51">
        <v>37.5</v>
      </c>
      <c r="AM7" s="51">
        <v>37.5</v>
      </c>
      <c r="AN7" s="51">
        <v>37.5</v>
      </c>
      <c r="AO7" s="51">
        <v>37.5</v>
      </c>
    </row>
    <row r="8" spans="1:41" x14ac:dyDescent="0.45">
      <c r="A8" s="16" t="str">
        <f>'Capital Program'!A8</f>
        <v>New Water Treatment Plant Equipment</v>
      </c>
      <c r="B8" s="51"/>
      <c r="C8" s="51"/>
      <c r="D8" s="51">
        <v>27.5</v>
      </c>
      <c r="E8" s="51">
        <v>27.5</v>
      </c>
      <c r="F8" s="51">
        <v>27.5</v>
      </c>
      <c r="G8" s="51">
        <v>27.5</v>
      </c>
      <c r="H8" s="51">
        <v>27.5</v>
      </c>
      <c r="I8" s="51">
        <v>27.5</v>
      </c>
      <c r="J8" s="51">
        <v>27.5</v>
      </c>
      <c r="K8" s="51">
        <v>27.5</v>
      </c>
      <c r="L8" s="51">
        <v>27.5</v>
      </c>
      <c r="M8" s="51">
        <v>27.5</v>
      </c>
      <c r="N8" s="51">
        <v>27.5</v>
      </c>
      <c r="O8" s="51">
        <v>27.5</v>
      </c>
      <c r="P8" s="51">
        <v>27.5</v>
      </c>
      <c r="Q8" s="51">
        <v>27.5</v>
      </c>
      <c r="R8" s="51">
        <v>27.5</v>
      </c>
      <c r="S8" s="51">
        <v>27.5</v>
      </c>
      <c r="T8" s="51">
        <v>27.5</v>
      </c>
      <c r="U8" s="51">
        <v>27.5</v>
      </c>
      <c r="V8" s="51">
        <v>27.5</v>
      </c>
      <c r="W8" s="51">
        <v>27.5</v>
      </c>
      <c r="X8" s="51">
        <v>27.5</v>
      </c>
      <c r="Y8" s="51">
        <v>27.5</v>
      </c>
      <c r="Z8" s="51">
        <v>27.5</v>
      </c>
      <c r="AA8" s="51">
        <v>27.5</v>
      </c>
      <c r="AB8" s="51">
        <v>27.5</v>
      </c>
      <c r="AC8" s="51">
        <v>27.5</v>
      </c>
      <c r="AD8" s="51">
        <v>27.5</v>
      </c>
      <c r="AE8" s="51">
        <v>27.5</v>
      </c>
      <c r="AF8" s="51">
        <v>27.5</v>
      </c>
      <c r="AG8" s="51">
        <v>27.5</v>
      </c>
      <c r="AH8" s="51">
        <v>27.5</v>
      </c>
      <c r="AI8" s="51">
        <v>27.5</v>
      </c>
      <c r="AJ8" s="51">
        <v>27.5</v>
      </c>
      <c r="AK8" s="51">
        <v>27.5</v>
      </c>
      <c r="AL8" s="51">
        <v>27.5</v>
      </c>
      <c r="AM8" s="51">
        <v>27.5</v>
      </c>
      <c r="AN8" s="51">
        <v>27.5</v>
      </c>
      <c r="AO8" s="51">
        <v>27.5</v>
      </c>
    </row>
    <row r="9" spans="1:41" x14ac:dyDescent="0.45">
      <c r="A9" s="16" t="str">
        <f>'Capital Program'!A9</f>
        <v>Replacement Plant Structures after 37.5 years</v>
      </c>
      <c r="B9" s="51"/>
      <c r="C9" s="51"/>
      <c r="D9" s="51">
        <v>37.5</v>
      </c>
      <c r="E9" s="51">
        <v>37.5</v>
      </c>
      <c r="F9" s="51">
        <v>37.5</v>
      </c>
      <c r="G9" s="51">
        <v>37.5</v>
      </c>
      <c r="H9" s="51">
        <v>37.5</v>
      </c>
      <c r="I9" s="51">
        <v>37.5</v>
      </c>
      <c r="J9" s="51">
        <v>37.5</v>
      </c>
      <c r="K9" s="51">
        <v>37.5</v>
      </c>
      <c r="L9" s="51">
        <v>37.5</v>
      </c>
      <c r="M9" s="51">
        <v>37.5</v>
      </c>
      <c r="N9" s="51">
        <v>37.5</v>
      </c>
      <c r="O9" s="51">
        <v>37.5</v>
      </c>
      <c r="P9" s="51">
        <v>37.5</v>
      </c>
      <c r="Q9" s="51">
        <v>37.5</v>
      </c>
      <c r="R9" s="51">
        <v>37.5</v>
      </c>
      <c r="S9" s="51">
        <v>37.5</v>
      </c>
      <c r="T9" s="51">
        <v>37.5</v>
      </c>
      <c r="U9" s="51">
        <v>37.5</v>
      </c>
      <c r="V9" s="51">
        <v>37.5</v>
      </c>
      <c r="W9" s="51">
        <v>37.5</v>
      </c>
      <c r="X9" s="51">
        <v>37.5</v>
      </c>
      <c r="Y9" s="51">
        <v>37.5</v>
      </c>
      <c r="Z9" s="51">
        <v>37.5</v>
      </c>
      <c r="AA9" s="51">
        <v>37.5</v>
      </c>
      <c r="AB9" s="51">
        <v>37.5</v>
      </c>
      <c r="AC9" s="51">
        <v>37.5</v>
      </c>
      <c r="AD9" s="51">
        <v>37.5</v>
      </c>
      <c r="AE9" s="51">
        <v>37.5</v>
      </c>
      <c r="AF9" s="51">
        <v>37.5</v>
      </c>
      <c r="AG9" s="51">
        <v>37.5</v>
      </c>
      <c r="AH9" s="51">
        <v>37.5</v>
      </c>
      <c r="AI9" s="51">
        <v>37.5</v>
      </c>
      <c r="AJ9" s="51">
        <v>37.5</v>
      </c>
      <c r="AK9" s="51">
        <v>37.5</v>
      </c>
      <c r="AL9" s="51">
        <v>37.5</v>
      </c>
      <c r="AM9" s="51">
        <v>37.5</v>
      </c>
      <c r="AN9" s="51">
        <v>37.5</v>
      </c>
      <c r="AO9" s="51">
        <v>37.5</v>
      </c>
    </row>
    <row r="10" spans="1:41" x14ac:dyDescent="0.45">
      <c r="A10" s="16" t="str">
        <f>'Capital Program'!A10</f>
        <v>Replacement Plant Equipment after 27.5 years</v>
      </c>
      <c r="B10" s="51"/>
      <c r="C10" s="51"/>
      <c r="D10" s="51">
        <v>27.5</v>
      </c>
      <c r="E10" s="51">
        <v>27.5</v>
      </c>
      <c r="F10" s="51">
        <v>27.5</v>
      </c>
      <c r="G10" s="51">
        <v>27.5</v>
      </c>
      <c r="H10" s="51">
        <v>27.5</v>
      </c>
      <c r="I10" s="51">
        <v>27.5</v>
      </c>
      <c r="J10" s="51">
        <v>27.5</v>
      </c>
      <c r="K10" s="51">
        <v>27.5</v>
      </c>
      <c r="L10" s="51">
        <v>27.5</v>
      </c>
      <c r="M10" s="51">
        <v>27.5</v>
      </c>
      <c r="N10" s="51">
        <v>27.5</v>
      </c>
      <c r="O10" s="51">
        <v>27.5</v>
      </c>
      <c r="P10" s="51">
        <v>27.5</v>
      </c>
      <c r="Q10" s="51">
        <v>27.5</v>
      </c>
      <c r="R10" s="51">
        <v>27.5</v>
      </c>
      <c r="S10" s="51">
        <v>27.5</v>
      </c>
      <c r="T10" s="51">
        <v>27.5</v>
      </c>
      <c r="U10" s="51">
        <v>27.5</v>
      </c>
      <c r="V10" s="51">
        <v>27.5</v>
      </c>
      <c r="W10" s="51">
        <v>27.5</v>
      </c>
      <c r="X10" s="51">
        <v>27.5</v>
      </c>
      <c r="Y10" s="51">
        <v>27.5</v>
      </c>
      <c r="Z10" s="51">
        <v>27.5</v>
      </c>
      <c r="AA10" s="51">
        <v>27.5</v>
      </c>
      <c r="AB10" s="51">
        <v>27.5</v>
      </c>
      <c r="AC10" s="51">
        <v>27.5</v>
      </c>
      <c r="AD10" s="51">
        <v>27.5</v>
      </c>
      <c r="AE10" s="51">
        <v>27.5</v>
      </c>
      <c r="AF10" s="51">
        <v>27.5</v>
      </c>
      <c r="AG10" s="51">
        <v>27.5</v>
      </c>
      <c r="AH10" s="51">
        <v>27.5</v>
      </c>
      <c r="AI10" s="51">
        <v>27.5</v>
      </c>
      <c r="AJ10" s="51">
        <v>27.5</v>
      </c>
      <c r="AK10" s="51">
        <v>27.5</v>
      </c>
      <c r="AL10" s="51">
        <v>27.5</v>
      </c>
      <c r="AM10" s="51">
        <v>27.5</v>
      </c>
      <c r="AN10" s="51">
        <v>27.5</v>
      </c>
      <c r="AO10" s="51">
        <v>27.5</v>
      </c>
    </row>
    <row r="11" spans="1:41" x14ac:dyDescent="0.45">
      <c r="A11" s="16"/>
      <c r="B11" s="16"/>
      <c r="C11" s="16"/>
      <c r="D11" s="16"/>
      <c r="E11" s="16"/>
      <c r="F11" s="16"/>
      <c r="G11" s="16"/>
    </row>
    <row r="12" spans="1:41" x14ac:dyDescent="0.45">
      <c r="A12" s="16"/>
      <c r="B12" s="16"/>
      <c r="C12" s="16"/>
      <c r="D12" s="16"/>
      <c r="E12" s="16"/>
      <c r="F12" s="16"/>
      <c r="G12" s="16"/>
    </row>
    <row r="13" spans="1:41" x14ac:dyDescent="0.45">
      <c r="A13" s="16"/>
      <c r="B13" s="16"/>
      <c r="C13" s="16"/>
      <c r="D13" s="16"/>
      <c r="E13" s="16"/>
      <c r="F13" s="16"/>
      <c r="G13" s="16"/>
    </row>
    <row r="14" spans="1:41" ht="18.45" x14ac:dyDescent="0.5">
      <c r="A14" s="232" t="s">
        <v>171</v>
      </c>
      <c r="B14" s="232"/>
      <c r="C14" s="232"/>
      <c r="D14" s="232"/>
      <c r="E14" s="232"/>
      <c r="F14" s="232"/>
      <c r="G14" s="232"/>
    </row>
    <row r="15" spans="1:41" ht="18.45" x14ac:dyDescent="0.5">
      <c r="A15" s="232" t="str">
        <f>'Plan Inputs'!F2</f>
        <v>2026-2065</v>
      </c>
      <c r="B15" s="232"/>
      <c r="C15" s="232"/>
      <c r="D15" s="232"/>
      <c r="E15" s="232"/>
      <c r="F15" s="232"/>
      <c r="G15" s="232"/>
    </row>
    <row r="16" spans="1:41" x14ac:dyDescent="0.45">
      <c r="A16" s="231" t="s">
        <v>91</v>
      </c>
      <c r="B16" s="231"/>
      <c r="C16" s="231"/>
      <c r="D16" s="231"/>
      <c r="E16" s="231"/>
      <c r="F16" s="231"/>
      <c r="G16" s="231"/>
    </row>
    <row r="17" spans="1:41" x14ac:dyDescent="0.45">
      <c r="A17" s="16" t="s">
        <v>172</v>
      </c>
      <c r="B17" s="16"/>
      <c r="C17" s="16"/>
      <c r="D17" s="16">
        <v>1</v>
      </c>
      <c r="E17" s="16">
        <f>D17+1</f>
        <v>2</v>
      </c>
      <c r="F17" s="16">
        <f t="shared" ref="F17:AO17" si="0">E17+1</f>
        <v>3</v>
      </c>
      <c r="G17" s="16">
        <f t="shared" si="0"/>
        <v>4</v>
      </c>
      <c r="H17" s="16">
        <f t="shared" si="0"/>
        <v>5</v>
      </c>
      <c r="I17" s="16">
        <f t="shared" si="0"/>
        <v>6</v>
      </c>
      <c r="J17" s="16">
        <f t="shared" si="0"/>
        <v>7</v>
      </c>
      <c r="K17" s="16">
        <f t="shared" si="0"/>
        <v>8</v>
      </c>
      <c r="L17" s="16">
        <f t="shared" si="0"/>
        <v>9</v>
      </c>
      <c r="M17" s="16">
        <f t="shared" si="0"/>
        <v>10</v>
      </c>
      <c r="N17" s="16">
        <f t="shared" si="0"/>
        <v>11</v>
      </c>
      <c r="O17" s="16">
        <f t="shared" si="0"/>
        <v>12</v>
      </c>
      <c r="P17" s="16">
        <f t="shared" si="0"/>
        <v>13</v>
      </c>
      <c r="Q17" s="16">
        <f t="shared" si="0"/>
        <v>14</v>
      </c>
      <c r="R17" s="16">
        <f t="shared" si="0"/>
        <v>15</v>
      </c>
      <c r="S17" s="16">
        <f t="shared" si="0"/>
        <v>16</v>
      </c>
      <c r="T17" s="16">
        <f t="shared" si="0"/>
        <v>17</v>
      </c>
      <c r="U17" s="16">
        <f t="shared" si="0"/>
        <v>18</v>
      </c>
      <c r="V17" s="16">
        <f t="shared" si="0"/>
        <v>19</v>
      </c>
      <c r="W17" s="16">
        <f t="shared" si="0"/>
        <v>20</v>
      </c>
      <c r="X17" s="16">
        <f t="shared" si="0"/>
        <v>21</v>
      </c>
      <c r="Y17" s="16">
        <f t="shared" si="0"/>
        <v>22</v>
      </c>
      <c r="Z17" s="16">
        <f t="shared" si="0"/>
        <v>23</v>
      </c>
      <c r="AA17" s="16">
        <f t="shared" si="0"/>
        <v>24</v>
      </c>
      <c r="AB17" s="16">
        <f t="shared" si="0"/>
        <v>25</v>
      </c>
      <c r="AC17" s="16">
        <f t="shared" si="0"/>
        <v>26</v>
      </c>
      <c r="AD17" s="16">
        <f t="shared" si="0"/>
        <v>27</v>
      </c>
      <c r="AE17" s="16">
        <f t="shared" si="0"/>
        <v>28</v>
      </c>
      <c r="AF17" s="16">
        <f t="shared" si="0"/>
        <v>29</v>
      </c>
      <c r="AG17" s="16">
        <f t="shared" si="0"/>
        <v>30</v>
      </c>
      <c r="AH17" s="16">
        <f t="shared" si="0"/>
        <v>31</v>
      </c>
      <c r="AI17" s="16">
        <f t="shared" si="0"/>
        <v>32</v>
      </c>
      <c r="AJ17" s="16">
        <f t="shared" si="0"/>
        <v>33</v>
      </c>
      <c r="AK17" s="16">
        <f t="shared" si="0"/>
        <v>34</v>
      </c>
      <c r="AL17" s="16">
        <f t="shared" si="0"/>
        <v>35</v>
      </c>
      <c r="AM17" s="16">
        <f t="shared" si="0"/>
        <v>36</v>
      </c>
      <c r="AN17" s="16">
        <f t="shared" si="0"/>
        <v>37</v>
      </c>
      <c r="AO17" s="16">
        <f t="shared" si="0"/>
        <v>38</v>
      </c>
    </row>
    <row r="18" spans="1:41" x14ac:dyDescent="0.45">
      <c r="A18" s="16"/>
      <c r="B18" s="22">
        <f>'Plan Inputs'!F5</f>
        <v>2026</v>
      </c>
      <c r="C18" s="22">
        <f>'Plan Inputs'!G5</f>
        <v>2027</v>
      </c>
      <c r="D18" s="22">
        <f>'Plan Inputs'!H5</f>
        <v>2028</v>
      </c>
      <c r="E18" s="22">
        <f>'Plan Inputs'!I5</f>
        <v>2029</v>
      </c>
      <c r="F18" s="22">
        <f>'Plan Inputs'!J5</f>
        <v>2030</v>
      </c>
      <c r="G18" s="22">
        <f>'Plan Inputs'!K5</f>
        <v>2031</v>
      </c>
      <c r="H18" s="22">
        <f>'Plan Inputs'!L5</f>
        <v>2032</v>
      </c>
      <c r="I18" s="22">
        <f>'Plan Inputs'!M5</f>
        <v>2033</v>
      </c>
      <c r="J18" s="22">
        <f>'Plan Inputs'!N5</f>
        <v>2034</v>
      </c>
      <c r="K18" s="22">
        <f>'Plan Inputs'!O5</f>
        <v>2035</v>
      </c>
      <c r="L18" s="22">
        <f>'Plan Inputs'!P5</f>
        <v>2036</v>
      </c>
      <c r="M18" s="22">
        <f>'Plan Inputs'!Q5</f>
        <v>2037</v>
      </c>
      <c r="N18" s="22">
        <f>'Plan Inputs'!R5</f>
        <v>2038</v>
      </c>
      <c r="O18" s="22">
        <f>'Plan Inputs'!S5</f>
        <v>2039</v>
      </c>
      <c r="P18" s="22">
        <f>'Plan Inputs'!T5</f>
        <v>2040</v>
      </c>
      <c r="Q18" s="22">
        <f>'Plan Inputs'!U5</f>
        <v>2041</v>
      </c>
      <c r="R18" s="22">
        <f>'Plan Inputs'!V5</f>
        <v>2042</v>
      </c>
      <c r="S18" s="22">
        <f>'Plan Inputs'!W5</f>
        <v>2043</v>
      </c>
      <c r="T18" s="22">
        <f>'Plan Inputs'!X5</f>
        <v>2044</v>
      </c>
      <c r="U18" s="22">
        <f>'Plan Inputs'!Y5</f>
        <v>2045</v>
      </c>
      <c r="V18" s="22">
        <f>'Plan Inputs'!Z5</f>
        <v>2046</v>
      </c>
      <c r="W18" s="22">
        <f>'Plan Inputs'!AA5</f>
        <v>2047</v>
      </c>
      <c r="X18" s="22">
        <f>'Plan Inputs'!AB5</f>
        <v>2048</v>
      </c>
      <c r="Y18" s="22">
        <f>'Plan Inputs'!AC5</f>
        <v>2049</v>
      </c>
      <c r="Z18" s="22">
        <f>'Plan Inputs'!AD5</f>
        <v>2050</v>
      </c>
      <c r="AA18" s="22">
        <f>'Plan Inputs'!AE5</f>
        <v>2051</v>
      </c>
      <c r="AB18" s="22">
        <f>'Plan Inputs'!AF5</f>
        <v>2052</v>
      </c>
      <c r="AC18" s="22">
        <f>'Plan Inputs'!AG5</f>
        <v>2053</v>
      </c>
      <c r="AD18" s="22">
        <f>'Plan Inputs'!AH5</f>
        <v>2054</v>
      </c>
      <c r="AE18" s="22">
        <f>'Plan Inputs'!AI5</f>
        <v>2055</v>
      </c>
      <c r="AF18" s="22">
        <f>'Plan Inputs'!AJ5</f>
        <v>2056</v>
      </c>
      <c r="AG18" s="22">
        <f>'Plan Inputs'!AK5</f>
        <v>2057</v>
      </c>
      <c r="AH18" s="22">
        <f>'Plan Inputs'!AL5</f>
        <v>2058</v>
      </c>
      <c r="AI18" s="22">
        <f>'Plan Inputs'!AM5</f>
        <v>2059</v>
      </c>
      <c r="AJ18" s="22">
        <f>'Plan Inputs'!AN5</f>
        <v>2060</v>
      </c>
      <c r="AK18" s="22">
        <f>'Plan Inputs'!AO5</f>
        <v>2061</v>
      </c>
      <c r="AL18" s="22">
        <f>'Plan Inputs'!AP5</f>
        <v>2062</v>
      </c>
      <c r="AM18" s="22">
        <f>'Plan Inputs'!AQ5</f>
        <v>2063</v>
      </c>
      <c r="AN18" s="22">
        <f>'Plan Inputs'!AR5</f>
        <v>2064</v>
      </c>
      <c r="AO18" s="22">
        <f>'Plan Inputs'!AS5</f>
        <v>2065</v>
      </c>
    </row>
    <row r="19" spans="1:41" x14ac:dyDescent="0.45">
      <c r="A19" s="16" t="str">
        <f>'Capital Program'!A7</f>
        <v>New Water Treatment Plant Structures</v>
      </c>
      <c r="B19" s="43"/>
      <c r="C19" s="43"/>
      <c r="D19" s="43">
        <f>(('Capital Program'!F23+'Capital Program'!G23)/'New Depreciation'!D7)</f>
        <v>369264</v>
      </c>
      <c r="E19" s="43">
        <f>D19+('Capital Program'!I23/'New Depreciation'!E7)</f>
        <v>369264</v>
      </c>
      <c r="F19" s="43">
        <f>E19+('Capital Program'!J23/'New Depreciation'!F7)</f>
        <v>369264</v>
      </c>
      <c r="G19" s="43">
        <f>F19+('Capital Program'!K23/'New Depreciation'!G7)</f>
        <v>369264</v>
      </c>
      <c r="H19" s="43">
        <f>G19+('Capital Program'!L23/'New Depreciation'!H7)</f>
        <v>369264</v>
      </c>
      <c r="I19" s="43">
        <f>H19+('Capital Program'!M23/'New Depreciation'!I7)</f>
        <v>369264</v>
      </c>
      <c r="J19" s="43">
        <f>I19+('Capital Program'!N23/'New Depreciation'!J7)</f>
        <v>369264</v>
      </c>
      <c r="K19" s="43">
        <f>J19+('Capital Program'!O23/'New Depreciation'!K7)</f>
        <v>369264</v>
      </c>
      <c r="L19" s="43">
        <f>K19+('Capital Program'!P23/'New Depreciation'!L7)</f>
        <v>369264</v>
      </c>
      <c r="M19" s="43">
        <f>L19+('Capital Program'!Q23/'New Depreciation'!M7)</f>
        <v>369264</v>
      </c>
      <c r="N19" s="43">
        <f>M19+('Capital Program'!R23/'New Depreciation'!N7)</f>
        <v>369264</v>
      </c>
      <c r="O19" s="43">
        <f>N19+('Capital Program'!S23/'New Depreciation'!O7)</f>
        <v>369264</v>
      </c>
      <c r="P19" s="43">
        <f>O19+('Capital Program'!T23/'New Depreciation'!P7)</f>
        <v>369264</v>
      </c>
      <c r="Q19" s="43">
        <f>P19+('Capital Program'!U23/'New Depreciation'!Q7)</f>
        <v>369264</v>
      </c>
      <c r="R19" s="43">
        <f>Q19+('Capital Program'!V23/'New Depreciation'!R7)</f>
        <v>369264</v>
      </c>
      <c r="S19" s="43">
        <f>R19+('Capital Program'!W23/'New Depreciation'!S7)</f>
        <v>369264</v>
      </c>
      <c r="T19" s="43">
        <f>S19+('Capital Program'!X23/'New Depreciation'!T7)</f>
        <v>369264</v>
      </c>
      <c r="U19" s="43">
        <f>T19+('Capital Program'!Y23/'New Depreciation'!U7)</f>
        <v>369264</v>
      </c>
      <c r="V19" s="43">
        <f>U19+('Capital Program'!Z23/'New Depreciation'!V7)</f>
        <v>369264</v>
      </c>
      <c r="W19" s="43">
        <f>V19+('Capital Program'!AA23/'New Depreciation'!W7)</f>
        <v>369264</v>
      </c>
      <c r="X19" s="43">
        <f>W19+('Capital Program'!AB23/'New Depreciation'!X7)</f>
        <v>369264</v>
      </c>
      <c r="Y19" s="43">
        <f>X19+('Capital Program'!AC23/'New Depreciation'!Y7)</f>
        <v>369264</v>
      </c>
      <c r="Z19" s="43">
        <f>Y19+('Capital Program'!AD23/'New Depreciation'!Z7)</f>
        <v>369264</v>
      </c>
      <c r="AA19" s="43">
        <f>Z19+('Capital Program'!AE23/'New Depreciation'!AA7)</f>
        <v>369264</v>
      </c>
      <c r="AB19" s="43">
        <f>AA19+('Capital Program'!AF23/'New Depreciation'!AB7)</f>
        <v>369264</v>
      </c>
      <c r="AC19" s="43">
        <f>AB19+('Capital Program'!AG23/'New Depreciation'!AC7)</f>
        <v>369264</v>
      </c>
      <c r="AD19" s="43">
        <f>AC19+('Capital Program'!AH23/'New Depreciation'!AD7)</f>
        <v>369264</v>
      </c>
      <c r="AE19" s="43">
        <f>AD19+('Capital Program'!AI23/'New Depreciation'!AE7)</f>
        <v>369264</v>
      </c>
      <c r="AF19" s="43">
        <f>AE19+('Capital Program'!AJ23/'New Depreciation'!AF7)</f>
        <v>369264</v>
      </c>
      <c r="AG19" s="43">
        <f>AF19+('Capital Program'!AK23/'New Depreciation'!AG7)</f>
        <v>369264</v>
      </c>
      <c r="AH19" s="43">
        <f>AG19+('Capital Program'!AL23/'New Depreciation'!AH7)</f>
        <v>369264</v>
      </c>
      <c r="AI19" s="43">
        <f>AH19+('Capital Program'!AM23/'New Depreciation'!AI7)</f>
        <v>369264</v>
      </c>
      <c r="AJ19" s="43">
        <f>AI19+('Capital Program'!AN23/'New Depreciation'!AJ7)</f>
        <v>369264</v>
      </c>
      <c r="AK19" s="43">
        <f>AJ19+('Capital Program'!AO23/'New Depreciation'!AK7)</f>
        <v>369264</v>
      </c>
      <c r="AL19" s="43">
        <f>AK19+('Capital Program'!AP23/'New Depreciation'!AL7)</f>
        <v>369264</v>
      </c>
      <c r="AM19" s="43">
        <f>AL19+('Capital Program'!AQ23/'New Depreciation'!AM7)</f>
        <v>369264</v>
      </c>
      <c r="AN19" s="43">
        <f>AM19+('Capital Program'!AR23/'New Depreciation'!AN7)</f>
        <v>369264</v>
      </c>
      <c r="AO19" s="43">
        <f>AN19/2</f>
        <v>184632</v>
      </c>
    </row>
    <row r="20" spans="1:41" x14ac:dyDescent="0.45">
      <c r="A20" s="16" t="str">
        <f>'Capital Program'!A8</f>
        <v>New Water Treatment Plant Equipment</v>
      </c>
      <c r="B20" s="43"/>
      <c r="C20" s="43"/>
      <c r="D20" s="43">
        <f>(('Capital Program'!F24+'Capital Program'!G24)/'New Depreciation'!D8)</f>
        <v>215803.63636363641</v>
      </c>
      <c r="E20" s="43">
        <f>D20+('Capital Program'!I24/'New Depreciation'!E8)</f>
        <v>215803.63636363641</v>
      </c>
      <c r="F20" s="43">
        <f>E20+('Capital Program'!J24/'New Depreciation'!F8)</f>
        <v>215803.63636363641</v>
      </c>
      <c r="G20" s="43">
        <f>F20+('Capital Program'!K24/'New Depreciation'!G8)</f>
        <v>215803.63636363641</v>
      </c>
      <c r="H20" s="43">
        <f>G20+('Capital Program'!L24/'New Depreciation'!H8)</f>
        <v>215803.63636363641</v>
      </c>
      <c r="I20" s="43">
        <f>H20+('Capital Program'!M24/'New Depreciation'!I8)</f>
        <v>215803.63636363641</v>
      </c>
      <c r="J20" s="43">
        <f>I20+('Capital Program'!N24/'New Depreciation'!J8)</f>
        <v>215803.63636363641</v>
      </c>
      <c r="K20" s="43">
        <f>J20+('Capital Program'!O24/'New Depreciation'!K8)</f>
        <v>215803.63636363641</v>
      </c>
      <c r="L20" s="43">
        <f>K20+('Capital Program'!P24/'New Depreciation'!L8)</f>
        <v>215803.63636363641</v>
      </c>
      <c r="M20" s="43">
        <f>L20+('Capital Program'!Q24/'New Depreciation'!M8)</f>
        <v>215803.63636363641</v>
      </c>
      <c r="N20" s="43">
        <f>M20+('Capital Program'!R24/'New Depreciation'!N8)</f>
        <v>215803.63636363641</v>
      </c>
      <c r="O20" s="43">
        <f>N20+('Capital Program'!S24/'New Depreciation'!O8)</f>
        <v>215803.63636363641</v>
      </c>
      <c r="P20" s="43">
        <f>O20+('Capital Program'!T24/'New Depreciation'!P8)</f>
        <v>215803.63636363641</v>
      </c>
      <c r="Q20" s="43">
        <f>P20+('Capital Program'!U24/'New Depreciation'!Q8)</f>
        <v>215803.63636363641</v>
      </c>
      <c r="R20" s="43">
        <f>Q20+('Capital Program'!V24/'New Depreciation'!R8)</f>
        <v>215803.63636363641</v>
      </c>
      <c r="S20" s="43">
        <f>R20+('Capital Program'!W24/'New Depreciation'!S8)</f>
        <v>215803.63636363641</v>
      </c>
      <c r="T20" s="43">
        <f>S20+('Capital Program'!X24/'New Depreciation'!T8)</f>
        <v>215803.63636363641</v>
      </c>
      <c r="U20" s="43">
        <f>T20+('Capital Program'!Y24/'New Depreciation'!U8)</f>
        <v>215803.63636363641</v>
      </c>
      <c r="V20" s="43">
        <f>U20+('Capital Program'!Z24/'New Depreciation'!V8)</f>
        <v>215803.63636363641</v>
      </c>
      <c r="W20" s="43">
        <f>V20+('Capital Program'!AA24/'New Depreciation'!W8)</f>
        <v>215803.63636363641</v>
      </c>
      <c r="X20" s="43">
        <f>W20+('Capital Program'!AB24/'New Depreciation'!X8)</f>
        <v>215803.63636363641</v>
      </c>
      <c r="Y20" s="43">
        <f>X20+('Capital Program'!AC24/'New Depreciation'!Y8)</f>
        <v>215803.63636363641</v>
      </c>
      <c r="Z20" s="43">
        <f>Y20+('Capital Program'!AD24/'New Depreciation'!Z8)</f>
        <v>215803.63636363641</v>
      </c>
      <c r="AA20" s="43">
        <f>Z20+('Capital Program'!AE24/'New Depreciation'!AA8)</f>
        <v>215803.63636363641</v>
      </c>
      <c r="AB20" s="43">
        <f>AA20+('Capital Program'!AF24/'New Depreciation'!AB8)</f>
        <v>215803.63636363641</v>
      </c>
      <c r="AC20" s="43">
        <f>AB20+('Capital Program'!AG24/'New Depreciation'!AC8)</f>
        <v>215803.63636363641</v>
      </c>
      <c r="AD20" s="43">
        <f>AC20+('Capital Program'!AH24/'New Depreciation'!AD8)</f>
        <v>215803.63636363641</v>
      </c>
      <c r="AE20" s="43">
        <f>AD20/2</f>
        <v>107901.81818181821</v>
      </c>
      <c r="AF20" s="43">
        <v>0</v>
      </c>
      <c r="AG20" s="43">
        <f>AF20+('Capital Program'!AK24/'New Depreciation'!AG8)</f>
        <v>0</v>
      </c>
      <c r="AH20" s="43">
        <f>AG20+('Capital Program'!AL24/'New Depreciation'!AH8)</f>
        <v>0</v>
      </c>
      <c r="AI20" s="43">
        <f>AH20+('Capital Program'!AM24/'New Depreciation'!AI8)</f>
        <v>0</v>
      </c>
      <c r="AJ20" s="43">
        <f>AI20+('Capital Program'!AN24/'New Depreciation'!AJ8)</f>
        <v>0</v>
      </c>
      <c r="AK20" s="43">
        <f>AJ20+('Capital Program'!AO24/'New Depreciation'!AK8)</f>
        <v>0</v>
      </c>
      <c r="AL20" s="43">
        <f>AK20+('Capital Program'!AP24/'New Depreciation'!AL8)</f>
        <v>0</v>
      </c>
      <c r="AM20" s="43">
        <f>AL20+('Capital Program'!AQ24/'New Depreciation'!AM8)</f>
        <v>0</v>
      </c>
      <c r="AN20" s="43">
        <f>AM20+('Capital Program'!AR24/'New Depreciation'!AN8)</f>
        <v>0</v>
      </c>
      <c r="AO20" s="43">
        <f>AN20+('Capital Program'!AS24/'New Depreciation'!AO8)</f>
        <v>0</v>
      </c>
    </row>
    <row r="21" spans="1:41" x14ac:dyDescent="0.45">
      <c r="A21" s="16" t="str">
        <f>'Capital Program'!A9</f>
        <v>Replacement Plant Structures after 37.5 years</v>
      </c>
      <c r="B21" s="43"/>
      <c r="C21" s="43"/>
      <c r="D21" s="43">
        <f>(('Capital Program'!F25+'Capital Program'!G25)/'New Depreciation'!D9)</f>
        <v>0</v>
      </c>
      <c r="E21" s="43">
        <f>D21+('Capital Program'!I25/'New Depreciation'!E9)</f>
        <v>0</v>
      </c>
      <c r="F21" s="43">
        <f>E21+('Capital Program'!J25/'New Depreciation'!F9)</f>
        <v>0</v>
      </c>
      <c r="G21" s="43">
        <f>F21+('Capital Program'!K25/'New Depreciation'!G9)</f>
        <v>0</v>
      </c>
      <c r="H21" s="43">
        <f>G21+('Capital Program'!L25/'New Depreciation'!H9)</f>
        <v>0</v>
      </c>
      <c r="I21" s="43">
        <f>H21+('Capital Program'!M25/'New Depreciation'!I9)</f>
        <v>0</v>
      </c>
      <c r="J21" s="43">
        <f>I21+('Capital Program'!N25/'New Depreciation'!J9)</f>
        <v>0</v>
      </c>
      <c r="K21" s="43">
        <f>J21+('Capital Program'!O25/'New Depreciation'!K9)</f>
        <v>0</v>
      </c>
      <c r="L21" s="43">
        <f>K21+('Capital Program'!P25/'New Depreciation'!L9)</f>
        <v>0</v>
      </c>
      <c r="M21" s="43">
        <f>L21+('Capital Program'!Q25/'New Depreciation'!M9)</f>
        <v>0</v>
      </c>
      <c r="N21" s="43">
        <f>M21+('Capital Program'!R25/'New Depreciation'!N9)</f>
        <v>0</v>
      </c>
      <c r="O21" s="43">
        <f>N21+('Capital Program'!S25/'New Depreciation'!O9)</f>
        <v>0</v>
      </c>
      <c r="P21" s="43">
        <f>O21+('Capital Program'!T25/'New Depreciation'!P9)</f>
        <v>0</v>
      </c>
      <c r="Q21" s="43">
        <f>P21+('Capital Program'!U25/'New Depreciation'!Q9)</f>
        <v>0</v>
      </c>
      <c r="R21" s="43">
        <f>Q21+('Capital Program'!V25/'New Depreciation'!R9)</f>
        <v>0</v>
      </c>
      <c r="S21" s="43">
        <f>R21+('Capital Program'!W25/'New Depreciation'!S9)</f>
        <v>0</v>
      </c>
      <c r="T21" s="43">
        <f>S21+('Capital Program'!X25/'New Depreciation'!T9)</f>
        <v>0</v>
      </c>
      <c r="U21" s="43">
        <f>T21+('Capital Program'!Y25/'New Depreciation'!U9)</f>
        <v>0</v>
      </c>
      <c r="V21" s="43">
        <f>U21+('Capital Program'!Z25/'New Depreciation'!V9)</f>
        <v>0</v>
      </c>
      <c r="W21" s="43">
        <f>V21+('Capital Program'!AA25/'New Depreciation'!W9)</f>
        <v>0</v>
      </c>
      <c r="X21" s="43">
        <f>W21+('Capital Program'!AB25/'New Depreciation'!X9)</f>
        <v>0</v>
      </c>
      <c r="Y21" s="43">
        <f>X21+('Capital Program'!AC25/'New Depreciation'!Y9)</f>
        <v>0</v>
      </c>
      <c r="Z21" s="43">
        <f>Y21+('Capital Program'!AD25/'New Depreciation'!Z9)</f>
        <v>0</v>
      </c>
      <c r="AA21" s="43">
        <f>Z21+('Capital Program'!AE25/'New Depreciation'!AA9)</f>
        <v>0</v>
      </c>
      <c r="AB21" s="43">
        <f>AA21+('Capital Program'!AF25/'New Depreciation'!AB9)</f>
        <v>0</v>
      </c>
      <c r="AC21" s="43">
        <f>AB21+('Capital Program'!AG25/'New Depreciation'!AC9)</f>
        <v>0</v>
      </c>
      <c r="AD21" s="43">
        <f>AC21+('Capital Program'!AH25/'New Depreciation'!AD9)</f>
        <v>0</v>
      </c>
      <c r="AE21" s="43">
        <f>AD21+('Capital Program'!AI25/'New Depreciation'!AE9)</f>
        <v>0</v>
      </c>
      <c r="AF21" s="43">
        <f>AE21+('Capital Program'!AJ25/'New Depreciation'!AF9)</f>
        <v>0</v>
      </c>
      <c r="AG21" s="43">
        <f>AF21+('Capital Program'!AK25/'New Depreciation'!AG9)</f>
        <v>0</v>
      </c>
      <c r="AH21" s="43">
        <f>AG21+('Capital Program'!AL25/'New Depreciation'!AH9)</f>
        <v>0</v>
      </c>
      <c r="AI21" s="43">
        <f>AH21+('Capital Program'!AM25/'New Depreciation'!AI9)</f>
        <v>0</v>
      </c>
      <c r="AJ21" s="43">
        <f>AI21+('Capital Program'!AN25/'New Depreciation'!AJ9)</f>
        <v>0</v>
      </c>
      <c r="AK21" s="43">
        <f>AJ21+('Capital Program'!AO25/'New Depreciation'!AK9)</f>
        <v>0</v>
      </c>
      <c r="AL21" s="43">
        <f>AK21+('Capital Program'!AP25/'New Depreciation'!AL9)</f>
        <v>0</v>
      </c>
      <c r="AM21" s="43">
        <f>AL21+('Capital Program'!AQ25/'New Depreciation'!AM9)</f>
        <v>0</v>
      </c>
      <c r="AN21" s="43">
        <f>AM21+('Capital Program'!AR25/'New Depreciation'!AN9)</f>
        <v>0</v>
      </c>
      <c r="AO21" s="43">
        <f>AN21+('Capital Program'!AS25/'New Depreciation'!AO9)</f>
        <v>0</v>
      </c>
    </row>
    <row r="22" spans="1:41" ht="18" x14ac:dyDescent="0.7">
      <c r="A22" s="16" t="str">
        <f>'Capital Program'!A10</f>
        <v>Replacement Plant Equipment after 27.5 years</v>
      </c>
      <c r="B22" s="65"/>
      <c r="C22" s="65"/>
      <c r="D22" s="65">
        <f>(('Capital Program'!F26+'Capital Program'!G26)/'New Depreciation'!D10)</f>
        <v>0</v>
      </c>
      <c r="E22" s="65">
        <f>D22+('Capital Program'!I26/'New Depreciation'!E10)</f>
        <v>0</v>
      </c>
      <c r="F22" s="65">
        <f>E22+('Capital Program'!J26/'New Depreciation'!F10)</f>
        <v>0</v>
      </c>
      <c r="G22" s="65">
        <f>F22+('Capital Program'!K26/'New Depreciation'!G10)</f>
        <v>0</v>
      </c>
      <c r="H22" s="65">
        <f>G22+('Capital Program'!L26/'New Depreciation'!H10)</f>
        <v>0</v>
      </c>
      <c r="I22" s="65">
        <f>H22+('Capital Program'!M26/'New Depreciation'!I10)</f>
        <v>0</v>
      </c>
      <c r="J22" s="65">
        <f>I22+('Capital Program'!N26/'New Depreciation'!J10)</f>
        <v>0</v>
      </c>
      <c r="K22" s="65">
        <f>J22+('Capital Program'!O26/'New Depreciation'!K10)</f>
        <v>0</v>
      </c>
      <c r="L22" s="65">
        <f>K22+('Capital Program'!P26/'New Depreciation'!L10)</f>
        <v>0</v>
      </c>
      <c r="M22" s="65">
        <f>L22+('Capital Program'!Q26/'New Depreciation'!M10)</f>
        <v>0</v>
      </c>
      <c r="N22" s="65">
        <f>M22+('Capital Program'!R26/'New Depreciation'!N10)</f>
        <v>0</v>
      </c>
      <c r="O22" s="65">
        <f>N22+('Capital Program'!S26/'New Depreciation'!O10)</f>
        <v>0</v>
      </c>
      <c r="P22" s="65">
        <f>O22+('Capital Program'!T26/'New Depreciation'!P10)</f>
        <v>0</v>
      </c>
      <c r="Q22" s="65">
        <f>P22+('Capital Program'!U26/'New Depreciation'!Q10)</f>
        <v>0</v>
      </c>
      <c r="R22" s="65">
        <f>Q22+('Capital Program'!V26/'New Depreciation'!R10)</f>
        <v>0</v>
      </c>
      <c r="S22" s="65">
        <f>R22+('Capital Program'!W26/'New Depreciation'!S10)</f>
        <v>0</v>
      </c>
      <c r="T22" s="65">
        <f>S22+('Capital Program'!X26/'New Depreciation'!T10)</f>
        <v>0</v>
      </c>
      <c r="U22" s="65">
        <f>T22+('Capital Program'!Y26/'New Depreciation'!U10)</f>
        <v>0</v>
      </c>
      <c r="V22" s="65">
        <f>U22+('Capital Program'!Z26/'New Depreciation'!V10)</f>
        <v>0</v>
      </c>
      <c r="W22" s="65">
        <f>V22+('Capital Program'!AA26/'New Depreciation'!W10)</f>
        <v>0</v>
      </c>
      <c r="X22" s="65">
        <f>W22+('Capital Program'!AB26/'New Depreciation'!X10)</f>
        <v>0</v>
      </c>
      <c r="Y22" s="65">
        <f>X22+('Capital Program'!AC26/'New Depreciation'!Y10)</f>
        <v>0</v>
      </c>
      <c r="Z22" s="65">
        <f>Y22+('Capital Program'!AD26/'New Depreciation'!Z10)</f>
        <v>0</v>
      </c>
      <c r="AA22" s="65">
        <f>Z22+('Capital Program'!AE26/'New Depreciation'!AA10)</f>
        <v>0</v>
      </c>
      <c r="AB22" s="65">
        <f>AA22+('Capital Program'!AF26/'New Depreciation'!AB10)</f>
        <v>0</v>
      </c>
      <c r="AC22" s="65">
        <f>AB22+('Capital Program'!AG26/'New Depreciation'!AC10)</f>
        <v>0</v>
      </c>
      <c r="AD22" s="65">
        <f>AC22+('Capital Program'!AH26/'New Depreciation'!AD10)</f>
        <v>0</v>
      </c>
      <c r="AE22" s="65">
        <f>AD22+('Capital Program'!AI26/'New Depreciation'!AE10)</f>
        <v>0</v>
      </c>
      <c r="AF22" s="65">
        <f>AE22+('Capital Program'!AJ26/'New Depreciation'!AF10)</f>
        <v>699936.97683670756</v>
      </c>
      <c r="AG22" s="65">
        <f>AF22+('Capital Program'!AK26/'New Depreciation'!AG10)</f>
        <v>699936.97683670756</v>
      </c>
      <c r="AH22" s="65">
        <f>AG22+('Capital Program'!AL26/'New Depreciation'!AH10)</f>
        <v>699936.97683670756</v>
      </c>
      <c r="AI22" s="65">
        <f>AH22+('Capital Program'!AM26/'New Depreciation'!AI10)</f>
        <v>699936.97683670756</v>
      </c>
      <c r="AJ22" s="65">
        <f>AI22+('Capital Program'!AN26/'New Depreciation'!AJ10)</f>
        <v>699936.97683670756</v>
      </c>
      <c r="AK22" s="65">
        <f>AJ22+('Capital Program'!AO26/'New Depreciation'!AK10)</f>
        <v>699936.97683670756</v>
      </c>
      <c r="AL22" s="65">
        <f>AK22+('Capital Program'!AP26/'New Depreciation'!AL10)</f>
        <v>699936.97683670756</v>
      </c>
      <c r="AM22" s="65">
        <f>AL22+('Capital Program'!AQ26/'New Depreciation'!AM10)</f>
        <v>699936.97683670756</v>
      </c>
      <c r="AN22" s="65">
        <f>AM22+('Capital Program'!AR26/'New Depreciation'!AN10)</f>
        <v>699936.97683670756</v>
      </c>
      <c r="AO22" s="65">
        <f>AN22+('Capital Program'!AS26/'New Depreciation'!AO10)</f>
        <v>699936.97683670756</v>
      </c>
    </row>
    <row r="23" spans="1:41" x14ac:dyDescent="0.45">
      <c r="A23" s="16" t="s">
        <v>173</v>
      </c>
      <c r="B23" s="43">
        <v>0</v>
      </c>
      <c r="C23" s="43">
        <v>0</v>
      </c>
      <c r="D23" s="43">
        <f t="shared" ref="D23:AO23" si="1">SUM(D19:D22)</f>
        <v>585067.63636363647</v>
      </c>
      <c r="E23" s="43">
        <f t="shared" si="1"/>
        <v>585067.63636363647</v>
      </c>
      <c r="F23" s="43">
        <f t="shared" si="1"/>
        <v>585067.63636363647</v>
      </c>
      <c r="G23" s="43">
        <f t="shared" si="1"/>
        <v>585067.63636363647</v>
      </c>
      <c r="H23" s="43">
        <f t="shared" si="1"/>
        <v>585067.63636363647</v>
      </c>
      <c r="I23" s="43">
        <f t="shared" si="1"/>
        <v>585067.63636363647</v>
      </c>
      <c r="J23" s="43">
        <f t="shared" si="1"/>
        <v>585067.63636363647</v>
      </c>
      <c r="K23" s="43">
        <f t="shared" si="1"/>
        <v>585067.63636363647</v>
      </c>
      <c r="L23" s="43">
        <f t="shared" si="1"/>
        <v>585067.63636363647</v>
      </c>
      <c r="M23" s="43">
        <f t="shared" si="1"/>
        <v>585067.63636363647</v>
      </c>
      <c r="N23" s="43">
        <f t="shared" si="1"/>
        <v>585067.63636363647</v>
      </c>
      <c r="O23" s="43">
        <f t="shared" si="1"/>
        <v>585067.63636363647</v>
      </c>
      <c r="P23" s="43">
        <f t="shared" si="1"/>
        <v>585067.63636363647</v>
      </c>
      <c r="Q23" s="43">
        <f t="shared" si="1"/>
        <v>585067.63636363647</v>
      </c>
      <c r="R23" s="43">
        <f t="shared" si="1"/>
        <v>585067.63636363647</v>
      </c>
      <c r="S23" s="43">
        <f t="shared" si="1"/>
        <v>585067.63636363647</v>
      </c>
      <c r="T23" s="43">
        <f t="shared" si="1"/>
        <v>585067.63636363647</v>
      </c>
      <c r="U23" s="43">
        <f t="shared" si="1"/>
        <v>585067.63636363647</v>
      </c>
      <c r="V23" s="43">
        <f t="shared" si="1"/>
        <v>585067.63636363647</v>
      </c>
      <c r="W23" s="43">
        <f t="shared" si="1"/>
        <v>585067.63636363647</v>
      </c>
      <c r="X23" s="43">
        <f t="shared" si="1"/>
        <v>585067.63636363647</v>
      </c>
      <c r="Y23" s="43">
        <f t="shared" si="1"/>
        <v>585067.63636363647</v>
      </c>
      <c r="Z23" s="43">
        <f t="shared" si="1"/>
        <v>585067.63636363647</v>
      </c>
      <c r="AA23" s="43">
        <f t="shared" si="1"/>
        <v>585067.63636363647</v>
      </c>
      <c r="AB23" s="43">
        <f t="shared" si="1"/>
        <v>585067.63636363647</v>
      </c>
      <c r="AC23" s="43">
        <f t="shared" si="1"/>
        <v>585067.63636363647</v>
      </c>
      <c r="AD23" s="43">
        <f t="shared" si="1"/>
        <v>585067.63636363647</v>
      </c>
      <c r="AE23" s="43">
        <f t="shared" si="1"/>
        <v>477165.81818181823</v>
      </c>
      <c r="AF23" s="43">
        <f t="shared" si="1"/>
        <v>1069200.9768367074</v>
      </c>
      <c r="AG23" s="43">
        <f t="shared" si="1"/>
        <v>1069200.9768367074</v>
      </c>
      <c r="AH23" s="43">
        <f t="shared" si="1"/>
        <v>1069200.9768367074</v>
      </c>
      <c r="AI23" s="43">
        <f t="shared" si="1"/>
        <v>1069200.9768367074</v>
      </c>
      <c r="AJ23" s="43">
        <f t="shared" si="1"/>
        <v>1069200.9768367074</v>
      </c>
      <c r="AK23" s="43">
        <f t="shared" si="1"/>
        <v>1069200.9768367074</v>
      </c>
      <c r="AL23" s="43">
        <f t="shared" si="1"/>
        <v>1069200.9768367074</v>
      </c>
      <c r="AM23" s="43">
        <f t="shared" si="1"/>
        <v>1069200.9768367074</v>
      </c>
      <c r="AN23" s="43">
        <f t="shared" si="1"/>
        <v>1069200.9768367074</v>
      </c>
      <c r="AO23" s="43">
        <f t="shared" si="1"/>
        <v>884568.97683670756</v>
      </c>
    </row>
    <row r="24" spans="1:41" x14ac:dyDescent="0.45">
      <c r="A24" s="16"/>
      <c r="B24" s="16"/>
      <c r="C24" s="16"/>
      <c r="D24" s="16"/>
      <c r="E24" s="16"/>
      <c r="F24" s="16"/>
      <c r="G24" s="16"/>
    </row>
    <row r="26" spans="1:41" x14ac:dyDescent="0.45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</row>
    <row r="29" spans="1:41" ht="18.45" x14ac:dyDescent="0.5">
      <c r="A29" s="232" t="s">
        <v>174</v>
      </c>
      <c r="B29" s="232"/>
      <c r="C29" s="232"/>
      <c r="D29" s="232"/>
      <c r="E29" s="232"/>
      <c r="F29" s="232"/>
      <c r="G29" s="232"/>
    </row>
    <row r="30" spans="1:41" ht="18.45" x14ac:dyDescent="0.5">
      <c r="A30" s="232" t="str">
        <f>'Plan Inputs'!F2</f>
        <v>2026-2065</v>
      </c>
      <c r="B30" s="232"/>
      <c r="C30" s="232"/>
      <c r="D30" s="232"/>
      <c r="E30" s="232"/>
      <c r="F30" s="232"/>
      <c r="G30" s="232"/>
    </row>
    <row r="31" spans="1:41" x14ac:dyDescent="0.45">
      <c r="A31" s="231" t="s">
        <v>163</v>
      </c>
      <c r="B31" s="231"/>
      <c r="C31" s="231"/>
      <c r="D31" s="231"/>
      <c r="E31" s="231"/>
      <c r="F31" s="231"/>
      <c r="G31" s="231"/>
    </row>
    <row r="32" spans="1:41" x14ac:dyDescent="0.45">
      <c r="A32" s="16"/>
      <c r="B32" s="16"/>
      <c r="C32" s="16"/>
      <c r="D32" s="16"/>
      <c r="E32" s="16"/>
      <c r="F32" s="16"/>
      <c r="G32" s="16"/>
    </row>
    <row r="33" spans="1:41" x14ac:dyDescent="0.45">
      <c r="A33" s="16"/>
      <c r="B33" s="42"/>
      <c r="C33" s="42"/>
      <c r="D33" s="42" t="s">
        <v>169</v>
      </c>
      <c r="E33" s="42" t="s">
        <v>169</v>
      </c>
      <c r="F33" s="42" t="s">
        <v>169</v>
      </c>
      <c r="G33" s="42" t="s">
        <v>169</v>
      </c>
      <c r="H33" s="42" t="s">
        <v>169</v>
      </c>
      <c r="I33" s="42" t="s">
        <v>169</v>
      </c>
      <c r="J33" s="42" t="s">
        <v>169</v>
      </c>
      <c r="K33" s="42" t="s">
        <v>169</v>
      </c>
      <c r="L33" s="42" t="s">
        <v>169</v>
      </c>
      <c r="M33" s="42" t="s">
        <v>169</v>
      </c>
      <c r="N33" s="42" t="s">
        <v>169</v>
      </c>
      <c r="O33" s="42" t="s">
        <v>169</v>
      </c>
      <c r="P33" s="42" t="s">
        <v>169</v>
      </c>
      <c r="Q33" s="42" t="s">
        <v>169</v>
      </c>
      <c r="R33" s="42" t="s">
        <v>169</v>
      </c>
      <c r="S33" s="42" t="s">
        <v>169</v>
      </c>
      <c r="T33" s="42" t="s">
        <v>169</v>
      </c>
      <c r="U33" s="42" t="s">
        <v>169</v>
      </c>
      <c r="V33" s="42" t="s">
        <v>169</v>
      </c>
      <c r="W33" s="42" t="s">
        <v>169</v>
      </c>
      <c r="X33" s="42" t="s">
        <v>169</v>
      </c>
      <c r="Y33" s="42" t="s">
        <v>169</v>
      </c>
      <c r="Z33" s="42" t="s">
        <v>169</v>
      </c>
      <c r="AA33" s="42" t="s">
        <v>169</v>
      </c>
      <c r="AB33" s="42" t="s">
        <v>169</v>
      </c>
      <c r="AC33" s="42" t="s">
        <v>169</v>
      </c>
      <c r="AD33" s="42" t="s">
        <v>169</v>
      </c>
      <c r="AE33" s="42" t="s">
        <v>169</v>
      </c>
      <c r="AF33" s="42" t="s">
        <v>169</v>
      </c>
      <c r="AG33" s="42" t="s">
        <v>169</v>
      </c>
      <c r="AH33" s="42" t="s">
        <v>169</v>
      </c>
      <c r="AI33" s="42" t="s">
        <v>169</v>
      </c>
      <c r="AJ33" s="42" t="s">
        <v>169</v>
      </c>
      <c r="AK33" s="42" t="s">
        <v>169</v>
      </c>
      <c r="AL33" s="42" t="s">
        <v>169</v>
      </c>
      <c r="AM33" s="42" t="s">
        <v>169</v>
      </c>
      <c r="AN33" s="42" t="s">
        <v>169</v>
      </c>
      <c r="AO33" s="42" t="s">
        <v>169</v>
      </c>
    </row>
    <row r="34" spans="1:41" x14ac:dyDescent="0.45">
      <c r="A34" s="16"/>
      <c r="B34" s="42"/>
      <c r="C34" s="42"/>
      <c r="D34" s="42" t="s">
        <v>170</v>
      </c>
      <c r="E34" s="42" t="s">
        <v>170</v>
      </c>
      <c r="F34" s="42" t="s">
        <v>170</v>
      </c>
      <c r="G34" s="42" t="s">
        <v>170</v>
      </c>
      <c r="H34" s="42" t="s">
        <v>170</v>
      </c>
      <c r="I34" s="42" t="s">
        <v>170</v>
      </c>
      <c r="J34" s="42" t="s">
        <v>170</v>
      </c>
      <c r="K34" s="42" t="s">
        <v>170</v>
      </c>
      <c r="L34" s="42" t="s">
        <v>170</v>
      </c>
      <c r="M34" s="42" t="s">
        <v>170</v>
      </c>
      <c r="N34" s="42" t="s">
        <v>170</v>
      </c>
      <c r="O34" s="42" t="s">
        <v>170</v>
      </c>
      <c r="P34" s="42" t="s">
        <v>170</v>
      </c>
      <c r="Q34" s="42" t="s">
        <v>170</v>
      </c>
      <c r="R34" s="42" t="s">
        <v>170</v>
      </c>
      <c r="S34" s="42" t="s">
        <v>170</v>
      </c>
      <c r="T34" s="42" t="s">
        <v>170</v>
      </c>
      <c r="U34" s="42" t="s">
        <v>170</v>
      </c>
      <c r="V34" s="42" t="s">
        <v>170</v>
      </c>
      <c r="W34" s="42" t="s">
        <v>170</v>
      </c>
      <c r="X34" s="42" t="s">
        <v>170</v>
      </c>
      <c r="Y34" s="42" t="s">
        <v>170</v>
      </c>
      <c r="Z34" s="42" t="s">
        <v>170</v>
      </c>
      <c r="AA34" s="42" t="s">
        <v>170</v>
      </c>
      <c r="AB34" s="42" t="s">
        <v>170</v>
      </c>
      <c r="AC34" s="42" t="s">
        <v>170</v>
      </c>
      <c r="AD34" s="42" t="s">
        <v>170</v>
      </c>
      <c r="AE34" s="42" t="s">
        <v>170</v>
      </c>
      <c r="AF34" s="42" t="s">
        <v>170</v>
      </c>
      <c r="AG34" s="42" t="s">
        <v>170</v>
      </c>
      <c r="AH34" s="42" t="s">
        <v>170</v>
      </c>
      <c r="AI34" s="42" t="s">
        <v>170</v>
      </c>
      <c r="AJ34" s="42" t="s">
        <v>170</v>
      </c>
      <c r="AK34" s="42" t="s">
        <v>170</v>
      </c>
      <c r="AL34" s="42" t="s">
        <v>170</v>
      </c>
      <c r="AM34" s="42" t="s">
        <v>170</v>
      </c>
      <c r="AN34" s="42" t="s">
        <v>170</v>
      </c>
      <c r="AO34" s="42" t="s">
        <v>170</v>
      </c>
    </row>
    <row r="35" spans="1:41" x14ac:dyDescent="0.45">
      <c r="A35" s="16" t="str">
        <f>'Capital Program'!A39</f>
        <v>New Pipleline</v>
      </c>
      <c r="B35" s="16"/>
      <c r="C35" s="16"/>
      <c r="D35" s="51">
        <v>62.5</v>
      </c>
      <c r="E35" s="51">
        <v>62.5</v>
      </c>
      <c r="F35" s="51">
        <v>62.5</v>
      </c>
      <c r="G35" s="51">
        <v>62.5</v>
      </c>
      <c r="H35" s="51">
        <v>62.5</v>
      </c>
      <c r="I35" s="51">
        <v>62.5</v>
      </c>
      <c r="J35" s="51">
        <v>62.5</v>
      </c>
      <c r="K35" s="51">
        <v>62.5</v>
      </c>
      <c r="L35" s="51">
        <v>62.5</v>
      </c>
      <c r="M35" s="51">
        <v>62.5</v>
      </c>
      <c r="N35" s="51">
        <v>62.5</v>
      </c>
      <c r="O35" s="51">
        <v>62.5</v>
      </c>
      <c r="P35" s="51">
        <v>62.5</v>
      </c>
      <c r="Q35" s="51">
        <v>62.5</v>
      </c>
      <c r="R35" s="51">
        <v>62.5</v>
      </c>
      <c r="S35" s="51">
        <v>62.5</v>
      </c>
      <c r="T35" s="51">
        <v>62.5</v>
      </c>
      <c r="U35" s="51">
        <v>62.5</v>
      </c>
      <c r="V35" s="51">
        <v>62.5</v>
      </c>
      <c r="W35" s="51">
        <v>62.5</v>
      </c>
      <c r="X35" s="51">
        <v>62.5</v>
      </c>
      <c r="Y35" s="51">
        <v>62.5</v>
      </c>
      <c r="Z35" s="51">
        <v>62.5</v>
      </c>
      <c r="AA35" s="51">
        <v>62.5</v>
      </c>
      <c r="AB35" s="51">
        <v>62.5</v>
      </c>
      <c r="AC35" s="51">
        <v>62.5</v>
      </c>
      <c r="AD35" s="51">
        <v>62.5</v>
      </c>
      <c r="AE35" s="51">
        <v>62.5</v>
      </c>
      <c r="AF35" s="51">
        <v>62.5</v>
      </c>
      <c r="AG35" s="51">
        <v>62.5</v>
      </c>
      <c r="AH35" s="51">
        <v>62.5</v>
      </c>
      <c r="AI35" s="51">
        <v>62.5</v>
      </c>
      <c r="AJ35" s="51">
        <v>62.5</v>
      </c>
      <c r="AK35" s="51">
        <v>62.5</v>
      </c>
      <c r="AL35" s="51">
        <v>62.5</v>
      </c>
      <c r="AM35" s="51">
        <v>62.5</v>
      </c>
      <c r="AN35" s="51">
        <v>62.5</v>
      </c>
      <c r="AO35" s="51">
        <v>62.5</v>
      </c>
    </row>
    <row r="36" spans="1:41" x14ac:dyDescent="0.45">
      <c r="A36" s="16" t="str">
        <f>'Capital Program'!A40</f>
        <v>Replacement Pipeline after 62.5 years</v>
      </c>
      <c r="B36" s="16"/>
      <c r="C36" s="16"/>
      <c r="D36" s="51">
        <v>62.5</v>
      </c>
      <c r="E36" s="51">
        <v>62.5</v>
      </c>
      <c r="F36" s="51">
        <v>62.5</v>
      </c>
      <c r="G36" s="51">
        <v>62.5</v>
      </c>
      <c r="H36" s="51">
        <v>62.5</v>
      </c>
      <c r="I36" s="51">
        <v>62.5</v>
      </c>
      <c r="J36" s="51">
        <v>62.5</v>
      </c>
      <c r="K36" s="51">
        <v>62.5</v>
      </c>
      <c r="L36" s="51">
        <v>62.5</v>
      </c>
      <c r="M36" s="51">
        <v>62.5</v>
      </c>
      <c r="N36" s="51">
        <v>62.5</v>
      </c>
      <c r="O36" s="51">
        <v>62.5</v>
      </c>
      <c r="P36" s="51">
        <v>62.5</v>
      </c>
      <c r="Q36" s="51">
        <v>62.5</v>
      </c>
      <c r="R36" s="51">
        <v>62.5</v>
      </c>
      <c r="S36" s="51">
        <v>62.5</v>
      </c>
      <c r="T36" s="51">
        <v>62.5</v>
      </c>
      <c r="U36" s="51">
        <v>62.5</v>
      </c>
      <c r="V36" s="51">
        <v>62.5</v>
      </c>
      <c r="W36" s="51">
        <v>62.5</v>
      </c>
      <c r="X36" s="51">
        <v>62.5</v>
      </c>
      <c r="Y36" s="51">
        <v>62.5</v>
      </c>
      <c r="Z36" s="51">
        <v>62.5</v>
      </c>
      <c r="AA36" s="51">
        <v>62.5</v>
      </c>
      <c r="AB36" s="51">
        <v>62.5</v>
      </c>
      <c r="AC36" s="51">
        <v>62.5</v>
      </c>
      <c r="AD36" s="51">
        <v>62.5</v>
      </c>
      <c r="AE36" s="51">
        <v>62.5</v>
      </c>
      <c r="AF36" s="51">
        <v>62.5</v>
      </c>
      <c r="AG36" s="51">
        <v>62.5</v>
      </c>
      <c r="AH36" s="51">
        <v>62.5</v>
      </c>
      <c r="AI36" s="51">
        <v>62.5</v>
      </c>
      <c r="AJ36" s="51">
        <v>62.5</v>
      </c>
      <c r="AK36" s="51">
        <v>62.5</v>
      </c>
      <c r="AL36" s="51">
        <v>62.5</v>
      </c>
      <c r="AM36" s="51">
        <v>62.5</v>
      </c>
      <c r="AN36" s="51">
        <v>62.5</v>
      </c>
      <c r="AO36" s="51">
        <v>62.5</v>
      </c>
    </row>
    <row r="37" spans="1:41" x14ac:dyDescent="0.45">
      <c r="A37" s="16"/>
      <c r="B37" s="16"/>
      <c r="C37" s="16"/>
      <c r="D37" s="16"/>
      <c r="E37" s="16"/>
      <c r="F37" s="16"/>
      <c r="G37" s="16"/>
    </row>
    <row r="38" spans="1:41" x14ac:dyDescent="0.45">
      <c r="A38" s="16"/>
      <c r="B38" s="16"/>
      <c r="C38" s="16"/>
      <c r="D38" s="16"/>
      <c r="E38" s="16"/>
      <c r="F38" s="16"/>
      <c r="G38" s="16"/>
    </row>
    <row r="39" spans="1:41" x14ac:dyDescent="0.45">
      <c r="A39" s="16"/>
      <c r="B39" s="16"/>
      <c r="C39" s="16"/>
      <c r="D39" s="16"/>
      <c r="E39" s="16"/>
      <c r="F39" s="16"/>
      <c r="G39" s="16"/>
    </row>
    <row r="40" spans="1:41" ht="18.45" x14ac:dyDescent="0.5">
      <c r="A40" s="232" t="s">
        <v>175</v>
      </c>
      <c r="B40" s="232"/>
      <c r="C40" s="232"/>
      <c r="D40" s="232"/>
      <c r="E40" s="232"/>
      <c r="F40" s="232"/>
      <c r="G40" s="232"/>
    </row>
    <row r="41" spans="1:41" ht="18.45" x14ac:dyDescent="0.5">
      <c r="A41" s="232" t="str">
        <f>'Plan Inputs'!F2</f>
        <v>2026-2065</v>
      </c>
      <c r="B41" s="232"/>
      <c r="C41" s="232"/>
      <c r="D41" s="232"/>
      <c r="E41" s="232"/>
      <c r="F41" s="232"/>
      <c r="G41" s="232"/>
    </row>
    <row r="42" spans="1:41" x14ac:dyDescent="0.45">
      <c r="A42" s="231" t="s">
        <v>163</v>
      </c>
      <c r="B42" s="231"/>
      <c r="C42" s="231"/>
      <c r="D42" s="231"/>
      <c r="E42" s="231"/>
      <c r="F42" s="231"/>
      <c r="G42" s="231"/>
    </row>
    <row r="43" spans="1:41" x14ac:dyDescent="0.45">
      <c r="A43" s="16"/>
      <c r="B43" s="16"/>
      <c r="C43" s="16"/>
      <c r="D43" s="16"/>
      <c r="E43" s="16"/>
      <c r="F43" s="16"/>
      <c r="G43" s="16"/>
    </row>
    <row r="44" spans="1:41" x14ac:dyDescent="0.45">
      <c r="A44" s="16"/>
      <c r="B44" s="22">
        <f>'Plan Inputs'!F5</f>
        <v>2026</v>
      </c>
      <c r="C44" s="22">
        <f>'Plan Inputs'!G5</f>
        <v>2027</v>
      </c>
      <c r="D44" s="22">
        <f>'Plan Inputs'!H5</f>
        <v>2028</v>
      </c>
      <c r="E44" s="22">
        <f>'Plan Inputs'!I5</f>
        <v>2029</v>
      </c>
      <c r="F44" s="22">
        <f>'Plan Inputs'!J5</f>
        <v>2030</v>
      </c>
      <c r="G44" s="22">
        <f>'Plan Inputs'!K5</f>
        <v>2031</v>
      </c>
      <c r="H44" s="22">
        <f>'Plan Inputs'!L5</f>
        <v>2032</v>
      </c>
      <c r="I44" s="22">
        <f>'Plan Inputs'!M5</f>
        <v>2033</v>
      </c>
      <c r="J44" s="22">
        <f>'Plan Inputs'!N5</f>
        <v>2034</v>
      </c>
      <c r="K44" s="22">
        <f>'Plan Inputs'!O5</f>
        <v>2035</v>
      </c>
      <c r="L44" s="22">
        <f>'Plan Inputs'!P5</f>
        <v>2036</v>
      </c>
      <c r="M44" s="22">
        <f>'Plan Inputs'!Q5</f>
        <v>2037</v>
      </c>
      <c r="N44" s="22">
        <f>'Plan Inputs'!R5</f>
        <v>2038</v>
      </c>
      <c r="O44" s="22">
        <f>'Plan Inputs'!S5</f>
        <v>2039</v>
      </c>
      <c r="P44" s="22">
        <f>'Plan Inputs'!T5</f>
        <v>2040</v>
      </c>
      <c r="Q44" s="22">
        <f>'Plan Inputs'!U5</f>
        <v>2041</v>
      </c>
      <c r="R44" s="22">
        <f>'Plan Inputs'!V5</f>
        <v>2042</v>
      </c>
      <c r="S44" s="22">
        <f>'Plan Inputs'!W5</f>
        <v>2043</v>
      </c>
      <c r="T44" s="22">
        <f>'Plan Inputs'!X5</f>
        <v>2044</v>
      </c>
      <c r="U44" s="22">
        <f>'Plan Inputs'!Y5</f>
        <v>2045</v>
      </c>
      <c r="V44" s="22">
        <f>'Plan Inputs'!Z5</f>
        <v>2046</v>
      </c>
      <c r="W44" s="22">
        <f>'Plan Inputs'!AA5</f>
        <v>2047</v>
      </c>
      <c r="X44" s="22">
        <f>'Plan Inputs'!AB5</f>
        <v>2048</v>
      </c>
      <c r="Y44" s="22">
        <f>'Plan Inputs'!AC5</f>
        <v>2049</v>
      </c>
      <c r="Z44" s="22">
        <f>'Plan Inputs'!AD5</f>
        <v>2050</v>
      </c>
      <c r="AA44" s="22">
        <f>'Plan Inputs'!AE5</f>
        <v>2051</v>
      </c>
      <c r="AB44" s="22">
        <f>'Plan Inputs'!AF5</f>
        <v>2052</v>
      </c>
      <c r="AC44" s="22">
        <f>'Plan Inputs'!AG5</f>
        <v>2053</v>
      </c>
      <c r="AD44" s="22">
        <f>'Plan Inputs'!AH5</f>
        <v>2054</v>
      </c>
      <c r="AE44" s="22">
        <f>'Plan Inputs'!AI5</f>
        <v>2055</v>
      </c>
      <c r="AF44" s="22">
        <f>'Plan Inputs'!AJ5</f>
        <v>2056</v>
      </c>
      <c r="AG44" s="22">
        <f>'Plan Inputs'!AK5</f>
        <v>2057</v>
      </c>
      <c r="AH44" s="22">
        <f>'Plan Inputs'!AL5</f>
        <v>2058</v>
      </c>
      <c r="AI44" s="22">
        <f>'Plan Inputs'!AM5</f>
        <v>2059</v>
      </c>
      <c r="AJ44" s="22">
        <f>'Plan Inputs'!AN5</f>
        <v>2060</v>
      </c>
      <c r="AK44" s="22">
        <f>'Plan Inputs'!AO5</f>
        <v>2061</v>
      </c>
      <c r="AL44" s="22">
        <f>'Plan Inputs'!AP5</f>
        <v>2062</v>
      </c>
      <c r="AM44" s="22">
        <f>'Plan Inputs'!AQ5</f>
        <v>2063</v>
      </c>
      <c r="AN44" s="22">
        <f>'Plan Inputs'!AR5</f>
        <v>2064</v>
      </c>
      <c r="AO44" s="22">
        <f>'Plan Inputs'!AS5</f>
        <v>2065</v>
      </c>
    </row>
    <row r="45" spans="1:41" x14ac:dyDescent="0.45">
      <c r="A45" s="16" t="str">
        <f>'Capital Program'!A39</f>
        <v>New Pipleline</v>
      </c>
      <c r="B45" s="43"/>
      <c r="C45" s="43"/>
      <c r="D45" s="43">
        <f>(('Capital Program'!F53+'Capital Program'!G53)/'New Depreciation'!D35)</f>
        <v>295600</v>
      </c>
      <c r="E45" s="43">
        <f>D45+('Capital Program'!I53/'New Depreciation'!E35)</f>
        <v>295600</v>
      </c>
      <c r="F45" s="43">
        <f>E45+('Capital Program'!J53/'New Depreciation'!F35)</f>
        <v>295600</v>
      </c>
      <c r="G45" s="43">
        <f>F45+('Capital Program'!K53/'New Depreciation'!G35)</f>
        <v>295600</v>
      </c>
      <c r="H45" s="43">
        <f>G45+('Capital Program'!L53/'New Depreciation'!H35)</f>
        <v>295600</v>
      </c>
      <c r="I45" s="43">
        <f>H45+('Capital Program'!M53/'New Depreciation'!I35)</f>
        <v>295600</v>
      </c>
      <c r="J45" s="43">
        <f>I45+('Capital Program'!N53/'New Depreciation'!J35)</f>
        <v>295600</v>
      </c>
      <c r="K45" s="43">
        <f>J45+('Capital Program'!O53/'New Depreciation'!K35)</f>
        <v>295600</v>
      </c>
      <c r="L45" s="43">
        <f>K45+('Capital Program'!P53/'New Depreciation'!L35)</f>
        <v>295600</v>
      </c>
      <c r="M45" s="43">
        <f>L45+('Capital Program'!Q53/'New Depreciation'!M35)</f>
        <v>295600</v>
      </c>
      <c r="N45" s="43">
        <f>M45+('Capital Program'!R53/'New Depreciation'!N35)</f>
        <v>295600</v>
      </c>
      <c r="O45" s="43">
        <f>N45+('Capital Program'!S53/'New Depreciation'!O35)</f>
        <v>295600</v>
      </c>
      <c r="P45" s="43">
        <f>O45+('Capital Program'!T53/'New Depreciation'!P35)</f>
        <v>295600</v>
      </c>
      <c r="Q45" s="43">
        <f>P45+('Capital Program'!U53/'New Depreciation'!Q35)</f>
        <v>295600</v>
      </c>
      <c r="R45" s="43">
        <f>Q45+('Capital Program'!V53/'New Depreciation'!R35)</f>
        <v>295600</v>
      </c>
      <c r="S45" s="43">
        <f>R45+('Capital Program'!W53/'New Depreciation'!S35)</f>
        <v>295600</v>
      </c>
      <c r="T45" s="43">
        <f>S45+('Capital Program'!X53/'New Depreciation'!T35)</f>
        <v>295600</v>
      </c>
      <c r="U45" s="43">
        <f>T45+('Capital Program'!Y53/'New Depreciation'!U35)</f>
        <v>295600</v>
      </c>
      <c r="V45" s="43">
        <f>U45+('Capital Program'!Z53/'New Depreciation'!V35)</f>
        <v>295600</v>
      </c>
      <c r="W45" s="43">
        <f>V45+('Capital Program'!AA53/'New Depreciation'!W35)</f>
        <v>295600</v>
      </c>
      <c r="X45" s="43">
        <f>W45+('Capital Program'!AB53/'New Depreciation'!X35)</f>
        <v>295600</v>
      </c>
      <c r="Y45" s="43">
        <f>X45+('Capital Program'!AC53/'New Depreciation'!Y35)</f>
        <v>295600</v>
      </c>
      <c r="Z45" s="43">
        <f>Y45+('Capital Program'!AD53/'New Depreciation'!Z35)</f>
        <v>295600</v>
      </c>
      <c r="AA45" s="43">
        <f>Z45+('Capital Program'!AE53/'New Depreciation'!AA35)</f>
        <v>295600</v>
      </c>
      <c r="AB45" s="43">
        <f>AA45+('Capital Program'!AF53/'New Depreciation'!AB35)</f>
        <v>295600</v>
      </c>
      <c r="AC45" s="43">
        <f>AB45+('Capital Program'!AG53/'New Depreciation'!AC35)</f>
        <v>295600</v>
      </c>
      <c r="AD45" s="43">
        <f>AC45+('Capital Program'!AH53/'New Depreciation'!AD35)</f>
        <v>295600</v>
      </c>
      <c r="AE45" s="43">
        <f>AD45+('Capital Program'!AI53/'New Depreciation'!AE35)</f>
        <v>295600</v>
      </c>
      <c r="AF45" s="43">
        <f>AE45+('Capital Program'!AJ53/'New Depreciation'!AF35)</f>
        <v>295600</v>
      </c>
      <c r="AG45" s="43">
        <f>AF45+('Capital Program'!AK53/'New Depreciation'!AG35)</f>
        <v>295600</v>
      </c>
      <c r="AH45" s="43">
        <f>AG45+('Capital Program'!AL53/'New Depreciation'!AH35)</f>
        <v>295600</v>
      </c>
      <c r="AI45" s="43">
        <f>AH45+('Capital Program'!AM53/'New Depreciation'!AI35)</f>
        <v>295600</v>
      </c>
      <c r="AJ45" s="43">
        <f>AI45+('Capital Program'!AN53/'New Depreciation'!AJ35)</f>
        <v>295600</v>
      </c>
      <c r="AK45" s="43">
        <f>AJ45+('Capital Program'!AO53/'New Depreciation'!AK35)</f>
        <v>295600</v>
      </c>
      <c r="AL45" s="43">
        <f>AK45+('Capital Program'!AP53/'New Depreciation'!AL35)</f>
        <v>295600</v>
      </c>
      <c r="AM45" s="43">
        <f>AL45+('Capital Program'!AQ53/'New Depreciation'!AM35)</f>
        <v>295600</v>
      </c>
      <c r="AN45" s="43">
        <f>AM45+('Capital Program'!AR53/'New Depreciation'!AN35)</f>
        <v>295600</v>
      </c>
      <c r="AO45" s="43">
        <f>AN45+('Capital Program'!AS53/'New Depreciation'!AO35)</f>
        <v>295600</v>
      </c>
    </row>
    <row r="46" spans="1:41" ht="18" x14ac:dyDescent="0.7">
      <c r="A46" s="16" t="str">
        <f>'Capital Program'!A40</f>
        <v>Replacement Pipeline after 62.5 years</v>
      </c>
      <c r="B46" s="65"/>
      <c r="C46" s="65"/>
      <c r="D46" s="65">
        <f>(('Capital Program'!F54+'Capital Program'!G54)/'New Depreciation'!D36)</f>
        <v>0</v>
      </c>
      <c r="E46" s="65">
        <f>D46+('Capital Program'!I54/'New Depreciation'!E36)</f>
        <v>0</v>
      </c>
      <c r="F46" s="65">
        <f>E46+('Capital Program'!J54/'New Depreciation'!F36)</f>
        <v>0</v>
      </c>
      <c r="G46" s="65">
        <f>F46+('Capital Program'!K54/'New Depreciation'!G36)</f>
        <v>0</v>
      </c>
      <c r="H46" s="65">
        <f>G46+('Capital Program'!L54/'New Depreciation'!H36)</f>
        <v>0</v>
      </c>
      <c r="I46" s="65">
        <f>H46+('Capital Program'!M54/'New Depreciation'!I36)</f>
        <v>0</v>
      </c>
      <c r="J46" s="65">
        <f>I46+('Capital Program'!N54/'New Depreciation'!J36)</f>
        <v>0</v>
      </c>
      <c r="K46" s="65">
        <f>J46+('Capital Program'!O54/'New Depreciation'!K36)</f>
        <v>0</v>
      </c>
      <c r="L46" s="65">
        <f>K46+('Capital Program'!P54/'New Depreciation'!L36)</f>
        <v>0</v>
      </c>
      <c r="M46" s="65">
        <f>L46+('Capital Program'!Q54/'New Depreciation'!M36)</f>
        <v>0</v>
      </c>
      <c r="N46" s="65">
        <f>M46+('Capital Program'!R54/'New Depreciation'!N36)</f>
        <v>0</v>
      </c>
      <c r="O46" s="65">
        <f>N46+('Capital Program'!S54/'New Depreciation'!O36)</f>
        <v>0</v>
      </c>
      <c r="P46" s="65">
        <f>O46+('Capital Program'!T54/'New Depreciation'!P36)</f>
        <v>0</v>
      </c>
      <c r="Q46" s="65">
        <f>P46+('Capital Program'!U54/'New Depreciation'!Q36)</f>
        <v>0</v>
      </c>
      <c r="R46" s="65">
        <f>Q46+('Capital Program'!V54/'New Depreciation'!R36)</f>
        <v>0</v>
      </c>
      <c r="S46" s="65">
        <f>R46+('Capital Program'!W54/'New Depreciation'!S36)</f>
        <v>0</v>
      </c>
      <c r="T46" s="65">
        <f>S46+('Capital Program'!X54/'New Depreciation'!T36)</f>
        <v>0</v>
      </c>
      <c r="U46" s="65">
        <f>T46+('Capital Program'!Y54/'New Depreciation'!U36)</f>
        <v>0</v>
      </c>
      <c r="V46" s="65">
        <f>U46+('Capital Program'!Z54/'New Depreciation'!V36)</f>
        <v>0</v>
      </c>
      <c r="W46" s="65">
        <f>V46+('Capital Program'!AA54/'New Depreciation'!W36)</f>
        <v>0</v>
      </c>
      <c r="X46" s="65">
        <f>W46+('Capital Program'!AB54/'New Depreciation'!X36)</f>
        <v>0</v>
      </c>
      <c r="Y46" s="65">
        <f>X46+('Capital Program'!AC54/'New Depreciation'!Y36)</f>
        <v>0</v>
      </c>
      <c r="Z46" s="65">
        <f>Y46+('Capital Program'!AD54/'New Depreciation'!Z36)</f>
        <v>0</v>
      </c>
      <c r="AA46" s="65">
        <f>Z46+('Capital Program'!AE54/'New Depreciation'!AA36)</f>
        <v>0</v>
      </c>
      <c r="AB46" s="65">
        <f>AA46+('Capital Program'!AF54/'New Depreciation'!AB36)</f>
        <v>0</v>
      </c>
      <c r="AC46" s="65">
        <f>AB46+('Capital Program'!AG54/'New Depreciation'!AC36)</f>
        <v>0</v>
      </c>
      <c r="AD46" s="65">
        <f>AC46+('Capital Program'!AH54/'New Depreciation'!AD36)</f>
        <v>0</v>
      </c>
      <c r="AE46" s="65">
        <f>AD46+('Capital Program'!AI54/'New Depreciation'!AE36)</f>
        <v>0</v>
      </c>
      <c r="AF46" s="65">
        <f>AE46+('Capital Program'!AJ54/'New Depreciation'!AF36)</f>
        <v>0</v>
      </c>
      <c r="AG46" s="65">
        <f>AF46+('Capital Program'!AK54/'New Depreciation'!AG36)</f>
        <v>0</v>
      </c>
      <c r="AH46" s="65">
        <f>AG46+('Capital Program'!AL54/'New Depreciation'!AH36)</f>
        <v>0</v>
      </c>
      <c r="AI46" s="65">
        <f>AH46+('Capital Program'!AM54/'New Depreciation'!AI36)</f>
        <v>0</v>
      </c>
      <c r="AJ46" s="65">
        <f>AI46+('Capital Program'!AN54/'New Depreciation'!AJ36)</f>
        <v>0</v>
      </c>
      <c r="AK46" s="65">
        <f>AJ46+('Capital Program'!AO54/'New Depreciation'!AK36)</f>
        <v>0</v>
      </c>
      <c r="AL46" s="65">
        <f>AK46+('Capital Program'!AP54/'New Depreciation'!AL36)</f>
        <v>0</v>
      </c>
      <c r="AM46" s="65">
        <f>AL46+('Capital Program'!AQ54/'New Depreciation'!AM36)</f>
        <v>0</v>
      </c>
      <c r="AN46" s="65">
        <f>AM46+('Capital Program'!AR54/'New Depreciation'!AN36)</f>
        <v>0</v>
      </c>
      <c r="AO46" s="65">
        <f>AN46+('Capital Program'!AS54/'New Depreciation'!AO36)</f>
        <v>0</v>
      </c>
    </row>
    <row r="47" spans="1:41" s="15" customFormat="1" ht="14.6" x14ac:dyDescent="0.4">
      <c r="A47" s="80" t="s">
        <v>173</v>
      </c>
      <c r="B47" s="15">
        <v>0</v>
      </c>
      <c r="C47" s="15">
        <v>0</v>
      </c>
      <c r="D47" s="15">
        <f>SUM(D45:D46)</f>
        <v>295600</v>
      </c>
      <c r="E47" s="15">
        <f>SUM(E45:E46)</f>
        <v>295600</v>
      </c>
      <c r="F47" s="15">
        <f t="shared" ref="F47:AO47" si="2">SUM(F45:F46)</f>
        <v>295600</v>
      </c>
      <c r="G47" s="15">
        <f t="shared" si="2"/>
        <v>295600</v>
      </c>
      <c r="H47" s="15">
        <f t="shared" si="2"/>
        <v>295600</v>
      </c>
      <c r="I47" s="15">
        <f t="shared" si="2"/>
        <v>295600</v>
      </c>
      <c r="J47" s="15">
        <f t="shared" si="2"/>
        <v>295600</v>
      </c>
      <c r="K47" s="15">
        <f t="shared" si="2"/>
        <v>295600</v>
      </c>
      <c r="L47" s="15">
        <f t="shared" si="2"/>
        <v>295600</v>
      </c>
      <c r="M47" s="15">
        <f t="shared" si="2"/>
        <v>295600</v>
      </c>
      <c r="N47" s="15">
        <f t="shared" si="2"/>
        <v>295600</v>
      </c>
      <c r="O47" s="15">
        <f t="shared" si="2"/>
        <v>295600</v>
      </c>
      <c r="P47" s="15">
        <f t="shared" si="2"/>
        <v>295600</v>
      </c>
      <c r="Q47" s="15">
        <f t="shared" si="2"/>
        <v>295600</v>
      </c>
      <c r="R47" s="15">
        <f t="shared" si="2"/>
        <v>295600</v>
      </c>
      <c r="S47" s="15">
        <f t="shared" si="2"/>
        <v>295600</v>
      </c>
      <c r="T47" s="15">
        <f t="shared" si="2"/>
        <v>295600</v>
      </c>
      <c r="U47" s="15">
        <f t="shared" si="2"/>
        <v>295600</v>
      </c>
      <c r="V47" s="15">
        <f t="shared" si="2"/>
        <v>295600</v>
      </c>
      <c r="W47" s="15">
        <f t="shared" si="2"/>
        <v>295600</v>
      </c>
      <c r="X47" s="15">
        <f t="shared" si="2"/>
        <v>295600</v>
      </c>
      <c r="Y47" s="15">
        <f t="shared" si="2"/>
        <v>295600</v>
      </c>
      <c r="Z47" s="15">
        <f t="shared" si="2"/>
        <v>295600</v>
      </c>
      <c r="AA47" s="15">
        <f t="shared" si="2"/>
        <v>295600</v>
      </c>
      <c r="AB47" s="15">
        <f t="shared" si="2"/>
        <v>295600</v>
      </c>
      <c r="AC47" s="15">
        <f t="shared" si="2"/>
        <v>295600</v>
      </c>
      <c r="AD47" s="15">
        <f t="shared" si="2"/>
        <v>295600</v>
      </c>
      <c r="AE47" s="15">
        <f t="shared" si="2"/>
        <v>295600</v>
      </c>
      <c r="AF47" s="15">
        <f t="shared" si="2"/>
        <v>295600</v>
      </c>
      <c r="AG47" s="15">
        <f t="shared" si="2"/>
        <v>295600</v>
      </c>
      <c r="AH47" s="15">
        <f t="shared" si="2"/>
        <v>295600</v>
      </c>
      <c r="AI47" s="15">
        <f t="shared" si="2"/>
        <v>295600</v>
      </c>
      <c r="AJ47" s="15">
        <f t="shared" si="2"/>
        <v>295600</v>
      </c>
      <c r="AK47" s="15">
        <f t="shared" si="2"/>
        <v>295600</v>
      </c>
      <c r="AL47" s="15">
        <f t="shared" si="2"/>
        <v>295600</v>
      </c>
      <c r="AM47" s="15">
        <f t="shared" si="2"/>
        <v>295600</v>
      </c>
      <c r="AN47" s="15">
        <f t="shared" si="2"/>
        <v>295600</v>
      </c>
      <c r="AO47" s="15">
        <f t="shared" si="2"/>
        <v>295600</v>
      </c>
    </row>
  </sheetData>
  <mergeCells count="12">
    <mergeCell ref="A42:G42"/>
    <mergeCell ref="A29:G29"/>
    <mergeCell ref="A30:G30"/>
    <mergeCell ref="A31:G31"/>
    <mergeCell ref="A40:G40"/>
    <mergeCell ref="A41:G41"/>
    <mergeCell ref="A16:G16"/>
    <mergeCell ref="A1:G1"/>
    <mergeCell ref="A2:G2"/>
    <mergeCell ref="A3:G3"/>
    <mergeCell ref="A14:G14"/>
    <mergeCell ref="A15:G15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C05C-9BAC-4E50-BAAE-5DE735ABD7CF}">
  <sheetPr>
    <pageSetUpPr fitToPage="1"/>
  </sheetPr>
  <dimension ref="A1:CK87"/>
  <sheetViews>
    <sheetView workbookViewId="0">
      <selection sqref="A1:K1"/>
    </sheetView>
  </sheetViews>
  <sheetFormatPr defaultColWidth="8.875" defaultRowHeight="14.6" x14ac:dyDescent="0.4"/>
  <cols>
    <col min="1" max="1" width="3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15" customFormat="1" ht="18.45" x14ac:dyDescent="0.4">
      <c r="A1" s="233" t="s">
        <v>176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18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</row>
    <row r="3" spans="1:89" s="120" customFormat="1" ht="15.9" x14ac:dyDescent="0.45">
      <c r="A3" s="229" t="s">
        <v>91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</row>
    <row r="4" spans="1:89" s="15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4">
      <c r="A5" s="92"/>
      <c r="B5" s="73"/>
      <c r="C5" s="73"/>
      <c r="D5" s="73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5" customFormat="1" x14ac:dyDescent="0.4">
      <c r="A6" s="71" t="s">
        <v>19</v>
      </c>
      <c r="E6" s="126"/>
      <c r="F6" s="81">
        <f>'Demand Inputs'!C18</f>
        <v>3.59</v>
      </c>
      <c r="G6" s="81">
        <f>'Demand Inputs'!D18</f>
        <v>3.7</v>
      </c>
      <c r="H6" s="81">
        <f>'Demand Inputs'!E18</f>
        <v>3.81</v>
      </c>
      <c r="I6" s="81">
        <f>'Demand Inputs'!F18</f>
        <v>3.92</v>
      </c>
      <c r="J6" s="81">
        <f>'Demand Inputs'!G18</f>
        <v>4.04</v>
      </c>
      <c r="K6" s="81">
        <f>'Demand Inputs'!H18</f>
        <v>4.16</v>
      </c>
      <c r="L6" s="81">
        <f>'Demand Inputs'!I18</f>
        <v>4.28</v>
      </c>
      <c r="M6" s="81">
        <f>'Demand Inputs'!J18</f>
        <v>4.41</v>
      </c>
      <c r="N6" s="81">
        <f>'Demand Inputs'!K18</f>
        <v>4.54</v>
      </c>
      <c r="O6" s="81">
        <f>'Demand Inputs'!L18</f>
        <v>4.68</v>
      </c>
      <c r="P6" s="81">
        <f>'Demand Inputs'!M18</f>
        <v>4.82</v>
      </c>
      <c r="Q6" s="81">
        <f>'Demand Inputs'!N18</f>
        <v>4.96</v>
      </c>
      <c r="R6" s="81">
        <f>'Demand Inputs'!O18</f>
        <v>5.1100000000000003</v>
      </c>
      <c r="S6" s="81">
        <f>'Demand Inputs'!P18</f>
        <v>5.26</v>
      </c>
      <c r="T6" s="81">
        <f>'Demand Inputs'!Q18</f>
        <v>5.42</v>
      </c>
      <c r="U6" s="81">
        <f>'Demand Inputs'!R18</f>
        <v>5.58</v>
      </c>
      <c r="V6" s="81">
        <f>'Demand Inputs'!S18</f>
        <v>5.75</v>
      </c>
      <c r="W6" s="81">
        <f>'Demand Inputs'!T18</f>
        <v>5.92</v>
      </c>
      <c r="X6" s="81">
        <f>'Demand Inputs'!U18</f>
        <v>6.1</v>
      </c>
      <c r="Y6" s="81">
        <f>'Demand Inputs'!V18</f>
        <v>6.28</v>
      </c>
      <c r="Z6" s="81">
        <f>'Demand Inputs'!W18</f>
        <v>6.47</v>
      </c>
      <c r="AA6" s="81">
        <f>'Demand Inputs'!X18</f>
        <v>6.66</v>
      </c>
      <c r="AB6" s="81">
        <f>'Demand Inputs'!Y18</f>
        <v>6.86</v>
      </c>
      <c r="AC6" s="81">
        <f>'Demand Inputs'!Z18</f>
        <v>7.07</v>
      </c>
      <c r="AD6" s="81">
        <f>'Demand Inputs'!AA18</f>
        <v>7.28</v>
      </c>
      <c r="AE6" s="81">
        <f>'Demand Inputs'!AB18</f>
        <v>7.5</v>
      </c>
      <c r="AF6" s="81">
        <f>'Demand Inputs'!AC18</f>
        <v>7.73</v>
      </c>
      <c r="AG6" s="81">
        <f>'Demand Inputs'!AD18</f>
        <v>7.96</v>
      </c>
      <c r="AH6" s="81">
        <f>'Demand Inputs'!AE18</f>
        <v>8.1999999999999993</v>
      </c>
      <c r="AI6" s="81">
        <f>'Demand Inputs'!AF18</f>
        <v>8.4499999999999993</v>
      </c>
      <c r="AJ6" s="81">
        <f>'Demand Inputs'!AG18</f>
        <v>8.6999999999999993</v>
      </c>
      <c r="AK6" s="81">
        <f>'Demand Inputs'!AH18</f>
        <v>8.9600000000000009</v>
      </c>
      <c r="AL6" s="81">
        <f>'Demand Inputs'!AI18</f>
        <v>9.23</v>
      </c>
      <c r="AM6" s="81">
        <f>'Demand Inputs'!AJ18</f>
        <v>9.51</v>
      </c>
      <c r="AN6" s="81">
        <f>'Demand Inputs'!AK18</f>
        <v>9.8000000000000007</v>
      </c>
      <c r="AO6" s="81">
        <f>'Demand Inputs'!AL18</f>
        <v>10.09</v>
      </c>
      <c r="AP6" s="81">
        <f>'Demand Inputs'!AM18</f>
        <v>10.39</v>
      </c>
      <c r="AQ6" s="81">
        <f>'Demand Inputs'!AN18</f>
        <v>10.7</v>
      </c>
      <c r="AR6" s="81">
        <f>'Demand Inputs'!AO18</f>
        <v>11.02</v>
      </c>
      <c r="AS6" s="81">
        <f>'Demand Inputs'!AP18</f>
        <v>11.35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</row>
    <row r="7" spans="1:89" x14ac:dyDescent="0.4">
      <c r="A7" s="71" t="s">
        <v>20</v>
      </c>
      <c r="E7" s="98"/>
      <c r="F7" s="81">
        <f>'Demand Inputs'!C19</f>
        <v>4.41</v>
      </c>
      <c r="G7" s="81">
        <f>'Demand Inputs'!D19</f>
        <v>4.54</v>
      </c>
      <c r="H7" s="81">
        <f>'Demand Inputs'!E19</f>
        <v>4.68</v>
      </c>
      <c r="I7" s="81">
        <f>'Demand Inputs'!F19</f>
        <v>4.82</v>
      </c>
      <c r="J7" s="81">
        <f>'Demand Inputs'!G19</f>
        <v>4.96</v>
      </c>
      <c r="K7" s="81">
        <f>'Demand Inputs'!H19</f>
        <v>5.1100000000000003</v>
      </c>
      <c r="L7" s="81">
        <f>'Demand Inputs'!I19</f>
        <v>5.26</v>
      </c>
      <c r="M7" s="81">
        <f>'Demand Inputs'!J19</f>
        <v>5.42</v>
      </c>
      <c r="N7" s="81">
        <f>'Demand Inputs'!K19</f>
        <v>5.58</v>
      </c>
      <c r="O7" s="81">
        <f>'Demand Inputs'!L19</f>
        <v>5.75</v>
      </c>
      <c r="P7" s="81">
        <f>'Demand Inputs'!M19</f>
        <v>5.92</v>
      </c>
      <c r="Q7" s="81">
        <f>'Demand Inputs'!N19</f>
        <v>6.1</v>
      </c>
      <c r="R7" s="81">
        <f>'Demand Inputs'!O19</f>
        <v>6.28</v>
      </c>
      <c r="S7" s="81">
        <f>'Demand Inputs'!P19</f>
        <v>6.47</v>
      </c>
      <c r="T7" s="81">
        <f>'Demand Inputs'!Q19</f>
        <v>6.66</v>
      </c>
      <c r="U7" s="81">
        <f>'Demand Inputs'!R19</f>
        <v>6.86</v>
      </c>
      <c r="V7" s="81">
        <f>'Demand Inputs'!S19</f>
        <v>7.07</v>
      </c>
      <c r="W7" s="81">
        <f>'Demand Inputs'!T19</f>
        <v>7.28</v>
      </c>
      <c r="X7" s="81">
        <f>'Demand Inputs'!U19</f>
        <v>7.5</v>
      </c>
      <c r="Y7" s="81">
        <f>'Demand Inputs'!V19</f>
        <v>7.73</v>
      </c>
      <c r="Z7" s="81">
        <f>'Demand Inputs'!W19</f>
        <v>7.96</v>
      </c>
      <c r="AA7" s="81">
        <f>'Demand Inputs'!X19</f>
        <v>8.1999999999999993</v>
      </c>
      <c r="AB7" s="81">
        <f>'Demand Inputs'!Y19</f>
        <v>8.4499999999999993</v>
      </c>
      <c r="AC7" s="81">
        <f>'Demand Inputs'!Z19</f>
        <v>8.6999999999999993</v>
      </c>
      <c r="AD7" s="81">
        <f>'Demand Inputs'!AA19</f>
        <v>8.9600000000000009</v>
      </c>
      <c r="AE7" s="81">
        <f>'Demand Inputs'!AB19</f>
        <v>9.23</v>
      </c>
      <c r="AF7" s="81">
        <f>'Demand Inputs'!AC19</f>
        <v>9.51</v>
      </c>
      <c r="AG7" s="81">
        <f>'Demand Inputs'!AD19</f>
        <v>9.8000000000000007</v>
      </c>
      <c r="AH7" s="81">
        <f>'Demand Inputs'!AE19</f>
        <v>10.09</v>
      </c>
      <c r="AI7" s="81">
        <f>'Demand Inputs'!AF19</f>
        <v>10.39</v>
      </c>
      <c r="AJ7" s="81">
        <f>'Demand Inputs'!AG19</f>
        <v>10.7</v>
      </c>
      <c r="AK7" s="81">
        <f>'Demand Inputs'!AH19</f>
        <v>11.02</v>
      </c>
      <c r="AL7" s="81">
        <f>'Demand Inputs'!AI19</f>
        <v>11.35</v>
      </c>
      <c r="AM7" s="81">
        <f>'Demand Inputs'!AJ19</f>
        <v>11.69</v>
      </c>
      <c r="AN7" s="81">
        <f>'Demand Inputs'!AK19</f>
        <v>12.04</v>
      </c>
      <c r="AO7" s="81">
        <f>'Demand Inputs'!AL19</f>
        <v>12.4</v>
      </c>
      <c r="AP7" s="81">
        <f>'Demand Inputs'!AM19</f>
        <v>12.77</v>
      </c>
      <c r="AQ7" s="81">
        <f>'Demand Inputs'!AN19</f>
        <v>13.15</v>
      </c>
      <c r="AR7" s="81">
        <f>'Demand Inputs'!AO19</f>
        <v>13.54</v>
      </c>
      <c r="AS7" s="81">
        <f>'Demand Inputs'!AP19</f>
        <v>13.95</v>
      </c>
    </row>
    <row r="8" spans="1:89" s="15" customFormat="1" x14ac:dyDescent="0.4">
      <c r="A8" s="71" t="s">
        <v>21</v>
      </c>
      <c r="B8" s="16"/>
      <c r="C8" s="16"/>
      <c r="D8" s="16"/>
      <c r="E8" s="126"/>
      <c r="F8" s="81">
        <f>'Demand Inputs'!C20</f>
        <v>4.78</v>
      </c>
      <c r="G8" s="81">
        <f>'Demand Inputs'!D20</f>
        <v>4.92</v>
      </c>
      <c r="H8" s="81">
        <f>'Demand Inputs'!E20</f>
        <v>5.07</v>
      </c>
      <c r="I8" s="81">
        <f>'Demand Inputs'!F20</f>
        <v>5.22</v>
      </c>
      <c r="J8" s="81">
        <f>'Demand Inputs'!G20</f>
        <v>5.38</v>
      </c>
      <c r="K8" s="81">
        <f>'Demand Inputs'!H20</f>
        <v>5.54</v>
      </c>
      <c r="L8" s="81">
        <f>'Demand Inputs'!I20</f>
        <v>5.71</v>
      </c>
      <c r="M8" s="81">
        <f>'Demand Inputs'!J20</f>
        <v>5.88</v>
      </c>
      <c r="N8" s="81">
        <f>'Demand Inputs'!K20</f>
        <v>6.06</v>
      </c>
      <c r="O8" s="81">
        <f>'Demand Inputs'!L20</f>
        <v>6.24</v>
      </c>
      <c r="P8" s="81">
        <f>'Demand Inputs'!M20</f>
        <v>6.43</v>
      </c>
      <c r="Q8" s="81">
        <f>'Demand Inputs'!N20</f>
        <v>6.62</v>
      </c>
      <c r="R8" s="81">
        <f>'Demand Inputs'!O20</f>
        <v>6.82</v>
      </c>
      <c r="S8" s="81">
        <f>'Demand Inputs'!P20</f>
        <v>7.02</v>
      </c>
      <c r="T8" s="81">
        <f>'Demand Inputs'!Q20</f>
        <v>7.23</v>
      </c>
      <c r="U8" s="81">
        <f>'Demand Inputs'!R20</f>
        <v>7.45</v>
      </c>
      <c r="V8" s="81">
        <f>'Demand Inputs'!S20</f>
        <v>7.67</v>
      </c>
      <c r="W8" s="81">
        <f>'Demand Inputs'!T20</f>
        <v>7.9</v>
      </c>
      <c r="X8" s="81">
        <f>'Demand Inputs'!U20</f>
        <v>8.14</v>
      </c>
      <c r="Y8" s="81">
        <f>'Demand Inputs'!V20</f>
        <v>8.3800000000000008</v>
      </c>
      <c r="Z8" s="81">
        <f>'Demand Inputs'!W20</f>
        <v>8.6300000000000008</v>
      </c>
      <c r="AA8" s="81">
        <f>'Demand Inputs'!X20</f>
        <v>8.89</v>
      </c>
      <c r="AB8" s="81">
        <f>'Demand Inputs'!Y20</f>
        <v>9.16</v>
      </c>
      <c r="AC8" s="81">
        <f>'Demand Inputs'!Z20</f>
        <v>9.43</v>
      </c>
      <c r="AD8" s="81">
        <f>'Demand Inputs'!AA20</f>
        <v>9.7100000000000009</v>
      </c>
      <c r="AE8" s="81">
        <f>'Demand Inputs'!AB20</f>
        <v>10</v>
      </c>
      <c r="AF8" s="81">
        <f>'Demand Inputs'!AC20</f>
        <v>10.3</v>
      </c>
      <c r="AG8" s="81">
        <f>'Demand Inputs'!AD20</f>
        <v>10.61</v>
      </c>
      <c r="AH8" s="81">
        <f>'Demand Inputs'!AE20</f>
        <v>10.93</v>
      </c>
      <c r="AI8" s="81">
        <f>'Demand Inputs'!AF20</f>
        <v>11.26</v>
      </c>
      <c r="AJ8" s="81">
        <f>'Demand Inputs'!AG20</f>
        <v>11.6</v>
      </c>
      <c r="AK8" s="81">
        <f>'Demand Inputs'!AH20</f>
        <v>11.95</v>
      </c>
      <c r="AL8" s="81">
        <f>'Demand Inputs'!AI20</f>
        <v>12.31</v>
      </c>
      <c r="AM8" s="81">
        <f>'Demand Inputs'!AJ20</f>
        <v>12.68</v>
      </c>
      <c r="AN8" s="81">
        <f>'Demand Inputs'!AK20</f>
        <v>13.06</v>
      </c>
      <c r="AO8" s="81">
        <f>'Demand Inputs'!AL20</f>
        <v>13.45</v>
      </c>
      <c r="AP8" s="81">
        <f>'Demand Inputs'!AM20</f>
        <v>13.85</v>
      </c>
      <c r="AQ8" s="81">
        <f>'Demand Inputs'!AN20</f>
        <v>14.27</v>
      </c>
      <c r="AR8" s="81">
        <f>'Demand Inputs'!AO20</f>
        <v>14.7</v>
      </c>
      <c r="AS8" s="81">
        <f>'Demand Inputs'!AP20</f>
        <v>15.14</v>
      </c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</row>
    <row r="9" spans="1:89" x14ac:dyDescent="0.4">
      <c r="A9" s="71" t="s">
        <v>22</v>
      </c>
      <c r="E9" s="98"/>
      <c r="F9" s="81">
        <f>'Demand Inputs'!C21</f>
        <v>4.7300000000000004</v>
      </c>
      <c r="G9" s="81">
        <f>'Demand Inputs'!D21</f>
        <v>4.87</v>
      </c>
      <c r="H9" s="81">
        <f>'Demand Inputs'!E21</f>
        <v>5.0199999999999996</v>
      </c>
      <c r="I9" s="81">
        <f>'Demand Inputs'!F21</f>
        <v>5.17</v>
      </c>
      <c r="J9" s="81">
        <f>'Demand Inputs'!G21</f>
        <v>5.33</v>
      </c>
      <c r="K9" s="81">
        <f>'Demand Inputs'!H21</f>
        <v>5.49</v>
      </c>
      <c r="L9" s="81">
        <f>'Demand Inputs'!I21</f>
        <v>5.65</v>
      </c>
      <c r="M9" s="81">
        <f>'Demand Inputs'!J21</f>
        <v>5.82</v>
      </c>
      <c r="N9" s="81">
        <f>'Demand Inputs'!K21</f>
        <v>5.99</v>
      </c>
      <c r="O9" s="81">
        <f>'Demand Inputs'!L21</f>
        <v>6.17</v>
      </c>
      <c r="P9" s="81">
        <f>'Demand Inputs'!M21</f>
        <v>6.36</v>
      </c>
      <c r="Q9" s="81">
        <f>'Demand Inputs'!N21</f>
        <v>6.55</v>
      </c>
      <c r="R9" s="81">
        <f>'Demand Inputs'!O21</f>
        <v>6.75</v>
      </c>
      <c r="S9" s="81">
        <f>'Demand Inputs'!P21</f>
        <v>6.95</v>
      </c>
      <c r="T9" s="81">
        <f>'Demand Inputs'!Q21</f>
        <v>7.16</v>
      </c>
      <c r="U9" s="81">
        <f>'Demand Inputs'!R21</f>
        <v>7.37</v>
      </c>
      <c r="V9" s="81">
        <f>'Demand Inputs'!S21</f>
        <v>7.59</v>
      </c>
      <c r="W9" s="81">
        <f>'Demand Inputs'!T21</f>
        <v>7.82</v>
      </c>
      <c r="X9" s="81">
        <f>'Demand Inputs'!U21</f>
        <v>8.0500000000000007</v>
      </c>
      <c r="Y9" s="81">
        <f>'Demand Inputs'!V21</f>
        <v>8.2899999999999991</v>
      </c>
      <c r="Z9" s="81">
        <f>'Demand Inputs'!W21</f>
        <v>8.5399999999999991</v>
      </c>
      <c r="AA9" s="81">
        <f>'Demand Inputs'!X21</f>
        <v>8.8000000000000007</v>
      </c>
      <c r="AB9" s="81">
        <f>'Demand Inputs'!Y21</f>
        <v>9.06</v>
      </c>
      <c r="AC9" s="81">
        <f>'Demand Inputs'!Z21</f>
        <v>9.33</v>
      </c>
      <c r="AD9" s="81">
        <f>'Demand Inputs'!AA21</f>
        <v>9.61</v>
      </c>
      <c r="AE9" s="81">
        <f>'Demand Inputs'!AB21</f>
        <v>9.9</v>
      </c>
      <c r="AF9" s="81">
        <f>'Demand Inputs'!AC21</f>
        <v>10.199999999999999</v>
      </c>
      <c r="AG9" s="81">
        <f>'Demand Inputs'!AD21</f>
        <v>10.51</v>
      </c>
      <c r="AH9" s="81">
        <f>'Demand Inputs'!AE21</f>
        <v>10.83</v>
      </c>
      <c r="AI9" s="81">
        <f>'Demand Inputs'!AF21</f>
        <v>11.15</v>
      </c>
      <c r="AJ9" s="81">
        <f>'Demand Inputs'!AG21</f>
        <v>11.48</v>
      </c>
      <c r="AK9" s="81">
        <f>'Demand Inputs'!AH21</f>
        <v>11.82</v>
      </c>
      <c r="AL9" s="81">
        <f>'Demand Inputs'!AI21</f>
        <v>12.17</v>
      </c>
      <c r="AM9" s="81">
        <f>'Demand Inputs'!AJ21</f>
        <v>12.54</v>
      </c>
      <c r="AN9" s="81">
        <f>'Demand Inputs'!AK21</f>
        <v>12.92</v>
      </c>
      <c r="AO9" s="81">
        <f>'Demand Inputs'!AL21</f>
        <v>13.31</v>
      </c>
      <c r="AP9" s="81">
        <f>'Demand Inputs'!AM21</f>
        <v>13.71</v>
      </c>
      <c r="AQ9" s="81">
        <f>'Demand Inputs'!AN21</f>
        <v>14.12</v>
      </c>
      <c r="AR9" s="81">
        <f>'Demand Inputs'!AO21</f>
        <v>14.54</v>
      </c>
      <c r="AS9" s="81">
        <f>'Demand Inputs'!AP21</f>
        <v>14.98</v>
      </c>
    </row>
    <row r="10" spans="1:89" x14ac:dyDescent="0.4">
      <c r="A10" s="71" t="str">
        <f>'Demand Inputs'!A23</f>
        <v>New Plant Project Water Purchase Rate - Weighted Average of Existing Suppliers</v>
      </c>
      <c r="E10" s="98"/>
      <c r="F10" s="81">
        <f>'Demand Inputs'!C23</f>
        <v>4.3099999999999996</v>
      </c>
      <c r="G10" s="81">
        <f>'Demand Inputs'!D23</f>
        <v>4.4400000000000004</v>
      </c>
      <c r="H10" s="81">
        <f>'Demand Inputs'!E23</f>
        <v>4.57</v>
      </c>
      <c r="I10" s="81">
        <f>'Demand Inputs'!F23</f>
        <v>4.71</v>
      </c>
      <c r="J10" s="81">
        <f>'Demand Inputs'!G23</f>
        <v>4.8499999999999996</v>
      </c>
      <c r="K10" s="81">
        <f>'Demand Inputs'!H23</f>
        <v>5</v>
      </c>
      <c r="L10" s="81">
        <f>'Demand Inputs'!I23</f>
        <v>5.15</v>
      </c>
      <c r="M10" s="81">
        <f>'Demand Inputs'!J23</f>
        <v>5.3</v>
      </c>
      <c r="N10" s="81">
        <f>'Demand Inputs'!K23</f>
        <v>5.46</v>
      </c>
      <c r="O10" s="81">
        <f>'Demand Inputs'!L23</f>
        <v>5.62</v>
      </c>
      <c r="P10" s="81">
        <f>'Demand Inputs'!M23</f>
        <v>5.79</v>
      </c>
      <c r="Q10" s="81">
        <f>'Demand Inputs'!N23</f>
        <v>5.96</v>
      </c>
      <c r="R10" s="81">
        <f>'Demand Inputs'!O23</f>
        <v>6.14</v>
      </c>
      <c r="S10" s="81">
        <f>'Demand Inputs'!P23</f>
        <v>6.32</v>
      </c>
      <c r="T10" s="81">
        <f>'Demand Inputs'!Q23</f>
        <v>6.51</v>
      </c>
      <c r="U10" s="81">
        <f>'Demand Inputs'!R23</f>
        <v>6.71</v>
      </c>
      <c r="V10" s="81">
        <f>'Demand Inputs'!S23</f>
        <v>6.91</v>
      </c>
      <c r="W10" s="81">
        <f>'Demand Inputs'!T23</f>
        <v>7.12</v>
      </c>
      <c r="X10" s="81">
        <f>'Demand Inputs'!U23</f>
        <v>7.33</v>
      </c>
      <c r="Y10" s="81">
        <f>'Demand Inputs'!V23</f>
        <v>7.55</v>
      </c>
      <c r="Z10" s="81">
        <f>'Demand Inputs'!W23</f>
        <v>7.78</v>
      </c>
      <c r="AA10" s="81">
        <f>'Demand Inputs'!X23</f>
        <v>8.01</v>
      </c>
      <c r="AB10" s="81">
        <f>'Demand Inputs'!Y23</f>
        <v>8.25</v>
      </c>
      <c r="AC10" s="81">
        <f>'Demand Inputs'!Z23</f>
        <v>8.5</v>
      </c>
      <c r="AD10" s="81">
        <f>'Demand Inputs'!AA23</f>
        <v>8.76</v>
      </c>
      <c r="AE10" s="81">
        <f>'Demand Inputs'!AB23</f>
        <v>9.02</v>
      </c>
      <c r="AF10" s="81">
        <f>'Demand Inputs'!AC23</f>
        <v>9.2899999999999991</v>
      </c>
      <c r="AG10" s="81">
        <f>'Demand Inputs'!AD23</f>
        <v>9.57</v>
      </c>
      <c r="AH10" s="81">
        <f>'Demand Inputs'!AE23</f>
        <v>9.86</v>
      </c>
      <c r="AI10" s="81">
        <f>'Demand Inputs'!AF23</f>
        <v>10.16</v>
      </c>
      <c r="AJ10" s="81">
        <f>'Demand Inputs'!AG23</f>
        <v>10.46</v>
      </c>
      <c r="AK10" s="81">
        <f>'Demand Inputs'!AH23</f>
        <v>10.77</v>
      </c>
      <c r="AL10" s="81">
        <f>'Demand Inputs'!AI23</f>
        <v>11.09</v>
      </c>
      <c r="AM10" s="81">
        <f>'Demand Inputs'!AJ23</f>
        <v>11.42</v>
      </c>
      <c r="AN10" s="81">
        <f>'Demand Inputs'!AK23</f>
        <v>11.76</v>
      </c>
      <c r="AO10" s="81">
        <f>'Demand Inputs'!AL23</f>
        <v>12.11</v>
      </c>
      <c r="AP10" s="81">
        <f>'Demand Inputs'!AM23</f>
        <v>12.47</v>
      </c>
      <c r="AQ10" s="81">
        <f>'Demand Inputs'!AN23</f>
        <v>12.84</v>
      </c>
      <c r="AR10" s="81">
        <f>'Demand Inputs'!AO23</f>
        <v>13.23</v>
      </c>
      <c r="AS10" s="81">
        <f>'Demand Inputs'!AP23</f>
        <v>13.63</v>
      </c>
    </row>
    <row r="11" spans="1:89" x14ac:dyDescent="0.4">
      <c r="A11" s="71"/>
      <c r="E11" s="98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</row>
    <row r="12" spans="1:89" s="15" customFormat="1" x14ac:dyDescent="0.4">
      <c r="A12" s="106" t="s">
        <v>32</v>
      </c>
      <c r="E12" s="129"/>
      <c r="F12" s="15">
        <f>'Demand Inputs'!C33</f>
        <v>122294823.97839999</v>
      </c>
      <c r="G12" s="15">
        <f>'Demand Inputs'!D33</f>
        <v>124545048.73960255</v>
      </c>
      <c r="H12" s="135">
        <f>'Demand Inputs'!E42</f>
        <v>36500000</v>
      </c>
      <c r="I12" s="135">
        <f>'Demand Inputs'!F42</f>
        <v>36500000</v>
      </c>
      <c r="J12" s="135">
        <f>'Demand Inputs'!G42</f>
        <v>36500000</v>
      </c>
      <c r="K12" s="135">
        <f>'Demand Inputs'!H42</f>
        <v>36500000</v>
      </c>
      <c r="L12" s="135">
        <f>'Demand Inputs'!I42</f>
        <v>36500000</v>
      </c>
      <c r="M12" s="135">
        <f>'Demand Inputs'!J42</f>
        <v>36500000</v>
      </c>
      <c r="N12" s="135">
        <f>'Demand Inputs'!K42</f>
        <v>36500000</v>
      </c>
      <c r="O12" s="135">
        <f>'Demand Inputs'!L42</f>
        <v>36500000</v>
      </c>
      <c r="P12" s="135">
        <f>'Demand Inputs'!M42</f>
        <v>36500000</v>
      </c>
      <c r="Q12" s="135">
        <f>'Demand Inputs'!N42</f>
        <v>36500000</v>
      </c>
      <c r="R12" s="135">
        <f>'Demand Inputs'!O42</f>
        <v>36500000</v>
      </c>
      <c r="S12" s="135">
        <f>'Demand Inputs'!P42</f>
        <v>36500000</v>
      </c>
      <c r="T12" s="135">
        <f>'Demand Inputs'!Q42</f>
        <v>36500000</v>
      </c>
      <c r="U12" s="135">
        <f>'Demand Inputs'!R42</f>
        <v>36500000</v>
      </c>
      <c r="V12" s="135">
        <f>'Demand Inputs'!S42</f>
        <v>36500000</v>
      </c>
      <c r="W12" s="135">
        <f>'Demand Inputs'!T42</f>
        <v>36500000</v>
      </c>
      <c r="X12" s="135">
        <f>'Demand Inputs'!U42</f>
        <v>36500000</v>
      </c>
      <c r="Y12" s="135">
        <f>'Demand Inputs'!V42</f>
        <v>36500000</v>
      </c>
      <c r="Z12" s="135">
        <f>'Demand Inputs'!W42</f>
        <v>36500000</v>
      </c>
      <c r="AA12" s="135">
        <f>'Demand Inputs'!X42</f>
        <v>36500000</v>
      </c>
      <c r="AB12" s="135">
        <f>'Demand Inputs'!Y42</f>
        <v>36500000</v>
      </c>
      <c r="AC12" s="135">
        <f>'Demand Inputs'!Z42</f>
        <v>36500000</v>
      </c>
      <c r="AD12" s="135">
        <f>'Demand Inputs'!AA42</f>
        <v>36500000</v>
      </c>
      <c r="AE12" s="135">
        <f>'Demand Inputs'!AB42</f>
        <v>36500000</v>
      </c>
      <c r="AF12" s="135">
        <f>'Demand Inputs'!AC42</f>
        <v>36500000</v>
      </c>
      <c r="AG12" s="135">
        <f>'Demand Inputs'!AD42</f>
        <v>36500000</v>
      </c>
      <c r="AH12" s="135">
        <f>'Demand Inputs'!AE42</f>
        <v>36500000</v>
      </c>
      <c r="AI12" s="135">
        <f>'Demand Inputs'!AF42</f>
        <v>36500000</v>
      </c>
      <c r="AJ12" s="135">
        <f>'Demand Inputs'!AG42</f>
        <v>36500000</v>
      </c>
      <c r="AK12" s="135">
        <f>'Demand Inputs'!AH42</f>
        <v>36500000</v>
      </c>
      <c r="AL12" s="135">
        <f>'Demand Inputs'!AI42</f>
        <v>36500000</v>
      </c>
      <c r="AM12" s="135">
        <f>'Demand Inputs'!AJ42</f>
        <v>36500000</v>
      </c>
      <c r="AN12" s="135">
        <f>'Demand Inputs'!AK42</f>
        <v>36500000</v>
      </c>
      <c r="AO12" s="135">
        <f>'Demand Inputs'!AL42</f>
        <v>36500000</v>
      </c>
      <c r="AP12" s="135">
        <f>'Demand Inputs'!AM42</f>
        <v>36500000</v>
      </c>
      <c r="AQ12" s="135">
        <f>'Demand Inputs'!AN42</f>
        <v>36500000</v>
      </c>
      <c r="AR12" s="135">
        <f>'Demand Inputs'!AO42</f>
        <v>36500000</v>
      </c>
      <c r="AS12" s="135">
        <f>'Demand Inputs'!AP42</f>
        <v>36500000</v>
      </c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9" x14ac:dyDescent="0.4">
      <c r="A13" s="106" t="s">
        <v>33</v>
      </c>
      <c r="E13" s="129"/>
      <c r="F13" s="15">
        <f>'Demand Inputs'!C34</f>
        <v>69921365.840000004</v>
      </c>
      <c r="G13" s="15">
        <f>'Demand Inputs'!D34</f>
        <v>71207918.971456006</v>
      </c>
      <c r="H13" s="135">
        <f>'Demand Inputs'!E43</f>
        <v>36500000</v>
      </c>
      <c r="I13" s="135">
        <f>'Demand Inputs'!F43</f>
        <v>36500000</v>
      </c>
      <c r="J13" s="135">
        <f>'Demand Inputs'!G43</f>
        <v>36500000</v>
      </c>
      <c r="K13" s="135">
        <f>'Demand Inputs'!H43</f>
        <v>36500000</v>
      </c>
      <c r="L13" s="135">
        <f>'Demand Inputs'!I43</f>
        <v>36500000</v>
      </c>
      <c r="M13" s="135">
        <f>'Demand Inputs'!J43</f>
        <v>36500000</v>
      </c>
      <c r="N13" s="135">
        <f>'Demand Inputs'!K43</f>
        <v>36500000</v>
      </c>
      <c r="O13" s="135">
        <f>'Demand Inputs'!L43</f>
        <v>36500000</v>
      </c>
      <c r="P13" s="135">
        <f>'Demand Inputs'!M43</f>
        <v>36500000</v>
      </c>
      <c r="Q13" s="135">
        <f>'Demand Inputs'!N43</f>
        <v>36500000</v>
      </c>
      <c r="R13" s="135">
        <f>'Demand Inputs'!O43</f>
        <v>36500000</v>
      </c>
      <c r="S13" s="135">
        <f>'Demand Inputs'!P43</f>
        <v>36500000</v>
      </c>
      <c r="T13" s="135">
        <f>'Demand Inputs'!Q43</f>
        <v>36500000</v>
      </c>
      <c r="U13" s="135">
        <f>'Demand Inputs'!R43</f>
        <v>36500000</v>
      </c>
      <c r="V13" s="135">
        <f>'Demand Inputs'!S43</f>
        <v>36500000</v>
      </c>
      <c r="W13" s="135">
        <f>'Demand Inputs'!T43</f>
        <v>36500000</v>
      </c>
      <c r="X13" s="135">
        <f>'Demand Inputs'!U43</f>
        <v>36500000</v>
      </c>
      <c r="Y13" s="135">
        <f>'Demand Inputs'!V43</f>
        <v>36500000</v>
      </c>
      <c r="Z13" s="135">
        <f>'Demand Inputs'!W43</f>
        <v>36500000</v>
      </c>
      <c r="AA13" s="135">
        <f>'Demand Inputs'!X43</f>
        <v>36500000</v>
      </c>
      <c r="AB13" s="135">
        <f>'Demand Inputs'!Y43</f>
        <v>36500000</v>
      </c>
      <c r="AC13" s="135">
        <f>'Demand Inputs'!Z43</f>
        <v>36500000</v>
      </c>
      <c r="AD13" s="135">
        <f>'Demand Inputs'!AA43</f>
        <v>36500000</v>
      </c>
      <c r="AE13" s="135">
        <f>'Demand Inputs'!AB43</f>
        <v>36500000</v>
      </c>
      <c r="AF13" s="135">
        <f>'Demand Inputs'!AC43</f>
        <v>36500000</v>
      </c>
      <c r="AG13" s="135">
        <f>'Demand Inputs'!AD43</f>
        <v>36500000</v>
      </c>
      <c r="AH13" s="135">
        <f>'Demand Inputs'!AE43</f>
        <v>36500000</v>
      </c>
      <c r="AI13" s="135">
        <f>'Demand Inputs'!AF43</f>
        <v>36500000</v>
      </c>
      <c r="AJ13" s="135">
        <f>'Demand Inputs'!AG43</f>
        <v>36500000</v>
      </c>
      <c r="AK13" s="135">
        <f>'Demand Inputs'!AH43</f>
        <v>36500000</v>
      </c>
      <c r="AL13" s="135">
        <f>'Demand Inputs'!AI43</f>
        <v>36500000</v>
      </c>
      <c r="AM13" s="135">
        <f>'Demand Inputs'!AJ43</f>
        <v>36500000</v>
      </c>
      <c r="AN13" s="135">
        <f>'Demand Inputs'!AK43</f>
        <v>36500000</v>
      </c>
      <c r="AO13" s="135">
        <f>'Demand Inputs'!AL43</f>
        <v>36500000</v>
      </c>
      <c r="AP13" s="135">
        <f>'Demand Inputs'!AM43</f>
        <v>36500000</v>
      </c>
      <c r="AQ13" s="135">
        <f>'Demand Inputs'!AN43</f>
        <v>36500000</v>
      </c>
      <c r="AR13" s="135">
        <f>'Demand Inputs'!AO43</f>
        <v>36500000</v>
      </c>
      <c r="AS13" s="135">
        <f>'Demand Inputs'!AP43</f>
        <v>36500000</v>
      </c>
    </row>
    <row r="14" spans="1:89" x14ac:dyDescent="0.4">
      <c r="A14" s="106" t="s">
        <v>34</v>
      </c>
      <c r="E14" s="129"/>
      <c r="F14" s="15">
        <f>'Demand Inputs'!C35</f>
        <v>12171943.560000001</v>
      </c>
      <c r="G14" s="15">
        <f>'Demand Inputs'!D35</f>
        <v>12395907.321504001</v>
      </c>
      <c r="H14" s="135">
        <f>'Demand Inputs'!E44</f>
        <v>0</v>
      </c>
      <c r="I14" s="135">
        <f>'Demand Inputs'!F44</f>
        <v>0</v>
      </c>
      <c r="J14" s="135">
        <f>'Demand Inputs'!G44</f>
        <v>0</v>
      </c>
      <c r="K14" s="135">
        <f>'Demand Inputs'!H44</f>
        <v>0</v>
      </c>
      <c r="L14" s="135">
        <f>'Demand Inputs'!I44</f>
        <v>0</v>
      </c>
      <c r="M14" s="135">
        <f>'Demand Inputs'!J44</f>
        <v>0</v>
      </c>
      <c r="N14" s="135">
        <f>'Demand Inputs'!K44</f>
        <v>0</v>
      </c>
      <c r="O14" s="135">
        <f>'Demand Inputs'!L44</f>
        <v>0</v>
      </c>
      <c r="P14" s="135">
        <f>'Demand Inputs'!M44</f>
        <v>0</v>
      </c>
      <c r="Q14" s="135">
        <f>'Demand Inputs'!N44</f>
        <v>0</v>
      </c>
      <c r="R14" s="135">
        <f>'Demand Inputs'!O44</f>
        <v>0</v>
      </c>
      <c r="S14" s="135">
        <f>'Demand Inputs'!P44</f>
        <v>0</v>
      </c>
      <c r="T14" s="135">
        <f>'Demand Inputs'!Q44</f>
        <v>0</v>
      </c>
      <c r="U14" s="135">
        <f>'Demand Inputs'!R44</f>
        <v>0</v>
      </c>
      <c r="V14" s="135">
        <f>'Demand Inputs'!S44</f>
        <v>0</v>
      </c>
      <c r="W14" s="135">
        <f>'Demand Inputs'!T44</f>
        <v>0</v>
      </c>
      <c r="X14" s="135">
        <f>'Demand Inputs'!U44</f>
        <v>0</v>
      </c>
      <c r="Y14" s="135">
        <f>'Demand Inputs'!V44</f>
        <v>0</v>
      </c>
      <c r="Z14" s="135">
        <f>'Demand Inputs'!W44</f>
        <v>0</v>
      </c>
      <c r="AA14" s="135">
        <f>'Demand Inputs'!X44</f>
        <v>0</v>
      </c>
      <c r="AB14" s="135">
        <f>'Demand Inputs'!Y44</f>
        <v>0</v>
      </c>
      <c r="AC14" s="135">
        <f>'Demand Inputs'!Z44</f>
        <v>0</v>
      </c>
      <c r="AD14" s="135">
        <f>'Demand Inputs'!AA44</f>
        <v>0</v>
      </c>
      <c r="AE14" s="135">
        <f>'Demand Inputs'!AB44</f>
        <v>0</v>
      </c>
      <c r="AF14" s="135">
        <f>'Demand Inputs'!AC44</f>
        <v>0</v>
      </c>
      <c r="AG14" s="135">
        <f>'Demand Inputs'!AD44</f>
        <v>0</v>
      </c>
      <c r="AH14" s="135">
        <f>'Demand Inputs'!AE44</f>
        <v>0</v>
      </c>
      <c r="AI14" s="135">
        <f>'Demand Inputs'!AF44</f>
        <v>0</v>
      </c>
      <c r="AJ14" s="135">
        <f>'Demand Inputs'!AG44</f>
        <v>0</v>
      </c>
      <c r="AK14" s="135">
        <f>'Demand Inputs'!AH44</f>
        <v>0</v>
      </c>
      <c r="AL14" s="135">
        <f>'Demand Inputs'!AI44</f>
        <v>0</v>
      </c>
      <c r="AM14" s="135">
        <f>'Demand Inputs'!AJ44</f>
        <v>0</v>
      </c>
      <c r="AN14" s="135">
        <f>'Demand Inputs'!AK44</f>
        <v>0</v>
      </c>
      <c r="AO14" s="135">
        <f>'Demand Inputs'!AL44</f>
        <v>0</v>
      </c>
      <c r="AP14" s="135">
        <f>'Demand Inputs'!AM44</f>
        <v>0</v>
      </c>
      <c r="AQ14" s="135">
        <f>'Demand Inputs'!AN44</f>
        <v>0</v>
      </c>
      <c r="AR14" s="135">
        <f>'Demand Inputs'!AO44</f>
        <v>0</v>
      </c>
      <c r="AS14" s="135">
        <f>'Demand Inputs'!AP44</f>
        <v>0</v>
      </c>
    </row>
    <row r="15" spans="1:89" x14ac:dyDescent="0.4">
      <c r="A15" s="106" t="s">
        <v>35</v>
      </c>
      <c r="E15" s="129"/>
      <c r="F15" s="15">
        <f>'Demand Inputs'!C36</f>
        <v>179778284.62779999</v>
      </c>
      <c r="G15" s="15">
        <f>'Demand Inputs'!D36</f>
        <v>183086205.06495151</v>
      </c>
      <c r="H15" s="135">
        <f>'Demand Inputs'!E45</f>
        <v>109500000</v>
      </c>
      <c r="I15" s="135">
        <f>'Demand Inputs'!F45</f>
        <v>109500000</v>
      </c>
      <c r="J15" s="135">
        <f>'Demand Inputs'!G45</f>
        <v>109500000</v>
      </c>
      <c r="K15" s="135">
        <f>'Demand Inputs'!H45</f>
        <v>109500000</v>
      </c>
      <c r="L15" s="135">
        <f>'Demand Inputs'!I45</f>
        <v>109500000</v>
      </c>
      <c r="M15" s="135">
        <f>'Demand Inputs'!J45</f>
        <v>109500000</v>
      </c>
      <c r="N15" s="135">
        <f>'Demand Inputs'!K45</f>
        <v>109500000</v>
      </c>
      <c r="O15" s="135">
        <f>'Demand Inputs'!L45</f>
        <v>109500000</v>
      </c>
      <c r="P15" s="135">
        <f>'Demand Inputs'!M45</f>
        <v>109500000</v>
      </c>
      <c r="Q15" s="135">
        <f>'Demand Inputs'!N45</f>
        <v>109500000</v>
      </c>
      <c r="R15" s="135">
        <f>'Demand Inputs'!O45</f>
        <v>109500000</v>
      </c>
      <c r="S15" s="135">
        <f>'Demand Inputs'!P45</f>
        <v>109500000</v>
      </c>
      <c r="T15" s="135">
        <f>'Demand Inputs'!Q45</f>
        <v>109500000</v>
      </c>
      <c r="U15" s="135">
        <f>'Demand Inputs'!R45</f>
        <v>109500000</v>
      </c>
      <c r="V15" s="135">
        <f>'Demand Inputs'!S45</f>
        <v>109500000</v>
      </c>
      <c r="W15" s="135">
        <f>'Demand Inputs'!T45</f>
        <v>109500000</v>
      </c>
      <c r="X15" s="135">
        <f>'Demand Inputs'!U45</f>
        <v>109500000</v>
      </c>
      <c r="Y15" s="135">
        <f>'Demand Inputs'!V45</f>
        <v>109500000</v>
      </c>
      <c r="Z15" s="135">
        <f>'Demand Inputs'!W45</f>
        <v>109500000</v>
      </c>
      <c r="AA15" s="135">
        <f>'Demand Inputs'!X45</f>
        <v>109500000</v>
      </c>
      <c r="AB15" s="135">
        <f>'Demand Inputs'!Y45</f>
        <v>109500000</v>
      </c>
      <c r="AC15" s="135">
        <f>'Demand Inputs'!Z45</f>
        <v>109500000</v>
      </c>
      <c r="AD15" s="135">
        <f>'Demand Inputs'!AA45</f>
        <v>109500000</v>
      </c>
      <c r="AE15" s="135">
        <f>'Demand Inputs'!AB45</f>
        <v>109500000</v>
      </c>
      <c r="AF15" s="135">
        <f>'Demand Inputs'!AC45</f>
        <v>109500000</v>
      </c>
      <c r="AG15" s="135">
        <f>'Demand Inputs'!AD45</f>
        <v>109500000</v>
      </c>
      <c r="AH15" s="135">
        <f>'Demand Inputs'!AE45</f>
        <v>109500000</v>
      </c>
      <c r="AI15" s="135">
        <f>'Demand Inputs'!AF45</f>
        <v>109500000</v>
      </c>
      <c r="AJ15" s="135">
        <f>'Demand Inputs'!AG45</f>
        <v>109500000</v>
      </c>
      <c r="AK15" s="135">
        <f>'Demand Inputs'!AH45</f>
        <v>109500000</v>
      </c>
      <c r="AL15" s="135">
        <f>'Demand Inputs'!AI45</f>
        <v>109500000</v>
      </c>
      <c r="AM15" s="135">
        <f>'Demand Inputs'!AJ45</f>
        <v>109500000</v>
      </c>
      <c r="AN15" s="135">
        <f>'Demand Inputs'!AK45</f>
        <v>109500000</v>
      </c>
      <c r="AO15" s="135">
        <f>'Demand Inputs'!AL45</f>
        <v>109500000</v>
      </c>
      <c r="AP15" s="135">
        <f>'Demand Inputs'!AM45</f>
        <v>109500000</v>
      </c>
      <c r="AQ15" s="135">
        <f>'Demand Inputs'!AN45</f>
        <v>109500000</v>
      </c>
      <c r="AR15" s="135">
        <f>'Demand Inputs'!AO45</f>
        <v>109500000</v>
      </c>
      <c r="AS15" s="135">
        <f>'Demand Inputs'!AP45</f>
        <v>109500000</v>
      </c>
    </row>
    <row r="16" spans="1:89" x14ac:dyDescent="0.4">
      <c r="A16" s="70" t="s">
        <v>177</v>
      </c>
      <c r="E16" s="43"/>
      <c r="F16" s="109">
        <v>0</v>
      </c>
      <c r="G16" s="109">
        <v>0</v>
      </c>
      <c r="H16" s="109">
        <f>'Demand Inputs'!E98</f>
        <v>36505062</v>
      </c>
      <c r="I16" s="109">
        <f>'Demand Inputs'!F98</f>
        <v>38419128</v>
      </c>
      <c r="J16" s="109">
        <f>'Demand Inputs'!G98</f>
        <v>40381044</v>
      </c>
      <c r="K16" s="109">
        <f>'Demand Inputs'!H98</f>
        <v>75391998</v>
      </c>
      <c r="L16" s="109">
        <f>'Demand Inputs'!I98</f>
        <v>77453178</v>
      </c>
      <c r="M16" s="109">
        <f>'Demand Inputs'!J98</f>
        <v>79565904</v>
      </c>
      <c r="N16" s="109">
        <f>'Demand Inputs'!K98</f>
        <v>81731496</v>
      </c>
      <c r="O16" s="109">
        <f>'Demand Inputs'!L98</f>
        <v>83951208</v>
      </c>
      <c r="P16" s="109">
        <f>'Demand Inputs'!M98</f>
        <v>86407560</v>
      </c>
      <c r="Q16" s="109">
        <f>'Demand Inputs'!N98</f>
        <v>91768718</v>
      </c>
      <c r="R16" s="109">
        <f>'Demand Inputs'!O98</f>
        <v>97263937</v>
      </c>
      <c r="S16" s="109">
        <f>'Demand Inputs'!P98</f>
        <v>102896589</v>
      </c>
      <c r="T16" s="109">
        <f>'Demand Inputs'!Q98</f>
        <v>108669964</v>
      </c>
      <c r="U16" s="109">
        <f>'Demand Inputs'!R98</f>
        <v>114587773</v>
      </c>
      <c r="V16" s="109">
        <f>'Demand Inputs'!S98</f>
        <v>120653397</v>
      </c>
      <c r="W16" s="109">
        <f>'Demand Inputs'!T98</f>
        <v>126870795</v>
      </c>
      <c r="X16" s="109">
        <f>'Demand Inputs'!U98</f>
        <v>141028594</v>
      </c>
      <c r="Y16" s="109">
        <f>'Demand Inputs'!V98</f>
        <v>156742446</v>
      </c>
      <c r="Z16" s="109">
        <f>'Demand Inputs'!W98</f>
        <v>172849144</v>
      </c>
      <c r="AA16" s="109">
        <f>'Demand Inputs'!X98</f>
        <v>189358510</v>
      </c>
      <c r="AB16" s="109">
        <f>'Demand Inputs'!Y98</f>
        <v>206280610</v>
      </c>
      <c r="AC16" s="109">
        <f>'Demand Inputs'!Z98</f>
        <v>223625762</v>
      </c>
      <c r="AD16" s="109">
        <f>'Demand Inputs'!AA98</f>
        <v>241404543</v>
      </c>
      <c r="AE16" s="109">
        <f>'Demand Inputs'!AB98</f>
        <v>259627794</v>
      </c>
      <c r="AF16" s="109">
        <f>'Demand Inputs'!AC98</f>
        <v>278306626</v>
      </c>
      <c r="AG16" s="109">
        <f>'Demand Inputs'!AD98</f>
        <v>297452429</v>
      </c>
      <c r="AH16" s="109">
        <f>'Demand Inputs'!AE98</f>
        <v>317076877</v>
      </c>
      <c r="AI16" s="109">
        <f>'Demand Inputs'!AF98</f>
        <v>337191936</v>
      </c>
      <c r="AJ16" s="109">
        <f>'Demand Inputs'!AG98</f>
        <v>357809872</v>
      </c>
      <c r="AK16" s="109">
        <f>'Demand Inputs'!AH98</f>
        <v>378943256</v>
      </c>
      <c r="AL16" s="109">
        <f>'Demand Inputs'!AI98</f>
        <v>400604975</v>
      </c>
      <c r="AM16" s="109">
        <f>'Demand Inputs'!AJ98</f>
        <v>422808237</v>
      </c>
      <c r="AN16" s="109">
        <f>'Demand Inputs'!AK98</f>
        <v>445566580</v>
      </c>
      <c r="AO16" s="109">
        <f>'Demand Inputs'!AL98</f>
        <v>468893882</v>
      </c>
      <c r="AP16" s="109">
        <f>'Demand Inputs'!AM98</f>
        <v>492804366</v>
      </c>
      <c r="AQ16" s="109">
        <f>'Demand Inputs'!AN98</f>
        <v>517312612</v>
      </c>
      <c r="AR16" s="109">
        <f>'Demand Inputs'!AO98</f>
        <v>542433564</v>
      </c>
      <c r="AS16" s="109">
        <f>'Demand Inputs'!AP98</f>
        <v>568182540</v>
      </c>
    </row>
    <row r="17" spans="1:89" x14ac:dyDescent="0.4">
      <c r="A17" s="70" t="s">
        <v>178</v>
      </c>
      <c r="E17" s="43"/>
      <c r="F17" s="110">
        <f>SUM(F12:F16)</f>
        <v>384166418.00619996</v>
      </c>
      <c r="G17" s="110">
        <f>SUM(G12:G16)</f>
        <v>391235080.09751403</v>
      </c>
      <c r="H17" s="88">
        <f>SUM(H12:H16)</f>
        <v>219005062</v>
      </c>
      <c r="I17" s="88">
        <f t="shared" ref="I17:AS17" si="1">SUM(I12:I16)</f>
        <v>220919128</v>
      </c>
      <c r="J17" s="88">
        <f t="shared" si="1"/>
        <v>222881044</v>
      </c>
      <c r="K17" s="88">
        <f t="shared" si="1"/>
        <v>257891998</v>
      </c>
      <c r="L17" s="88">
        <f t="shared" si="1"/>
        <v>259953178</v>
      </c>
      <c r="M17" s="88">
        <f t="shared" si="1"/>
        <v>262065904</v>
      </c>
      <c r="N17" s="88">
        <f t="shared" si="1"/>
        <v>264231496</v>
      </c>
      <c r="O17" s="88">
        <f t="shared" si="1"/>
        <v>266451208</v>
      </c>
      <c r="P17" s="88">
        <f t="shared" si="1"/>
        <v>268907560</v>
      </c>
      <c r="Q17" s="88">
        <f t="shared" si="1"/>
        <v>274268718</v>
      </c>
      <c r="R17" s="88">
        <f t="shared" si="1"/>
        <v>279763937</v>
      </c>
      <c r="S17" s="88">
        <f t="shared" si="1"/>
        <v>285396589</v>
      </c>
      <c r="T17" s="88">
        <f t="shared" si="1"/>
        <v>291169964</v>
      </c>
      <c r="U17" s="88">
        <f t="shared" si="1"/>
        <v>297087773</v>
      </c>
      <c r="V17" s="88">
        <f t="shared" si="1"/>
        <v>303153397</v>
      </c>
      <c r="W17" s="88">
        <f t="shared" si="1"/>
        <v>309370795</v>
      </c>
      <c r="X17" s="88">
        <f t="shared" si="1"/>
        <v>323528594</v>
      </c>
      <c r="Y17" s="88">
        <f t="shared" si="1"/>
        <v>339242446</v>
      </c>
      <c r="Z17" s="88">
        <f t="shared" si="1"/>
        <v>355349144</v>
      </c>
      <c r="AA17" s="88">
        <f t="shared" si="1"/>
        <v>371858510</v>
      </c>
      <c r="AB17" s="88">
        <f t="shared" si="1"/>
        <v>388780610</v>
      </c>
      <c r="AC17" s="88">
        <f t="shared" si="1"/>
        <v>406125762</v>
      </c>
      <c r="AD17" s="88">
        <f t="shared" si="1"/>
        <v>423904543</v>
      </c>
      <c r="AE17" s="88">
        <f t="shared" si="1"/>
        <v>442127794</v>
      </c>
      <c r="AF17" s="88">
        <f t="shared" si="1"/>
        <v>460806626</v>
      </c>
      <c r="AG17" s="88">
        <f t="shared" si="1"/>
        <v>479952429</v>
      </c>
      <c r="AH17" s="88">
        <f t="shared" si="1"/>
        <v>499576877</v>
      </c>
      <c r="AI17" s="88">
        <f t="shared" si="1"/>
        <v>519691936</v>
      </c>
      <c r="AJ17" s="88">
        <f t="shared" si="1"/>
        <v>540309872</v>
      </c>
      <c r="AK17" s="88">
        <f t="shared" si="1"/>
        <v>561443256</v>
      </c>
      <c r="AL17" s="88">
        <f t="shared" si="1"/>
        <v>583104975</v>
      </c>
      <c r="AM17" s="88">
        <f t="shared" si="1"/>
        <v>605308237</v>
      </c>
      <c r="AN17" s="88">
        <f t="shared" si="1"/>
        <v>628066580</v>
      </c>
      <c r="AO17" s="88">
        <f t="shared" si="1"/>
        <v>651393882</v>
      </c>
      <c r="AP17" s="88">
        <f t="shared" si="1"/>
        <v>675304366</v>
      </c>
      <c r="AQ17" s="88">
        <f t="shared" si="1"/>
        <v>699812612</v>
      </c>
      <c r="AR17" s="88">
        <f t="shared" si="1"/>
        <v>724933564</v>
      </c>
      <c r="AS17" s="88">
        <f t="shared" si="1"/>
        <v>750682540</v>
      </c>
    </row>
    <row r="18" spans="1:89" x14ac:dyDescent="0.4">
      <c r="E18" s="43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</row>
    <row r="19" spans="1:89" x14ac:dyDescent="0.4">
      <c r="A19" s="106" t="s">
        <v>179</v>
      </c>
      <c r="E19" s="43"/>
      <c r="F19" s="132">
        <f>ROUND(F6*F12/1000,0)</f>
        <v>439038</v>
      </c>
      <c r="G19" s="132">
        <f>ROUND(G6*G12/1000,0)</f>
        <v>460817</v>
      </c>
      <c r="H19" s="132">
        <f t="shared" ref="H19:AS19" si="2">ROUND(H6*H12/1000,0)</f>
        <v>139065</v>
      </c>
      <c r="I19" s="132">
        <f t="shared" si="2"/>
        <v>143080</v>
      </c>
      <c r="J19" s="132">
        <f t="shared" si="2"/>
        <v>147460</v>
      </c>
      <c r="K19" s="132">
        <f t="shared" si="2"/>
        <v>151840</v>
      </c>
      <c r="L19" s="132">
        <f t="shared" si="2"/>
        <v>156220</v>
      </c>
      <c r="M19" s="132">
        <f t="shared" si="2"/>
        <v>160965</v>
      </c>
      <c r="N19" s="132">
        <f t="shared" si="2"/>
        <v>165710</v>
      </c>
      <c r="O19" s="132">
        <f t="shared" si="2"/>
        <v>170820</v>
      </c>
      <c r="P19" s="132">
        <f t="shared" si="2"/>
        <v>175930</v>
      </c>
      <c r="Q19" s="132">
        <f t="shared" si="2"/>
        <v>181040</v>
      </c>
      <c r="R19" s="132">
        <f t="shared" si="2"/>
        <v>186515</v>
      </c>
      <c r="S19" s="132">
        <f t="shared" si="2"/>
        <v>191990</v>
      </c>
      <c r="T19" s="132">
        <f t="shared" si="2"/>
        <v>197830</v>
      </c>
      <c r="U19" s="132">
        <f t="shared" si="2"/>
        <v>203670</v>
      </c>
      <c r="V19" s="132">
        <f t="shared" si="2"/>
        <v>209875</v>
      </c>
      <c r="W19" s="132">
        <f t="shared" si="2"/>
        <v>216080</v>
      </c>
      <c r="X19" s="132">
        <f t="shared" si="2"/>
        <v>222650</v>
      </c>
      <c r="Y19" s="132">
        <f t="shared" si="2"/>
        <v>229220</v>
      </c>
      <c r="Z19" s="132">
        <f t="shared" si="2"/>
        <v>236155</v>
      </c>
      <c r="AA19" s="132">
        <f t="shared" si="2"/>
        <v>243090</v>
      </c>
      <c r="AB19" s="132">
        <f t="shared" si="2"/>
        <v>250390</v>
      </c>
      <c r="AC19" s="132">
        <f t="shared" si="2"/>
        <v>258055</v>
      </c>
      <c r="AD19" s="132">
        <f t="shared" si="2"/>
        <v>265720</v>
      </c>
      <c r="AE19" s="132">
        <f t="shared" si="2"/>
        <v>273750</v>
      </c>
      <c r="AF19" s="132">
        <f t="shared" si="2"/>
        <v>282145</v>
      </c>
      <c r="AG19" s="132">
        <f t="shared" si="2"/>
        <v>290540</v>
      </c>
      <c r="AH19" s="132">
        <f t="shared" si="2"/>
        <v>299300</v>
      </c>
      <c r="AI19" s="132">
        <f t="shared" si="2"/>
        <v>308425</v>
      </c>
      <c r="AJ19" s="132">
        <f t="shared" si="2"/>
        <v>317550</v>
      </c>
      <c r="AK19" s="132">
        <f t="shared" si="2"/>
        <v>327040</v>
      </c>
      <c r="AL19" s="132">
        <f t="shared" si="2"/>
        <v>336895</v>
      </c>
      <c r="AM19" s="132">
        <f t="shared" si="2"/>
        <v>347115</v>
      </c>
      <c r="AN19" s="132">
        <f t="shared" si="2"/>
        <v>357700</v>
      </c>
      <c r="AO19" s="132">
        <f t="shared" si="2"/>
        <v>368285</v>
      </c>
      <c r="AP19" s="132">
        <f t="shared" si="2"/>
        <v>379235</v>
      </c>
      <c r="AQ19" s="132">
        <f t="shared" si="2"/>
        <v>390550</v>
      </c>
      <c r="AR19" s="132">
        <f t="shared" si="2"/>
        <v>402230</v>
      </c>
      <c r="AS19" s="132">
        <f t="shared" si="2"/>
        <v>414275</v>
      </c>
    </row>
    <row r="20" spans="1:89" x14ac:dyDescent="0.4">
      <c r="A20" s="106" t="s">
        <v>180</v>
      </c>
      <c r="F20" s="132">
        <f t="shared" ref="F20:G23" si="3">ROUND(F7*F13/1000,0)</f>
        <v>308353</v>
      </c>
      <c r="G20" s="132">
        <f t="shared" si="3"/>
        <v>323284</v>
      </c>
      <c r="H20" s="132">
        <f t="shared" ref="H20:AS20" si="4">ROUND(H7*H13/1000,0)</f>
        <v>170820</v>
      </c>
      <c r="I20" s="132">
        <f t="shared" si="4"/>
        <v>175930</v>
      </c>
      <c r="J20" s="132">
        <f t="shared" si="4"/>
        <v>181040</v>
      </c>
      <c r="K20" s="132">
        <f t="shared" si="4"/>
        <v>186515</v>
      </c>
      <c r="L20" s="132">
        <f t="shared" si="4"/>
        <v>191990</v>
      </c>
      <c r="M20" s="132">
        <f t="shared" si="4"/>
        <v>197830</v>
      </c>
      <c r="N20" s="132">
        <f t="shared" si="4"/>
        <v>203670</v>
      </c>
      <c r="O20" s="132">
        <f t="shared" si="4"/>
        <v>209875</v>
      </c>
      <c r="P20" s="132">
        <f t="shared" si="4"/>
        <v>216080</v>
      </c>
      <c r="Q20" s="132">
        <f t="shared" si="4"/>
        <v>222650</v>
      </c>
      <c r="R20" s="132">
        <f t="shared" si="4"/>
        <v>229220</v>
      </c>
      <c r="S20" s="132">
        <f t="shared" si="4"/>
        <v>236155</v>
      </c>
      <c r="T20" s="132">
        <f t="shared" si="4"/>
        <v>243090</v>
      </c>
      <c r="U20" s="132">
        <f t="shared" si="4"/>
        <v>250390</v>
      </c>
      <c r="V20" s="132">
        <f t="shared" si="4"/>
        <v>258055</v>
      </c>
      <c r="W20" s="132">
        <f t="shared" si="4"/>
        <v>265720</v>
      </c>
      <c r="X20" s="132">
        <f t="shared" si="4"/>
        <v>273750</v>
      </c>
      <c r="Y20" s="132">
        <f t="shared" si="4"/>
        <v>282145</v>
      </c>
      <c r="Z20" s="132">
        <f t="shared" si="4"/>
        <v>290540</v>
      </c>
      <c r="AA20" s="132">
        <f t="shared" si="4"/>
        <v>299300</v>
      </c>
      <c r="AB20" s="132">
        <f t="shared" si="4"/>
        <v>308425</v>
      </c>
      <c r="AC20" s="132">
        <f t="shared" si="4"/>
        <v>317550</v>
      </c>
      <c r="AD20" s="132">
        <f t="shared" si="4"/>
        <v>327040</v>
      </c>
      <c r="AE20" s="132">
        <f t="shared" si="4"/>
        <v>336895</v>
      </c>
      <c r="AF20" s="132">
        <f t="shared" si="4"/>
        <v>347115</v>
      </c>
      <c r="AG20" s="132">
        <f t="shared" si="4"/>
        <v>357700</v>
      </c>
      <c r="AH20" s="132">
        <f t="shared" si="4"/>
        <v>368285</v>
      </c>
      <c r="AI20" s="132">
        <f t="shared" si="4"/>
        <v>379235</v>
      </c>
      <c r="AJ20" s="132">
        <f t="shared" si="4"/>
        <v>390550</v>
      </c>
      <c r="AK20" s="132">
        <f t="shared" si="4"/>
        <v>402230</v>
      </c>
      <c r="AL20" s="132">
        <f t="shared" si="4"/>
        <v>414275</v>
      </c>
      <c r="AM20" s="132">
        <f t="shared" si="4"/>
        <v>426685</v>
      </c>
      <c r="AN20" s="132">
        <f t="shared" si="4"/>
        <v>439460</v>
      </c>
      <c r="AO20" s="132">
        <f t="shared" si="4"/>
        <v>452600</v>
      </c>
      <c r="AP20" s="132">
        <f t="shared" si="4"/>
        <v>466105</v>
      </c>
      <c r="AQ20" s="132">
        <f t="shared" si="4"/>
        <v>479975</v>
      </c>
      <c r="AR20" s="132">
        <f t="shared" si="4"/>
        <v>494210</v>
      </c>
      <c r="AS20" s="132">
        <f t="shared" si="4"/>
        <v>509175</v>
      </c>
    </row>
    <row r="21" spans="1:89" x14ac:dyDescent="0.4">
      <c r="A21" s="106" t="s">
        <v>181</v>
      </c>
      <c r="B21" s="15"/>
      <c r="C21" s="15"/>
      <c r="D21" s="15"/>
      <c r="E21" s="129"/>
      <c r="F21" s="132">
        <f t="shared" si="3"/>
        <v>58182</v>
      </c>
      <c r="G21" s="132">
        <f t="shared" si="3"/>
        <v>60988</v>
      </c>
      <c r="H21" s="132">
        <f t="shared" ref="H21:AS21" si="5">ROUND(H8*H14/1000,0)</f>
        <v>0</v>
      </c>
      <c r="I21" s="132">
        <f t="shared" si="5"/>
        <v>0</v>
      </c>
      <c r="J21" s="132">
        <f t="shared" si="5"/>
        <v>0</v>
      </c>
      <c r="K21" s="132">
        <f t="shared" si="5"/>
        <v>0</v>
      </c>
      <c r="L21" s="132">
        <f t="shared" si="5"/>
        <v>0</v>
      </c>
      <c r="M21" s="132">
        <f t="shared" si="5"/>
        <v>0</v>
      </c>
      <c r="N21" s="132">
        <f t="shared" si="5"/>
        <v>0</v>
      </c>
      <c r="O21" s="132">
        <f t="shared" si="5"/>
        <v>0</v>
      </c>
      <c r="P21" s="132">
        <f t="shared" si="5"/>
        <v>0</v>
      </c>
      <c r="Q21" s="132">
        <f t="shared" si="5"/>
        <v>0</v>
      </c>
      <c r="R21" s="132">
        <f t="shared" si="5"/>
        <v>0</v>
      </c>
      <c r="S21" s="132">
        <f t="shared" si="5"/>
        <v>0</v>
      </c>
      <c r="T21" s="132">
        <f t="shared" si="5"/>
        <v>0</v>
      </c>
      <c r="U21" s="132">
        <f t="shared" si="5"/>
        <v>0</v>
      </c>
      <c r="V21" s="132">
        <f t="shared" si="5"/>
        <v>0</v>
      </c>
      <c r="W21" s="132">
        <f t="shared" si="5"/>
        <v>0</v>
      </c>
      <c r="X21" s="132">
        <f t="shared" si="5"/>
        <v>0</v>
      </c>
      <c r="Y21" s="132">
        <f t="shared" si="5"/>
        <v>0</v>
      </c>
      <c r="Z21" s="132">
        <f t="shared" si="5"/>
        <v>0</v>
      </c>
      <c r="AA21" s="132">
        <f t="shared" si="5"/>
        <v>0</v>
      </c>
      <c r="AB21" s="132">
        <f t="shared" si="5"/>
        <v>0</v>
      </c>
      <c r="AC21" s="132">
        <f t="shared" si="5"/>
        <v>0</v>
      </c>
      <c r="AD21" s="132">
        <f t="shared" si="5"/>
        <v>0</v>
      </c>
      <c r="AE21" s="132">
        <f t="shared" si="5"/>
        <v>0</v>
      </c>
      <c r="AF21" s="132">
        <f t="shared" si="5"/>
        <v>0</v>
      </c>
      <c r="AG21" s="132">
        <f t="shared" si="5"/>
        <v>0</v>
      </c>
      <c r="AH21" s="132">
        <f t="shared" si="5"/>
        <v>0</v>
      </c>
      <c r="AI21" s="132">
        <f t="shared" si="5"/>
        <v>0</v>
      </c>
      <c r="AJ21" s="132">
        <f t="shared" si="5"/>
        <v>0</v>
      </c>
      <c r="AK21" s="132">
        <f t="shared" si="5"/>
        <v>0</v>
      </c>
      <c r="AL21" s="132">
        <f t="shared" si="5"/>
        <v>0</v>
      </c>
      <c r="AM21" s="132">
        <f t="shared" si="5"/>
        <v>0</v>
      </c>
      <c r="AN21" s="132">
        <f t="shared" si="5"/>
        <v>0</v>
      </c>
      <c r="AO21" s="132">
        <f t="shared" si="5"/>
        <v>0</v>
      </c>
      <c r="AP21" s="132">
        <f t="shared" si="5"/>
        <v>0</v>
      </c>
      <c r="AQ21" s="132">
        <f t="shared" si="5"/>
        <v>0</v>
      </c>
      <c r="AR21" s="132">
        <f t="shared" si="5"/>
        <v>0</v>
      </c>
      <c r="AS21" s="132">
        <f t="shared" si="5"/>
        <v>0</v>
      </c>
    </row>
    <row r="22" spans="1:89" x14ac:dyDescent="0.4">
      <c r="A22" s="106" t="s">
        <v>182</v>
      </c>
      <c r="E22" s="129"/>
      <c r="F22" s="132">
        <f t="shared" si="3"/>
        <v>850351</v>
      </c>
      <c r="G22" s="132">
        <f t="shared" si="3"/>
        <v>891630</v>
      </c>
      <c r="H22" s="132">
        <f t="shared" ref="H22:AS22" si="6">ROUND(H9*H15/1000,0)</f>
        <v>549690</v>
      </c>
      <c r="I22" s="132">
        <f t="shared" si="6"/>
        <v>566115</v>
      </c>
      <c r="J22" s="132">
        <f t="shared" si="6"/>
        <v>583635</v>
      </c>
      <c r="K22" s="132">
        <f t="shared" si="6"/>
        <v>601155</v>
      </c>
      <c r="L22" s="132">
        <f t="shared" si="6"/>
        <v>618675</v>
      </c>
      <c r="M22" s="132">
        <f t="shared" si="6"/>
        <v>637290</v>
      </c>
      <c r="N22" s="132">
        <f t="shared" si="6"/>
        <v>655905</v>
      </c>
      <c r="O22" s="132">
        <f t="shared" si="6"/>
        <v>675615</v>
      </c>
      <c r="P22" s="132">
        <f t="shared" si="6"/>
        <v>696420</v>
      </c>
      <c r="Q22" s="132">
        <f t="shared" si="6"/>
        <v>717225</v>
      </c>
      <c r="R22" s="132">
        <f t="shared" si="6"/>
        <v>739125</v>
      </c>
      <c r="S22" s="132">
        <f t="shared" si="6"/>
        <v>761025</v>
      </c>
      <c r="T22" s="132">
        <f t="shared" si="6"/>
        <v>784020</v>
      </c>
      <c r="U22" s="132">
        <f t="shared" si="6"/>
        <v>807015</v>
      </c>
      <c r="V22" s="132">
        <f t="shared" si="6"/>
        <v>831105</v>
      </c>
      <c r="W22" s="132">
        <f t="shared" si="6"/>
        <v>856290</v>
      </c>
      <c r="X22" s="132">
        <f t="shared" si="6"/>
        <v>881475</v>
      </c>
      <c r="Y22" s="132">
        <f t="shared" si="6"/>
        <v>907755</v>
      </c>
      <c r="Z22" s="132">
        <f t="shared" si="6"/>
        <v>935130</v>
      </c>
      <c r="AA22" s="132">
        <f t="shared" si="6"/>
        <v>963600</v>
      </c>
      <c r="AB22" s="132">
        <f t="shared" si="6"/>
        <v>992070</v>
      </c>
      <c r="AC22" s="132">
        <f t="shared" si="6"/>
        <v>1021635</v>
      </c>
      <c r="AD22" s="132">
        <f t="shared" si="6"/>
        <v>1052295</v>
      </c>
      <c r="AE22" s="132">
        <f t="shared" si="6"/>
        <v>1084050</v>
      </c>
      <c r="AF22" s="132">
        <f t="shared" si="6"/>
        <v>1116900</v>
      </c>
      <c r="AG22" s="132">
        <f t="shared" si="6"/>
        <v>1150845</v>
      </c>
      <c r="AH22" s="132">
        <f t="shared" si="6"/>
        <v>1185885</v>
      </c>
      <c r="AI22" s="132">
        <f t="shared" si="6"/>
        <v>1220925</v>
      </c>
      <c r="AJ22" s="132">
        <f t="shared" si="6"/>
        <v>1257060</v>
      </c>
      <c r="AK22" s="132">
        <f t="shared" si="6"/>
        <v>1294290</v>
      </c>
      <c r="AL22" s="132">
        <f t="shared" si="6"/>
        <v>1332615</v>
      </c>
      <c r="AM22" s="132">
        <f t="shared" si="6"/>
        <v>1373130</v>
      </c>
      <c r="AN22" s="132">
        <f t="shared" si="6"/>
        <v>1414740</v>
      </c>
      <c r="AO22" s="132">
        <f t="shared" si="6"/>
        <v>1457445</v>
      </c>
      <c r="AP22" s="132">
        <f t="shared" si="6"/>
        <v>1501245</v>
      </c>
      <c r="AQ22" s="132">
        <f t="shared" si="6"/>
        <v>1546140</v>
      </c>
      <c r="AR22" s="132">
        <f t="shared" si="6"/>
        <v>1592130</v>
      </c>
      <c r="AS22" s="132">
        <f t="shared" si="6"/>
        <v>1640310</v>
      </c>
    </row>
    <row r="23" spans="1:89" x14ac:dyDescent="0.4">
      <c r="A23" s="70" t="s">
        <v>183</v>
      </c>
      <c r="E23" s="129"/>
      <c r="F23" s="133">
        <f t="shared" si="3"/>
        <v>0</v>
      </c>
      <c r="G23" s="133">
        <f t="shared" si="3"/>
        <v>0</v>
      </c>
      <c r="H23" s="133">
        <f t="shared" ref="H23:AS23" si="7">ROUND(H10*H16/1000,0)</f>
        <v>166828</v>
      </c>
      <c r="I23" s="133">
        <f t="shared" si="7"/>
        <v>180954</v>
      </c>
      <c r="J23" s="133">
        <f t="shared" si="7"/>
        <v>195848</v>
      </c>
      <c r="K23" s="133">
        <f t="shared" si="7"/>
        <v>376960</v>
      </c>
      <c r="L23" s="133">
        <f t="shared" si="7"/>
        <v>398884</v>
      </c>
      <c r="M23" s="133">
        <f t="shared" si="7"/>
        <v>421699</v>
      </c>
      <c r="N23" s="133">
        <f t="shared" si="7"/>
        <v>446254</v>
      </c>
      <c r="O23" s="133">
        <f t="shared" si="7"/>
        <v>471806</v>
      </c>
      <c r="P23" s="133">
        <f t="shared" si="7"/>
        <v>500300</v>
      </c>
      <c r="Q23" s="133">
        <f t="shared" si="7"/>
        <v>546942</v>
      </c>
      <c r="R23" s="133">
        <f t="shared" si="7"/>
        <v>597201</v>
      </c>
      <c r="S23" s="133">
        <f t="shared" si="7"/>
        <v>650306</v>
      </c>
      <c r="T23" s="133">
        <f t="shared" si="7"/>
        <v>707441</v>
      </c>
      <c r="U23" s="133">
        <f t="shared" si="7"/>
        <v>768884</v>
      </c>
      <c r="V23" s="133">
        <f t="shared" si="7"/>
        <v>833715</v>
      </c>
      <c r="W23" s="133">
        <f t="shared" si="7"/>
        <v>903320</v>
      </c>
      <c r="X23" s="133">
        <f t="shared" si="7"/>
        <v>1033740</v>
      </c>
      <c r="Y23" s="133">
        <f t="shared" si="7"/>
        <v>1183405</v>
      </c>
      <c r="Z23" s="133">
        <f t="shared" si="7"/>
        <v>1344766</v>
      </c>
      <c r="AA23" s="133">
        <f t="shared" si="7"/>
        <v>1516762</v>
      </c>
      <c r="AB23" s="133">
        <f t="shared" si="7"/>
        <v>1701815</v>
      </c>
      <c r="AC23" s="133">
        <f t="shared" si="7"/>
        <v>1900819</v>
      </c>
      <c r="AD23" s="133">
        <f t="shared" si="7"/>
        <v>2114704</v>
      </c>
      <c r="AE23" s="133">
        <f t="shared" si="7"/>
        <v>2341843</v>
      </c>
      <c r="AF23" s="133">
        <f t="shared" si="7"/>
        <v>2585469</v>
      </c>
      <c r="AG23" s="133">
        <f t="shared" si="7"/>
        <v>2846620</v>
      </c>
      <c r="AH23" s="133">
        <f t="shared" si="7"/>
        <v>3126378</v>
      </c>
      <c r="AI23" s="133">
        <f t="shared" si="7"/>
        <v>3425870</v>
      </c>
      <c r="AJ23" s="133">
        <f t="shared" si="7"/>
        <v>3742691</v>
      </c>
      <c r="AK23" s="133">
        <f t="shared" si="7"/>
        <v>4081219</v>
      </c>
      <c r="AL23" s="133">
        <f t="shared" si="7"/>
        <v>4442709</v>
      </c>
      <c r="AM23" s="133">
        <f t="shared" si="7"/>
        <v>4828470</v>
      </c>
      <c r="AN23" s="133">
        <f t="shared" si="7"/>
        <v>5239863</v>
      </c>
      <c r="AO23" s="133">
        <f t="shared" si="7"/>
        <v>5678305</v>
      </c>
      <c r="AP23" s="133">
        <f t="shared" si="7"/>
        <v>6145270</v>
      </c>
      <c r="AQ23" s="133">
        <f t="shared" si="7"/>
        <v>6642294</v>
      </c>
      <c r="AR23" s="133">
        <f t="shared" si="7"/>
        <v>7176396</v>
      </c>
      <c r="AS23" s="133">
        <f t="shared" si="7"/>
        <v>7744328</v>
      </c>
    </row>
    <row r="24" spans="1:89" x14ac:dyDescent="0.4">
      <c r="A24" s="71" t="s">
        <v>184</v>
      </c>
      <c r="E24" s="129"/>
      <c r="F24" s="134">
        <f>SUM(F19:F23)</f>
        <v>1655924</v>
      </c>
      <c r="G24" s="134">
        <f>SUM(G19:G23)</f>
        <v>1736719</v>
      </c>
      <c r="H24" s="134">
        <f t="shared" ref="H24:AS24" si="8">SUM(H19:H23)</f>
        <v>1026403</v>
      </c>
      <c r="I24" s="134">
        <f t="shared" si="8"/>
        <v>1066079</v>
      </c>
      <c r="J24" s="134">
        <f t="shared" si="8"/>
        <v>1107983</v>
      </c>
      <c r="K24" s="134">
        <f t="shared" si="8"/>
        <v>1316470</v>
      </c>
      <c r="L24" s="134">
        <f t="shared" si="8"/>
        <v>1365769</v>
      </c>
      <c r="M24" s="134">
        <f t="shared" si="8"/>
        <v>1417784</v>
      </c>
      <c r="N24" s="134">
        <f t="shared" si="8"/>
        <v>1471539</v>
      </c>
      <c r="O24" s="134">
        <f t="shared" si="8"/>
        <v>1528116</v>
      </c>
      <c r="P24" s="134">
        <f t="shared" si="8"/>
        <v>1588730</v>
      </c>
      <c r="Q24" s="134">
        <f t="shared" si="8"/>
        <v>1667857</v>
      </c>
      <c r="R24" s="134">
        <f t="shared" si="8"/>
        <v>1752061</v>
      </c>
      <c r="S24" s="134">
        <f t="shared" si="8"/>
        <v>1839476</v>
      </c>
      <c r="T24" s="134">
        <f t="shared" si="8"/>
        <v>1932381</v>
      </c>
      <c r="U24" s="134">
        <f t="shared" si="8"/>
        <v>2029959</v>
      </c>
      <c r="V24" s="134">
        <f t="shared" si="8"/>
        <v>2132750</v>
      </c>
      <c r="W24" s="134">
        <f t="shared" si="8"/>
        <v>2241410</v>
      </c>
      <c r="X24" s="134">
        <f t="shared" si="8"/>
        <v>2411615</v>
      </c>
      <c r="Y24" s="134">
        <f t="shared" si="8"/>
        <v>2602525</v>
      </c>
      <c r="Z24" s="134">
        <f t="shared" si="8"/>
        <v>2806591</v>
      </c>
      <c r="AA24" s="134">
        <f t="shared" si="8"/>
        <v>3022752</v>
      </c>
      <c r="AB24" s="134">
        <f t="shared" si="8"/>
        <v>3252700</v>
      </c>
      <c r="AC24" s="134">
        <f t="shared" si="8"/>
        <v>3498059</v>
      </c>
      <c r="AD24" s="134">
        <f t="shared" si="8"/>
        <v>3759759</v>
      </c>
      <c r="AE24" s="134">
        <f t="shared" si="8"/>
        <v>4036538</v>
      </c>
      <c r="AF24" s="134">
        <f t="shared" si="8"/>
        <v>4331629</v>
      </c>
      <c r="AG24" s="134">
        <f t="shared" si="8"/>
        <v>4645705</v>
      </c>
      <c r="AH24" s="134">
        <f t="shared" si="8"/>
        <v>4979848</v>
      </c>
      <c r="AI24" s="134">
        <f t="shared" si="8"/>
        <v>5334455</v>
      </c>
      <c r="AJ24" s="134">
        <f t="shared" si="8"/>
        <v>5707851</v>
      </c>
      <c r="AK24" s="134">
        <f t="shared" si="8"/>
        <v>6104779</v>
      </c>
      <c r="AL24" s="134">
        <f t="shared" si="8"/>
        <v>6526494</v>
      </c>
      <c r="AM24" s="134">
        <f t="shared" si="8"/>
        <v>6975400</v>
      </c>
      <c r="AN24" s="134">
        <f t="shared" si="8"/>
        <v>7451763</v>
      </c>
      <c r="AO24" s="134">
        <f t="shared" si="8"/>
        <v>7956635</v>
      </c>
      <c r="AP24" s="134">
        <f t="shared" si="8"/>
        <v>8491855</v>
      </c>
      <c r="AQ24" s="134">
        <f t="shared" si="8"/>
        <v>9058959</v>
      </c>
      <c r="AR24" s="134">
        <f t="shared" si="8"/>
        <v>9664966</v>
      </c>
      <c r="AS24" s="134">
        <f t="shared" si="8"/>
        <v>10308088</v>
      </c>
    </row>
    <row r="25" spans="1:89" s="22" customFormat="1" x14ac:dyDescent="0.4">
      <c r="A25" s="104"/>
      <c r="E25" s="128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</row>
    <row r="26" spans="1:89" x14ac:dyDescent="0.4">
      <c r="E26" s="82"/>
      <c r="F26" s="82"/>
      <c r="G26" s="82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</row>
    <row r="27" spans="1:89" x14ac:dyDescent="0.4">
      <c r="A27" s="168"/>
      <c r="B27" s="51"/>
      <c r="C27" s="51"/>
      <c r="D27" s="51"/>
      <c r="E27" s="169"/>
      <c r="F27" s="169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</row>
    <row r="28" spans="1:89" x14ac:dyDescent="0.4">
      <c r="E28" s="82"/>
      <c r="F28" s="82"/>
      <c r="G28" s="82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</row>
    <row r="30" spans="1:89" s="15" customFormat="1" ht="18.45" x14ac:dyDescent="0.4">
      <c r="A30" s="233" t="s">
        <v>185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</row>
    <row r="31" spans="1:89" s="118" customFormat="1" ht="18.45" x14ac:dyDescent="0.5">
      <c r="A31" s="117"/>
      <c r="B31" s="204"/>
      <c r="C31" s="204"/>
      <c r="D31" s="204"/>
      <c r="E31" s="204"/>
      <c r="F31" s="204" t="s">
        <v>0</v>
      </c>
      <c r="G31" s="204"/>
      <c r="H31" s="204"/>
      <c r="I31" s="204"/>
      <c r="J31" s="204"/>
      <c r="K31" s="204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</row>
    <row r="32" spans="1:89" s="120" customFormat="1" ht="15.9" x14ac:dyDescent="0.45">
      <c r="A32" s="229" t="s">
        <v>163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</row>
    <row r="33" spans="1:89" s="15" customFormat="1" x14ac:dyDescent="0.4">
      <c r="A33" s="84"/>
      <c r="B33" s="83"/>
      <c r="C33" s="83"/>
      <c r="D33" s="83"/>
      <c r="E33" s="83"/>
      <c r="F33" s="83"/>
      <c r="G33" s="74"/>
      <c r="H33" s="83"/>
      <c r="I33" s="83"/>
      <c r="J33" s="83"/>
      <c r="K33" s="8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</row>
    <row r="34" spans="1:89" s="15" customFormat="1" x14ac:dyDescent="0.4">
      <c r="A34" s="92"/>
      <c r="B34" s="73"/>
      <c r="C34" s="73"/>
      <c r="D34" s="73"/>
      <c r="E34" s="105"/>
      <c r="F34" s="75">
        <v>2026</v>
      </c>
      <c r="G34" s="76">
        <f>F34+1</f>
        <v>2027</v>
      </c>
      <c r="H34" s="76">
        <f t="shared" ref="H34" si="9">G34+1</f>
        <v>2028</v>
      </c>
      <c r="I34" s="76">
        <f t="shared" ref="I34" si="10">H34+1</f>
        <v>2029</v>
      </c>
      <c r="J34" s="76">
        <f t="shared" ref="J34" si="11">I34+1</f>
        <v>2030</v>
      </c>
      <c r="K34" s="76">
        <f t="shared" ref="K34" si="12">J34+1</f>
        <v>2031</v>
      </c>
      <c r="L34" s="76">
        <f t="shared" ref="L34" si="13">K34+1</f>
        <v>2032</v>
      </c>
      <c r="M34" s="76">
        <f t="shared" ref="M34" si="14">L34+1</f>
        <v>2033</v>
      </c>
      <c r="N34" s="76">
        <f t="shared" ref="N34" si="15">M34+1</f>
        <v>2034</v>
      </c>
      <c r="O34" s="76">
        <f t="shared" ref="O34" si="16">N34+1</f>
        <v>2035</v>
      </c>
      <c r="P34" s="76">
        <f t="shared" ref="P34" si="17">O34+1</f>
        <v>2036</v>
      </c>
      <c r="Q34" s="76">
        <f t="shared" ref="Q34" si="18">P34+1</f>
        <v>2037</v>
      </c>
      <c r="R34" s="76">
        <f t="shared" ref="R34" si="19">Q34+1</f>
        <v>2038</v>
      </c>
      <c r="S34" s="76">
        <f t="shared" ref="S34" si="20">R34+1</f>
        <v>2039</v>
      </c>
      <c r="T34" s="76">
        <f t="shared" ref="T34" si="21">S34+1</f>
        <v>2040</v>
      </c>
      <c r="U34" s="76">
        <f t="shared" ref="U34" si="22">T34+1</f>
        <v>2041</v>
      </c>
      <c r="V34" s="76">
        <f t="shared" ref="V34" si="23">U34+1</f>
        <v>2042</v>
      </c>
      <c r="W34" s="76">
        <f t="shared" ref="W34" si="24">V34+1</f>
        <v>2043</v>
      </c>
      <c r="X34" s="76">
        <f t="shared" ref="X34" si="25">W34+1</f>
        <v>2044</v>
      </c>
      <c r="Y34" s="76">
        <f t="shared" ref="Y34" si="26">X34+1</f>
        <v>2045</v>
      </c>
      <c r="Z34" s="76">
        <f t="shared" ref="Z34" si="27">Y34+1</f>
        <v>2046</v>
      </c>
      <c r="AA34" s="76">
        <f t="shared" ref="AA34" si="28">Z34+1</f>
        <v>2047</v>
      </c>
      <c r="AB34" s="76">
        <f t="shared" ref="AB34" si="29">AA34+1</f>
        <v>2048</v>
      </c>
      <c r="AC34" s="76">
        <f t="shared" ref="AC34" si="30">AB34+1</f>
        <v>2049</v>
      </c>
      <c r="AD34" s="76">
        <f t="shared" ref="AD34" si="31">AC34+1</f>
        <v>2050</v>
      </c>
      <c r="AE34" s="76">
        <f t="shared" ref="AE34" si="32">AD34+1</f>
        <v>2051</v>
      </c>
      <c r="AF34" s="76">
        <f t="shared" ref="AF34" si="33">AE34+1</f>
        <v>2052</v>
      </c>
      <c r="AG34" s="76">
        <f t="shared" ref="AG34" si="34">AF34+1</f>
        <v>2053</v>
      </c>
      <c r="AH34" s="76">
        <f t="shared" ref="AH34" si="35">AG34+1</f>
        <v>2054</v>
      </c>
      <c r="AI34" s="76">
        <f t="shared" ref="AI34" si="36">AH34+1</f>
        <v>2055</v>
      </c>
      <c r="AJ34" s="76">
        <f t="shared" ref="AJ34" si="37">AI34+1</f>
        <v>2056</v>
      </c>
      <c r="AK34" s="76">
        <f t="shared" ref="AK34" si="38">AJ34+1</f>
        <v>2057</v>
      </c>
      <c r="AL34" s="76">
        <f t="shared" ref="AL34" si="39">AK34+1</f>
        <v>2058</v>
      </c>
      <c r="AM34" s="76">
        <f t="shared" ref="AM34" si="40">AL34+1</f>
        <v>2059</v>
      </c>
      <c r="AN34" s="76">
        <f t="shared" ref="AN34" si="41">AM34+1</f>
        <v>2060</v>
      </c>
      <c r="AO34" s="76">
        <f t="shared" ref="AO34" si="42">AN34+1</f>
        <v>2061</v>
      </c>
      <c r="AP34" s="76">
        <f t="shared" ref="AP34" si="43">AO34+1</f>
        <v>2062</v>
      </c>
      <c r="AQ34" s="76">
        <f t="shared" ref="AQ34" si="44">AP34+1</f>
        <v>2063</v>
      </c>
      <c r="AR34" s="76">
        <f t="shared" ref="AR34" si="45">AQ34+1</f>
        <v>2064</v>
      </c>
      <c r="AS34" s="76">
        <f t="shared" ref="AS34" si="46">AR34+1</f>
        <v>2065</v>
      </c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</row>
    <row r="35" spans="1:89" s="15" customFormat="1" x14ac:dyDescent="0.4">
      <c r="A35" s="71" t="s">
        <v>19</v>
      </c>
      <c r="E35" s="126"/>
      <c r="F35" s="81">
        <f>'Demand Inputs'!C18</f>
        <v>3.59</v>
      </c>
      <c r="G35" s="81">
        <f>'Demand Inputs'!D18</f>
        <v>3.7</v>
      </c>
      <c r="H35" s="81">
        <f>'Demand Inputs'!E18</f>
        <v>3.81</v>
      </c>
      <c r="I35" s="81">
        <f>'Demand Inputs'!F18</f>
        <v>3.92</v>
      </c>
      <c r="J35" s="81">
        <f>'Demand Inputs'!G18</f>
        <v>4.04</v>
      </c>
      <c r="K35" s="81">
        <f>'Demand Inputs'!H18</f>
        <v>4.16</v>
      </c>
      <c r="L35" s="81">
        <f>'Demand Inputs'!I18</f>
        <v>4.28</v>
      </c>
      <c r="M35" s="81">
        <f>'Demand Inputs'!J18</f>
        <v>4.41</v>
      </c>
      <c r="N35" s="81">
        <f>'Demand Inputs'!K18</f>
        <v>4.54</v>
      </c>
      <c r="O35" s="81">
        <f>'Demand Inputs'!L18</f>
        <v>4.68</v>
      </c>
      <c r="P35" s="81">
        <f>'Demand Inputs'!M18</f>
        <v>4.82</v>
      </c>
      <c r="Q35" s="81">
        <f>'Demand Inputs'!N18</f>
        <v>4.96</v>
      </c>
      <c r="R35" s="81">
        <f>'Demand Inputs'!O18</f>
        <v>5.1100000000000003</v>
      </c>
      <c r="S35" s="81">
        <f>'Demand Inputs'!P18</f>
        <v>5.26</v>
      </c>
      <c r="T35" s="81">
        <f>'Demand Inputs'!Q18</f>
        <v>5.42</v>
      </c>
      <c r="U35" s="81">
        <f>'Demand Inputs'!R18</f>
        <v>5.58</v>
      </c>
      <c r="V35" s="81">
        <f>'Demand Inputs'!S18</f>
        <v>5.75</v>
      </c>
      <c r="W35" s="81">
        <f>'Demand Inputs'!T18</f>
        <v>5.92</v>
      </c>
      <c r="X35" s="81">
        <f>'Demand Inputs'!U18</f>
        <v>6.1</v>
      </c>
      <c r="Y35" s="81">
        <f>'Demand Inputs'!V18</f>
        <v>6.28</v>
      </c>
      <c r="Z35" s="81">
        <f>'Demand Inputs'!W18</f>
        <v>6.47</v>
      </c>
      <c r="AA35" s="81">
        <f>'Demand Inputs'!X18</f>
        <v>6.66</v>
      </c>
      <c r="AB35" s="81">
        <f>'Demand Inputs'!Y18</f>
        <v>6.86</v>
      </c>
      <c r="AC35" s="81">
        <f>'Demand Inputs'!Z18</f>
        <v>7.07</v>
      </c>
      <c r="AD35" s="81">
        <f>'Demand Inputs'!AA18</f>
        <v>7.28</v>
      </c>
      <c r="AE35" s="81">
        <f>'Demand Inputs'!AB18</f>
        <v>7.5</v>
      </c>
      <c r="AF35" s="81">
        <f>'Demand Inputs'!AC18</f>
        <v>7.73</v>
      </c>
      <c r="AG35" s="81">
        <f>'Demand Inputs'!AD18</f>
        <v>7.96</v>
      </c>
      <c r="AH35" s="81">
        <f>'Demand Inputs'!AE18</f>
        <v>8.1999999999999993</v>
      </c>
      <c r="AI35" s="81">
        <f>'Demand Inputs'!AF18</f>
        <v>8.4499999999999993</v>
      </c>
      <c r="AJ35" s="81">
        <f>'Demand Inputs'!AG18</f>
        <v>8.6999999999999993</v>
      </c>
      <c r="AK35" s="81">
        <f>'Demand Inputs'!AH18</f>
        <v>8.9600000000000009</v>
      </c>
      <c r="AL35" s="81">
        <f>'Demand Inputs'!AI18</f>
        <v>9.23</v>
      </c>
      <c r="AM35" s="81">
        <f>'Demand Inputs'!AJ18</f>
        <v>9.51</v>
      </c>
      <c r="AN35" s="81">
        <f>'Demand Inputs'!AK18</f>
        <v>9.8000000000000007</v>
      </c>
      <c r="AO35" s="81">
        <f>'Demand Inputs'!AL18</f>
        <v>10.09</v>
      </c>
      <c r="AP35" s="81">
        <f>'Demand Inputs'!AM18</f>
        <v>10.39</v>
      </c>
      <c r="AQ35" s="81">
        <f>'Demand Inputs'!AN18</f>
        <v>10.7</v>
      </c>
      <c r="AR35" s="81">
        <f>'Demand Inputs'!AO18</f>
        <v>11.02</v>
      </c>
      <c r="AS35" s="81">
        <f>'Demand Inputs'!AP18</f>
        <v>11.35</v>
      </c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9" x14ac:dyDescent="0.4">
      <c r="A36" s="71" t="s">
        <v>20</v>
      </c>
      <c r="E36" s="98"/>
      <c r="F36" s="81">
        <f>'Demand Inputs'!C19</f>
        <v>4.41</v>
      </c>
      <c r="G36" s="81">
        <f>'Demand Inputs'!D19</f>
        <v>4.54</v>
      </c>
      <c r="H36" s="81">
        <f>'Demand Inputs'!E19</f>
        <v>4.68</v>
      </c>
      <c r="I36" s="81">
        <f>'Demand Inputs'!F19</f>
        <v>4.82</v>
      </c>
      <c r="J36" s="81">
        <f>'Demand Inputs'!G19</f>
        <v>4.96</v>
      </c>
      <c r="K36" s="81">
        <f>'Demand Inputs'!H19</f>
        <v>5.1100000000000003</v>
      </c>
      <c r="L36" s="81">
        <f>'Demand Inputs'!I19</f>
        <v>5.26</v>
      </c>
      <c r="M36" s="81">
        <f>'Demand Inputs'!J19</f>
        <v>5.42</v>
      </c>
      <c r="N36" s="81">
        <f>'Demand Inputs'!K19</f>
        <v>5.58</v>
      </c>
      <c r="O36" s="81">
        <f>'Demand Inputs'!L19</f>
        <v>5.75</v>
      </c>
      <c r="P36" s="81">
        <f>'Demand Inputs'!M19</f>
        <v>5.92</v>
      </c>
      <c r="Q36" s="81">
        <f>'Demand Inputs'!N19</f>
        <v>6.1</v>
      </c>
      <c r="R36" s="81">
        <f>'Demand Inputs'!O19</f>
        <v>6.28</v>
      </c>
      <c r="S36" s="81">
        <f>'Demand Inputs'!P19</f>
        <v>6.47</v>
      </c>
      <c r="T36" s="81">
        <f>'Demand Inputs'!Q19</f>
        <v>6.66</v>
      </c>
      <c r="U36" s="81">
        <f>'Demand Inputs'!R19</f>
        <v>6.86</v>
      </c>
      <c r="V36" s="81">
        <f>'Demand Inputs'!S19</f>
        <v>7.07</v>
      </c>
      <c r="W36" s="81">
        <f>'Demand Inputs'!T19</f>
        <v>7.28</v>
      </c>
      <c r="X36" s="81">
        <f>'Demand Inputs'!U19</f>
        <v>7.5</v>
      </c>
      <c r="Y36" s="81">
        <f>'Demand Inputs'!V19</f>
        <v>7.73</v>
      </c>
      <c r="Z36" s="81">
        <f>'Demand Inputs'!W19</f>
        <v>7.96</v>
      </c>
      <c r="AA36" s="81">
        <f>'Demand Inputs'!X19</f>
        <v>8.1999999999999993</v>
      </c>
      <c r="AB36" s="81">
        <f>'Demand Inputs'!Y19</f>
        <v>8.4499999999999993</v>
      </c>
      <c r="AC36" s="81">
        <f>'Demand Inputs'!Z19</f>
        <v>8.6999999999999993</v>
      </c>
      <c r="AD36" s="81">
        <f>'Demand Inputs'!AA19</f>
        <v>8.9600000000000009</v>
      </c>
      <c r="AE36" s="81">
        <f>'Demand Inputs'!AB19</f>
        <v>9.23</v>
      </c>
      <c r="AF36" s="81">
        <f>'Demand Inputs'!AC19</f>
        <v>9.51</v>
      </c>
      <c r="AG36" s="81">
        <f>'Demand Inputs'!AD19</f>
        <v>9.8000000000000007</v>
      </c>
      <c r="AH36" s="81">
        <f>'Demand Inputs'!AE19</f>
        <v>10.09</v>
      </c>
      <c r="AI36" s="81">
        <f>'Demand Inputs'!AF19</f>
        <v>10.39</v>
      </c>
      <c r="AJ36" s="81">
        <f>'Demand Inputs'!AG19</f>
        <v>10.7</v>
      </c>
      <c r="AK36" s="81">
        <f>'Demand Inputs'!AH19</f>
        <v>11.02</v>
      </c>
      <c r="AL36" s="81">
        <f>'Demand Inputs'!AI19</f>
        <v>11.35</v>
      </c>
      <c r="AM36" s="81">
        <f>'Demand Inputs'!AJ19</f>
        <v>11.69</v>
      </c>
      <c r="AN36" s="81">
        <f>'Demand Inputs'!AK19</f>
        <v>12.04</v>
      </c>
      <c r="AO36" s="81">
        <f>'Demand Inputs'!AL19</f>
        <v>12.4</v>
      </c>
      <c r="AP36" s="81">
        <f>'Demand Inputs'!AM19</f>
        <v>12.77</v>
      </c>
      <c r="AQ36" s="81">
        <f>'Demand Inputs'!AN19</f>
        <v>13.15</v>
      </c>
      <c r="AR36" s="81">
        <f>'Demand Inputs'!AO19</f>
        <v>13.54</v>
      </c>
      <c r="AS36" s="81">
        <f>'Demand Inputs'!AP19</f>
        <v>13.95</v>
      </c>
    </row>
    <row r="37" spans="1:89" s="15" customFormat="1" x14ac:dyDescent="0.4">
      <c r="A37" s="71" t="s">
        <v>21</v>
      </c>
      <c r="B37" s="16"/>
      <c r="C37" s="16"/>
      <c r="D37" s="16"/>
      <c r="E37" s="126"/>
      <c r="F37" s="81">
        <f>'Demand Inputs'!C20</f>
        <v>4.78</v>
      </c>
      <c r="G37" s="81">
        <f>'Demand Inputs'!D20</f>
        <v>4.92</v>
      </c>
      <c r="H37" s="81">
        <f>'Demand Inputs'!E20</f>
        <v>5.07</v>
      </c>
      <c r="I37" s="81">
        <f>'Demand Inputs'!F20</f>
        <v>5.22</v>
      </c>
      <c r="J37" s="81">
        <f>'Demand Inputs'!G20</f>
        <v>5.38</v>
      </c>
      <c r="K37" s="81">
        <f>'Demand Inputs'!H20</f>
        <v>5.54</v>
      </c>
      <c r="L37" s="81">
        <f>'Demand Inputs'!I20</f>
        <v>5.71</v>
      </c>
      <c r="M37" s="81">
        <f>'Demand Inputs'!J20</f>
        <v>5.88</v>
      </c>
      <c r="N37" s="81">
        <f>'Demand Inputs'!K20</f>
        <v>6.06</v>
      </c>
      <c r="O37" s="81">
        <f>'Demand Inputs'!L20</f>
        <v>6.24</v>
      </c>
      <c r="P37" s="81">
        <f>'Demand Inputs'!M20</f>
        <v>6.43</v>
      </c>
      <c r="Q37" s="81">
        <f>'Demand Inputs'!N20</f>
        <v>6.62</v>
      </c>
      <c r="R37" s="81">
        <f>'Demand Inputs'!O20</f>
        <v>6.82</v>
      </c>
      <c r="S37" s="81">
        <f>'Demand Inputs'!P20</f>
        <v>7.02</v>
      </c>
      <c r="T37" s="81">
        <f>'Demand Inputs'!Q20</f>
        <v>7.23</v>
      </c>
      <c r="U37" s="81">
        <f>'Demand Inputs'!R20</f>
        <v>7.45</v>
      </c>
      <c r="V37" s="81">
        <f>'Demand Inputs'!S20</f>
        <v>7.67</v>
      </c>
      <c r="W37" s="81">
        <f>'Demand Inputs'!T20</f>
        <v>7.9</v>
      </c>
      <c r="X37" s="81">
        <f>'Demand Inputs'!U20</f>
        <v>8.14</v>
      </c>
      <c r="Y37" s="81">
        <f>'Demand Inputs'!V20</f>
        <v>8.3800000000000008</v>
      </c>
      <c r="Z37" s="81">
        <f>'Demand Inputs'!W20</f>
        <v>8.6300000000000008</v>
      </c>
      <c r="AA37" s="81">
        <f>'Demand Inputs'!X20</f>
        <v>8.89</v>
      </c>
      <c r="AB37" s="81">
        <f>'Demand Inputs'!Y20</f>
        <v>9.16</v>
      </c>
      <c r="AC37" s="81">
        <f>'Demand Inputs'!Z20</f>
        <v>9.43</v>
      </c>
      <c r="AD37" s="81">
        <f>'Demand Inputs'!AA20</f>
        <v>9.7100000000000009</v>
      </c>
      <c r="AE37" s="81">
        <f>'Demand Inputs'!AB20</f>
        <v>10</v>
      </c>
      <c r="AF37" s="81">
        <f>'Demand Inputs'!AC20</f>
        <v>10.3</v>
      </c>
      <c r="AG37" s="81">
        <f>'Demand Inputs'!AD20</f>
        <v>10.61</v>
      </c>
      <c r="AH37" s="81">
        <f>'Demand Inputs'!AE20</f>
        <v>10.93</v>
      </c>
      <c r="AI37" s="81">
        <f>'Demand Inputs'!AF20</f>
        <v>11.26</v>
      </c>
      <c r="AJ37" s="81">
        <f>'Demand Inputs'!AG20</f>
        <v>11.6</v>
      </c>
      <c r="AK37" s="81">
        <f>'Demand Inputs'!AH20</f>
        <v>11.95</v>
      </c>
      <c r="AL37" s="81">
        <f>'Demand Inputs'!AI20</f>
        <v>12.31</v>
      </c>
      <c r="AM37" s="81">
        <f>'Demand Inputs'!AJ20</f>
        <v>12.68</v>
      </c>
      <c r="AN37" s="81">
        <f>'Demand Inputs'!AK20</f>
        <v>13.06</v>
      </c>
      <c r="AO37" s="81">
        <f>'Demand Inputs'!AL20</f>
        <v>13.45</v>
      </c>
      <c r="AP37" s="81">
        <f>'Demand Inputs'!AM20</f>
        <v>13.85</v>
      </c>
      <c r="AQ37" s="81">
        <f>'Demand Inputs'!AN20</f>
        <v>14.27</v>
      </c>
      <c r="AR37" s="81">
        <f>'Demand Inputs'!AO20</f>
        <v>14.7</v>
      </c>
      <c r="AS37" s="81">
        <f>'Demand Inputs'!AP20</f>
        <v>15.14</v>
      </c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9" x14ac:dyDescent="0.4">
      <c r="A38" s="71" t="s">
        <v>22</v>
      </c>
      <c r="E38" s="98"/>
      <c r="F38" s="81">
        <f>'Demand Inputs'!C21</f>
        <v>4.7300000000000004</v>
      </c>
      <c r="G38" s="81">
        <f>'Demand Inputs'!D21</f>
        <v>4.87</v>
      </c>
      <c r="H38" s="81">
        <f>'Demand Inputs'!E21</f>
        <v>5.0199999999999996</v>
      </c>
      <c r="I38" s="81">
        <f>'Demand Inputs'!F21</f>
        <v>5.17</v>
      </c>
      <c r="J38" s="81">
        <f>'Demand Inputs'!G21</f>
        <v>5.33</v>
      </c>
      <c r="K38" s="81">
        <f>'Demand Inputs'!H21</f>
        <v>5.49</v>
      </c>
      <c r="L38" s="81">
        <f>'Demand Inputs'!I21</f>
        <v>5.65</v>
      </c>
      <c r="M38" s="81">
        <f>'Demand Inputs'!J21</f>
        <v>5.82</v>
      </c>
      <c r="N38" s="81">
        <f>'Demand Inputs'!K21</f>
        <v>5.99</v>
      </c>
      <c r="O38" s="81">
        <f>'Demand Inputs'!L21</f>
        <v>6.17</v>
      </c>
      <c r="P38" s="81">
        <f>'Demand Inputs'!M21</f>
        <v>6.36</v>
      </c>
      <c r="Q38" s="81">
        <f>'Demand Inputs'!N21</f>
        <v>6.55</v>
      </c>
      <c r="R38" s="81">
        <f>'Demand Inputs'!O21</f>
        <v>6.75</v>
      </c>
      <c r="S38" s="81">
        <f>'Demand Inputs'!P21</f>
        <v>6.95</v>
      </c>
      <c r="T38" s="81">
        <f>'Demand Inputs'!Q21</f>
        <v>7.16</v>
      </c>
      <c r="U38" s="81">
        <f>'Demand Inputs'!R21</f>
        <v>7.37</v>
      </c>
      <c r="V38" s="81">
        <f>'Demand Inputs'!S21</f>
        <v>7.59</v>
      </c>
      <c r="W38" s="81">
        <f>'Demand Inputs'!T21</f>
        <v>7.82</v>
      </c>
      <c r="X38" s="81">
        <f>'Demand Inputs'!U21</f>
        <v>8.0500000000000007</v>
      </c>
      <c r="Y38" s="81">
        <f>'Demand Inputs'!V21</f>
        <v>8.2899999999999991</v>
      </c>
      <c r="Z38" s="81">
        <f>'Demand Inputs'!W21</f>
        <v>8.5399999999999991</v>
      </c>
      <c r="AA38" s="81">
        <f>'Demand Inputs'!X21</f>
        <v>8.8000000000000007</v>
      </c>
      <c r="AB38" s="81">
        <f>'Demand Inputs'!Y21</f>
        <v>9.06</v>
      </c>
      <c r="AC38" s="81">
        <f>'Demand Inputs'!Z21</f>
        <v>9.33</v>
      </c>
      <c r="AD38" s="81">
        <f>'Demand Inputs'!AA21</f>
        <v>9.61</v>
      </c>
      <c r="AE38" s="81">
        <f>'Demand Inputs'!AB21</f>
        <v>9.9</v>
      </c>
      <c r="AF38" s="81">
        <f>'Demand Inputs'!AC21</f>
        <v>10.199999999999999</v>
      </c>
      <c r="AG38" s="81">
        <f>'Demand Inputs'!AD21</f>
        <v>10.51</v>
      </c>
      <c r="AH38" s="81">
        <f>'Demand Inputs'!AE21</f>
        <v>10.83</v>
      </c>
      <c r="AI38" s="81">
        <f>'Demand Inputs'!AF21</f>
        <v>11.15</v>
      </c>
      <c r="AJ38" s="81">
        <f>'Demand Inputs'!AG21</f>
        <v>11.48</v>
      </c>
      <c r="AK38" s="81">
        <f>'Demand Inputs'!AH21</f>
        <v>11.82</v>
      </c>
      <c r="AL38" s="81">
        <f>'Demand Inputs'!AI21</f>
        <v>12.17</v>
      </c>
      <c r="AM38" s="81">
        <f>'Demand Inputs'!AJ21</f>
        <v>12.54</v>
      </c>
      <c r="AN38" s="81">
        <f>'Demand Inputs'!AK21</f>
        <v>12.92</v>
      </c>
      <c r="AO38" s="81">
        <f>'Demand Inputs'!AL21</f>
        <v>13.31</v>
      </c>
      <c r="AP38" s="81">
        <f>'Demand Inputs'!AM21</f>
        <v>13.71</v>
      </c>
      <c r="AQ38" s="81">
        <f>'Demand Inputs'!AN21</f>
        <v>14.12</v>
      </c>
      <c r="AR38" s="81">
        <f>'Demand Inputs'!AO21</f>
        <v>14.54</v>
      </c>
      <c r="AS38" s="81">
        <f>'Demand Inputs'!AP21</f>
        <v>14.98</v>
      </c>
    </row>
    <row r="39" spans="1:89" x14ac:dyDescent="0.4">
      <c r="A39" s="71" t="str">
        <f>'Demand Inputs'!A22</f>
        <v>New Pipeline Project Water Purchase Rate - Boone-Florence Water Commission</v>
      </c>
      <c r="E39" s="98"/>
      <c r="F39" s="81">
        <f>'Demand Inputs'!C22</f>
        <v>3.79</v>
      </c>
      <c r="G39" s="81">
        <f>'Demand Inputs'!D22</f>
        <v>3.9</v>
      </c>
      <c r="H39" s="81">
        <f>'Demand Inputs'!E22</f>
        <v>4.0199999999999996</v>
      </c>
      <c r="I39" s="81">
        <f>'Demand Inputs'!F22</f>
        <v>4.1399999999999997</v>
      </c>
      <c r="J39" s="81">
        <f>'Demand Inputs'!G22</f>
        <v>4.26</v>
      </c>
      <c r="K39" s="81">
        <f>'Demand Inputs'!H22</f>
        <v>4.3899999999999997</v>
      </c>
      <c r="L39" s="81">
        <f>'Demand Inputs'!I22</f>
        <v>4.5199999999999996</v>
      </c>
      <c r="M39" s="81">
        <f>'Demand Inputs'!J22</f>
        <v>4.66</v>
      </c>
      <c r="N39" s="81">
        <f>'Demand Inputs'!K22</f>
        <v>4.8</v>
      </c>
      <c r="O39" s="81">
        <f>'Demand Inputs'!L22</f>
        <v>4.9400000000000004</v>
      </c>
      <c r="P39" s="81">
        <f>'Demand Inputs'!M22</f>
        <v>5.09</v>
      </c>
      <c r="Q39" s="81">
        <f>'Demand Inputs'!N22</f>
        <v>5.24</v>
      </c>
      <c r="R39" s="81">
        <f>'Demand Inputs'!O22</f>
        <v>5.4</v>
      </c>
      <c r="S39" s="81">
        <f>'Demand Inputs'!P22</f>
        <v>5.56</v>
      </c>
      <c r="T39" s="81">
        <f>'Demand Inputs'!Q22</f>
        <v>5.73</v>
      </c>
      <c r="U39" s="81">
        <f>'Demand Inputs'!R22</f>
        <v>5.9</v>
      </c>
      <c r="V39" s="81">
        <f>'Demand Inputs'!S22</f>
        <v>6.08</v>
      </c>
      <c r="W39" s="81">
        <f>'Demand Inputs'!T22</f>
        <v>6.26</v>
      </c>
      <c r="X39" s="81">
        <f>'Demand Inputs'!U22</f>
        <v>6.45</v>
      </c>
      <c r="Y39" s="81">
        <f>'Demand Inputs'!V22</f>
        <v>6.64</v>
      </c>
      <c r="Z39" s="81">
        <f>'Demand Inputs'!W22</f>
        <v>6.84</v>
      </c>
      <c r="AA39" s="81">
        <f>'Demand Inputs'!X22</f>
        <v>7.05</v>
      </c>
      <c r="AB39" s="81">
        <f>'Demand Inputs'!Y22</f>
        <v>7.26</v>
      </c>
      <c r="AC39" s="81">
        <f>'Demand Inputs'!Z22</f>
        <v>7.48</v>
      </c>
      <c r="AD39" s="81">
        <f>'Demand Inputs'!AA22</f>
        <v>7.7</v>
      </c>
      <c r="AE39" s="81">
        <f>'Demand Inputs'!AB22</f>
        <v>7.93</v>
      </c>
      <c r="AF39" s="81">
        <f>'Demand Inputs'!AC22</f>
        <v>8.17</v>
      </c>
      <c r="AG39" s="81">
        <f>'Demand Inputs'!AD22</f>
        <v>8.42</v>
      </c>
      <c r="AH39" s="81">
        <f>'Demand Inputs'!AE22</f>
        <v>8.67</v>
      </c>
      <c r="AI39" s="81">
        <f>'Demand Inputs'!AF22</f>
        <v>8.93</v>
      </c>
      <c r="AJ39" s="81">
        <f>'Demand Inputs'!AG22</f>
        <v>9.1999999999999993</v>
      </c>
      <c r="AK39" s="81">
        <f>'Demand Inputs'!AH22</f>
        <v>9.48</v>
      </c>
      <c r="AL39" s="81">
        <f>'Demand Inputs'!AI22</f>
        <v>9.76</v>
      </c>
      <c r="AM39" s="81">
        <f>'Demand Inputs'!AJ22</f>
        <v>10.050000000000001</v>
      </c>
      <c r="AN39" s="81">
        <f>'Demand Inputs'!AK22</f>
        <v>10.35</v>
      </c>
      <c r="AO39" s="81">
        <f>'Demand Inputs'!AL22</f>
        <v>10.66</v>
      </c>
      <c r="AP39" s="81">
        <f>'Demand Inputs'!AM22</f>
        <v>10.98</v>
      </c>
      <c r="AQ39" s="81">
        <f>'Demand Inputs'!AN22</f>
        <v>11.31</v>
      </c>
      <c r="AR39" s="81">
        <f>'Demand Inputs'!AO22</f>
        <v>11.65</v>
      </c>
      <c r="AS39" s="81">
        <f>'Demand Inputs'!AP22</f>
        <v>12</v>
      </c>
    </row>
    <row r="40" spans="1:89" x14ac:dyDescent="0.4">
      <c r="A40" s="71"/>
      <c r="E40" s="98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</row>
    <row r="41" spans="1:89" s="15" customFormat="1" x14ac:dyDescent="0.4">
      <c r="A41" s="106" t="s">
        <v>32</v>
      </c>
      <c r="E41" s="129"/>
      <c r="F41" s="15">
        <f>'Demand Inputs'!C33</f>
        <v>122294823.97839999</v>
      </c>
      <c r="G41" s="15">
        <f>'Demand Inputs'!D33</f>
        <v>124545048.73960255</v>
      </c>
      <c r="H41" s="135">
        <f>'Demand Inputs'!E42</f>
        <v>36500000</v>
      </c>
      <c r="I41" s="135">
        <f>'Demand Inputs'!F42</f>
        <v>36500000</v>
      </c>
      <c r="J41" s="135">
        <f>'Demand Inputs'!G42</f>
        <v>36500000</v>
      </c>
      <c r="K41" s="135">
        <f>'Demand Inputs'!H42</f>
        <v>36500000</v>
      </c>
      <c r="L41" s="135">
        <f>'Demand Inputs'!I42</f>
        <v>36500000</v>
      </c>
      <c r="M41" s="135">
        <f>'Demand Inputs'!J42</f>
        <v>36500000</v>
      </c>
      <c r="N41" s="135">
        <f>'Demand Inputs'!K42</f>
        <v>36500000</v>
      </c>
      <c r="O41" s="135">
        <f>'Demand Inputs'!L42</f>
        <v>36500000</v>
      </c>
      <c r="P41" s="135">
        <f>'Demand Inputs'!M42</f>
        <v>36500000</v>
      </c>
      <c r="Q41" s="135">
        <f>'Demand Inputs'!N42</f>
        <v>36500000</v>
      </c>
      <c r="R41" s="135">
        <f>'Demand Inputs'!O42</f>
        <v>36500000</v>
      </c>
      <c r="S41" s="135">
        <f>'Demand Inputs'!P42</f>
        <v>36500000</v>
      </c>
      <c r="T41" s="135">
        <f>'Demand Inputs'!Q42</f>
        <v>36500000</v>
      </c>
      <c r="U41" s="135">
        <f>'Demand Inputs'!R42</f>
        <v>36500000</v>
      </c>
      <c r="V41" s="135">
        <f>'Demand Inputs'!S42</f>
        <v>36500000</v>
      </c>
      <c r="W41" s="135">
        <f>'Demand Inputs'!T42</f>
        <v>36500000</v>
      </c>
      <c r="X41" s="135">
        <f>'Demand Inputs'!U42</f>
        <v>36500000</v>
      </c>
      <c r="Y41" s="135">
        <f>'Demand Inputs'!V42</f>
        <v>36500000</v>
      </c>
      <c r="Z41" s="135">
        <f>'Demand Inputs'!W42</f>
        <v>36500000</v>
      </c>
      <c r="AA41" s="135">
        <f>'Demand Inputs'!X42</f>
        <v>36500000</v>
      </c>
      <c r="AB41" s="135">
        <f>'Demand Inputs'!Y42</f>
        <v>36500000</v>
      </c>
      <c r="AC41" s="135">
        <f>'Demand Inputs'!Z42</f>
        <v>36500000</v>
      </c>
      <c r="AD41" s="135">
        <f>'Demand Inputs'!AA42</f>
        <v>36500000</v>
      </c>
      <c r="AE41" s="135">
        <f>'Demand Inputs'!AB42</f>
        <v>36500000</v>
      </c>
      <c r="AF41" s="135">
        <f>'Demand Inputs'!AC42</f>
        <v>36500000</v>
      </c>
      <c r="AG41" s="135">
        <f>'Demand Inputs'!AD42</f>
        <v>36500000</v>
      </c>
      <c r="AH41" s="135">
        <f>'Demand Inputs'!AE42</f>
        <v>36500000</v>
      </c>
      <c r="AI41" s="135">
        <f>'Demand Inputs'!AF42</f>
        <v>36500000</v>
      </c>
      <c r="AJ41" s="135">
        <f>'Demand Inputs'!AG42</f>
        <v>36500000</v>
      </c>
      <c r="AK41" s="135">
        <f>'Demand Inputs'!AH42</f>
        <v>36500000</v>
      </c>
      <c r="AL41" s="135">
        <f>'Demand Inputs'!AI42</f>
        <v>36500000</v>
      </c>
      <c r="AM41" s="135">
        <f>'Demand Inputs'!AJ42</f>
        <v>36500000</v>
      </c>
      <c r="AN41" s="135">
        <f>'Demand Inputs'!AK42</f>
        <v>36500000</v>
      </c>
      <c r="AO41" s="135">
        <f>'Demand Inputs'!AL42</f>
        <v>36500000</v>
      </c>
      <c r="AP41" s="135">
        <f>'Demand Inputs'!AM42</f>
        <v>36500000</v>
      </c>
      <c r="AQ41" s="135">
        <f>'Demand Inputs'!AN42</f>
        <v>36500000</v>
      </c>
      <c r="AR41" s="135">
        <f>'Demand Inputs'!AO42</f>
        <v>36500000</v>
      </c>
      <c r="AS41" s="135">
        <f>'Demand Inputs'!AP42</f>
        <v>36500000</v>
      </c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9" x14ac:dyDescent="0.4">
      <c r="A42" s="106" t="s">
        <v>33</v>
      </c>
      <c r="E42" s="129"/>
      <c r="F42" s="15">
        <f>'Demand Inputs'!C34</f>
        <v>69921365.840000004</v>
      </c>
      <c r="G42" s="15">
        <f>'Demand Inputs'!D34</f>
        <v>71207918.971456006</v>
      </c>
      <c r="H42" s="135">
        <f>'Demand Inputs'!E43</f>
        <v>36500000</v>
      </c>
      <c r="I42" s="135">
        <f>'Demand Inputs'!F43</f>
        <v>36500000</v>
      </c>
      <c r="J42" s="135">
        <f>'Demand Inputs'!G43</f>
        <v>36500000</v>
      </c>
      <c r="K42" s="135">
        <f>'Demand Inputs'!H43</f>
        <v>36500000</v>
      </c>
      <c r="L42" s="135">
        <f>'Demand Inputs'!I43</f>
        <v>36500000</v>
      </c>
      <c r="M42" s="135">
        <f>'Demand Inputs'!J43</f>
        <v>36500000</v>
      </c>
      <c r="N42" s="135">
        <f>'Demand Inputs'!K43</f>
        <v>36500000</v>
      </c>
      <c r="O42" s="135">
        <f>'Demand Inputs'!L43</f>
        <v>36500000</v>
      </c>
      <c r="P42" s="135">
        <f>'Demand Inputs'!M43</f>
        <v>36500000</v>
      </c>
      <c r="Q42" s="135">
        <f>'Demand Inputs'!N43</f>
        <v>36500000</v>
      </c>
      <c r="R42" s="135">
        <f>'Demand Inputs'!O43</f>
        <v>36500000</v>
      </c>
      <c r="S42" s="135">
        <f>'Demand Inputs'!P43</f>
        <v>36500000</v>
      </c>
      <c r="T42" s="135">
        <f>'Demand Inputs'!Q43</f>
        <v>36500000</v>
      </c>
      <c r="U42" s="135">
        <f>'Demand Inputs'!R43</f>
        <v>36500000</v>
      </c>
      <c r="V42" s="135">
        <f>'Demand Inputs'!S43</f>
        <v>36500000</v>
      </c>
      <c r="W42" s="135">
        <f>'Demand Inputs'!T43</f>
        <v>36500000</v>
      </c>
      <c r="X42" s="135">
        <f>'Demand Inputs'!U43</f>
        <v>36500000</v>
      </c>
      <c r="Y42" s="135">
        <f>'Demand Inputs'!V43</f>
        <v>36500000</v>
      </c>
      <c r="Z42" s="135">
        <f>'Demand Inputs'!W43</f>
        <v>36500000</v>
      </c>
      <c r="AA42" s="135">
        <f>'Demand Inputs'!X43</f>
        <v>36500000</v>
      </c>
      <c r="AB42" s="135">
        <f>'Demand Inputs'!Y43</f>
        <v>36500000</v>
      </c>
      <c r="AC42" s="135">
        <f>'Demand Inputs'!Z43</f>
        <v>36500000</v>
      </c>
      <c r="AD42" s="135">
        <f>'Demand Inputs'!AA43</f>
        <v>36500000</v>
      </c>
      <c r="AE42" s="135">
        <f>'Demand Inputs'!AB43</f>
        <v>36500000</v>
      </c>
      <c r="AF42" s="135">
        <f>'Demand Inputs'!AC43</f>
        <v>36500000</v>
      </c>
      <c r="AG42" s="135">
        <f>'Demand Inputs'!AD43</f>
        <v>36500000</v>
      </c>
      <c r="AH42" s="135">
        <f>'Demand Inputs'!AE43</f>
        <v>36500000</v>
      </c>
      <c r="AI42" s="135">
        <f>'Demand Inputs'!AF43</f>
        <v>36500000</v>
      </c>
      <c r="AJ42" s="135">
        <f>'Demand Inputs'!AG43</f>
        <v>36500000</v>
      </c>
      <c r="AK42" s="135">
        <f>'Demand Inputs'!AH43</f>
        <v>36500000</v>
      </c>
      <c r="AL42" s="135">
        <f>'Demand Inputs'!AI43</f>
        <v>36500000</v>
      </c>
      <c r="AM42" s="135">
        <f>'Demand Inputs'!AJ43</f>
        <v>36500000</v>
      </c>
      <c r="AN42" s="135">
        <f>'Demand Inputs'!AK43</f>
        <v>36500000</v>
      </c>
      <c r="AO42" s="135">
        <f>'Demand Inputs'!AL43</f>
        <v>36500000</v>
      </c>
      <c r="AP42" s="135">
        <f>'Demand Inputs'!AM43</f>
        <v>36500000</v>
      </c>
      <c r="AQ42" s="135">
        <f>'Demand Inputs'!AN43</f>
        <v>36500000</v>
      </c>
      <c r="AR42" s="135">
        <f>'Demand Inputs'!AO43</f>
        <v>36500000</v>
      </c>
      <c r="AS42" s="135">
        <f>'Demand Inputs'!AP43</f>
        <v>36500000</v>
      </c>
    </row>
    <row r="43" spans="1:89" x14ac:dyDescent="0.4">
      <c r="A43" s="106" t="s">
        <v>34</v>
      </c>
      <c r="E43" s="129"/>
      <c r="F43" s="15">
        <f>'Demand Inputs'!C35</f>
        <v>12171943.560000001</v>
      </c>
      <c r="G43" s="15">
        <f>'Demand Inputs'!D35</f>
        <v>12395907.321504001</v>
      </c>
      <c r="H43" s="135">
        <f>'Demand Inputs'!E44</f>
        <v>0</v>
      </c>
      <c r="I43" s="135">
        <f>'Demand Inputs'!F44</f>
        <v>0</v>
      </c>
      <c r="J43" s="135">
        <f>'Demand Inputs'!G44</f>
        <v>0</v>
      </c>
      <c r="K43" s="135">
        <f>'Demand Inputs'!H44</f>
        <v>0</v>
      </c>
      <c r="L43" s="135">
        <f>'Demand Inputs'!I44</f>
        <v>0</v>
      </c>
      <c r="M43" s="135">
        <f>'Demand Inputs'!J44</f>
        <v>0</v>
      </c>
      <c r="N43" s="135">
        <f>'Demand Inputs'!K44</f>
        <v>0</v>
      </c>
      <c r="O43" s="135">
        <f>'Demand Inputs'!L44</f>
        <v>0</v>
      </c>
      <c r="P43" s="135">
        <f>'Demand Inputs'!M44</f>
        <v>0</v>
      </c>
      <c r="Q43" s="135">
        <f>'Demand Inputs'!N44</f>
        <v>0</v>
      </c>
      <c r="R43" s="135">
        <f>'Demand Inputs'!O44</f>
        <v>0</v>
      </c>
      <c r="S43" s="135">
        <f>'Demand Inputs'!P44</f>
        <v>0</v>
      </c>
      <c r="T43" s="135">
        <f>'Demand Inputs'!Q44</f>
        <v>0</v>
      </c>
      <c r="U43" s="135">
        <f>'Demand Inputs'!R44</f>
        <v>0</v>
      </c>
      <c r="V43" s="135">
        <f>'Demand Inputs'!S44</f>
        <v>0</v>
      </c>
      <c r="W43" s="135">
        <f>'Demand Inputs'!T44</f>
        <v>0</v>
      </c>
      <c r="X43" s="135">
        <f>'Demand Inputs'!U44</f>
        <v>0</v>
      </c>
      <c r="Y43" s="135">
        <f>'Demand Inputs'!V44</f>
        <v>0</v>
      </c>
      <c r="Z43" s="135">
        <f>'Demand Inputs'!W44</f>
        <v>0</v>
      </c>
      <c r="AA43" s="135">
        <f>'Demand Inputs'!X44</f>
        <v>0</v>
      </c>
      <c r="AB43" s="135">
        <f>'Demand Inputs'!Y44</f>
        <v>0</v>
      </c>
      <c r="AC43" s="135">
        <f>'Demand Inputs'!Z44</f>
        <v>0</v>
      </c>
      <c r="AD43" s="135">
        <f>'Demand Inputs'!AA44</f>
        <v>0</v>
      </c>
      <c r="AE43" s="135">
        <f>'Demand Inputs'!AB44</f>
        <v>0</v>
      </c>
      <c r="AF43" s="135">
        <f>'Demand Inputs'!AC44</f>
        <v>0</v>
      </c>
      <c r="AG43" s="135">
        <f>'Demand Inputs'!AD44</f>
        <v>0</v>
      </c>
      <c r="AH43" s="135">
        <f>'Demand Inputs'!AE44</f>
        <v>0</v>
      </c>
      <c r="AI43" s="135">
        <f>'Demand Inputs'!AF44</f>
        <v>0</v>
      </c>
      <c r="AJ43" s="135">
        <f>'Demand Inputs'!AG44</f>
        <v>0</v>
      </c>
      <c r="AK43" s="135">
        <f>'Demand Inputs'!AH44</f>
        <v>0</v>
      </c>
      <c r="AL43" s="135">
        <f>'Demand Inputs'!AI44</f>
        <v>0</v>
      </c>
      <c r="AM43" s="135">
        <f>'Demand Inputs'!AJ44</f>
        <v>0</v>
      </c>
      <c r="AN43" s="135">
        <f>'Demand Inputs'!AK44</f>
        <v>0</v>
      </c>
      <c r="AO43" s="135">
        <f>'Demand Inputs'!AL44</f>
        <v>0</v>
      </c>
      <c r="AP43" s="135">
        <f>'Demand Inputs'!AM44</f>
        <v>0</v>
      </c>
      <c r="AQ43" s="135">
        <f>'Demand Inputs'!AN44</f>
        <v>0</v>
      </c>
      <c r="AR43" s="135">
        <f>'Demand Inputs'!AO44</f>
        <v>0</v>
      </c>
      <c r="AS43" s="135">
        <f>'Demand Inputs'!AP44</f>
        <v>0</v>
      </c>
    </row>
    <row r="44" spans="1:89" x14ac:dyDescent="0.4">
      <c r="A44" s="106" t="s">
        <v>35</v>
      </c>
      <c r="E44" s="129"/>
      <c r="F44" s="15">
        <f>'Demand Inputs'!C36</f>
        <v>179778284.62779999</v>
      </c>
      <c r="G44" s="15">
        <f>'Demand Inputs'!D36</f>
        <v>183086205.06495151</v>
      </c>
      <c r="H44" s="135">
        <f>'Demand Inputs'!E45</f>
        <v>109500000</v>
      </c>
      <c r="I44" s="135">
        <f>'Demand Inputs'!F45</f>
        <v>109500000</v>
      </c>
      <c r="J44" s="135">
        <f>'Demand Inputs'!G45</f>
        <v>109500000</v>
      </c>
      <c r="K44" s="135">
        <f>'Demand Inputs'!H45</f>
        <v>109500000</v>
      </c>
      <c r="L44" s="135">
        <f>'Demand Inputs'!I45</f>
        <v>109500000</v>
      </c>
      <c r="M44" s="135">
        <f>'Demand Inputs'!J45</f>
        <v>109500000</v>
      </c>
      <c r="N44" s="135">
        <f>'Demand Inputs'!K45</f>
        <v>109500000</v>
      </c>
      <c r="O44" s="135">
        <f>'Demand Inputs'!L45</f>
        <v>109500000</v>
      </c>
      <c r="P44" s="135">
        <f>'Demand Inputs'!M45</f>
        <v>109500000</v>
      </c>
      <c r="Q44" s="135">
        <f>'Demand Inputs'!N45</f>
        <v>109500000</v>
      </c>
      <c r="R44" s="135">
        <f>'Demand Inputs'!O45</f>
        <v>109500000</v>
      </c>
      <c r="S44" s="135">
        <f>'Demand Inputs'!P45</f>
        <v>109500000</v>
      </c>
      <c r="T44" s="135">
        <f>'Demand Inputs'!Q45</f>
        <v>109500000</v>
      </c>
      <c r="U44" s="135">
        <f>'Demand Inputs'!R45</f>
        <v>109500000</v>
      </c>
      <c r="V44" s="135">
        <f>'Demand Inputs'!S45</f>
        <v>109500000</v>
      </c>
      <c r="W44" s="135">
        <f>'Demand Inputs'!T45</f>
        <v>109500000</v>
      </c>
      <c r="X44" s="135">
        <f>'Demand Inputs'!U45</f>
        <v>109500000</v>
      </c>
      <c r="Y44" s="135">
        <f>'Demand Inputs'!V45</f>
        <v>109500000</v>
      </c>
      <c r="Z44" s="135">
        <f>'Demand Inputs'!W45</f>
        <v>109500000</v>
      </c>
      <c r="AA44" s="135">
        <f>'Demand Inputs'!X45</f>
        <v>109500000</v>
      </c>
      <c r="AB44" s="135">
        <f>'Demand Inputs'!Y45</f>
        <v>109500000</v>
      </c>
      <c r="AC44" s="135">
        <f>'Demand Inputs'!Z45</f>
        <v>109500000</v>
      </c>
      <c r="AD44" s="135">
        <f>'Demand Inputs'!AA45</f>
        <v>109500000</v>
      </c>
      <c r="AE44" s="135">
        <f>'Demand Inputs'!AB45</f>
        <v>109500000</v>
      </c>
      <c r="AF44" s="135">
        <f>'Demand Inputs'!AC45</f>
        <v>109500000</v>
      </c>
      <c r="AG44" s="135">
        <f>'Demand Inputs'!AD45</f>
        <v>109500000</v>
      </c>
      <c r="AH44" s="135">
        <f>'Demand Inputs'!AE45</f>
        <v>109500000</v>
      </c>
      <c r="AI44" s="135">
        <f>'Demand Inputs'!AF45</f>
        <v>109500000</v>
      </c>
      <c r="AJ44" s="135">
        <f>'Demand Inputs'!AG45</f>
        <v>109500000</v>
      </c>
      <c r="AK44" s="135">
        <f>'Demand Inputs'!AH45</f>
        <v>109500000</v>
      </c>
      <c r="AL44" s="135">
        <f>'Demand Inputs'!AI45</f>
        <v>109500000</v>
      </c>
      <c r="AM44" s="135">
        <f>'Demand Inputs'!AJ45</f>
        <v>109500000</v>
      </c>
      <c r="AN44" s="135">
        <f>'Demand Inputs'!AK45</f>
        <v>109500000</v>
      </c>
      <c r="AO44" s="135">
        <f>'Demand Inputs'!AL45</f>
        <v>109500000</v>
      </c>
      <c r="AP44" s="135">
        <f>'Demand Inputs'!AM45</f>
        <v>109500000</v>
      </c>
      <c r="AQ44" s="135">
        <f>'Demand Inputs'!AN45</f>
        <v>109500000</v>
      </c>
      <c r="AR44" s="135">
        <f>'Demand Inputs'!AO45</f>
        <v>109500000</v>
      </c>
      <c r="AS44" s="135">
        <f>'Demand Inputs'!AP45</f>
        <v>109500000</v>
      </c>
    </row>
    <row r="45" spans="1:89" x14ac:dyDescent="0.4">
      <c r="A45" s="70" t="s">
        <v>177</v>
      </c>
      <c r="E45" s="43"/>
      <c r="F45" s="109">
        <v>0</v>
      </c>
      <c r="G45" s="109">
        <v>0</v>
      </c>
      <c r="H45" s="109">
        <f>'Demand Inputs'!E114</f>
        <v>384384216</v>
      </c>
      <c r="I45" s="109">
        <f>'Demand Inputs'!F114</f>
        <v>394969459</v>
      </c>
      <c r="J45" s="109">
        <f>'Demand Inputs'!G114</f>
        <v>405819333</v>
      </c>
      <c r="K45" s="109">
        <f>'Demand Inputs'!H114</f>
        <v>416940453</v>
      </c>
      <c r="L45" s="109">
        <f>'Demand Inputs'!I114</f>
        <v>428339601</v>
      </c>
      <c r="M45" s="109">
        <f>'Demand Inputs'!J114</f>
        <v>440023728</v>
      </c>
      <c r="N45" s="109">
        <f>'Demand Inputs'!K114</f>
        <v>451999958</v>
      </c>
      <c r="O45" s="109">
        <f>'Demand Inputs'!L114</f>
        <v>464275594</v>
      </c>
      <c r="P45" s="109">
        <f>'Demand Inputs'!M114</f>
        <v>476858121</v>
      </c>
      <c r="Q45" s="109">
        <f>'Demand Inputs'!N114</f>
        <v>489755211</v>
      </c>
      <c r="R45" s="109">
        <f>'Demand Inputs'!O114</f>
        <v>502974728</v>
      </c>
      <c r="S45" s="109">
        <f>'Demand Inputs'!P114</f>
        <v>516524733</v>
      </c>
      <c r="T45" s="109">
        <f>'Demand Inputs'!Q114</f>
        <v>530413488</v>
      </c>
      <c r="U45" s="109">
        <f>'Demand Inputs'!R114</f>
        <v>544649462</v>
      </c>
      <c r="V45" s="109">
        <f>'Demand Inputs'!S114</f>
        <v>559241336</v>
      </c>
      <c r="W45" s="109">
        <f>'Demand Inputs'!T114</f>
        <v>574198007</v>
      </c>
      <c r="X45" s="109">
        <f>'Demand Inputs'!U114</f>
        <v>589528594</v>
      </c>
      <c r="Y45" s="109">
        <f>'Demand Inputs'!V114</f>
        <v>605242446</v>
      </c>
      <c r="Z45" s="109">
        <f>'Demand Inputs'!W114</f>
        <v>621349144</v>
      </c>
      <c r="AA45" s="109">
        <f>'Demand Inputs'!X114</f>
        <v>637858510</v>
      </c>
      <c r="AB45" s="109">
        <f>'Demand Inputs'!Y114</f>
        <v>654780610</v>
      </c>
      <c r="AC45" s="109">
        <f>'Demand Inputs'!Z114</f>
        <v>672125762</v>
      </c>
      <c r="AD45" s="109">
        <f>'Demand Inputs'!AA114</f>
        <v>689904543</v>
      </c>
      <c r="AE45" s="109">
        <f>'Demand Inputs'!AB114</f>
        <v>708127794</v>
      </c>
      <c r="AF45" s="109">
        <f>'Demand Inputs'!AC114</f>
        <v>726806626</v>
      </c>
      <c r="AG45" s="109">
        <f>'Demand Inputs'!AD114</f>
        <v>745952429</v>
      </c>
      <c r="AH45" s="109">
        <f>'Demand Inputs'!AE114</f>
        <v>765576877</v>
      </c>
      <c r="AI45" s="109">
        <f>'Demand Inputs'!AF114</f>
        <v>785691936</v>
      </c>
      <c r="AJ45" s="109">
        <f>'Demand Inputs'!AG114</f>
        <v>806309872</v>
      </c>
      <c r="AK45" s="109">
        <f>'Demand Inputs'!AH114</f>
        <v>827443256</v>
      </c>
      <c r="AL45" s="109">
        <f>'Demand Inputs'!AI114</f>
        <v>849104975</v>
      </c>
      <c r="AM45" s="109">
        <f>'Demand Inputs'!AJ114</f>
        <v>871308237</v>
      </c>
      <c r="AN45" s="109">
        <f>'Demand Inputs'!AK114</f>
        <v>894066580</v>
      </c>
      <c r="AO45" s="109">
        <f>'Demand Inputs'!AL114</f>
        <v>917393882</v>
      </c>
      <c r="AP45" s="109">
        <f>'Demand Inputs'!AM114</f>
        <v>941304366</v>
      </c>
      <c r="AQ45" s="109">
        <f>'Demand Inputs'!AN114</f>
        <v>965812612</v>
      </c>
      <c r="AR45" s="109">
        <f>'Demand Inputs'!AO114</f>
        <v>990933564</v>
      </c>
      <c r="AS45" s="109">
        <f>'Demand Inputs'!AP114</f>
        <v>1016682540</v>
      </c>
    </row>
    <row r="46" spans="1:89" x14ac:dyDescent="0.4">
      <c r="A46" s="70" t="s">
        <v>178</v>
      </c>
      <c r="E46" s="43"/>
      <c r="F46" s="110">
        <f>SUM(F41:F45)</f>
        <v>384166418.00619996</v>
      </c>
      <c r="G46" s="110">
        <f>SUM(G41:G45)</f>
        <v>391235080.09751403</v>
      </c>
      <c r="H46" s="88">
        <f>SUM(H41:H45)</f>
        <v>566884216</v>
      </c>
      <c r="I46" s="88">
        <f t="shared" ref="I46" si="47">SUM(I41:I45)</f>
        <v>577469459</v>
      </c>
      <c r="J46" s="88">
        <f t="shared" ref="J46" si="48">SUM(J41:J45)</f>
        <v>588319333</v>
      </c>
      <c r="K46" s="88">
        <f t="shared" ref="K46" si="49">SUM(K41:K45)</f>
        <v>599440453</v>
      </c>
      <c r="L46" s="88">
        <f t="shared" ref="L46" si="50">SUM(L41:L45)</f>
        <v>610839601</v>
      </c>
      <c r="M46" s="88">
        <f t="shared" ref="M46" si="51">SUM(M41:M45)</f>
        <v>622523728</v>
      </c>
      <c r="N46" s="88">
        <f t="shared" ref="N46" si="52">SUM(N41:N45)</f>
        <v>634499958</v>
      </c>
      <c r="O46" s="88">
        <f t="shared" ref="O46" si="53">SUM(O41:O45)</f>
        <v>646775594</v>
      </c>
      <c r="P46" s="88">
        <f t="shared" ref="P46" si="54">SUM(P41:P45)</f>
        <v>659358121</v>
      </c>
      <c r="Q46" s="88">
        <f t="shared" ref="Q46" si="55">SUM(Q41:Q45)</f>
        <v>672255211</v>
      </c>
      <c r="R46" s="88">
        <f t="shared" ref="R46" si="56">SUM(R41:R45)</f>
        <v>685474728</v>
      </c>
      <c r="S46" s="88">
        <f t="shared" ref="S46" si="57">SUM(S41:S45)</f>
        <v>699024733</v>
      </c>
      <c r="T46" s="88">
        <f t="shared" ref="T46" si="58">SUM(T41:T45)</f>
        <v>712913488</v>
      </c>
      <c r="U46" s="88">
        <f t="shared" ref="U46" si="59">SUM(U41:U45)</f>
        <v>727149462</v>
      </c>
      <c r="V46" s="88">
        <f t="shared" ref="V46" si="60">SUM(V41:V45)</f>
        <v>741741336</v>
      </c>
      <c r="W46" s="88">
        <f t="shared" ref="W46" si="61">SUM(W41:W45)</f>
        <v>756698007</v>
      </c>
      <c r="X46" s="88">
        <f t="shared" ref="X46" si="62">SUM(X41:X45)</f>
        <v>772028594</v>
      </c>
      <c r="Y46" s="88">
        <f t="shared" ref="Y46" si="63">SUM(Y41:Y45)</f>
        <v>787742446</v>
      </c>
      <c r="Z46" s="88">
        <f t="shared" ref="Z46" si="64">SUM(Z41:Z45)</f>
        <v>803849144</v>
      </c>
      <c r="AA46" s="88">
        <f t="shared" ref="AA46" si="65">SUM(AA41:AA45)</f>
        <v>820358510</v>
      </c>
      <c r="AB46" s="88">
        <f t="shared" ref="AB46" si="66">SUM(AB41:AB45)</f>
        <v>837280610</v>
      </c>
      <c r="AC46" s="88">
        <f t="shared" ref="AC46" si="67">SUM(AC41:AC45)</f>
        <v>854625762</v>
      </c>
      <c r="AD46" s="88">
        <f t="shared" ref="AD46" si="68">SUM(AD41:AD45)</f>
        <v>872404543</v>
      </c>
      <c r="AE46" s="88">
        <f t="shared" ref="AE46" si="69">SUM(AE41:AE45)</f>
        <v>890627794</v>
      </c>
      <c r="AF46" s="88">
        <f t="shared" ref="AF46" si="70">SUM(AF41:AF45)</f>
        <v>909306626</v>
      </c>
      <c r="AG46" s="88">
        <f t="shared" ref="AG46" si="71">SUM(AG41:AG45)</f>
        <v>928452429</v>
      </c>
      <c r="AH46" s="88">
        <f t="shared" ref="AH46" si="72">SUM(AH41:AH45)</f>
        <v>948076877</v>
      </c>
      <c r="AI46" s="88">
        <f t="shared" ref="AI46" si="73">SUM(AI41:AI45)</f>
        <v>968191936</v>
      </c>
      <c r="AJ46" s="88">
        <f t="shared" ref="AJ46" si="74">SUM(AJ41:AJ45)</f>
        <v>988809872</v>
      </c>
      <c r="AK46" s="88">
        <f t="shared" ref="AK46" si="75">SUM(AK41:AK45)</f>
        <v>1009943256</v>
      </c>
      <c r="AL46" s="88">
        <f t="shared" ref="AL46" si="76">SUM(AL41:AL45)</f>
        <v>1031604975</v>
      </c>
      <c r="AM46" s="88">
        <f t="shared" ref="AM46" si="77">SUM(AM41:AM45)</f>
        <v>1053808237</v>
      </c>
      <c r="AN46" s="88">
        <f t="shared" ref="AN46" si="78">SUM(AN41:AN45)</f>
        <v>1076566580</v>
      </c>
      <c r="AO46" s="88">
        <f t="shared" ref="AO46" si="79">SUM(AO41:AO45)</f>
        <v>1099893882</v>
      </c>
      <c r="AP46" s="88">
        <f t="shared" ref="AP46" si="80">SUM(AP41:AP45)</f>
        <v>1123804366</v>
      </c>
      <c r="AQ46" s="88">
        <f t="shared" ref="AQ46" si="81">SUM(AQ41:AQ45)</f>
        <v>1148312612</v>
      </c>
      <c r="AR46" s="88">
        <f t="shared" ref="AR46" si="82">SUM(AR41:AR45)</f>
        <v>1173433564</v>
      </c>
      <c r="AS46" s="88">
        <f t="shared" ref="AS46" si="83">SUM(AS41:AS45)</f>
        <v>1199182540</v>
      </c>
    </row>
    <row r="47" spans="1:89" x14ac:dyDescent="0.4">
      <c r="E47" s="43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</row>
    <row r="48" spans="1:89" x14ac:dyDescent="0.4">
      <c r="A48" s="106" t="s">
        <v>179</v>
      </c>
      <c r="E48" s="43"/>
      <c r="F48" s="132">
        <f>ROUND(F35*F41/1000,0)</f>
        <v>439038</v>
      </c>
      <c r="G48" s="132">
        <f>ROUND(G35*G41/1000,0)</f>
        <v>460817</v>
      </c>
      <c r="H48" s="132">
        <f t="shared" ref="H48:AS48" si="84">ROUND(H35*H41/1000,0)</f>
        <v>139065</v>
      </c>
      <c r="I48" s="132">
        <f t="shared" si="84"/>
        <v>143080</v>
      </c>
      <c r="J48" s="132">
        <f t="shared" si="84"/>
        <v>147460</v>
      </c>
      <c r="K48" s="132">
        <f t="shared" si="84"/>
        <v>151840</v>
      </c>
      <c r="L48" s="132">
        <f t="shared" si="84"/>
        <v>156220</v>
      </c>
      <c r="M48" s="132">
        <f t="shared" si="84"/>
        <v>160965</v>
      </c>
      <c r="N48" s="132">
        <f t="shared" si="84"/>
        <v>165710</v>
      </c>
      <c r="O48" s="132">
        <f t="shared" si="84"/>
        <v>170820</v>
      </c>
      <c r="P48" s="132">
        <f t="shared" si="84"/>
        <v>175930</v>
      </c>
      <c r="Q48" s="132">
        <f t="shared" si="84"/>
        <v>181040</v>
      </c>
      <c r="R48" s="132">
        <f t="shared" si="84"/>
        <v>186515</v>
      </c>
      <c r="S48" s="132">
        <f t="shared" si="84"/>
        <v>191990</v>
      </c>
      <c r="T48" s="132">
        <f t="shared" si="84"/>
        <v>197830</v>
      </c>
      <c r="U48" s="132">
        <f t="shared" si="84"/>
        <v>203670</v>
      </c>
      <c r="V48" s="132">
        <f t="shared" si="84"/>
        <v>209875</v>
      </c>
      <c r="W48" s="132">
        <f t="shared" si="84"/>
        <v>216080</v>
      </c>
      <c r="X48" s="132">
        <f t="shared" si="84"/>
        <v>222650</v>
      </c>
      <c r="Y48" s="132">
        <f t="shared" si="84"/>
        <v>229220</v>
      </c>
      <c r="Z48" s="132">
        <f t="shared" si="84"/>
        <v>236155</v>
      </c>
      <c r="AA48" s="132">
        <f t="shared" si="84"/>
        <v>243090</v>
      </c>
      <c r="AB48" s="132">
        <f t="shared" si="84"/>
        <v>250390</v>
      </c>
      <c r="AC48" s="132">
        <f t="shared" si="84"/>
        <v>258055</v>
      </c>
      <c r="AD48" s="132">
        <f t="shared" si="84"/>
        <v>265720</v>
      </c>
      <c r="AE48" s="132">
        <f t="shared" si="84"/>
        <v>273750</v>
      </c>
      <c r="AF48" s="132">
        <f t="shared" si="84"/>
        <v>282145</v>
      </c>
      <c r="AG48" s="132">
        <f t="shared" si="84"/>
        <v>290540</v>
      </c>
      <c r="AH48" s="132">
        <f t="shared" si="84"/>
        <v>299300</v>
      </c>
      <c r="AI48" s="132">
        <f t="shared" si="84"/>
        <v>308425</v>
      </c>
      <c r="AJ48" s="132">
        <f t="shared" si="84"/>
        <v>317550</v>
      </c>
      <c r="AK48" s="132">
        <f t="shared" si="84"/>
        <v>327040</v>
      </c>
      <c r="AL48" s="132">
        <f t="shared" si="84"/>
        <v>336895</v>
      </c>
      <c r="AM48" s="132">
        <f t="shared" si="84"/>
        <v>347115</v>
      </c>
      <c r="AN48" s="132">
        <f t="shared" si="84"/>
        <v>357700</v>
      </c>
      <c r="AO48" s="132">
        <f t="shared" si="84"/>
        <v>368285</v>
      </c>
      <c r="AP48" s="132">
        <f t="shared" si="84"/>
        <v>379235</v>
      </c>
      <c r="AQ48" s="132">
        <f t="shared" si="84"/>
        <v>390550</v>
      </c>
      <c r="AR48" s="132">
        <f t="shared" si="84"/>
        <v>402230</v>
      </c>
      <c r="AS48" s="132">
        <f t="shared" si="84"/>
        <v>414275</v>
      </c>
    </row>
    <row r="49" spans="1:45" x14ac:dyDescent="0.4">
      <c r="A49" s="106" t="s">
        <v>180</v>
      </c>
      <c r="F49" s="132">
        <f t="shared" ref="F49:AS49" si="85">ROUND(F36*F42/1000,0)</f>
        <v>308353</v>
      </c>
      <c r="G49" s="132">
        <f t="shared" si="85"/>
        <v>323284</v>
      </c>
      <c r="H49" s="132">
        <f t="shared" si="85"/>
        <v>170820</v>
      </c>
      <c r="I49" s="132">
        <f t="shared" si="85"/>
        <v>175930</v>
      </c>
      <c r="J49" s="132">
        <f t="shared" si="85"/>
        <v>181040</v>
      </c>
      <c r="K49" s="132">
        <f t="shared" si="85"/>
        <v>186515</v>
      </c>
      <c r="L49" s="132">
        <f t="shared" si="85"/>
        <v>191990</v>
      </c>
      <c r="M49" s="132">
        <f t="shared" si="85"/>
        <v>197830</v>
      </c>
      <c r="N49" s="132">
        <f t="shared" si="85"/>
        <v>203670</v>
      </c>
      <c r="O49" s="132">
        <f t="shared" si="85"/>
        <v>209875</v>
      </c>
      <c r="P49" s="132">
        <f t="shared" si="85"/>
        <v>216080</v>
      </c>
      <c r="Q49" s="132">
        <f t="shared" si="85"/>
        <v>222650</v>
      </c>
      <c r="R49" s="132">
        <f t="shared" si="85"/>
        <v>229220</v>
      </c>
      <c r="S49" s="132">
        <f t="shared" si="85"/>
        <v>236155</v>
      </c>
      <c r="T49" s="132">
        <f t="shared" si="85"/>
        <v>243090</v>
      </c>
      <c r="U49" s="132">
        <f t="shared" si="85"/>
        <v>250390</v>
      </c>
      <c r="V49" s="132">
        <f t="shared" si="85"/>
        <v>258055</v>
      </c>
      <c r="W49" s="132">
        <f t="shared" si="85"/>
        <v>265720</v>
      </c>
      <c r="X49" s="132">
        <f t="shared" si="85"/>
        <v>273750</v>
      </c>
      <c r="Y49" s="132">
        <f t="shared" si="85"/>
        <v>282145</v>
      </c>
      <c r="Z49" s="132">
        <f t="shared" si="85"/>
        <v>290540</v>
      </c>
      <c r="AA49" s="132">
        <f t="shared" si="85"/>
        <v>299300</v>
      </c>
      <c r="AB49" s="132">
        <f t="shared" si="85"/>
        <v>308425</v>
      </c>
      <c r="AC49" s="132">
        <f t="shared" si="85"/>
        <v>317550</v>
      </c>
      <c r="AD49" s="132">
        <f t="shared" si="85"/>
        <v>327040</v>
      </c>
      <c r="AE49" s="132">
        <f t="shared" si="85"/>
        <v>336895</v>
      </c>
      <c r="AF49" s="132">
        <f t="shared" si="85"/>
        <v>347115</v>
      </c>
      <c r="AG49" s="132">
        <f t="shared" si="85"/>
        <v>357700</v>
      </c>
      <c r="AH49" s="132">
        <f t="shared" si="85"/>
        <v>368285</v>
      </c>
      <c r="AI49" s="132">
        <f t="shared" si="85"/>
        <v>379235</v>
      </c>
      <c r="AJ49" s="132">
        <f t="shared" si="85"/>
        <v>390550</v>
      </c>
      <c r="AK49" s="132">
        <f t="shared" si="85"/>
        <v>402230</v>
      </c>
      <c r="AL49" s="132">
        <f t="shared" si="85"/>
        <v>414275</v>
      </c>
      <c r="AM49" s="132">
        <f t="shared" si="85"/>
        <v>426685</v>
      </c>
      <c r="AN49" s="132">
        <f t="shared" si="85"/>
        <v>439460</v>
      </c>
      <c r="AO49" s="132">
        <f t="shared" si="85"/>
        <v>452600</v>
      </c>
      <c r="AP49" s="132">
        <f t="shared" si="85"/>
        <v>466105</v>
      </c>
      <c r="AQ49" s="132">
        <f t="shared" si="85"/>
        <v>479975</v>
      </c>
      <c r="AR49" s="132">
        <f t="shared" si="85"/>
        <v>494210</v>
      </c>
      <c r="AS49" s="132">
        <f t="shared" si="85"/>
        <v>509175</v>
      </c>
    </row>
    <row r="50" spans="1:45" x14ac:dyDescent="0.4">
      <c r="A50" s="106" t="s">
        <v>181</v>
      </c>
      <c r="B50" s="15"/>
      <c r="C50" s="15"/>
      <c r="D50" s="15"/>
      <c r="E50" s="129"/>
      <c r="F50" s="132">
        <f t="shared" ref="F50:AS50" si="86">ROUND(F37*F43/1000,0)</f>
        <v>58182</v>
      </c>
      <c r="G50" s="132">
        <f t="shared" si="86"/>
        <v>60988</v>
      </c>
      <c r="H50" s="132">
        <f t="shared" si="86"/>
        <v>0</v>
      </c>
      <c r="I50" s="132">
        <f t="shared" si="86"/>
        <v>0</v>
      </c>
      <c r="J50" s="132">
        <f t="shared" si="86"/>
        <v>0</v>
      </c>
      <c r="K50" s="132">
        <f t="shared" si="86"/>
        <v>0</v>
      </c>
      <c r="L50" s="132">
        <f t="shared" si="86"/>
        <v>0</v>
      </c>
      <c r="M50" s="132">
        <f t="shared" si="86"/>
        <v>0</v>
      </c>
      <c r="N50" s="132">
        <f t="shared" si="86"/>
        <v>0</v>
      </c>
      <c r="O50" s="132">
        <f t="shared" si="86"/>
        <v>0</v>
      </c>
      <c r="P50" s="132">
        <f t="shared" si="86"/>
        <v>0</v>
      </c>
      <c r="Q50" s="132">
        <f t="shared" si="86"/>
        <v>0</v>
      </c>
      <c r="R50" s="132">
        <f t="shared" si="86"/>
        <v>0</v>
      </c>
      <c r="S50" s="132">
        <f t="shared" si="86"/>
        <v>0</v>
      </c>
      <c r="T50" s="132">
        <f t="shared" si="86"/>
        <v>0</v>
      </c>
      <c r="U50" s="132">
        <f t="shared" si="86"/>
        <v>0</v>
      </c>
      <c r="V50" s="132">
        <f t="shared" si="86"/>
        <v>0</v>
      </c>
      <c r="W50" s="132">
        <f t="shared" si="86"/>
        <v>0</v>
      </c>
      <c r="X50" s="132">
        <f t="shared" si="86"/>
        <v>0</v>
      </c>
      <c r="Y50" s="132">
        <f t="shared" si="86"/>
        <v>0</v>
      </c>
      <c r="Z50" s="132">
        <f t="shared" si="86"/>
        <v>0</v>
      </c>
      <c r="AA50" s="132">
        <f t="shared" si="86"/>
        <v>0</v>
      </c>
      <c r="AB50" s="132">
        <f t="shared" si="86"/>
        <v>0</v>
      </c>
      <c r="AC50" s="132">
        <f t="shared" si="86"/>
        <v>0</v>
      </c>
      <c r="AD50" s="132">
        <f t="shared" si="86"/>
        <v>0</v>
      </c>
      <c r="AE50" s="132">
        <f t="shared" si="86"/>
        <v>0</v>
      </c>
      <c r="AF50" s="132">
        <f t="shared" si="86"/>
        <v>0</v>
      </c>
      <c r="AG50" s="132">
        <f t="shared" si="86"/>
        <v>0</v>
      </c>
      <c r="AH50" s="132">
        <f t="shared" si="86"/>
        <v>0</v>
      </c>
      <c r="AI50" s="132">
        <f t="shared" si="86"/>
        <v>0</v>
      </c>
      <c r="AJ50" s="132">
        <f t="shared" si="86"/>
        <v>0</v>
      </c>
      <c r="AK50" s="132">
        <f t="shared" si="86"/>
        <v>0</v>
      </c>
      <c r="AL50" s="132">
        <f t="shared" si="86"/>
        <v>0</v>
      </c>
      <c r="AM50" s="132">
        <f t="shared" si="86"/>
        <v>0</v>
      </c>
      <c r="AN50" s="132">
        <f t="shared" si="86"/>
        <v>0</v>
      </c>
      <c r="AO50" s="132">
        <f t="shared" si="86"/>
        <v>0</v>
      </c>
      <c r="AP50" s="132">
        <f t="shared" si="86"/>
        <v>0</v>
      </c>
      <c r="AQ50" s="132">
        <f t="shared" si="86"/>
        <v>0</v>
      </c>
      <c r="AR50" s="132">
        <f t="shared" si="86"/>
        <v>0</v>
      </c>
      <c r="AS50" s="132">
        <f t="shared" si="86"/>
        <v>0</v>
      </c>
    </row>
    <row r="51" spans="1:45" x14ac:dyDescent="0.4">
      <c r="A51" s="106" t="s">
        <v>182</v>
      </c>
      <c r="E51" s="129"/>
      <c r="F51" s="132">
        <f t="shared" ref="F51:AS51" si="87">ROUND(F38*F44/1000,0)</f>
        <v>850351</v>
      </c>
      <c r="G51" s="132">
        <f t="shared" si="87"/>
        <v>891630</v>
      </c>
      <c r="H51" s="132">
        <f t="shared" si="87"/>
        <v>549690</v>
      </c>
      <c r="I51" s="132">
        <f t="shared" si="87"/>
        <v>566115</v>
      </c>
      <c r="J51" s="132">
        <f t="shared" si="87"/>
        <v>583635</v>
      </c>
      <c r="K51" s="132">
        <f t="shared" si="87"/>
        <v>601155</v>
      </c>
      <c r="L51" s="132">
        <f t="shared" si="87"/>
        <v>618675</v>
      </c>
      <c r="M51" s="132">
        <f t="shared" si="87"/>
        <v>637290</v>
      </c>
      <c r="N51" s="132">
        <f t="shared" si="87"/>
        <v>655905</v>
      </c>
      <c r="O51" s="132">
        <f t="shared" si="87"/>
        <v>675615</v>
      </c>
      <c r="P51" s="132">
        <f t="shared" si="87"/>
        <v>696420</v>
      </c>
      <c r="Q51" s="132">
        <f t="shared" si="87"/>
        <v>717225</v>
      </c>
      <c r="R51" s="132">
        <f t="shared" si="87"/>
        <v>739125</v>
      </c>
      <c r="S51" s="132">
        <f t="shared" si="87"/>
        <v>761025</v>
      </c>
      <c r="T51" s="132">
        <f t="shared" si="87"/>
        <v>784020</v>
      </c>
      <c r="U51" s="132">
        <f t="shared" si="87"/>
        <v>807015</v>
      </c>
      <c r="V51" s="132">
        <f t="shared" si="87"/>
        <v>831105</v>
      </c>
      <c r="W51" s="132">
        <f t="shared" si="87"/>
        <v>856290</v>
      </c>
      <c r="X51" s="132">
        <f t="shared" si="87"/>
        <v>881475</v>
      </c>
      <c r="Y51" s="132">
        <f t="shared" si="87"/>
        <v>907755</v>
      </c>
      <c r="Z51" s="132">
        <f t="shared" si="87"/>
        <v>935130</v>
      </c>
      <c r="AA51" s="132">
        <f t="shared" si="87"/>
        <v>963600</v>
      </c>
      <c r="AB51" s="132">
        <f t="shared" si="87"/>
        <v>992070</v>
      </c>
      <c r="AC51" s="132">
        <f t="shared" si="87"/>
        <v>1021635</v>
      </c>
      <c r="AD51" s="132">
        <f t="shared" si="87"/>
        <v>1052295</v>
      </c>
      <c r="AE51" s="132">
        <f t="shared" si="87"/>
        <v>1084050</v>
      </c>
      <c r="AF51" s="132">
        <f t="shared" si="87"/>
        <v>1116900</v>
      </c>
      <c r="AG51" s="132">
        <f t="shared" si="87"/>
        <v>1150845</v>
      </c>
      <c r="AH51" s="132">
        <f t="shared" si="87"/>
        <v>1185885</v>
      </c>
      <c r="AI51" s="132">
        <f t="shared" si="87"/>
        <v>1220925</v>
      </c>
      <c r="AJ51" s="132">
        <f t="shared" si="87"/>
        <v>1257060</v>
      </c>
      <c r="AK51" s="132">
        <f t="shared" si="87"/>
        <v>1294290</v>
      </c>
      <c r="AL51" s="132">
        <f t="shared" si="87"/>
        <v>1332615</v>
      </c>
      <c r="AM51" s="132">
        <f t="shared" si="87"/>
        <v>1373130</v>
      </c>
      <c r="AN51" s="132">
        <f t="shared" si="87"/>
        <v>1414740</v>
      </c>
      <c r="AO51" s="132">
        <f t="shared" si="87"/>
        <v>1457445</v>
      </c>
      <c r="AP51" s="132">
        <f t="shared" si="87"/>
        <v>1501245</v>
      </c>
      <c r="AQ51" s="132">
        <f t="shared" si="87"/>
        <v>1546140</v>
      </c>
      <c r="AR51" s="132">
        <f t="shared" si="87"/>
        <v>1592130</v>
      </c>
      <c r="AS51" s="132">
        <f t="shared" si="87"/>
        <v>1640310</v>
      </c>
    </row>
    <row r="52" spans="1:45" x14ac:dyDescent="0.4">
      <c r="A52" s="70" t="s">
        <v>183</v>
      </c>
      <c r="E52" s="129"/>
      <c r="F52" s="133">
        <f t="shared" ref="F52:AS52" si="88">ROUND(F39*F45/1000,0)</f>
        <v>0</v>
      </c>
      <c r="G52" s="133">
        <f t="shared" si="88"/>
        <v>0</v>
      </c>
      <c r="H52" s="133">
        <f t="shared" si="88"/>
        <v>1545225</v>
      </c>
      <c r="I52" s="133">
        <f t="shared" si="88"/>
        <v>1635174</v>
      </c>
      <c r="J52" s="133">
        <f t="shared" si="88"/>
        <v>1728790</v>
      </c>
      <c r="K52" s="133">
        <f t="shared" si="88"/>
        <v>1830369</v>
      </c>
      <c r="L52" s="133">
        <f t="shared" si="88"/>
        <v>1936095</v>
      </c>
      <c r="M52" s="133">
        <f t="shared" si="88"/>
        <v>2050511</v>
      </c>
      <c r="N52" s="133">
        <f t="shared" si="88"/>
        <v>2169600</v>
      </c>
      <c r="O52" s="133">
        <f t="shared" si="88"/>
        <v>2293521</v>
      </c>
      <c r="P52" s="133">
        <f t="shared" si="88"/>
        <v>2427208</v>
      </c>
      <c r="Q52" s="133">
        <f t="shared" si="88"/>
        <v>2566317</v>
      </c>
      <c r="R52" s="133">
        <f t="shared" si="88"/>
        <v>2716064</v>
      </c>
      <c r="S52" s="133">
        <f t="shared" si="88"/>
        <v>2871878</v>
      </c>
      <c r="T52" s="133">
        <f t="shared" si="88"/>
        <v>3039269</v>
      </c>
      <c r="U52" s="133">
        <f t="shared" si="88"/>
        <v>3213432</v>
      </c>
      <c r="V52" s="133">
        <f t="shared" si="88"/>
        <v>3400187</v>
      </c>
      <c r="W52" s="133">
        <f t="shared" si="88"/>
        <v>3594480</v>
      </c>
      <c r="X52" s="133">
        <f t="shared" si="88"/>
        <v>3802459</v>
      </c>
      <c r="Y52" s="133">
        <f t="shared" si="88"/>
        <v>4018810</v>
      </c>
      <c r="Z52" s="133">
        <f t="shared" si="88"/>
        <v>4250028</v>
      </c>
      <c r="AA52" s="133">
        <f t="shared" si="88"/>
        <v>4496902</v>
      </c>
      <c r="AB52" s="133">
        <f t="shared" si="88"/>
        <v>4753707</v>
      </c>
      <c r="AC52" s="133">
        <f t="shared" si="88"/>
        <v>5027501</v>
      </c>
      <c r="AD52" s="133">
        <f t="shared" si="88"/>
        <v>5312265</v>
      </c>
      <c r="AE52" s="133">
        <f t="shared" si="88"/>
        <v>5615453</v>
      </c>
      <c r="AF52" s="133">
        <f t="shared" si="88"/>
        <v>5938010</v>
      </c>
      <c r="AG52" s="133">
        <f t="shared" si="88"/>
        <v>6280919</v>
      </c>
      <c r="AH52" s="133">
        <f t="shared" si="88"/>
        <v>6637552</v>
      </c>
      <c r="AI52" s="133">
        <f t="shared" si="88"/>
        <v>7016229</v>
      </c>
      <c r="AJ52" s="133">
        <f t="shared" si="88"/>
        <v>7418051</v>
      </c>
      <c r="AK52" s="133">
        <f t="shared" si="88"/>
        <v>7844162</v>
      </c>
      <c r="AL52" s="133">
        <f t="shared" si="88"/>
        <v>8287265</v>
      </c>
      <c r="AM52" s="133">
        <f t="shared" si="88"/>
        <v>8756648</v>
      </c>
      <c r="AN52" s="133">
        <f t="shared" si="88"/>
        <v>9253589</v>
      </c>
      <c r="AO52" s="133">
        <f t="shared" si="88"/>
        <v>9779419</v>
      </c>
      <c r="AP52" s="133">
        <f t="shared" si="88"/>
        <v>10335522</v>
      </c>
      <c r="AQ52" s="133">
        <f t="shared" si="88"/>
        <v>10923341</v>
      </c>
      <c r="AR52" s="133">
        <f t="shared" si="88"/>
        <v>11544376</v>
      </c>
      <c r="AS52" s="133">
        <f t="shared" si="88"/>
        <v>12200190</v>
      </c>
    </row>
    <row r="53" spans="1:45" x14ac:dyDescent="0.4">
      <c r="A53" s="71" t="s">
        <v>184</v>
      </c>
      <c r="E53" s="129"/>
      <c r="F53" s="134">
        <f>SUM(F48:F52)</f>
        <v>1655924</v>
      </c>
      <c r="G53" s="134">
        <f>SUM(G48:G52)</f>
        <v>1736719</v>
      </c>
      <c r="H53" s="134">
        <f t="shared" ref="H53" si="89">SUM(H48:H52)</f>
        <v>2404800</v>
      </c>
      <c r="I53" s="134">
        <f t="shared" ref="I53" si="90">SUM(I48:I52)</f>
        <v>2520299</v>
      </c>
      <c r="J53" s="134">
        <f t="shared" ref="J53" si="91">SUM(J48:J52)</f>
        <v>2640925</v>
      </c>
      <c r="K53" s="134">
        <f t="shared" ref="K53" si="92">SUM(K48:K52)</f>
        <v>2769879</v>
      </c>
      <c r="L53" s="134">
        <f t="shared" ref="L53" si="93">SUM(L48:L52)</f>
        <v>2902980</v>
      </c>
      <c r="M53" s="134">
        <f t="shared" ref="M53" si="94">SUM(M48:M52)</f>
        <v>3046596</v>
      </c>
      <c r="N53" s="134">
        <f t="shared" ref="N53" si="95">SUM(N48:N52)</f>
        <v>3194885</v>
      </c>
      <c r="O53" s="134">
        <f t="shared" ref="O53" si="96">SUM(O48:O52)</f>
        <v>3349831</v>
      </c>
      <c r="P53" s="134">
        <f t="shared" ref="P53" si="97">SUM(P48:P52)</f>
        <v>3515638</v>
      </c>
      <c r="Q53" s="134">
        <f t="shared" ref="Q53" si="98">SUM(Q48:Q52)</f>
        <v>3687232</v>
      </c>
      <c r="R53" s="134">
        <f t="shared" ref="R53" si="99">SUM(R48:R52)</f>
        <v>3870924</v>
      </c>
      <c r="S53" s="134">
        <f t="shared" ref="S53" si="100">SUM(S48:S52)</f>
        <v>4061048</v>
      </c>
      <c r="T53" s="134">
        <f t="shared" ref="T53" si="101">SUM(T48:T52)</f>
        <v>4264209</v>
      </c>
      <c r="U53" s="134">
        <f t="shared" ref="U53" si="102">SUM(U48:U52)</f>
        <v>4474507</v>
      </c>
      <c r="V53" s="134">
        <f t="shared" ref="V53" si="103">SUM(V48:V52)</f>
        <v>4699222</v>
      </c>
      <c r="W53" s="134">
        <f t="shared" ref="W53" si="104">SUM(W48:W52)</f>
        <v>4932570</v>
      </c>
      <c r="X53" s="134">
        <f t="shared" ref="X53" si="105">SUM(X48:X52)</f>
        <v>5180334</v>
      </c>
      <c r="Y53" s="134">
        <f t="shared" ref="Y53" si="106">SUM(Y48:Y52)</f>
        <v>5437930</v>
      </c>
      <c r="Z53" s="134">
        <f t="shared" ref="Z53" si="107">SUM(Z48:Z52)</f>
        <v>5711853</v>
      </c>
      <c r="AA53" s="134">
        <f t="shared" ref="AA53" si="108">SUM(AA48:AA52)</f>
        <v>6002892</v>
      </c>
      <c r="AB53" s="134">
        <f t="shared" ref="AB53" si="109">SUM(AB48:AB52)</f>
        <v>6304592</v>
      </c>
      <c r="AC53" s="134">
        <f t="shared" ref="AC53" si="110">SUM(AC48:AC52)</f>
        <v>6624741</v>
      </c>
      <c r="AD53" s="134">
        <f t="shared" ref="AD53" si="111">SUM(AD48:AD52)</f>
        <v>6957320</v>
      </c>
      <c r="AE53" s="134">
        <f t="shared" ref="AE53" si="112">SUM(AE48:AE52)</f>
        <v>7310148</v>
      </c>
      <c r="AF53" s="134">
        <f t="shared" ref="AF53" si="113">SUM(AF48:AF52)</f>
        <v>7684170</v>
      </c>
      <c r="AG53" s="134">
        <f t="shared" ref="AG53" si="114">SUM(AG48:AG52)</f>
        <v>8080004</v>
      </c>
      <c r="AH53" s="134">
        <f t="shared" ref="AH53" si="115">SUM(AH48:AH52)</f>
        <v>8491022</v>
      </c>
      <c r="AI53" s="134">
        <f t="shared" ref="AI53" si="116">SUM(AI48:AI52)</f>
        <v>8924814</v>
      </c>
      <c r="AJ53" s="134">
        <f t="shared" ref="AJ53" si="117">SUM(AJ48:AJ52)</f>
        <v>9383211</v>
      </c>
      <c r="AK53" s="134">
        <f t="shared" ref="AK53" si="118">SUM(AK48:AK52)</f>
        <v>9867722</v>
      </c>
      <c r="AL53" s="134">
        <f t="shared" ref="AL53" si="119">SUM(AL48:AL52)</f>
        <v>10371050</v>
      </c>
      <c r="AM53" s="134">
        <f t="shared" ref="AM53" si="120">SUM(AM48:AM52)</f>
        <v>10903578</v>
      </c>
      <c r="AN53" s="134">
        <f t="shared" ref="AN53" si="121">SUM(AN48:AN52)</f>
        <v>11465489</v>
      </c>
      <c r="AO53" s="134">
        <f t="shared" ref="AO53" si="122">SUM(AO48:AO52)</f>
        <v>12057749</v>
      </c>
      <c r="AP53" s="134">
        <f t="shared" ref="AP53" si="123">SUM(AP48:AP52)</f>
        <v>12682107</v>
      </c>
      <c r="AQ53" s="134">
        <f t="shared" ref="AQ53" si="124">SUM(AQ48:AQ52)</f>
        <v>13340006</v>
      </c>
      <c r="AR53" s="134">
        <f t="shared" ref="AR53" si="125">SUM(AR48:AR52)</f>
        <v>14032946</v>
      </c>
      <c r="AS53" s="134">
        <f t="shared" ref="AS53" si="126">SUM(AS48:AS52)</f>
        <v>14763950</v>
      </c>
    </row>
    <row r="54" spans="1:45" x14ac:dyDescent="0.4"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</row>
    <row r="55" spans="1:45" s="22" customFormat="1" x14ac:dyDescent="0.4">
      <c r="A55" s="104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</row>
    <row r="56" spans="1:45" x14ac:dyDescent="0.4">
      <c r="A56" s="90"/>
      <c r="H56" s="88"/>
    </row>
    <row r="57" spans="1:45" x14ac:dyDescent="0.4"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</row>
    <row r="58" spans="1:45" x14ac:dyDescent="0.4">
      <c r="H58" s="110"/>
      <c r="I58" s="110"/>
      <c r="J58" s="110"/>
      <c r="K58" s="110" t="s">
        <v>186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</row>
    <row r="59" spans="1:45" x14ac:dyDescent="0.4"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</row>
    <row r="60" spans="1:45" x14ac:dyDescent="0.4"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</row>
    <row r="61" spans="1:45" x14ac:dyDescent="0.4"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</row>
    <row r="62" spans="1:45" s="22" customFormat="1" x14ac:dyDescent="0.4">
      <c r="A62" s="104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</row>
    <row r="63" spans="1:45" x14ac:dyDescent="0.4"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</row>
    <row r="64" spans="1:45" s="22" customFormat="1" x14ac:dyDescent="0.4">
      <c r="A64" s="104"/>
      <c r="H64" s="131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</row>
    <row r="65" spans="1:45" s="22" customFormat="1" x14ac:dyDescent="0.4">
      <c r="A65" s="90"/>
      <c r="H65" s="131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</row>
    <row r="66" spans="1:45" s="22" customFormat="1" x14ac:dyDescent="0.4">
      <c r="A66" s="104"/>
      <c r="E66" s="128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</row>
    <row r="67" spans="1:45" s="22" customFormat="1" x14ac:dyDescent="0.4">
      <c r="A67" s="104"/>
      <c r="E67" s="107"/>
      <c r="F67" s="107"/>
      <c r="G67" s="107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</row>
    <row r="68" spans="1:45" s="22" customFormat="1" ht="13.95" customHeight="1" x14ac:dyDescent="0.4"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</row>
    <row r="69" spans="1:45" s="22" customFormat="1" x14ac:dyDescent="0.4">
      <c r="A69" s="10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</row>
    <row r="70" spans="1:45" s="22" customFormat="1" x14ac:dyDescent="0.4">
      <c r="A70" s="10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2" spans="1:45" x14ac:dyDescent="0.4"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</row>
    <row r="73" spans="1:45" x14ac:dyDescent="0.4"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</row>
    <row r="74" spans="1:45" x14ac:dyDescent="0.4">
      <c r="E74" s="130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</row>
    <row r="75" spans="1:45" x14ac:dyDescent="0.4">
      <c r="E75" s="130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</row>
    <row r="77" spans="1:45" x14ac:dyDescent="0.4">
      <c r="A77" s="90"/>
    </row>
    <row r="78" spans="1:45" s="22" customFormat="1" x14ac:dyDescent="0.4">
      <c r="A78" s="104"/>
      <c r="E78" s="128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</row>
    <row r="79" spans="1:45" x14ac:dyDescent="0.4">
      <c r="A79" s="104"/>
      <c r="B79" s="22"/>
      <c r="C79" s="22"/>
      <c r="D79" s="22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45" x14ac:dyDescent="0.4">
      <c r="A80" s="22"/>
      <c r="B80" s="22"/>
      <c r="C80" s="22"/>
      <c r="D80" s="22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1:46" x14ac:dyDescent="0.4">
      <c r="A81" s="104"/>
      <c r="B81" s="22"/>
      <c r="C81" s="22"/>
      <c r="D81" s="22"/>
      <c r="E81" s="107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46" x14ac:dyDescent="0.4">
      <c r="A82" s="104"/>
      <c r="B82" s="22"/>
      <c r="C82" s="22"/>
      <c r="D82" s="22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4" spans="1:46" x14ac:dyDescent="0.4"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</row>
    <row r="85" spans="1:46" x14ac:dyDescent="0.4"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</row>
    <row r="86" spans="1:46" x14ac:dyDescent="0.4">
      <c r="E86" s="13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</row>
    <row r="87" spans="1:46" x14ac:dyDescent="0.4">
      <c r="E87" s="13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</row>
  </sheetData>
  <mergeCells count="4">
    <mergeCell ref="A1:K1"/>
    <mergeCell ref="A3:K3"/>
    <mergeCell ref="A30:K30"/>
    <mergeCell ref="A32:K32"/>
  </mergeCells>
  <pageMargins left="0.7" right="0.7" top="0.75" bottom="0.75" header="0.3" footer="0.3"/>
  <pageSetup scale="66" fitToWidth="5" orientation="landscape" r:id="rId1"/>
  <headerFooter>
    <oddHeader>&amp;LDRAFT&amp;CNOT FOR DISTRIBUTION&amp;RPAGE &amp;P OF &amp;N</oddHeader>
    <oddFooter>&amp;LDRAFT&amp;CNOT FOR DISTRIBUTION&amp;RPAGE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3C35-EC1E-4EAA-A173-36BD5814FA2B}">
  <sheetPr>
    <pageSetUpPr fitToPage="1"/>
  </sheetPr>
  <dimension ref="A1:CK51"/>
  <sheetViews>
    <sheetView workbookViewId="0">
      <selection sqref="A1:K1"/>
    </sheetView>
  </sheetViews>
  <sheetFormatPr defaultColWidth="8.875" defaultRowHeight="14.6" x14ac:dyDescent="0.4"/>
  <cols>
    <col min="1" max="1" width="3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15" customFormat="1" ht="18.45" x14ac:dyDescent="0.4">
      <c r="A1" s="233" t="s">
        <v>187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18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</row>
    <row r="3" spans="1:89" s="120" customFormat="1" ht="15.9" x14ac:dyDescent="0.45">
      <c r="A3" s="229" t="s">
        <v>91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</row>
    <row r="4" spans="1:89" s="15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4">
      <c r="A5" s="92"/>
      <c r="B5" s="73"/>
      <c r="C5" s="73"/>
      <c r="D5" s="73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0" customFormat="1" x14ac:dyDescent="0.4">
      <c r="A6" s="1" t="s">
        <v>188</v>
      </c>
      <c r="B6" s="1"/>
      <c r="C6" s="1"/>
      <c r="D6" s="1"/>
      <c r="E6" s="126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4">
      <c r="A7" s="1"/>
      <c r="B7" s="67" t="s">
        <v>104</v>
      </c>
      <c r="C7" s="1"/>
      <c r="D7" s="1"/>
      <c r="E7" s="140">
        <f>'Financial Base'!F14</f>
        <v>150311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</row>
    <row r="8" spans="1:89" s="110" customFormat="1" x14ac:dyDescent="0.4">
      <c r="A8" s="1"/>
      <c r="B8" s="67" t="s">
        <v>111</v>
      </c>
      <c r="C8" s="1"/>
      <c r="D8" s="1"/>
      <c r="E8" s="141">
        <f>'Financial Base'!F20</f>
        <v>8858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</row>
    <row r="9" spans="1:89" x14ac:dyDescent="0.4">
      <c r="A9" s="1"/>
      <c r="B9" s="67" t="s">
        <v>112</v>
      </c>
      <c r="C9" s="1"/>
      <c r="D9" s="1"/>
      <c r="E9" s="140">
        <f>'Financial Base'!F21</f>
        <v>229356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</row>
    <row r="10" spans="1:89" x14ac:dyDescent="0.4">
      <c r="A10" s="27"/>
      <c r="B10" s="67" t="s">
        <v>113</v>
      </c>
      <c r="C10" s="27"/>
      <c r="D10" s="40"/>
      <c r="E10" s="142">
        <f>'Financial Base'!F22</f>
        <v>28576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</row>
    <row r="11" spans="1:89" s="22" customFormat="1" x14ac:dyDescent="0.4">
      <c r="A11" s="34" t="s">
        <v>189</v>
      </c>
      <c r="B11" s="34"/>
      <c r="C11" s="34"/>
      <c r="D11" s="150"/>
      <c r="E11" s="151">
        <f>SUM(E7:E10)</f>
        <v>417101</v>
      </c>
      <c r="F11" s="152">
        <f>ROUND((F13/1000)*F15,0)</f>
        <v>437500</v>
      </c>
      <c r="G11" s="152">
        <f t="shared" ref="G11:AS11" si="1">ROUND((G13/1000)*G15,0)</f>
        <v>458972</v>
      </c>
      <c r="H11" s="152">
        <f t="shared" si="1"/>
        <v>1047116</v>
      </c>
      <c r="I11" s="152">
        <f t="shared" si="1"/>
        <v>1105413</v>
      </c>
      <c r="J11" s="152">
        <f t="shared" si="1"/>
        <v>1166958</v>
      </c>
      <c r="K11" s="152">
        <f t="shared" si="1"/>
        <v>1123390</v>
      </c>
      <c r="L11" s="152">
        <f t="shared" si="1"/>
        <v>1188726</v>
      </c>
      <c r="M11" s="152">
        <f t="shared" si="1"/>
        <v>1257785</v>
      </c>
      <c r="N11" s="152">
        <f t="shared" si="1"/>
        <v>1330778</v>
      </c>
      <c r="O11" s="152">
        <f t="shared" si="1"/>
        <v>1407927</v>
      </c>
      <c r="P11" s="152">
        <f t="shared" si="1"/>
        <v>1488776</v>
      </c>
      <c r="Q11" s="152">
        <f t="shared" si="1"/>
        <v>1563036</v>
      </c>
      <c r="R11" s="152">
        <f t="shared" si="1"/>
        <v>1641173</v>
      </c>
      <c r="S11" s="152">
        <f t="shared" si="1"/>
        <v>1723398</v>
      </c>
      <c r="T11" s="152">
        <f t="shared" si="1"/>
        <v>1809929</v>
      </c>
      <c r="U11" s="152">
        <f t="shared" si="1"/>
        <v>1900997</v>
      </c>
      <c r="V11" s="152">
        <f t="shared" si="1"/>
        <v>1996847</v>
      </c>
      <c r="W11" s="152">
        <f t="shared" si="1"/>
        <v>2097736</v>
      </c>
      <c r="X11" s="152">
        <f t="shared" si="1"/>
        <v>2166331</v>
      </c>
      <c r="Y11" s="152">
        <f t="shared" si="1"/>
        <v>2231323</v>
      </c>
      <c r="Z11" s="152">
        <f t="shared" si="1"/>
        <v>2298262</v>
      </c>
      <c r="AA11" s="152">
        <f t="shared" si="1"/>
        <v>2367210</v>
      </c>
      <c r="AB11" s="152">
        <f t="shared" si="1"/>
        <v>2438225</v>
      </c>
      <c r="AC11" s="152">
        <f t="shared" si="1"/>
        <v>2511371</v>
      </c>
      <c r="AD11" s="152">
        <f t="shared" si="1"/>
        <v>2586710</v>
      </c>
      <c r="AE11" s="152">
        <f t="shared" si="1"/>
        <v>2664310</v>
      </c>
      <c r="AF11" s="152">
        <f t="shared" si="1"/>
        <v>2744237</v>
      </c>
      <c r="AG11" s="152">
        <f t="shared" si="1"/>
        <v>2826564</v>
      </c>
      <c r="AH11" s="152">
        <f t="shared" si="1"/>
        <v>2911362</v>
      </c>
      <c r="AI11" s="152">
        <f t="shared" si="1"/>
        <v>2998702</v>
      </c>
      <c r="AJ11" s="152">
        <f t="shared" si="1"/>
        <v>3088663</v>
      </c>
      <c r="AK11" s="152">
        <f t="shared" si="1"/>
        <v>3181323</v>
      </c>
      <c r="AL11" s="152">
        <f t="shared" si="1"/>
        <v>3276763</v>
      </c>
      <c r="AM11" s="152">
        <f t="shared" si="1"/>
        <v>3375066</v>
      </c>
      <c r="AN11" s="152">
        <f t="shared" si="1"/>
        <v>3476319</v>
      </c>
      <c r="AO11" s="152">
        <f t="shared" si="1"/>
        <v>3580609</v>
      </c>
      <c r="AP11" s="152">
        <f t="shared" si="1"/>
        <v>3688029</v>
      </c>
      <c r="AQ11" s="152">
        <f t="shared" si="1"/>
        <v>3798669</v>
      </c>
      <c r="AR11" s="152">
        <f t="shared" si="1"/>
        <v>3912629</v>
      </c>
      <c r="AS11" s="152">
        <f t="shared" si="1"/>
        <v>4030006</v>
      </c>
    </row>
    <row r="12" spans="1:89" s="110" customFormat="1" x14ac:dyDescent="0.4">
      <c r="A12" s="106"/>
      <c r="E12" s="12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</row>
    <row r="13" spans="1:89" x14ac:dyDescent="0.4">
      <c r="A13" s="106" t="s">
        <v>190</v>
      </c>
      <c r="E13" s="129">
        <f>'Demand Inputs'!B86</f>
        <v>159390000</v>
      </c>
      <c r="F13" s="129">
        <f>'Demand Inputs'!C86</f>
        <v>162315545.99380004</v>
      </c>
      <c r="G13" s="129">
        <f>'Demand Inputs'!D86</f>
        <v>165322069.90248597</v>
      </c>
      <c r="H13" s="129">
        <f>'Demand Inputs'!E86</f>
        <v>347879154</v>
      </c>
      <c r="I13" s="129">
        <f>'Demand Inputs'!F86</f>
        <v>356550331</v>
      </c>
      <c r="J13" s="129">
        <f>'Demand Inputs'!G86</f>
        <v>365438289</v>
      </c>
      <c r="K13" s="129">
        <f>'Demand Inputs'!H86</f>
        <v>341548455</v>
      </c>
      <c r="L13" s="129">
        <f>'Demand Inputs'!I86</f>
        <v>350886423</v>
      </c>
      <c r="M13" s="129">
        <f>'Demand Inputs'!J86</f>
        <v>360457824</v>
      </c>
      <c r="N13" s="129">
        <f>'Demand Inputs'!K86</f>
        <v>370268462</v>
      </c>
      <c r="O13" s="129">
        <f>'Demand Inputs'!L86</f>
        <v>380324386</v>
      </c>
      <c r="P13" s="129">
        <f>'Demand Inputs'!M86</f>
        <v>390450561</v>
      </c>
      <c r="Q13" s="129">
        <f>'Demand Inputs'!N86</f>
        <v>397986493</v>
      </c>
      <c r="R13" s="129">
        <f>'Demand Inputs'!O86</f>
        <v>405710791</v>
      </c>
      <c r="S13" s="129">
        <f>'Demand Inputs'!P86</f>
        <v>413628144</v>
      </c>
      <c r="T13" s="129">
        <f>'Demand Inputs'!Q86</f>
        <v>421743524</v>
      </c>
      <c r="U13" s="129">
        <f>'Demand Inputs'!R86</f>
        <v>430061689</v>
      </c>
      <c r="V13" s="129">
        <f>'Demand Inputs'!S86</f>
        <v>438587939</v>
      </c>
      <c r="W13" s="129">
        <f>'Demand Inputs'!T86</f>
        <v>447327212</v>
      </c>
      <c r="X13" s="129">
        <f>'Demand Inputs'!U86</f>
        <v>448500000</v>
      </c>
      <c r="Y13" s="129">
        <f>'Demand Inputs'!V86</f>
        <v>448500000</v>
      </c>
      <c r="Z13" s="129">
        <f>'Demand Inputs'!W86</f>
        <v>448500000</v>
      </c>
      <c r="AA13" s="129">
        <f>'Demand Inputs'!X86</f>
        <v>448500000</v>
      </c>
      <c r="AB13" s="129">
        <f>'Demand Inputs'!Y86</f>
        <v>448500000</v>
      </c>
      <c r="AC13" s="129">
        <f>'Demand Inputs'!Z86</f>
        <v>448500000</v>
      </c>
      <c r="AD13" s="129">
        <f>'Demand Inputs'!AA86</f>
        <v>448500000</v>
      </c>
      <c r="AE13" s="129">
        <f>'Demand Inputs'!AB86</f>
        <v>448500000</v>
      </c>
      <c r="AF13" s="129">
        <f>'Demand Inputs'!AC86</f>
        <v>448500000</v>
      </c>
      <c r="AG13" s="129">
        <f>'Demand Inputs'!AD86</f>
        <v>448500000</v>
      </c>
      <c r="AH13" s="129">
        <f>'Demand Inputs'!AE86</f>
        <v>448500000</v>
      </c>
      <c r="AI13" s="129">
        <f>'Demand Inputs'!AF86</f>
        <v>448500000</v>
      </c>
      <c r="AJ13" s="129">
        <f>'Demand Inputs'!AG86</f>
        <v>448500000</v>
      </c>
      <c r="AK13" s="129">
        <f>'Demand Inputs'!AH86</f>
        <v>448500000</v>
      </c>
      <c r="AL13" s="129">
        <f>'Demand Inputs'!AI86</f>
        <v>448500000</v>
      </c>
      <c r="AM13" s="129">
        <f>'Demand Inputs'!AJ86</f>
        <v>448500000</v>
      </c>
      <c r="AN13" s="129">
        <f>'Demand Inputs'!AK86</f>
        <v>448500000</v>
      </c>
      <c r="AO13" s="129">
        <f>'Demand Inputs'!AL86</f>
        <v>448500000</v>
      </c>
      <c r="AP13" s="129">
        <f>'Demand Inputs'!AM86</f>
        <v>448500000</v>
      </c>
      <c r="AQ13" s="129">
        <f>'Demand Inputs'!AN86</f>
        <v>448500000</v>
      </c>
      <c r="AR13" s="129">
        <f>'Demand Inputs'!AO86</f>
        <v>448500000</v>
      </c>
      <c r="AS13" s="129">
        <f>'Demand Inputs'!AP86</f>
        <v>448500000</v>
      </c>
    </row>
    <row r="14" spans="1:89" x14ac:dyDescent="0.4">
      <c r="A14" s="106"/>
      <c r="E14" s="129"/>
      <c r="F14" s="110"/>
      <c r="G14" s="110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</row>
    <row r="15" spans="1:89" x14ac:dyDescent="0.4">
      <c r="A15" s="106" t="s">
        <v>191</v>
      </c>
      <c r="E15" s="143">
        <f>ROUND(E11/(E13/1000),5)</f>
        <v>2.61686</v>
      </c>
      <c r="F15" s="144">
        <f>ROUND(E15*(1+'Plan Inputs'!F10),5)</f>
        <v>2.69537</v>
      </c>
      <c r="G15" s="144">
        <f>ROUND(F15*(1+'Plan Inputs'!G10),5)</f>
        <v>2.77623</v>
      </c>
      <c r="H15" s="144">
        <v>3.01</v>
      </c>
      <c r="I15" s="144">
        <f>ROUND(H15*(1+'Plan Inputs'!I10),5)</f>
        <v>3.1002999999999998</v>
      </c>
      <c r="J15" s="144">
        <f>ROUND(I15*(1+'Plan Inputs'!J10),5)</f>
        <v>3.1933099999999999</v>
      </c>
      <c r="K15" s="144">
        <f>ROUND(J15*(1+'Plan Inputs'!K10),5)</f>
        <v>3.28911</v>
      </c>
      <c r="L15" s="144">
        <f>ROUND(K15*(1+'Plan Inputs'!L10),5)</f>
        <v>3.3877799999999998</v>
      </c>
      <c r="M15" s="144">
        <f>ROUND(L15*(1+'Plan Inputs'!M10),5)</f>
        <v>3.4894099999999999</v>
      </c>
      <c r="N15" s="144">
        <f>ROUND(M15*(1+'Plan Inputs'!N10),5)</f>
        <v>3.59409</v>
      </c>
      <c r="O15" s="144">
        <f>ROUND(N15*(1+'Plan Inputs'!O10),5)</f>
        <v>3.7019099999999998</v>
      </c>
      <c r="P15" s="144">
        <f>ROUND(O15*(1+'Plan Inputs'!P10),5)</f>
        <v>3.81297</v>
      </c>
      <c r="Q15" s="144">
        <f>ROUND(P15*(1+'Plan Inputs'!Q10),5)</f>
        <v>3.9273600000000002</v>
      </c>
      <c r="R15" s="144">
        <f>ROUND(Q15*(1+'Plan Inputs'!R10),5)</f>
        <v>4.0451800000000002</v>
      </c>
      <c r="S15" s="144">
        <f>ROUND(R15*(1+'Plan Inputs'!S10),5)</f>
        <v>4.1665400000000004</v>
      </c>
      <c r="T15" s="144">
        <f>ROUND(S15*(1+'Plan Inputs'!T10),5)</f>
        <v>4.2915400000000004</v>
      </c>
      <c r="U15" s="144">
        <f>ROUND(T15*(1+'Plan Inputs'!U10),5)</f>
        <v>4.4202899999999996</v>
      </c>
      <c r="V15" s="144">
        <f>ROUND(U15*(1+'Plan Inputs'!V10),5)</f>
        <v>4.5529000000000002</v>
      </c>
      <c r="W15" s="144">
        <f>ROUND(V15*(1+'Plan Inputs'!W10),5)</f>
        <v>4.6894900000000002</v>
      </c>
      <c r="X15" s="144">
        <f>ROUND(W15*(1+'Plan Inputs'!X10),5)</f>
        <v>4.8301699999999999</v>
      </c>
      <c r="Y15" s="144">
        <f>ROUND(X15*(1+'Plan Inputs'!Y10),5)</f>
        <v>4.9750800000000002</v>
      </c>
      <c r="Z15" s="144">
        <f>ROUND(Y15*(1+'Plan Inputs'!Z10),5)</f>
        <v>5.1243299999999996</v>
      </c>
      <c r="AA15" s="144">
        <f>ROUND(Z15*(1+'Plan Inputs'!AA10),5)</f>
        <v>5.27806</v>
      </c>
      <c r="AB15" s="144">
        <f>ROUND(AA15*(1+'Plan Inputs'!AB10),5)</f>
        <v>5.4363999999999999</v>
      </c>
      <c r="AC15" s="144">
        <f>ROUND(AB15*(1+'Plan Inputs'!AC10),5)</f>
        <v>5.5994900000000003</v>
      </c>
      <c r="AD15" s="144">
        <f>ROUND(AC15*(1+'Plan Inputs'!AD10),5)</f>
        <v>5.7674700000000003</v>
      </c>
      <c r="AE15" s="144">
        <f>ROUND(AD15*(1+'Plan Inputs'!AE10),5)</f>
        <v>5.9404899999999996</v>
      </c>
      <c r="AF15" s="144">
        <f>ROUND(AE15*(1+'Plan Inputs'!AF10),5)</f>
        <v>6.1186999999999996</v>
      </c>
      <c r="AG15" s="144">
        <f>ROUND(AF15*(1+'Plan Inputs'!AG10),5)</f>
        <v>6.3022600000000004</v>
      </c>
      <c r="AH15" s="144">
        <f>ROUND(AG15*(1+'Plan Inputs'!AH10),5)</f>
        <v>6.4913299999999996</v>
      </c>
      <c r="AI15" s="144">
        <f>ROUND(AH15*(1+'Plan Inputs'!AI10),5)</f>
        <v>6.68607</v>
      </c>
      <c r="AJ15" s="144">
        <f>ROUND(AI15*(1+'Plan Inputs'!AJ10),5)</f>
        <v>6.8866500000000004</v>
      </c>
      <c r="AK15" s="144">
        <f>ROUND(AJ15*(1+'Plan Inputs'!AK10),5)</f>
        <v>7.0932500000000003</v>
      </c>
      <c r="AL15" s="144">
        <f>ROUND(AK15*(1+'Plan Inputs'!AL10),5)</f>
        <v>7.3060499999999999</v>
      </c>
      <c r="AM15" s="144">
        <f>ROUND(AL15*(1+'Plan Inputs'!AM10),5)</f>
        <v>7.5252299999999996</v>
      </c>
      <c r="AN15" s="144">
        <f>ROUND(AM15*(1+'Plan Inputs'!AN10),5)</f>
        <v>7.7509899999999998</v>
      </c>
      <c r="AO15" s="144">
        <f>ROUND(AN15*(1+'Plan Inputs'!AO10),5)</f>
        <v>7.9835200000000004</v>
      </c>
      <c r="AP15" s="144">
        <f>ROUND(AO15*(1+'Plan Inputs'!AP10),5)</f>
        <v>8.2230299999999996</v>
      </c>
      <c r="AQ15" s="144">
        <f>ROUND(AP15*(1+'Plan Inputs'!AQ10),5)</f>
        <v>8.4697200000000006</v>
      </c>
      <c r="AR15" s="144">
        <f>ROUND(AQ15*(1+'Plan Inputs'!AR10),5)</f>
        <v>8.7238100000000003</v>
      </c>
      <c r="AS15" s="144">
        <f>ROUND(AR15*(1+'Plan Inputs'!AS10),5)</f>
        <v>8.9855199999999993</v>
      </c>
    </row>
    <row r="16" spans="1:89" x14ac:dyDescent="0.4">
      <c r="E16" s="43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</row>
    <row r="17" spans="1:89" x14ac:dyDescent="0.4">
      <c r="E17" s="43"/>
      <c r="F17" s="110"/>
      <c r="G17" s="110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</row>
    <row r="18" spans="1:89" x14ac:dyDescent="0.4">
      <c r="A18" s="168"/>
      <c r="B18" s="51"/>
      <c r="C18" s="51"/>
      <c r="D18" s="51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10"/>
    </row>
    <row r="19" spans="1:89" x14ac:dyDescent="0.4">
      <c r="A19" s="106"/>
      <c r="E19" s="43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</row>
    <row r="20" spans="1:89" x14ac:dyDescent="0.4">
      <c r="A20" s="106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</row>
    <row r="21" spans="1:89" s="15" customFormat="1" ht="18.45" x14ac:dyDescent="0.4">
      <c r="A21" s="233" t="s">
        <v>192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18" customFormat="1" ht="18.45" x14ac:dyDescent="0.5">
      <c r="A22" s="117"/>
      <c r="B22" s="204"/>
      <c r="C22" s="204"/>
      <c r="D22" s="204"/>
      <c r="E22" s="204"/>
      <c r="F22" s="204" t="s">
        <v>0</v>
      </c>
      <c r="G22" s="204"/>
      <c r="H22" s="204"/>
      <c r="I22" s="204"/>
      <c r="J22" s="204"/>
      <c r="K22" s="204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</row>
    <row r="23" spans="1:89" s="120" customFormat="1" ht="15.9" x14ac:dyDescent="0.45">
      <c r="A23" s="229" t="s">
        <v>163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</row>
    <row r="24" spans="1:89" s="15" customFormat="1" x14ac:dyDescent="0.4">
      <c r="A24" s="84"/>
      <c r="B24" s="83"/>
      <c r="C24" s="83"/>
      <c r="D24" s="83"/>
      <c r="E24" s="83"/>
      <c r="F24" s="83"/>
      <c r="G24" s="74"/>
      <c r="H24" s="83"/>
      <c r="I24" s="83"/>
      <c r="J24" s="83"/>
      <c r="K24" s="8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</row>
    <row r="25" spans="1:89" s="15" customFormat="1" x14ac:dyDescent="0.4">
      <c r="A25" s="92"/>
      <c r="B25" s="73"/>
      <c r="C25" s="73"/>
      <c r="D25" s="73"/>
      <c r="E25" s="105"/>
      <c r="F25" s="75">
        <v>2026</v>
      </c>
      <c r="G25" s="76">
        <f>F25+1</f>
        <v>2027</v>
      </c>
      <c r="H25" s="76">
        <f t="shared" ref="H25:AS25" si="2">G25+1</f>
        <v>2028</v>
      </c>
      <c r="I25" s="76">
        <f t="shared" si="2"/>
        <v>2029</v>
      </c>
      <c r="J25" s="76">
        <f t="shared" si="2"/>
        <v>2030</v>
      </c>
      <c r="K25" s="76">
        <f t="shared" si="2"/>
        <v>2031</v>
      </c>
      <c r="L25" s="76">
        <f t="shared" si="2"/>
        <v>2032</v>
      </c>
      <c r="M25" s="76">
        <f t="shared" si="2"/>
        <v>2033</v>
      </c>
      <c r="N25" s="76">
        <f t="shared" si="2"/>
        <v>2034</v>
      </c>
      <c r="O25" s="76">
        <f t="shared" si="2"/>
        <v>2035</v>
      </c>
      <c r="P25" s="76">
        <f t="shared" si="2"/>
        <v>2036</v>
      </c>
      <c r="Q25" s="76">
        <f t="shared" si="2"/>
        <v>2037</v>
      </c>
      <c r="R25" s="76">
        <f t="shared" si="2"/>
        <v>2038</v>
      </c>
      <c r="S25" s="76">
        <f t="shared" si="2"/>
        <v>2039</v>
      </c>
      <c r="T25" s="76">
        <f t="shared" si="2"/>
        <v>2040</v>
      </c>
      <c r="U25" s="76">
        <f t="shared" si="2"/>
        <v>2041</v>
      </c>
      <c r="V25" s="76">
        <f t="shared" si="2"/>
        <v>2042</v>
      </c>
      <c r="W25" s="76">
        <f t="shared" si="2"/>
        <v>2043</v>
      </c>
      <c r="X25" s="76">
        <f t="shared" si="2"/>
        <v>2044</v>
      </c>
      <c r="Y25" s="76">
        <f t="shared" si="2"/>
        <v>2045</v>
      </c>
      <c r="Z25" s="76">
        <f t="shared" si="2"/>
        <v>2046</v>
      </c>
      <c r="AA25" s="76">
        <f t="shared" si="2"/>
        <v>2047</v>
      </c>
      <c r="AB25" s="76">
        <f t="shared" si="2"/>
        <v>2048</v>
      </c>
      <c r="AC25" s="76">
        <f t="shared" si="2"/>
        <v>2049</v>
      </c>
      <c r="AD25" s="76">
        <f t="shared" si="2"/>
        <v>2050</v>
      </c>
      <c r="AE25" s="76">
        <f t="shared" si="2"/>
        <v>2051</v>
      </c>
      <c r="AF25" s="76">
        <f t="shared" si="2"/>
        <v>2052</v>
      </c>
      <c r="AG25" s="76">
        <f t="shared" si="2"/>
        <v>2053</v>
      </c>
      <c r="AH25" s="76">
        <f t="shared" si="2"/>
        <v>2054</v>
      </c>
      <c r="AI25" s="76">
        <f t="shared" si="2"/>
        <v>2055</v>
      </c>
      <c r="AJ25" s="76">
        <f t="shared" si="2"/>
        <v>2056</v>
      </c>
      <c r="AK25" s="76">
        <f t="shared" si="2"/>
        <v>2057</v>
      </c>
      <c r="AL25" s="76">
        <f t="shared" si="2"/>
        <v>2058</v>
      </c>
      <c r="AM25" s="76">
        <f t="shared" si="2"/>
        <v>2059</v>
      </c>
      <c r="AN25" s="76">
        <f t="shared" si="2"/>
        <v>2060</v>
      </c>
      <c r="AO25" s="76">
        <f t="shared" si="2"/>
        <v>2061</v>
      </c>
      <c r="AP25" s="76">
        <f t="shared" si="2"/>
        <v>2062</v>
      </c>
      <c r="AQ25" s="76">
        <f t="shared" si="2"/>
        <v>2063</v>
      </c>
      <c r="AR25" s="76">
        <f t="shared" si="2"/>
        <v>2064</v>
      </c>
      <c r="AS25" s="76">
        <f t="shared" si="2"/>
        <v>2065</v>
      </c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</row>
    <row r="26" spans="1:89" s="110" customFormat="1" x14ac:dyDescent="0.4">
      <c r="A26" s="1" t="s">
        <v>188</v>
      </c>
      <c r="B26" s="1"/>
      <c r="C26" s="1"/>
      <c r="D26" s="1"/>
      <c r="E26" s="126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</row>
    <row r="27" spans="1:89" x14ac:dyDescent="0.4">
      <c r="A27" s="1"/>
      <c r="B27" s="67" t="s">
        <v>104</v>
      </c>
      <c r="C27" s="1"/>
      <c r="D27" s="1"/>
      <c r="E27" s="140">
        <f>'Financial Base'!F14</f>
        <v>150311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</row>
    <row r="28" spans="1:89" s="110" customFormat="1" x14ac:dyDescent="0.4">
      <c r="A28" s="1"/>
      <c r="B28" s="67" t="s">
        <v>111</v>
      </c>
      <c r="C28" s="1"/>
      <c r="D28" s="1"/>
      <c r="E28" s="141">
        <f>'Financial Base'!F20</f>
        <v>8858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</row>
    <row r="29" spans="1:89" x14ac:dyDescent="0.4">
      <c r="A29" s="1"/>
      <c r="B29" s="67" t="s">
        <v>112</v>
      </c>
      <c r="C29" s="1"/>
      <c r="D29" s="1"/>
      <c r="E29" s="140">
        <f>'Financial Base'!F21</f>
        <v>229356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</row>
    <row r="30" spans="1:89" x14ac:dyDescent="0.4">
      <c r="A30" s="27"/>
      <c r="B30" s="67" t="s">
        <v>113</v>
      </c>
      <c r="C30" s="27"/>
      <c r="D30" s="40"/>
      <c r="E30" s="142">
        <f>'Financial Base'!F22</f>
        <v>28576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</row>
    <row r="31" spans="1:89" s="22" customFormat="1" x14ac:dyDescent="0.4">
      <c r="A31" s="34" t="s">
        <v>189</v>
      </c>
      <c r="B31" s="34"/>
      <c r="C31" s="34"/>
      <c r="D31" s="150"/>
      <c r="E31" s="151">
        <f>SUM(E27:E30)</f>
        <v>417101</v>
      </c>
      <c r="F31" s="152">
        <f>(F33/1000)*F35</f>
        <v>437500.45320530882</v>
      </c>
      <c r="G31" s="152">
        <f t="shared" ref="G31:AS31" si="3">(G33/1000)*G35</f>
        <v>458972.09012537863</v>
      </c>
      <c r="H31" s="152">
        <f t="shared" si="3"/>
        <v>0</v>
      </c>
      <c r="I31" s="152">
        <f t="shared" si="3"/>
        <v>0</v>
      </c>
      <c r="J31" s="152">
        <f t="shared" si="3"/>
        <v>0</v>
      </c>
      <c r="K31" s="152">
        <f t="shared" si="3"/>
        <v>0</v>
      </c>
      <c r="L31" s="152">
        <f t="shared" si="3"/>
        <v>0</v>
      </c>
      <c r="M31" s="152">
        <f t="shared" si="3"/>
        <v>0</v>
      </c>
      <c r="N31" s="152">
        <f t="shared" si="3"/>
        <v>0</v>
      </c>
      <c r="O31" s="152">
        <f t="shared" si="3"/>
        <v>0</v>
      </c>
      <c r="P31" s="152">
        <f t="shared" si="3"/>
        <v>0</v>
      </c>
      <c r="Q31" s="152">
        <f t="shared" si="3"/>
        <v>0</v>
      </c>
      <c r="R31" s="152">
        <f t="shared" si="3"/>
        <v>0</v>
      </c>
      <c r="S31" s="152">
        <f t="shared" si="3"/>
        <v>0</v>
      </c>
      <c r="T31" s="152">
        <f t="shared" si="3"/>
        <v>0</v>
      </c>
      <c r="U31" s="152">
        <f t="shared" si="3"/>
        <v>0</v>
      </c>
      <c r="V31" s="152">
        <f t="shared" si="3"/>
        <v>0</v>
      </c>
      <c r="W31" s="152">
        <f t="shared" si="3"/>
        <v>0</v>
      </c>
      <c r="X31" s="152">
        <f t="shared" si="3"/>
        <v>0</v>
      </c>
      <c r="Y31" s="152">
        <f t="shared" si="3"/>
        <v>0</v>
      </c>
      <c r="Z31" s="152">
        <f t="shared" si="3"/>
        <v>0</v>
      </c>
      <c r="AA31" s="152">
        <f t="shared" si="3"/>
        <v>0</v>
      </c>
      <c r="AB31" s="152">
        <f t="shared" si="3"/>
        <v>0</v>
      </c>
      <c r="AC31" s="152">
        <f t="shared" si="3"/>
        <v>0</v>
      </c>
      <c r="AD31" s="152">
        <f t="shared" si="3"/>
        <v>0</v>
      </c>
      <c r="AE31" s="152">
        <f t="shared" si="3"/>
        <v>0</v>
      </c>
      <c r="AF31" s="152">
        <f t="shared" si="3"/>
        <v>0</v>
      </c>
      <c r="AG31" s="152">
        <f t="shared" si="3"/>
        <v>0</v>
      </c>
      <c r="AH31" s="152">
        <f t="shared" si="3"/>
        <v>0</v>
      </c>
      <c r="AI31" s="152">
        <f t="shared" si="3"/>
        <v>0</v>
      </c>
      <c r="AJ31" s="152">
        <f t="shared" si="3"/>
        <v>0</v>
      </c>
      <c r="AK31" s="152">
        <f t="shared" si="3"/>
        <v>0</v>
      </c>
      <c r="AL31" s="152">
        <f t="shared" si="3"/>
        <v>0</v>
      </c>
      <c r="AM31" s="152">
        <f t="shared" si="3"/>
        <v>0</v>
      </c>
      <c r="AN31" s="152">
        <f t="shared" si="3"/>
        <v>0</v>
      </c>
      <c r="AO31" s="152">
        <f t="shared" si="3"/>
        <v>0</v>
      </c>
      <c r="AP31" s="152">
        <f t="shared" si="3"/>
        <v>0</v>
      </c>
      <c r="AQ31" s="152">
        <f t="shared" si="3"/>
        <v>0</v>
      </c>
      <c r="AR31" s="152">
        <f t="shared" si="3"/>
        <v>0</v>
      </c>
      <c r="AS31" s="152">
        <f t="shared" si="3"/>
        <v>0</v>
      </c>
    </row>
    <row r="32" spans="1:89" s="110" customFormat="1" x14ac:dyDescent="0.4">
      <c r="A32" s="106"/>
      <c r="E32" s="12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</row>
    <row r="33" spans="1:46" x14ac:dyDescent="0.4">
      <c r="A33" s="106" t="s">
        <v>190</v>
      </c>
      <c r="E33" s="129">
        <f>'Demand Inputs'!B86</f>
        <v>159390000</v>
      </c>
      <c r="F33" s="129">
        <f>'Demand Inputs'!C86</f>
        <v>162315545.99380004</v>
      </c>
      <c r="G33" s="129">
        <f>'Demand Inputs'!D86</f>
        <v>165322069.90248597</v>
      </c>
      <c r="H33" s="129">
        <f>'Demand Inputs'!E102</f>
        <v>0</v>
      </c>
      <c r="I33" s="129">
        <f>'Demand Inputs'!F102</f>
        <v>0</v>
      </c>
      <c r="J33" s="129">
        <f>'Demand Inputs'!G102</f>
        <v>0</v>
      </c>
      <c r="K33" s="129">
        <f>'Demand Inputs'!H102</f>
        <v>0</v>
      </c>
      <c r="L33" s="129">
        <f>'Demand Inputs'!I102</f>
        <v>0</v>
      </c>
      <c r="M33" s="129">
        <f>'Demand Inputs'!J102</f>
        <v>0</v>
      </c>
      <c r="N33" s="129">
        <f>'Demand Inputs'!K102</f>
        <v>0</v>
      </c>
      <c r="O33" s="129">
        <f>'Demand Inputs'!L102</f>
        <v>0</v>
      </c>
      <c r="P33" s="129">
        <f>'Demand Inputs'!M102</f>
        <v>0</v>
      </c>
      <c r="Q33" s="129">
        <f>'Demand Inputs'!N102</f>
        <v>0</v>
      </c>
      <c r="R33" s="129">
        <f>'Demand Inputs'!O102</f>
        <v>0</v>
      </c>
      <c r="S33" s="129">
        <f>'Demand Inputs'!P102</f>
        <v>0</v>
      </c>
      <c r="T33" s="129">
        <f>'Demand Inputs'!Q102</f>
        <v>0</v>
      </c>
      <c r="U33" s="129">
        <f>'Demand Inputs'!R102</f>
        <v>0</v>
      </c>
      <c r="V33" s="129">
        <f>'Demand Inputs'!S102</f>
        <v>0</v>
      </c>
      <c r="W33" s="129">
        <f>'Demand Inputs'!T102</f>
        <v>0</v>
      </c>
      <c r="X33" s="129">
        <f>'Demand Inputs'!U102</f>
        <v>0</v>
      </c>
      <c r="Y33" s="129">
        <f>'Demand Inputs'!V102</f>
        <v>0</v>
      </c>
      <c r="Z33" s="129">
        <f>'Demand Inputs'!W102</f>
        <v>0</v>
      </c>
      <c r="AA33" s="129">
        <f>'Demand Inputs'!X102</f>
        <v>0</v>
      </c>
      <c r="AB33" s="129">
        <f>'Demand Inputs'!Y102</f>
        <v>0</v>
      </c>
      <c r="AC33" s="129">
        <f>'Demand Inputs'!Z102</f>
        <v>0</v>
      </c>
      <c r="AD33" s="129">
        <f>'Demand Inputs'!AA102</f>
        <v>0</v>
      </c>
      <c r="AE33" s="129">
        <f>'Demand Inputs'!AB102</f>
        <v>0</v>
      </c>
      <c r="AF33" s="129">
        <f>'Demand Inputs'!AC102</f>
        <v>0</v>
      </c>
      <c r="AG33" s="129">
        <f>'Demand Inputs'!AD102</f>
        <v>0</v>
      </c>
      <c r="AH33" s="129">
        <f>'Demand Inputs'!AE102</f>
        <v>0</v>
      </c>
      <c r="AI33" s="129">
        <f>'Demand Inputs'!AF102</f>
        <v>0</v>
      </c>
      <c r="AJ33" s="129">
        <f>'Demand Inputs'!AG102</f>
        <v>0</v>
      </c>
      <c r="AK33" s="129">
        <f>'Demand Inputs'!AH102</f>
        <v>0</v>
      </c>
      <c r="AL33" s="129">
        <f>'Demand Inputs'!AI102</f>
        <v>0</v>
      </c>
      <c r="AM33" s="129">
        <f>'Demand Inputs'!AJ102</f>
        <v>0</v>
      </c>
      <c r="AN33" s="129">
        <f>'Demand Inputs'!AK102</f>
        <v>0</v>
      </c>
      <c r="AO33" s="129">
        <f>'Demand Inputs'!AL102</f>
        <v>0</v>
      </c>
      <c r="AP33" s="129">
        <f>'Demand Inputs'!AM102</f>
        <v>0</v>
      </c>
      <c r="AQ33" s="129">
        <f>'Demand Inputs'!AN102</f>
        <v>0</v>
      </c>
      <c r="AR33" s="129">
        <f>'Demand Inputs'!AO102</f>
        <v>0</v>
      </c>
      <c r="AS33" s="129">
        <f>'Demand Inputs'!AP102</f>
        <v>0</v>
      </c>
    </row>
    <row r="34" spans="1:46" x14ac:dyDescent="0.4">
      <c r="A34" s="106"/>
      <c r="E34" s="129"/>
      <c r="F34" s="110"/>
      <c r="G34" s="110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</row>
    <row r="35" spans="1:46" x14ac:dyDescent="0.4">
      <c r="A35" s="106" t="s">
        <v>191</v>
      </c>
      <c r="E35" s="143">
        <f>ROUND(E31/(E33/1000),5)</f>
        <v>2.61686</v>
      </c>
      <c r="F35" s="144">
        <f>ROUND(E35*(1+'Plan Inputs'!F10),5)</f>
        <v>2.69537</v>
      </c>
      <c r="G35" s="144">
        <f>ROUND(F35*(1+'Plan Inputs'!G10),5)</f>
        <v>2.77623</v>
      </c>
      <c r="H35" s="144">
        <v>3.01</v>
      </c>
      <c r="I35" s="144">
        <f>ROUND(H35*(1+'Plan Inputs'!I10),5)</f>
        <v>3.1002999999999998</v>
      </c>
      <c r="J35" s="144">
        <f>ROUND(I35*(1+'Plan Inputs'!J10),5)</f>
        <v>3.1933099999999999</v>
      </c>
      <c r="K35" s="144">
        <f>ROUND(J35*(1+'Plan Inputs'!K10),5)</f>
        <v>3.28911</v>
      </c>
      <c r="L35" s="144">
        <f>ROUND(K35*(1+'Plan Inputs'!L10),5)</f>
        <v>3.3877799999999998</v>
      </c>
      <c r="M35" s="144">
        <f>ROUND(L35*(1+'Plan Inputs'!M10),5)</f>
        <v>3.4894099999999999</v>
      </c>
      <c r="N35" s="144">
        <f>ROUND(M35*(1+'Plan Inputs'!N10),5)</f>
        <v>3.59409</v>
      </c>
      <c r="O35" s="144">
        <f>ROUND(N35*(1+'Plan Inputs'!O10),5)</f>
        <v>3.7019099999999998</v>
      </c>
      <c r="P35" s="144">
        <f>ROUND(O35*(1+'Plan Inputs'!P10),5)</f>
        <v>3.81297</v>
      </c>
      <c r="Q35" s="144">
        <f>ROUND(P35*(1+'Plan Inputs'!Q10),5)</f>
        <v>3.9273600000000002</v>
      </c>
      <c r="R35" s="144">
        <f>ROUND(Q35*(1+'Plan Inputs'!R10),5)</f>
        <v>4.0451800000000002</v>
      </c>
      <c r="S35" s="144">
        <f>ROUND(R35*(1+'Plan Inputs'!S10),5)</f>
        <v>4.1665400000000004</v>
      </c>
      <c r="T35" s="144">
        <f>ROUND(S35*(1+'Plan Inputs'!T10),5)</f>
        <v>4.2915400000000004</v>
      </c>
      <c r="U35" s="144">
        <f>ROUND(T35*(1+'Plan Inputs'!U10),5)</f>
        <v>4.4202899999999996</v>
      </c>
      <c r="V35" s="144">
        <f>ROUND(U35*(1+'Plan Inputs'!V10),5)</f>
        <v>4.5529000000000002</v>
      </c>
      <c r="W35" s="144">
        <f>ROUND(V35*(1+'Plan Inputs'!W10),5)</f>
        <v>4.6894900000000002</v>
      </c>
      <c r="X35" s="144">
        <f>ROUND(W35*(1+'Plan Inputs'!X10),5)</f>
        <v>4.8301699999999999</v>
      </c>
      <c r="Y35" s="144">
        <f>ROUND(X35*(1+'Plan Inputs'!Y10),5)</f>
        <v>4.9750800000000002</v>
      </c>
      <c r="Z35" s="144">
        <f>ROUND(Y35*(1+'Plan Inputs'!Z10),5)</f>
        <v>5.1243299999999996</v>
      </c>
      <c r="AA35" s="144">
        <f>ROUND(Z35*(1+'Plan Inputs'!AA10),5)</f>
        <v>5.27806</v>
      </c>
      <c r="AB35" s="144">
        <f>ROUND(AA35*(1+'Plan Inputs'!AB10),5)</f>
        <v>5.4363999999999999</v>
      </c>
      <c r="AC35" s="144">
        <f>ROUND(AB35*(1+'Plan Inputs'!AC10),5)</f>
        <v>5.5994900000000003</v>
      </c>
      <c r="AD35" s="144">
        <f>ROUND(AC35*(1+'Plan Inputs'!AD10),5)</f>
        <v>5.7674700000000003</v>
      </c>
      <c r="AE35" s="144">
        <f>ROUND(AD35*(1+'Plan Inputs'!AE10),5)</f>
        <v>5.9404899999999996</v>
      </c>
      <c r="AF35" s="144">
        <f>ROUND(AE35*(1+'Plan Inputs'!AF10),5)</f>
        <v>6.1186999999999996</v>
      </c>
      <c r="AG35" s="144">
        <f>ROUND(AF35*(1+'Plan Inputs'!AG10),5)</f>
        <v>6.3022600000000004</v>
      </c>
      <c r="AH35" s="144">
        <f>ROUND(AG35*(1+'Plan Inputs'!AH10),5)</f>
        <v>6.4913299999999996</v>
      </c>
      <c r="AI35" s="144">
        <f>ROUND(AH35*(1+'Plan Inputs'!AI10),5)</f>
        <v>6.68607</v>
      </c>
      <c r="AJ35" s="144">
        <f>ROUND(AI35*(1+'Plan Inputs'!AJ10),5)</f>
        <v>6.8866500000000004</v>
      </c>
      <c r="AK35" s="144">
        <f>ROUND(AJ35*(1+'Plan Inputs'!AK10),5)</f>
        <v>7.0932500000000003</v>
      </c>
      <c r="AL35" s="144">
        <f>ROUND(AK35*(1+'Plan Inputs'!AL10),5)</f>
        <v>7.3060499999999999</v>
      </c>
      <c r="AM35" s="144">
        <f>ROUND(AL35*(1+'Plan Inputs'!AM10),5)</f>
        <v>7.5252299999999996</v>
      </c>
      <c r="AN35" s="144">
        <f>ROUND(AM35*(1+'Plan Inputs'!AN10),5)</f>
        <v>7.7509899999999998</v>
      </c>
      <c r="AO35" s="144">
        <f>ROUND(AN35*(1+'Plan Inputs'!AO10),5)</f>
        <v>7.9835200000000004</v>
      </c>
      <c r="AP35" s="144">
        <f>ROUND(AO35*(1+'Plan Inputs'!AP10),5)</f>
        <v>8.2230299999999996</v>
      </c>
      <c r="AQ35" s="144">
        <f>ROUND(AP35*(1+'Plan Inputs'!AQ10),5)</f>
        <v>8.4697200000000006</v>
      </c>
      <c r="AR35" s="144">
        <f>ROUND(AQ35*(1+'Plan Inputs'!AR10),5)</f>
        <v>8.7238100000000003</v>
      </c>
      <c r="AS35" s="144">
        <f>ROUND(AR35*(1+'Plan Inputs'!AS10),5)</f>
        <v>8.9855199999999993</v>
      </c>
    </row>
    <row r="36" spans="1:46" x14ac:dyDescent="0.4"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</row>
    <row r="37" spans="1:46" x14ac:dyDescent="0.4"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</row>
    <row r="38" spans="1:46" x14ac:dyDescent="0.4">
      <c r="E38" s="130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</row>
    <row r="39" spans="1:46" x14ac:dyDescent="0.4">
      <c r="E39" s="130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</row>
    <row r="41" spans="1:46" x14ac:dyDescent="0.4">
      <c r="A41" s="90"/>
    </row>
    <row r="42" spans="1:46" s="22" customFormat="1" x14ac:dyDescent="0.4">
      <c r="A42" s="104"/>
      <c r="E42" s="128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</row>
    <row r="43" spans="1:46" x14ac:dyDescent="0.4">
      <c r="A43" s="104"/>
      <c r="B43" s="22"/>
      <c r="C43" s="22"/>
      <c r="D43" s="22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</row>
    <row r="44" spans="1:46" x14ac:dyDescent="0.4">
      <c r="A44" s="22"/>
      <c r="B44" s="22"/>
      <c r="C44" s="22"/>
      <c r="D44" s="22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</row>
    <row r="45" spans="1:46" x14ac:dyDescent="0.4">
      <c r="A45" s="104"/>
      <c r="B45" s="22"/>
      <c r="C45" s="22"/>
      <c r="D45" s="22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</row>
    <row r="46" spans="1:46" x14ac:dyDescent="0.4">
      <c r="A46" s="104"/>
      <c r="B46" s="22"/>
      <c r="C46" s="22"/>
      <c r="D46" s="22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</row>
    <row r="48" spans="1:46" x14ac:dyDescent="0.4"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</row>
    <row r="49" spans="5:46" x14ac:dyDescent="0.4"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</row>
    <row r="50" spans="5:46" x14ac:dyDescent="0.4">
      <c r="E50" s="130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</row>
    <row r="51" spans="5:46" x14ac:dyDescent="0.4">
      <c r="E51" s="130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</row>
  </sheetData>
  <mergeCells count="4">
    <mergeCell ref="A1:K1"/>
    <mergeCell ref="A3:K3"/>
    <mergeCell ref="A21:K21"/>
    <mergeCell ref="A23:K23"/>
  </mergeCells>
  <printOptions verticalCentered="1"/>
  <pageMargins left="0.7" right="0.7" top="0.75" bottom="0.75" header="0.3" footer="0.3"/>
  <pageSetup scale="65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0585-6717-45CE-AE0D-F5E1E3550695}">
  <sheetPr>
    <pageSetUpPr fitToPage="1"/>
  </sheetPr>
  <dimension ref="A1:CK75"/>
  <sheetViews>
    <sheetView workbookViewId="0">
      <selection sqref="A1:K1"/>
    </sheetView>
  </sheetViews>
  <sheetFormatPr defaultColWidth="8.875" defaultRowHeight="14.6" x14ac:dyDescent="0.4"/>
  <cols>
    <col min="1" max="1" width="4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15" customFormat="1" ht="18.45" x14ac:dyDescent="0.4">
      <c r="A1" s="233" t="s">
        <v>193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18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</row>
    <row r="3" spans="1:89" s="120" customFormat="1" ht="15.9" x14ac:dyDescent="0.45">
      <c r="A3" s="229" t="s">
        <v>91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</row>
    <row r="4" spans="1:89" s="15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4">
      <c r="A5" s="92"/>
      <c r="B5" s="73"/>
      <c r="C5" s="73"/>
      <c r="D5" s="73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0" customFormat="1" x14ac:dyDescent="0.4">
      <c r="A6" s="1" t="s">
        <v>194</v>
      </c>
      <c r="B6" s="1"/>
      <c r="C6" s="1"/>
      <c r="D6" s="1"/>
      <c r="E6" s="126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4">
      <c r="A7" s="1"/>
      <c r="B7" s="67" t="s">
        <v>114</v>
      </c>
      <c r="C7" s="1"/>
      <c r="D7" s="1"/>
      <c r="E7" s="140">
        <f>'Financial Base'!F23</f>
        <v>271735</v>
      </c>
      <c r="F7" s="145">
        <f>ROUND(E7*(1+'Plan Inputs'!F$10),0)</f>
        <v>279887</v>
      </c>
      <c r="G7" s="145">
        <f>ROUND(F7*(1+'Plan Inputs'!G$10),0)</f>
        <v>288284</v>
      </c>
      <c r="H7" s="145">
        <f>ROUND(G7*(1+'Plan Inputs'!H$10),0)</f>
        <v>296933</v>
      </c>
      <c r="I7" s="145">
        <f>ROUND(H7*(1+'Plan Inputs'!I$10),0)</f>
        <v>305841</v>
      </c>
      <c r="J7" s="145">
        <f>ROUND(I7*(1+'Plan Inputs'!J$10),0)</f>
        <v>315016</v>
      </c>
      <c r="K7" s="145">
        <f>ROUND(J7*(1+'Plan Inputs'!K$10),0)</f>
        <v>324466</v>
      </c>
      <c r="L7" s="145">
        <f>ROUND(K7*(1+'Plan Inputs'!L$10),0)</f>
        <v>334200</v>
      </c>
      <c r="M7" s="145">
        <f>ROUND(L7*(1+'Plan Inputs'!M$10),0)</f>
        <v>344226</v>
      </c>
      <c r="N7" s="145">
        <f>ROUND(M7*(1+'Plan Inputs'!N$10),0)</f>
        <v>354553</v>
      </c>
      <c r="O7" s="145">
        <f>ROUND(N7*(1+'Plan Inputs'!O$10),0)</f>
        <v>365190</v>
      </c>
      <c r="P7" s="145">
        <f>ROUND(O7*(1+'Plan Inputs'!P$10),0)</f>
        <v>376146</v>
      </c>
      <c r="Q7" s="145">
        <f>ROUND(P7*(1+'Plan Inputs'!Q$10),0)</f>
        <v>387430</v>
      </c>
      <c r="R7" s="145">
        <f>ROUND(Q7*(1+'Plan Inputs'!R$10),0)</f>
        <v>399053</v>
      </c>
      <c r="S7" s="145">
        <f>ROUND(R7*(1+'Plan Inputs'!S$10),0)</f>
        <v>411025</v>
      </c>
      <c r="T7" s="145">
        <f>ROUND(S7*(1+'Plan Inputs'!T$10),0)</f>
        <v>423356</v>
      </c>
      <c r="U7" s="145">
        <f>ROUND(T7*(1+'Plan Inputs'!U$10),0)</f>
        <v>436057</v>
      </c>
      <c r="V7" s="145">
        <f>ROUND(U7*(1+'Plan Inputs'!V$10),0)</f>
        <v>449139</v>
      </c>
      <c r="W7" s="145">
        <f>ROUND(V7*(1+'Plan Inputs'!W$10),0)</f>
        <v>462613</v>
      </c>
      <c r="X7" s="145">
        <f>ROUND(W7*(1+'Plan Inputs'!X$10),0)</f>
        <v>476491</v>
      </c>
      <c r="Y7" s="145">
        <f>ROUND(X7*(1+'Plan Inputs'!Y$10),0)</f>
        <v>490786</v>
      </c>
      <c r="Z7" s="145">
        <f>ROUND(Y7*(1+'Plan Inputs'!Z$10),0)</f>
        <v>505510</v>
      </c>
      <c r="AA7" s="145">
        <f>ROUND(Z7*(1+'Plan Inputs'!AA$10),0)</f>
        <v>520675</v>
      </c>
      <c r="AB7" s="145">
        <f>ROUND(AA7*(1+'Plan Inputs'!AB$10),0)</f>
        <v>536295</v>
      </c>
      <c r="AC7" s="145">
        <f>ROUND(AB7*(1+'Plan Inputs'!AC$10),0)</f>
        <v>552384</v>
      </c>
      <c r="AD7" s="145">
        <f>ROUND(AC7*(1+'Plan Inputs'!AD$10),0)</f>
        <v>568956</v>
      </c>
      <c r="AE7" s="145">
        <f>ROUND(AD7*(1+'Plan Inputs'!AE$10),0)</f>
        <v>586025</v>
      </c>
      <c r="AF7" s="145">
        <f>ROUND(AE7*(1+'Plan Inputs'!AF$10),0)</f>
        <v>603606</v>
      </c>
      <c r="AG7" s="145">
        <f>ROUND(AF7*(1+'Plan Inputs'!AG$10),0)</f>
        <v>621714</v>
      </c>
      <c r="AH7" s="145">
        <f>ROUND(AG7*(1+'Plan Inputs'!AH$10),0)</f>
        <v>640365</v>
      </c>
      <c r="AI7" s="145">
        <f>ROUND(AH7*(1+'Plan Inputs'!AI$10),0)</f>
        <v>659576</v>
      </c>
      <c r="AJ7" s="145">
        <f>ROUND(AI7*(1+'Plan Inputs'!AJ$10),0)</f>
        <v>679363</v>
      </c>
      <c r="AK7" s="145">
        <f>ROUND(AJ7*(1+'Plan Inputs'!AK$10),0)</f>
        <v>699744</v>
      </c>
      <c r="AL7" s="145">
        <f>ROUND(AK7*(1+'Plan Inputs'!AL$10),0)</f>
        <v>720736</v>
      </c>
      <c r="AM7" s="145">
        <f>ROUND(AL7*(1+'Plan Inputs'!AM$10),0)</f>
        <v>742358</v>
      </c>
      <c r="AN7" s="145">
        <f>ROUND(AM7*(1+'Plan Inputs'!AN$10),0)</f>
        <v>764629</v>
      </c>
      <c r="AO7" s="145">
        <f>ROUND(AN7*(1+'Plan Inputs'!AO$10),0)</f>
        <v>787568</v>
      </c>
      <c r="AP7" s="145">
        <f>ROUND(AO7*(1+'Plan Inputs'!AP$10),0)</f>
        <v>811195</v>
      </c>
      <c r="AQ7" s="145">
        <f>ROUND(AP7*(1+'Plan Inputs'!AQ$10),0)</f>
        <v>835531</v>
      </c>
      <c r="AR7" s="145">
        <f>ROUND(AQ7*(1+'Plan Inputs'!AR$10),0)</f>
        <v>860597</v>
      </c>
      <c r="AS7" s="145">
        <f>ROUND(AR7*(1+'Plan Inputs'!AS$10),0)</f>
        <v>886415</v>
      </c>
    </row>
    <row r="8" spans="1:89" x14ac:dyDescent="0.4">
      <c r="A8" s="27"/>
      <c r="B8" s="67" t="s">
        <v>115</v>
      </c>
      <c r="C8" s="27"/>
      <c r="D8" s="40"/>
      <c r="E8" s="142">
        <f>'Financial Base'!F24</f>
        <v>854033</v>
      </c>
      <c r="F8" s="147">
        <f>ROUND(E8*(1+'Plan Inputs'!F$10),0)</f>
        <v>879654</v>
      </c>
      <c r="G8" s="147">
        <f>ROUND(F8*(1+'Plan Inputs'!G$10),0)</f>
        <v>906044</v>
      </c>
      <c r="H8" s="147">
        <f>ROUND(G8*(1+'Plan Inputs'!H$10),0)</f>
        <v>933225</v>
      </c>
      <c r="I8" s="147">
        <f>ROUND(H8*(1+'Plan Inputs'!I$10),0)</f>
        <v>961222</v>
      </c>
      <c r="J8" s="147">
        <f>ROUND(I8*(1+'Plan Inputs'!J$10),0)</f>
        <v>990059</v>
      </c>
      <c r="K8" s="147">
        <f>ROUND(J8*(1+'Plan Inputs'!K$10),0)</f>
        <v>1019761</v>
      </c>
      <c r="L8" s="147">
        <f>ROUND(K8*(1+'Plan Inputs'!L$10),0)</f>
        <v>1050354</v>
      </c>
      <c r="M8" s="147">
        <f>ROUND(L8*(1+'Plan Inputs'!M$10),0)</f>
        <v>1081865</v>
      </c>
      <c r="N8" s="147">
        <f>ROUND(M8*(1+'Plan Inputs'!N$10),0)</f>
        <v>1114321</v>
      </c>
      <c r="O8" s="147">
        <f>ROUND(N8*(1+'Plan Inputs'!O$10),0)</f>
        <v>1147751</v>
      </c>
      <c r="P8" s="147">
        <f>ROUND(O8*(1+'Plan Inputs'!P$10),0)</f>
        <v>1182184</v>
      </c>
      <c r="Q8" s="147">
        <f>ROUND(P8*(1+'Plan Inputs'!Q$10),0)</f>
        <v>1217650</v>
      </c>
      <c r="R8" s="147">
        <f>ROUND(Q8*(1+'Plan Inputs'!R$10),0)</f>
        <v>1254180</v>
      </c>
      <c r="S8" s="147">
        <f>ROUND(R8*(1+'Plan Inputs'!S$10),0)</f>
        <v>1291805</v>
      </c>
      <c r="T8" s="147">
        <f>ROUND(S8*(1+'Plan Inputs'!T$10),0)</f>
        <v>1330559</v>
      </c>
      <c r="U8" s="147">
        <f>ROUND(T8*(1+'Plan Inputs'!U$10),0)</f>
        <v>1370476</v>
      </c>
      <c r="V8" s="147">
        <f>ROUND(U8*(1+'Plan Inputs'!V$10),0)</f>
        <v>1411590</v>
      </c>
      <c r="W8" s="147">
        <f>ROUND(V8*(1+'Plan Inputs'!W$10),0)</f>
        <v>1453938</v>
      </c>
      <c r="X8" s="147">
        <f>ROUND(W8*(1+'Plan Inputs'!X$10),0)</f>
        <v>1497556</v>
      </c>
      <c r="Y8" s="147">
        <f>ROUND(X8*(1+'Plan Inputs'!Y$10),0)</f>
        <v>1542483</v>
      </c>
      <c r="Z8" s="147">
        <f>ROUND(Y8*(1+'Plan Inputs'!Z$10),0)</f>
        <v>1588757</v>
      </c>
      <c r="AA8" s="147">
        <f>ROUND(Z8*(1+'Plan Inputs'!AA$10),0)</f>
        <v>1636420</v>
      </c>
      <c r="AB8" s="147">
        <f>ROUND(AA8*(1+'Plan Inputs'!AB$10),0)</f>
        <v>1685513</v>
      </c>
      <c r="AC8" s="147">
        <f>ROUND(AB8*(1+'Plan Inputs'!AC$10),0)</f>
        <v>1736078</v>
      </c>
      <c r="AD8" s="147">
        <f>ROUND(AC8*(1+'Plan Inputs'!AD$10),0)</f>
        <v>1788160</v>
      </c>
      <c r="AE8" s="147">
        <f>ROUND(AD8*(1+'Plan Inputs'!AE$10),0)</f>
        <v>1841805</v>
      </c>
      <c r="AF8" s="147">
        <f>ROUND(AE8*(1+'Plan Inputs'!AF$10),0)</f>
        <v>1897059</v>
      </c>
      <c r="AG8" s="147">
        <f>ROUND(AF8*(1+'Plan Inputs'!AG$10),0)</f>
        <v>1953971</v>
      </c>
      <c r="AH8" s="147">
        <f>ROUND(AG8*(1+'Plan Inputs'!AH$10),0)</f>
        <v>2012590</v>
      </c>
      <c r="AI8" s="147">
        <f>ROUND(AH8*(1+'Plan Inputs'!AI$10),0)</f>
        <v>2072968</v>
      </c>
      <c r="AJ8" s="147">
        <f>ROUND(AI8*(1+'Plan Inputs'!AJ$10),0)</f>
        <v>2135157</v>
      </c>
      <c r="AK8" s="147">
        <f>ROUND(AJ8*(1+'Plan Inputs'!AK$10),0)</f>
        <v>2199212</v>
      </c>
      <c r="AL8" s="147">
        <f>ROUND(AK8*(1+'Plan Inputs'!AL$10),0)</f>
        <v>2265188</v>
      </c>
      <c r="AM8" s="147">
        <f>ROUND(AL8*(1+'Plan Inputs'!AM$10),0)</f>
        <v>2333144</v>
      </c>
      <c r="AN8" s="147">
        <f>ROUND(AM8*(1+'Plan Inputs'!AN$10),0)</f>
        <v>2403138</v>
      </c>
      <c r="AO8" s="147">
        <f>ROUND(AN8*(1+'Plan Inputs'!AO$10),0)</f>
        <v>2475232</v>
      </c>
      <c r="AP8" s="147">
        <f>ROUND(AO8*(1+'Plan Inputs'!AP$10),0)</f>
        <v>2549489</v>
      </c>
      <c r="AQ8" s="147">
        <f>ROUND(AP8*(1+'Plan Inputs'!AQ$10),0)</f>
        <v>2625974</v>
      </c>
      <c r="AR8" s="147">
        <f>ROUND(AQ8*(1+'Plan Inputs'!AR$10),0)</f>
        <v>2704753</v>
      </c>
      <c r="AS8" s="147">
        <f>ROUND(AR8*(1+'Plan Inputs'!AS$10),0)</f>
        <v>2785896</v>
      </c>
    </row>
    <row r="9" spans="1:89" x14ac:dyDescent="0.4">
      <c r="A9" s="27" t="s">
        <v>195</v>
      </c>
      <c r="B9" s="27"/>
      <c r="C9" s="27"/>
      <c r="D9" s="40"/>
      <c r="E9" s="140">
        <f>SUM(E7:E8)</f>
        <v>1125768</v>
      </c>
      <c r="F9" s="145">
        <f>SUM(F7:F8)</f>
        <v>1159541</v>
      </c>
      <c r="G9" s="145">
        <f t="shared" ref="G9:AS9" si="1">SUM(G7:G8)</f>
        <v>1194328</v>
      </c>
      <c r="H9" s="145">
        <f t="shared" si="1"/>
        <v>1230158</v>
      </c>
      <c r="I9" s="145">
        <f t="shared" si="1"/>
        <v>1267063</v>
      </c>
      <c r="J9" s="145">
        <f t="shared" si="1"/>
        <v>1305075</v>
      </c>
      <c r="K9" s="145">
        <f t="shared" si="1"/>
        <v>1344227</v>
      </c>
      <c r="L9" s="145">
        <f t="shared" si="1"/>
        <v>1384554</v>
      </c>
      <c r="M9" s="145">
        <f t="shared" si="1"/>
        <v>1426091</v>
      </c>
      <c r="N9" s="145">
        <f t="shared" si="1"/>
        <v>1468874</v>
      </c>
      <c r="O9" s="145">
        <f t="shared" si="1"/>
        <v>1512941</v>
      </c>
      <c r="P9" s="145">
        <f t="shared" si="1"/>
        <v>1558330</v>
      </c>
      <c r="Q9" s="145">
        <f t="shared" si="1"/>
        <v>1605080</v>
      </c>
      <c r="R9" s="145">
        <f t="shared" si="1"/>
        <v>1653233</v>
      </c>
      <c r="S9" s="145">
        <f t="shared" si="1"/>
        <v>1702830</v>
      </c>
      <c r="T9" s="145">
        <f t="shared" si="1"/>
        <v>1753915</v>
      </c>
      <c r="U9" s="145">
        <f t="shared" si="1"/>
        <v>1806533</v>
      </c>
      <c r="V9" s="145">
        <f t="shared" si="1"/>
        <v>1860729</v>
      </c>
      <c r="W9" s="145">
        <f t="shared" si="1"/>
        <v>1916551</v>
      </c>
      <c r="X9" s="145">
        <f t="shared" si="1"/>
        <v>1974047</v>
      </c>
      <c r="Y9" s="145">
        <f t="shared" si="1"/>
        <v>2033269</v>
      </c>
      <c r="Z9" s="145">
        <f t="shared" si="1"/>
        <v>2094267</v>
      </c>
      <c r="AA9" s="145">
        <f t="shared" si="1"/>
        <v>2157095</v>
      </c>
      <c r="AB9" s="145">
        <f t="shared" si="1"/>
        <v>2221808</v>
      </c>
      <c r="AC9" s="145">
        <f t="shared" si="1"/>
        <v>2288462</v>
      </c>
      <c r="AD9" s="145">
        <f t="shared" si="1"/>
        <v>2357116</v>
      </c>
      <c r="AE9" s="145">
        <f t="shared" si="1"/>
        <v>2427830</v>
      </c>
      <c r="AF9" s="145">
        <f t="shared" si="1"/>
        <v>2500665</v>
      </c>
      <c r="AG9" s="145">
        <f t="shared" si="1"/>
        <v>2575685</v>
      </c>
      <c r="AH9" s="145">
        <f t="shared" si="1"/>
        <v>2652955</v>
      </c>
      <c r="AI9" s="145">
        <f t="shared" si="1"/>
        <v>2732544</v>
      </c>
      <c r="AJ9" s="145">
        <f t="shared" si="1"/>
        <v>2814520</v>
      </c>
      <c r="AK9" s="145">
        <f t="shared" si="1"/>
        <v>2898956</v>
      </c>
      <c r="AL9" s="145">
        <f t="shared" si="1"/>
        <v>2985924</v>
      </c>
      <c r="AM9" s="145">
        <f t="shared" si="1"/>
        <v>3075502</v>
      </c>
      <c r="AN9" s="145">
        <f t="shared" si="1"/>
        <v>3167767</v>
      </c>
      <c r="AO9" s="145">
        <f t="shared" si="1"/>
        <v>3262800</v>
      </c>
      <c r="AP9" s="145">
        <f t="shared" si="1"/>
        <v>3360684</v>
      </c>
      <c r="AQ9" s="145">
        <f t="shared" si="1"/>
        <v>3461505</v>
      </c>
      <c r="AR9" s="145">
        <f t="shared" si="1"/>
        <v>3565350</v>
      </c>
      <c r="AS9" s="145">
        <f t="shared" si="1"/>
        <v>3672311</v>
      </c>
    </row>
    <row r="10" spans="1:89" s="110" customFormat="1" x14ac:dyDescent="0.4">
      <c r="A10" s="106"/>
      <c r="E10" s="12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</row>
    <row r="11" spans="1:89" x14ac:dyDescent="0.4">
      <c r="A11" s="70" t="s">
        <v>196</v>
      </c>
      <c r="E11" s="126"/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0</v>
      </c>
      <c r="Z11" s="126">
        <v>0</v>
      </c>
      <c r="AA11" s="126">
        <v>0</v>
      </c>
      <c r="AB11" s="126">
        <v>0</v>
      </c>
      <c r="AC11" s="126">
        <v>0</v>
      </c>
      <c r="AD11" s="126">
        <v>0</v>
      </c>
      <c r="AE11" s="126">
        <v>0</v>
      </c>
      <c r="AF11" s="126">
        <v>0</v>
      </c>
      <c r="AG11" s="126">
        <v>0</v>
      </c>
      <c r="AH11" s="126">
        <v>0</v>
      </c>
      <c r="AI11" s="126">
        <v>0</v>
      </c>
      <c r="AJ11" s="126">
        <v>0</v>
      </c>
      <c r="AK11" s="126">
        <v>0</v>
      </c>
      <c r="AL11" s="126">
        <v>0</v>
      </c>
      <c r="AM11" s="126">
        <v>0</v>
      </c>
      <c r="AN11" s="126">
        <v>0</v>
      </c>
      <c r="AO11" s="126">
        <v>0</v>
      </c>
      <c r="AP11" s="126">
        <v>0</v>
      </c>
      <c r="AQ11" s="126">
        <v>0</v>
      </c>
      <c r="AR11" s="126">
        <v>0</v>
      </c>
      <c r="AS11" s="126">
        <v>0</v>
      </c>
    </row>
    <row r="12" spans="1:89" x14ac:dyDescent="0.4"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spans="1:89" s="202" customFormat="1" x14ac:dyDescent="0.4">
      <c r="A13" s="203" t="s">
        <v>197</v>
      </c>
      <c r="E13" s="141"/>
      <c r="F13" s="141">
        <f t="shared" ref="F13:AS13" si="2">F9+F11</f>
        <v>1159541</v>
      </c>
      <c r="G13" s="141">
        <f t="shared" si="2"/>
        <v>1194328</v>
      </c>
      <c r="H13" s="141">
        <f t="shared" si="2"/>
        <v>1230158</v>
      </c>
      <c r="I13" s="141">
        <f t="shared" si="2"/>
        <v>1267063</v>
      </c>
      <c r="J13" s="141">
        <f t="shared" si="2"/>
        <v>1305075</v>
      </c>
      <c r="K13" s="141">
        <f t="shared" si="2"/>
        <v>1344227</v>
      </c>
      <c r="L13" s="141">
        <f t="shared" si="2"/>
        <v>1384554</v>
      </c>
      <c r="M13" s="141">
        <f t="shared" si="2"/>
        <v>1426091</v>
      </c>
      <c r="N13" s="141">
        <f t="shared" si="2"/>
        <v>1468874</v>
      </c>
      <c r="O13" s="141">
        <f t="shared" si="2"/>
        <v>1512941</v>
      </c>
      <c r="P13" s="141">
        <f t="shared" si="2"/>
        <v>1558330</v>
      </c>
      <c r="Q13" s="141">
        <f t="shared" si="2"/>
        <v>1605080</v>
      </c>
      <c r="R13" s="141">
        <f t="shared" si="2"/>
        <v>1653233</v>
      </c>
      <c r="S13" s="141">
        <f t="shared" si="2"/>
        <v>1702830</v>
      </c>
      <c r="T13" s="141">
        <f t="shared" si="2"/>
        <v>1753915</v>
      </c>
      <c r="U13" s="141">
        <f t="shared" si="2"/>
        <v>1806533</v>
      </c>
      <c r="V13" s="141">
        <f t="shared" si="2"/>
        <v>1860729</v>
      </c>
      <c r="W13" s="141">
        <f t="shared" si="2"/>
        <v>1916551</v>
      </c>
      <c r="X13" s="141">
        <f t="shared" si="2"/>
        <v>1974047</v>
      </c>
      <c r="Y13" s="141">
        <f t="shared" si="2"/>
        <v>2033269</v>
      </c>
      <c r="Z13" s="141">
        <f t="shared" si="2"/>
        <v>2094267</v>
      </c>
      <c r="AA13" s="141">
        <f t="shared" si="2"/>
        <v>2157095</v>
      </c>
      <c r="AB13" s="141">
        <f t="shared" si="2"/>
        <v>2221808</v>
      </c>
      <c r="AC13" s="141">
        <f t="shared" si="2"/>
        <v>2288462</v>
      </c>
      <c r="AD13" s="141">
        <f t="shared" si="2"/>
        <v>2357116</v>
      </c>
      <c r="AE13" s="141">
        <f t="shared" si="2"/>
        <v>2427830</v>
      </c>
      <c r="AF13" s="141">
        <f t="shared" si="2"/>
        <v>2500665</v>
      </c>
      <c r="AG13" s="141">
        <f t="shared" si="2"/>
        <v>2575685</v>
      </c>
      <c r="AH13" s="141">
        <f t="shared" si="2"/>
        <v>2652955</v>
      </c>
      <c r="AI13" s="141">
        <f t="shared" si="2"/>
        <v>2732544</v>
      </c>
      <c r="AJ13" s="141">
        <f t="shared" si="2"/>
        <v>2814520</v>
      </c>
      <c r="AK13" s="141">
        <f t="shared" si="2"/>
        <v>2898956</v>
      </c>
      <c r="AL13" s="141">
        <f t="shared" si="2"/>
        <v>2985924</v>
      </c>
      <c r="AM13" s="141">
        <f t="shared" si="2"/>
        <v>3075502</v>
      </c>
      <c r="AN13" s="141">
        <f t="shared" si="2"/>
        <v>3167767</v>
      </c>
      <c r="AO13" s="141">
        <f t="shared" si="2"/>
        <v>3262800</v>
      </c>
      <c r="AP13" s="141">
        <f t="shared" si="2"/>
        <v>3360684</v>
      </c>
      <c r="AQ13" s="141">
        <f t="shared" si="2"/>
        <v>3461505</v>
      </c>
      <c r="AR13" s="141">
        <f t="shared" si="2"/>
        <v>3565350</v>
      </c>
      <c r="AS13" s="141">
        <f t="shared" si="2"/>
        <v>3672311</v>
      </c>
    </row>
    <row r="14" spans="1:89" x14ac:dyDescent="0.4">
      <c r="A14" s="148"/>
      <c r="E14" s="129"/>
      <c r="F14" s="136"/>
      <c r="G14" s="136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</row>
    <row r="15" spans="1:89" x14ac:dyDescent="0.4">
      <c r="A15" s="171"/>
      <c r="B15" s="51"/>
      <c r="C15" s="51"/>
      <c r="D15" s="51"/>
      <c r="E15" s="172"/>
      <c r="F15" s="173"/>
      <c r="G15" s="173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</row>
    <row r="16" spans="1:89" x14ac:dyDescent="0.4">
      <c r="E16" s="12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</row>
    <row r="17" spans="1:89" x14ac:dyDescent="0.4">
      <c r="A17" s="71"/>
      <c r="E17" s="129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</row>
    <row r="18" spans="1:89" s="15" customFormat="1" ht="18.45" x14ac:dyDescent="0.4">
      <c r="A18" s="233" t="s">
        <v>198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</row>
    <row r="19" spans="1:89" s="118" customFormat="1" ht="18.45" x14ac:dyDescent="0.5">
      <c r="A19" s="117"/>
      <c r="B19" s="204"/>
      <c r="C19" s="204"/>
      <c r="D19" s="204"/>
      <c r="E19" s="204"/>
      <c r="F19" s="204" t="s">
        <v>0</v>
      </c>
      <c r="G19" s="204"/>
      <c r="H19" s="204"/>
      <c r="I19" s="204"/>
      <c r="J19" s="204"/>
      <c r="K19" s="204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</row>
    <row r="20" spans="1:89" s="120" customFormat="1" ht="15.9" x14ac:dyDescent="0.45">
      <c r="A20" s="229" t="s">
        <v>163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</row>
    <row r="21" spans="1:89" s="15" customFormat="1" x14ac:dyDescent="0.4">
      <c r="A21" s="84"/>
      <c r="B21" s="83"/>
      <c r="C21" s="83"/>
      <c r="D21" s="83"/>
      <c r="E21" s="83"/>
      <c r="F21" s="83"/>
      <c r="G21" s="74"/>
      <c r="H21" s="83"/>
      <c r="I21" s="83"/>
      <c r="J21" s="83"/>
      <c r="K21" s="8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5" customFormat="1" x14ac:dyDescent="0.4">
      <c r="A22" s="92"/>
      <c r="B22" s="73"/>
      <c r="C22" s="73"/>
      <c r="D22" s="73"/>
      <c r="E22" s="105"/>
      <c r="F22" s="75">
        <v>2026</v>
      </c>
      <c r="G22" s="76">
        <f>F22+1</f>
        <v>2027</v>
      </c>
      <c r="H22" s="76">
        <f t="shared" ref="H22:AS22" si="3">G22+1</f>
        <v>2028</v>
      </c>
      <c r="I22" s="76">
        <f t="shared" si="3"/>
        <v>2029</v>
      </c>
      <c r="J22" s="76">
        <f t="shared" si="3"/>
        <v>2030</v>
      </c>
      <c r="K22" s="76">
        <f t="shared" si="3"/>
        <v>2031</v>
      </c>
      <c r="L22" s="76">
        <f t="shared" si="3"/>
        <v>2032</v>
      </c>
      <c r="M22" s="76">
        <f t="shared" si="3"/>
        <v>2033</v>
      </c>
      <c r="N22" s="76">
        <f t="shared" si="3"/>
        <v>2034</v>
      </c>
      <c r="O22" s="76">
        <f t="shared" si="3"/>
        <v>2035</v>
      </c>
      <c r="P22" s="76">
        <f t="shared" si="3"/>
        <v>2036</v>
      </c>
      <c r="Q22" s="76">
        <f t="shared" si="3"/>
        <v>2037</v>
      </c>
      <c r="R22" s="76">
        <f t="shared" si="3"/>
        <v>2038</v>
      </c>
      <c r="S22" s="76">
        <f t="shared" si="3"/>
        <v>2039</v>
      </c>
      <c r="T22" s="76">
        <f t="shared" si="3"/>
        <v>2040</v>
      </c>
      <c r="U22" s="76">
        <f t="shared" si="3"/>
        <v>2041</v>
      </c>
      <c r="V22" s="76">
        <f t="shared" si="3"/>
        <v>2042</v>
      </c>
      <c r="W22" s="76">
        <f t="shared" si="3"/>
        <v>2043</v>
      </c>
      <c r="X22" s="76">
        <f t="shared" si="3"/>
        <v>2044</v>
      </c>
      <c r="Y22" s="76">
        <f t="shared" si="3"/>
        <v>2045</v>
      </c>
      <c r="Z22" s="76">
        <f t="shared" si="3"/>
        <v>2046</v>
      </c>
      <c r="AA22" s="76">
        <f t="shared" si="3"/>
        <v>2047</v>
      </c>
      <c r="AB22" s="76">
        <f t="shared" si="3"/>
        <v>2048</v>
      </c>
      <c r="AC22" s="76">
        <f t="shared" si="3"/>
        <v>2049</v>
      </c>
      <c r="AD22" s="76">
        <f t="shared" si="3"/>
        <v>2050</v>
      </c>
      <c r="AE22" s="76">
        <f t="shared" si="3"/>
        <v>2051</v>
      </c>
      <c r="AF22" s="76">
        <f t="shared" si="3"/>
        <v>2052</v>
      </c>
      <c r="AG22" s="76">
        <f t="shared" si="3"/>
        <v>2053</v>
      </c>
      <c r="AH22" s="76">
        <f t="shared" si="3"/>
        <v>2054</v>
      </c>
      <c r="AI22" s="76">
        <f t="shared" si="3"/>
        <v>2055</v>
      </c>
      <c r="AJ22" s="76">
        <f t="shared" si="3"/>
        <v>2056</v>
      </c>
      <c r="AK22" s="76">
        <f t="shared" si="3"/>
        <v>2057</v>
      </c>
      <c r="AL22" s="76">
        <f t="shared" si="3"/>
        <v>2058</v>
      </c>
      <c r="AM22" s="76">
        <f t="shared" si="3"/>
        <v>2059</v>
      </c>
      <c r="AN22" s="76">
        <f t="shared" si="3"/>
        <v>2060</v>
      </c>
      <c r="AO22" s="76">
        <f t="shared" si="3"/>
        <v>2061</v>
      </c>
      <c r="AP22" s="76">
        <f t="shared" si="3"/>
        <v>2062</v>
      </c>
      <c r="AQ22" s="76">
        <f t="shared" si="3"/>
        <v>2063</v>
      </c>
      <c r="AR22" s="76">
        <f t="shared" si="3"/>
        <v>2064</v>
      </c>
      <c r="AS22" s="76">
        <f t="shared" si="3"/>
        <v>2065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</row>
    <row r="23" spans="1:89" s="110" customFormat="1" x14ac:dyDescent="0.4">
      <c r="A23" s="1" t="s">
        <v>194</v>
      </c>
      <c r="B23" s="1"/>
      <c r="C23" s="1"/>
      <c r="D23" s="1"/>
      <c r="E23" s="126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</row>
    <row r="24" spans="1:89" x14ac:dyDescent="0.4">
      <c r="A24" s="1"/>
      <c r="B24" s="67" t="s">
        <v>114</v>
      </c>
      <c r="C24" s="1"/>
      <c r="D24" s="1"/>
      <c r="E24" s="140">
        <f>'Financial Base'!F23</f>
        <v>271735</v>
      </c>
      <c r="F24" s="145">
        <f>ROUND(E24*(1+'Plan Inputs'!F$10),0)</f>
        <v>279887</v>
      </c>
      <c r="G24" s="145">
        <f>ROUND(F24*(1+'Plan Inputs'!G$10),0)</f>
        <v>288284</v>
      </c>
      <c r="H24" s="145">
        <f>ROUND(G24*(1+'Plan Inputs'!H$10),0)</f>
        <v>296933</v>
      </c>
      <c r="I24" s="145">
        <f>ROUND(H24*(1+'Plan Inputs'!I$10),0)</f>
        <v>305841</v>
      </c>
      <c r="J24" s="145">
        <f>ROUND(I24*(1+'Plan Inputs'!J$10),0)</f>
        <v>315016</v>
      </c>
      <c r="K24" s="145">
        <f>ROUND(J24*(1+'Plan Inputs'!K$10),0)</f>
        <v>324466</v>
      </c>
      <c r="L24" s="145">
        <f>ROUND(K24*(1+'Plan Inputs'!L$10),0)</f>
        <v>334200</v>
      </c>
      <c r="M24" s="145">
        <f>ROUND(L24*(1+'Plan Inputs'!M$10),0)</f>
        <v>344226</v>
      </c>
      <c r="N24" s="145">
        <f>ROUND(M24*(1+'Plan Inputs'!N$10),0)</f>
        <v>354553</v>
      </c>
      <c r="O24" s="145">
        <f>ROUND(N24*(1+'Plan Inputs'!O$10),0)</f>
        <v>365190</v>
      </c>
      <c r="P24" s="145">
        <f>ROUND(O24*(1+'Plan Inputs'!P$10),0)</f>
        <v>376146</v>
      </c>
      <c r="Q24" s="145">
        <f>ROUND(P24*(1+'Plan Inputs'!Q$10),0)</f>
        <v>387430</v>
      </c>
      <c r="R24" s="145">
        <f>ROUND(Q24*(1+'Plan Inputs'!R$10),0)</f>
        <v>399053</v>
      </c>
      <c r="S24" s="145">
        <f>ROUND(R24*(1+'Plan Inputs'!S$10),0)</f>
        <v>411025</v>
      </c>
      <c r="T24" s="145">
        <f>ROUND(S24*(1+'Plan Inputs'!T$10),0)</f>
        <v>423356</v>
      </c>
      <c r="U24" s="145">
        <f>ROUND(T24*(1+'Plan Inputs'!U$10),0)</f>
        <v>436057</v>
      </c>
      <c r="V24" s="145">
        <f>ROUND(U24*(1+'Plan Inputs'!V$10),0)</f>
        <v>449139</v>
      </c>
      <c r="W24" s="145">
        <f>ROUND(V24*(1+'Plan Inputs'!W$10),0)</f>
        <v>462613</v>
      </c>
      <c r="X24" s="145">
        <f>ROUND(W24*(1+'Plan Inputs'!X$10),0)</f>
        <v>476491</v>
      </c>
      <c r="Y24" s="145">
        <f>ROUND(X24*(1+'Plan Inputs'!Y$10),0)</f>
        <v>490786</v>
      </c>
      <c r="Z24" s="145">
        <f>ROUND(Y24*(1+'Plan Inputs'!Z$10),0)</f>
        <v>505510</v>
      </c>
      <c r="AA24" s="145">
        <f>ROUND(Z24*(1+'Plan Inputs'!AA$10),0)</f>
        <v>520675</v>
      </c>
      <c r="AB24" s="145">
        <f>ROUND(AA24*(1+'Plan Inputs'!AB$10),0)</f>
        <v>536295</v>
      </c>
      <c r="AC24" s="145">
        <f>ROUND(AB24*(1+'Plan Inputs'!AC$10),0)</f>
        <v>552384</v>
      </c>
      <c r="AD24" s="145">
        <f>ROUND(AC24*(1+'Plan Inputs'!AD$10),0)</f>
        <v>568956</v>
      </c>
      <c r="AE24" s="145">
        <f>ROUND(AD24*(1+'Plan Inputs'!AE$10),0)</f>
        <v>586025</v>
      </c>
      <c r="AF24" s="145">
        <f>ROUND(AE24*(1+'Plan Inputs'!AF$10),0)</f>
        <v>603606</v>
      </c>
      <c r="AG24" s="145">
        <f>ROUND(AF24*(1+'Plan Inputs'!AG$10),0)</f>
        <v>621714</v>
      </c>
      <c r="AH24" s="145">
        <f>ROUND(AG24*(1+'Plan Inputs'!AH$10),0)</f>
        <v>640365</v>
      </c>
      <c r="AI24" s="145">
        <f>ROUND(AH24*(1+'Plan Inputs'!AI$10),0)</f>
        <v>659576</v>
      </c>
      <c r="AJ24" s="145">
        <f>ROUND(AI24*(1+'Plan Inputs'!AJ$10),0)</f>
        <v>679363</v>
      </c>
      <c r="AK24" s="145">
        <f>ROUND(AJ24*(1+'Plan Inputs'!AK$10),0)</f>
        <v>699744</v>
      </c>
      <c r="AL24" s="145">
        <f>ROUND(AK24*(1+'Plan Inputs'!AL$10),0)</f>
        <v>720736</v>
      </c>
      <c r="AM24" s="145">
        <f>ROUND(AL24*(1+'Plan Inputs'!AM$10),0)</f>
        <v>742358</v>
      </c>
      <c r="AN24" s="145">
        <f>ROUND(AM24*(1+'Plan Inputs'!AN$10),0)</f>
        <v>764629</v>
      </c>
      <c r="AO24" s="145">
        <f>ROUND(AN24*(1+'Plan Inputs'!AO$10),0)</f>
        <v>787568</v>
      </c>
      <c r="AP24" s="145">
        <f>ROUND(AO24*(1+'Plan Inputs'!AP$10),0)</f>
        <v>811195</v>
      </c>
      <c r="AQ24" s="145">
        <f>ROUND(AP24*(1+'Plan Inputs'!AQ$10),0)</f>
        <v>835531</v>
      </c>
      <c r="AR24" s="145">
        <f>ROUND(AQ24*(1+'Plan Inputs'!AR$10),0)</f>
        <v>860597</v>
      </c>
      <c r="AS24" s="145">
        <f>ROUND(AR24*(1+'Plan Inputs'!AS$10),0)</f>
        <v>886415</v>
      </c>
    </row>
    <row r="25" spans="1:89" s="110" customFormat="1" x14ac:dyDescent="0.4">
      <c r="A25" s="27"/>
      <c r="B25" s="67" t="s">
        <v>115</v>
      </c>
      <c r="C25" s="27"/>
      <c r="D25" s="40"/>
      <c r="E25" s="142">
        <f>'Financial Base'!F24</f>
        <v>854033</v>
      </c>
      <c r="F25" s="147">
        <f>ROUND(E25*(1+'Plan Inputs'!F$10),0)</f>
        <v>879654</v>
      </c>
      <c r="G25" s="147">
        <f>ROUND(F25*(1+'Plan Inputs'!G$10),0)</f>
        <v>906044</v>
      </c>
      <c r="H25" s="147">
        <f>ROUND(G25*(1+'Plan Inputs'!H$10),0)</f>
        <v>933225</v>
      </c>
      <c r="I25" s="147">
        <f>ROUND(H25*(1+'Plan Inputs'!I$10),0)</f>
        <v>961222</v>
      </c>
      <c r="J25" s="147">
        <f>ROUND(I25*(1+'Plan Inputs'!J$10),0)</f>
        <v>990059</v>
      </c>
      <c r="K25" s="147">
        <f>ROUND(J25*(1+'Plan Inputs'!K$10),0)</f>
        <v>1019761</v>
      </c>
      <c r="L25" s="147">
        <f>ROUND(K25*(1+'Plan Inputs'!L$10),0)</f>
        <v>1050354</v>
      </c>
      <c r="M25" s="147">
        <f>ROUND(L25*(1+'Plan Inputs'!M$10),0)</f>
        <v>1081865</v>
      </c>
      <c r="N25" s="147">
        <f>ROUND(M25*(1+'Plan Inputs'!N$10),0)</f>
        <v>1114321</v>
      </c>
      <c r="O25" s="147">
        <f>ROUND(N25*(1+'Plan Inputs'!O$10),0)</f>
        <v>1147751</v>
      </c>
      <c r="P25" s="147">
        <f>ROUND(O25*(1+'Plan Inputs'!P$10),0)</f>
        <v>1182184</v>
      </c>
      <c r="Q25" s="147">
        <f>ROUND(P25*(1+'Plan Inputs'!Q$10),0)</f>
        <v>1217650</v>
      </c>
      <c r="R25" s="147">
        <f>ROUND(Q25*(1+'Plan Inputs'!R$10),0)</f>
        <v>1254180</v>
      </c>
      <c r="S25" s="147">
        <f>ROUND(R25*(1+'Plan Inputs'!S$10),0)</f>
        <v>1291805</v>
      </c>
      <c r="T25" s="147">
        <f>ROUND(S25*(1+'Plan Inputs'!T$10),0)</f>
        <v>1330559</v>
      </c>
      <c r="U25" s="147">
        <f>ROUND(T25*(1+'Plan Inputs'!U$10),0)</f>
        <v>1370476</v>
      </c>
      <c r="V25" s="147">
        <f>ROUND(U25*(1+'Plan Inputs'!V$10),0)</f>
        <v>1411590</v>
      </c>
      <c r="W25" s="147">
        <f>ROUND(V25*(1+'Plan Inputs'!W$10),0)</f>
        <v>1453938</v>
      </c>
      <c r="X25" s="147">
        <f>ROUND(W25*(1+'Plan Inputs'!X$10),0)</f>
        <v>1497556</v>
      </c>
      <c r="Y25" s="147">
        <f>ROUND(X25*(1+'Plan Inputs'!Y$10),0)</f>
        <v>1542483</v>
      </c>
      <c r="Z25" s="147">
        <f>ROUND(Y25*(1+'Plan Inputs'!Z$10),0)</f>
        <v>1588757</v>
      </c>
      <c r="AA25" s="147">
        <f>ROUND(Z25*(1+'Plan Inputs'!AA$10),0)</f>
        <v>1636420</v>
      </c>
      <c r="AB25" s="147">
        <f>ROUND(AA25*(1+'Plan Inputs'!AB$10),0)</f>
        <v>1685513</v>
      </c>
      <c r="AC25" s="147">
        <f>ROUND(AB25*(1+'Plan Inputs'!AC$10),0)</f>
        <v>1736078</v>
      </c>
      <c r="AD25" s="147">
        <f>ROUND(AC25*(1+'Plan Inputs'!AD$10),0)</f>
        <v>1788160</v>
      </c>
      <c r="AE25" s="147">
        <f>ROUND(AD25*(1+'Plan Inputs'!AE$10),0)</f>
        <v>1841805</v>
      </c>
      <c r="AF25" s="147">
        <f>ROUND(AE25*(1+'Plan Inputs'!AF$10),0)</f>
        <v>1897059</v>
      </c>
      <c r="AG25" s="147">
        <f>ROUND(AF25*(1+'Plan Inputs'!AG$10),0)</f>
        <v>1953971</v>
      </c>
      <c r="AH25" s="147">
        <f>ROUND(AG25*(1+'Plan Inputs'!AH$10),0)</f>
        <v>2012590</v>
      </c>
      <c r="AI25" s="147">
        <f>ROUND(AH25*(1+'Plan Inputs'!AI$10),0)</f>
        <v>2072968</v>
      </c>
      <c r="AJ25" s="147">
        <f>ROUND(AI25*(1+'Plan Inputs'!AJ$10),0)</f>
        <v>2135157</v>
      </c>
      <c r="AK25" s="147">
        <f>ROUND(AJ25*(1+'Plan Inputs'!AK$10),0)</f>
        <v>2199212</v>
      </c>
      <c r="AL25" s="147">
        <f>ROUND(AK25*(1+'Plan Inputs'!AL$10),0)</f>
        <v>2265188</v>
      </c>
      <c r="AM25" s="147">
        <f>ROUND(AL25*(1+'Plan Inputs'!AM$10),0)</f>
        <v>2333144</v>
      </c>
      <c r="AN25" s="147">
        <f>ROUND(AM25*(1+'Plan Inputs'!AN$10),0)</f>
        <v>2403138</v>
      </c>
      <c r="AO25" s="147">
        <f>ROUND(AN25*(1+'Plan Inputs'!AO$10),0)</f>
        <v>2475232</v>
      </c>
      <c r="AP25" s="147">
        <f>ROUND(AO25*(1+'Plan Inputs'!AP$10),0)</f>
        <v>2549489</v>
      </c>
      <c r="AQ25" s="147">
        <f>ROUND(AP25*(1+'Plan Inputs'!AQ$10),0)</f>
        <v>2625974</v>
      </c>
      <c r="AR25" s="147">
        <f>ROUND(AQ25*(1+'Plan Inputs'!AR$10),0)</f>
        <v>2704753</v>
      </c>
      <c r="AS25" s="147">
        <f>ROUND(AR25*(1+'Plan Inputs'!AS$10),0)</f>
        <v>2785896</v>
      </c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</row>
    <row r="26" spans="1:89" x14ac:dyDescent="0.4">
      <c r="A26" s="27" t="s">
        <v>195</v>
      </c>
      <c r="B26" s="27"/>
      <c r="C26" s="27"/>
      <c r="D26" s="40"/>
      <c r="E26" s="140">
        <f>SUM(E24:E25)</f>
        <v>1125768</v>
      </c>
      <c r="F26" s="145">
        <f>SUM(F24:F25)</f>
        <v>1159541</v>
      </c>
      <c r="G26" s="145">
        <f t="shared" ref="G26" si="4">SUM(G24:G25)</f>
        <v>1194328</v>
      </c>
      <c r="H26" s="145">
        <f t="shared" ref="H26" si="5">SUM(H24:H25)</f>
        <v>1230158</v>
      </c>
      <c r="I26" s="145">
        <f t="shared" ref="I26" si="6">SUM(I24:I25)</f>
        <v>1267063</v>
      </c>
      <c r="J26" s="145">
        <f t="shared" ref="J26" si="7">SUM(J24:J25)</f>
        <v>1305075</v>
      </c>
      <c r="K26" s="145">
        <f t="shared" ref="K26" si="8">SUM(K24:K25)</f>
        <v>1344227</v>
      </c>
      <c r="L26" s="145">
        <f t="shared" ref="L26" si="9">SUM(L24:L25)</f>
        <v>1384554</v>
      </c>
      <c r="M26" s="145">
        <f t="shared" ref="M26" si="10">SUM(M24:M25)</f>
        <v>1426091</v>
      </c>
      <c r="N26" s="145">
        <f t="shared" ref="N26" si="11">SUM(N24:N25)</f>
        <v>1468874</v>
      </c>
      <c r="O26" s="145">
        <f t="shared" ref="O26" si="12">SUM(O24:O25)</f>
        <v>1512941</v>
      </c>
      <c r="P26" s="145">
        <f t="shared" ref="P26" si="13">SUM(P24:P25)</f>
        <v>1558330</v>
      </c>
      <c r="Q26" s="145">
        <f t="shared" ref="Q26" si="14">SUM(Q24:Q25)</f>
        <v>1605080</v>
      </c>
      <c r="R26" s="145">
        <f t="shared" ref="R26" si="15">SUM(R24:R25)</f>
        <v>1653233</v>
      </c>
      <c r="S26" s="145">
        <f t="shared" ref="S26" si="16">SUM(S24:S25)</f>
        <v>1702830</v>
      </c>
      <c r="T26" s="145">
        <f t="shared" ref="T26" si="17">SUM(T24:T25)</f>
        <v>1753915</v>
      </c>
      <c r="U26" s="145">
        <f t="shared" ref="U26" si="18">SUM(U24:U25)</f>
        <v>1806533</v>
      </c>
      <c r="V26" s="145">
        <f t="shared" ref="V26" si="19">SUM(V24:V25)</f>
        <v>1860729</v>
      </c>
      <c r="W26" s="145">
        <f t="shared" ref="W26" si="20">SUM(W24:W25)</f>
        <v>1916551</v>
      </c>
      <c r="X26" s="145">
        <f t="shared" ref="X26" si="21">SUM(X24:X25)</f>
        <v>1974047</v>
      </c>
      <c r="Y26" s="145">
        <f t="shared" ref="Y26" si="22">SUM(Y24:Y25)</f>
        <v>2033269</v>
      </c>
      <c r="Z26" s="145">
        <f t="shared" ref="Z26" si="23">SUM(Z24:Z25)</f>
        <v>2094267</v>
      </c>
      <c r="AA26" s="145">
        <f t="shared" ref="AA26" si="24">SUM(AA24:AA25)</f>
        <v>2157095</v>
      </c>
      <c r="AB26" s="145">
        <f t="shared" ref="AB26" si="25">SUM(AB24:AB25)</f>
        <v>2221808</v>
      </c>
      <c r="AC26" s="145">
        <f t="shared" ref="AC26" si="26">SUM(AC24:AC25)</f>
        <v>2288462</v>
      </c>
      <c r="AD26" s="145">
        <f t="shared" ref="AD26" si="27">SUM(AD24:AD25)</f>
        <v>2357116</v>
      </c>
      <c r="AE26" s="145">
        <f t="shared" ref="AE26" si="28">SUM(AE24:AE25)</f>
        <v>2427830</v>
      </c>
      <c r="AF26" s="145">
        <f t="shared" ref="AF26" si="29">SUM(AF24:AF25)</f>
        <v>2500665</v>
      </c>
      <c r="AG26" s="145">
        <f t="shared" ref="AG26" si="30">SUM(AG24:AG25)</f>
        <v>2575685</v>
      </c>
      <c r="AH26" s="145">
        <f t="shared" ref="AH26" si="31">SUM(AH24:AH25)</f>
        <v>2652955</v>
      </c>
      <c r="AI26" s="145">
        <f t="shared" ref="AI26" si="32">SUM(AI24:AI25)</f>
        <v>2732544</v>
      </c>
      <c r="AJ26" s="145">
        <f t="shared" ref="AJ26" si="33">SUM(AJ24:AJ25)</f>
        <v>2814520</v>
      </c>
      <c r="AK26" s="145">
        <f t="shared" ref="AK26" si="34">SUM(AK24:AK25)</f>
        <v>2898956</v>
      </c>
      <c r="AL26" s="145">
        <f t="shared" ref="AL26" si="35">SUM(AL24:AL25)</f>
        <v>2985924</v>
      </c>
      <c r="AM26" s="145">
        <f t="shared" ref="AM26" si="36">SUM(AM24:AM25)</f>
        <v>3075502</v>
      </c>
      <c r="AN26" s="145">
        <f t="shared" ref="AN26" si="37">SUM(AN24:AN25)</f>
        <v>3167767</v>
      </c>
      <c r="AO26" s="145">
        <f t="shared" ref="AO26" si="38">SUM(AO24:AO25)</f>
        <v>3262800</v>
      </c>
      <c r="AP26" s="145">
        <f t="shared" ref="AP26" si="39">SUM(AP24:AP25)</f>
        <v>3360684</v>
      </c>
      <c r="AQ26" s="145">
        <f t="shared" ref="AQ26" si="40">SUM(AQ24:AQ25)</f>
        <v>3461505</v>
      </c>
      <c r="AR26" s="145">
        <f t="shared" ref="AR26" si="41">SUM(AR24:AR25)</f>
        <v>3565350</v>
      </c>
      <c r="AS26" s="145">
        <f t="shared" ref="AS26" si="42">SUM(AS24:AS25)</f>
        <v>3672311</v>
      </c>
    </row>
    <row r="27" spans="1:89" x14ac:dyDescent="0.4">
      <c r="A27" s="106"/>
      <c r="B27" s="110"/>
      <c r="C27" s="110"/>
      <c r="D27" s="110"/>
      <c r="E27" s="129"/>
      <c r="F27" s="110"/>
      <c r="G27" s="110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</row>
    <row r="28" spans="1:89" x14ac:dyDescent="0.4">
      <c r="A28" s="106" t="s">
        <v>199</v>
      </c>
      <c r="E28" s="129" t="s">
        <v>200</v>
      </c>
      <c r="F28" s="129" t="s">
        <v>201</v>
      </c>
      <c r="G28" s="129" t="s">
        <v>202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</row>
    <row r="29" spans="1:89" s="110" customFormat="1" x14ac:dyDescent="0.4">
      <c r="A29" s="148">
        <v>2</v>
      </c>
      <c r="B29" s="16" t="s">
        <v>203</v>
      </c>
      <c r="C29" s="16"/>
      <c r="D29" s="16"/>
      <c r="E29" s="129">
        <v>7624</v>
      </c>
      <c r="F29" s="136">
        <f>ROUND(E29/5280,2)</f>
        <v>1.44</v>
      </c>
      <c r="G29" s="136">
        <f>ROUND(A29*F29,2)</f>
        <v>2.88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</row>
    <row r="30" spans="1:89" x14ac:dyDescent="0.4">
      <c r="A30" s="148">
        <v>3</v>
      </c>
      <c r="B30" s="16" t="s">
        <v>203</v>
      </c>
      <c r="E30" s="129">
        <f>1052+156</f>
        <v>1208</v>
      </c>
      <c r="F30" s="136">
        <f t="shared" ref="F30:F34" si="43">ROUND(E30/5280,2)</f>
        <v>0.23</v>
      </c>
      <c r="G30" s="136">
        <f t="shared" ref="G30:G34" si="44">ROUND(A30*F30,2)</f>
        <v>0.69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</row>
    <row r="31" spans="1:89" x14ac:dyDescent="0.4">
      <c r="A31" s="148">
        <v>4</v>
      </c>
      <c r="B31" s="16" t="s">
        <v>203</v>
      </c>
      <c r="E31" s="129">
        <f>3200+11068+5889+2926+49660+16018+1494</f>
        <v>90255</v>
      </c>
      <c r="F31" s="136">
        <f t="shared" si="43"/>
        <v>17.09</v>
      </c>
      <c r="G31" s="136">
        <f t="shared" si="44"/>
        <v>68.36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</row>
    <row r="32" spans="1:89" x14ac:dyDescent="0.4">
      <c r="A32" s="148">
        <v>6</v>
      </c>
      <c r="B32" s="16" t="s">
        <v>203</v>
      </c>
      <c r="E32" s="129">
        <f>17038+3854+54713+97000+39863+2598+2768+341215+8222+70104+429766+133278+3056+2626+15220+33615</f>
        <v>1254936</v>
      </c>
      <c r="F32" s="136">
        <f t="shared" si="43"/>
        <v>237.68</v>
      </c>
      <c r="G32" s="136">
        <f t="shared" si="44"/>
        <v>1426.08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</row>
    <row r="33" spans="1:46" x14ac:dyDescent="0.4">
      <c r="A33" s="148">
        <v>8</v>
      </c>
      <c r="B33" s="16" t="s">
        <v>203</v>
      </c>
      <c r="E33" s="129">
        <f>10238+29774+1119+416+6112+24213+15163+6888+15684+7363+19804</f>
        <v>136774</v>
      </c>
      <c r="F33" s="136">
        <f t="shared" si="43"/>
        <v>25.9</v>
      </c>
      <c r="G33" s="136">
        <f t="shared" si="44"/>
        <v>207.2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</row>
    <row r="34" spans="1:46" x14ac:dyDescent="0.4">
      <c r="A34" s="148">
        <v>12</v>
      </c>
      <c r="B34" s="16" t="s">
        <v>203</v>
      </c>
      <c r="E34" s="127">
        <f>12793+7077+8489</f>
        <v>28359</v>
      </c>
      <c r="F34" s="149">
        <f t="shared" si="43"/>
        <v>5.37</v>
      </c>
      <c r="G34" s="149">
        <f t="shared" si="44"/>
        <v>64.44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</row>
    <row r="35" spans="1:46" x14ac:dyDescent="0.4">
      <c r="A35" s="106" t="s">
        <v>204</v>
      </c>
      <c r="E35" s="129">
        <f>SUM(E29:E34)</f>
        <v>1519156</v>
      </c>
      <c r="F35" s="136">
        <f>SUM(F29:F34)</f>
        <v>287.70999999999998</v>
      </c>
      <c r="G35" s="136">
        <f>SUM(G29:G34)</f>
        <v>1769.65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10"/>
    </row>
    <row r="36" spans="1:46" x14ac:dyDescent="0.4">
      <c r="A36" s="106"/>
      <c r="E36" s="129"/>
      <c r="F36" s="136"/>
      <c r="G36" s="110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</row>
    <row r="37" spans="1:46" x14ac:dyDescent="0.4">
      <c r="A37" s="106" t="s">
        <v>205</v>
      </c>
      <c r="E37" s="126">
        <f>ROUND(E26/$G$35,2)</f>
        <v>636.15</v>
      </c>
      <c r="F37" s="126">
        <f t="shared" ref="F37:AS37" si="45">ROUND(F26/$G$35,2)</f>
        <v>655.24</v>
      </c>
      <c r="G37" s="126">
        <f t="shared" si="45"/>
        <v>674.9</v>
      </c>
      <c r="H37" s="126">
        <f t="shared" si="45"/>
        <v>695.14</v>
      </c>
      <c r="I37" s="126">
        <f t="shared" si="45"/>
        <v>716</v>
      </c>
      <c r="J37" s="126">
        <f t="shared" si="45"/>
        <v>737.48</v>
      </c>
      <c r="K37" s="126">
        <f t="shared" si="45"/>
        <v>759.6</v>
      </c>
      <c r="L37" s="126">
        <f t="shared" si="45"/>
        <v>782.39</v>
      </c>
      <c r="M37" s="126">
        <f t="shared" si="45"/>
        <v>805.86</v>
      </c>
      <c r="N37" s="126">
        <f t="shared" si="45"/>
        <v>830.04</v>
      </c>
      <c r="O37" s="126">
        <f t="shared" si="45"/>
        <v>854.94</v>
      </c>
      <c r="P37" s="126">
        <f t="shared" si="45"/>
        <v>880.59</v>
      </c>
      <c r="Q37" s="126">
        <f t="shared" si="45"/>
        <v>907</v>
      </c>
      <c r="R37" s="126">
        <f t="shared" si="45"/>
        <v>934.21</v>
      </c>
      <c r="S37" s="126">
        <f t="shared" si="45"/>
        <v>962.24</v>
      </c>
      <c r="T37" s="126">
        <f t="shared" si="45"/>
        <v>991.11</v>
      </c>
      <c r="U37" s="126">
        <f t="shared" si="45"/>
        <v>1020.84</v>
      </c>
      <c r="V37" s="126">
        <f t="shared" si="45"/>
        <v>1051.47</v>
      </c>
      <c r="W37" s="126">
        <f t="shared" si="45"/>
        <v>1083.01</v>
      </c>
      <c r="X37" s="126">
        <f t="shared" si="45"/>
        <v>1115.5</v>
      </c>
      <c r="Y37" s="126">
        <f t="shared" si="45"/>
        <v>1148.97</v>
      </c>
      <c r="Z37" s="126">
        <f t="shared" si="45"/>
        <v>1183.44</v>
      </c>
      <c r="AA37" s="126">
        <f t="shared" si="45"/>
        <v>1218.94</v>
      </c>
      <c r="AB37" s="126">
        <f t="shared" si="45"/>
        <v>1255.51</v>
      </c>
      <c r="AC37" s="126">
        <f t="shared" si="45"/>
        <v>1293.17</v>
      </c>
      <c r="AD37" s="126">
        <f t="shared" si="45"/>
        <v>1331.97</v>
      </c>
      <c r="AE37" s="126">
        <f t="shared" si="45"/>
        <v>1371.93</v>
      </c>
      <c r="AF37" s="126">
        <f t="shared" si="45"/>
        <v>1413.08</v>
      </c>
      <c r="AG37" s="126">
        <f t="shared" si="45"/>
        <v>1455.48</v>
      </c>
      <c r="AH37" s="126">
        <f t="shared" si="45"/>
        <v>1499.14</v>
      </c>
      <c r="AI37" s="126">
        <f t="shared" si="45"/>
        <v>1544.12</v>
      </c>
      <c r="AJ37" s="126">
        <f t="shared" si="45"/>
        <v>1590.44</v>
      </c>
      <c r="AK37" s="126">
        <f t="shared" si="45"/>
        <v>1638.15</v>
      </c>
      <c r="AL37" s="126">
        <f t="shared" si="45"/>
        <v>1687.3</v>
      </c>
      <c r="AM37" s="126">
        <f t="shared" si="45"/>
        <v>1737.92</v>
      </c>
      <c r="AN37" s="126">
        <f t="shared" si="45"/>
        <v>1790.05</v>
      </c>
      <c r="AO37" s="126">
        <f t="shared" si="45"/>
        <v>1843.75</v>
      </c>
      <c r="AP37" s="126">
        <f t="shared" si="45"/>
        <v>1899.07</v>
      </c>
      <c r="AQ37" s="126">
        <f t="shared" si="45"/>
        <v>1956.04</v>
      </c>
      <c r="AR37" s="126">
        <f t="shared" si="45"/>
        <v>2014.72</v>
      </c>
      <c r="AS37" s="126">
        <f t="shared" si="45"/>
        <v>2075.16</v>
      </c>
    </row>
    <row r="38" spans="1:46" x14ac:dyDescent="0.4">
      <c r="A38" s="106"/>
      <c r="B38" s="110"/>
      <c r="C38" s="110"/>
      <c r="D38" s="110"/>
      <c r="E38" s="12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</row>
    <row r="39" spans="1:46" x14ac:dyDescent="0.4">
      <c r="A39" s="106" t="s">
        <v>206</v>
      </c>
      <c r="E39" s="129" t="s">
        <v>200</v>
      </c>
      <c r="F39" s="129" t="s">
        <v>201</v>
      </c>
      <c r="G39" s="129" t="s">
        <v>202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</row>
    <row r="40" spans="1:46" x14ac:dyDescent="0.4">
      <c r="A40" s="110">
        <f>'Plan Inputs'!F24</f>
        <v>12</v>
      </c>
      <c r="B40" s="16" t="s">
        <v>203</v>
      </c>
      <c r="E40" s="129">
        <f>'Plan Inputs'!F25</f>
        <v>67000</v>
      </c>
      <c r="F40" s="136">
        <f>ROUND(E40/5280,2)</f>
        <v>12.69</v>
      </c>
      <c r="G40" s="136">
        <f>ROUND(A40*F40,2)</f>
        <v>152.28</v>
      </c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</row>
    <row r="41" spans="1:46" x14ac:dyDescent="0.4">
      <c r="A41" s="71"/>
      <c r="E41" s="129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</row>
    <row r="42" spans="1:46" x14ac:dyDescent="0.4">
      <c r="A42" s="70" t="s">
        <v>196</v>
      </c>
      <c r="E42" s="140"/>
      <c r="F42" s="140">
        <v>0</v>
      </c>
      <c r="G42" s="140">
        <v>0</v>
      </c>
      <c r="H42" s="140">
        <f t="shared" ref="H42:AS42" si="46">ROUND($G$40*H37,0)</f>
        <v>105856</v>
      </c>
      <c r="I42" s="140">
        <f t="shared" si="46"/>
        <v>109032</v>
      </c>
      <c r="J42" s="140">
        <f t="shared" si="46"/>
        <v>112303</v>
      </c>
      <c r="K42" s="140">
        <f t="shared" si="46"/>
        <v>115672</v>
      </c>
      <c r="L42" s="140">
        <f t="shared" si="46"/>
        <v>119142</v>
      </c>
      <c r="M42" s="140">
        <f t="shared" si="46"/>
        <v>122716</v>
      </c>
      <c r="N42" s="140">
        <f t="shared" si="46"/>
        <v>126398</v>
      </c>
      <c r="O42" s="140">
        <f t="shared" si="46"/>
        <v>130190</v>
      </c>
      <c r="P42" s="140">
        <f t="shared" si="46"/>
        <v>134096</v>
      </c>
      <c r="Q42" s="140">
        <f t="shared" si="46"/>
        <v>138118</v>
      </c>
      <c r="R42" s="140">
        <f t="shared" si="46"/>
        <v>142261</v>
      </c>
      <c r="S42" s="140">
        <f t="shared" si="46"/>
        <v>146530</v>
      </c>
      <c r="T42" s="140">
        <f t="shared" si="46"/>
        <v>150926</v>
      </c>
      <c r="U42" s="140">
        <f t="shared" si="46"/>
        <v>155454</v>
      </c>
      <c r="V42" s="140">
        <f t="shared" si="46"/>
        <v>160118</v>
      </c>
      <c r="W42" s="140">
        <f t="shared" si="46"/>
        <v>164921</v>
      </c>
      <c r="X42" s="140">
        <f t="shared" si="46"/>
        <v>169868</v>
      </c>
      <c r="Y42" s="140">
        <f t="shared" si="46"/>
        <v>174965</v>
      </c>
      <c r="Z42" s="140">
        <f t="shared" si="46"/>
        <v>180214</v>
      </c>
      <c r="AA42" s="140">
        <f t="shared" si="46"/>
        <v>185620</v>
      </c>
      <c r="AB42" s="140">
        <f t="shared" si="46"/>
        <v>191189</v>
      </c>
      <c r="AC42" s="140">
        <f t="shared" si="46"/>
        <v>196924</v>
      </c>
      <c r="AD42" s="140">
        <f t="shared" si="46"/>
        <v>202832</v>
      </c>
      <c r="AE42" s="140">
        <f t="shared" si="46"/>
        <v>208918</v>
      </c>
      <c r="AF42" s="140">
        <f t="shared" si="46"/>
        <v>215184</v>
      </c>
      <c r="AG42" s="140">
        <f t="shared" si="46"/>
        <v>221640</v>
      </c>
      <c r="AH42" s="140">
        <f t="shared" si="46"/>
        <v>228289</v>
      </c>
      <c r="AI42" s="140">
        <f t="shared" si="46"/>
        <v>235139</v>
      </c>
      <c r="AJ42" s="140">
        <f t="shared" si="46"/>
        <v>242192</v>
      </c>
      <c r="AK42" s="140">
        <f t="shared" si="46"/>
        <v>249457</v>
      </c>
      <c r="AL42" s="140">
        <f t="shared" si="46"/>
        <v>256942</v>
      </c>
      <c r="AM42" s="140">
        <f t="shared" si="46"/>
        <v>264650</v>
      </c>
      <c r="AN42" s="140">
        <f t="shared" si="46"/>
        <v>272589</v>
      </c>
      <c r="AO42" s="140">
        <f t="shared" si="46"/>
        <v>280766</v>
      </c>
      <c r="AP42" s="140">
        <f t="shared" si="46"/>
        <v>289190</v>
      </c>
      <c r="AQ42" s="140">
        <f t="shared" si="46"/>
        <v>297866</v>
      </c>
      <c r="AR42" s="140">
        <f t="shared" si="46"/>
        <v>306802</v>
      </c>
      <c r="AS42" s="140">
        <f t="shared" si="46"/>
        <v>316005</v>
      </c>
    </row>
    <row r="43" spans="1:46" s="22" customFormat="1" x14ac:dyDescent="0.4">
      <c r="A43" s="104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</row>
    <row r="44" spans="1:46" x14ac:dyDescent="0.4">
      <c r="A44" s="70" t="s">
        <v>197</v>
      </c>
      <c r="F44" s="132">
        <f>F26+F42</f>
        <v>1159541</v>
      </c>
      <c r="G44" s="132">
        <f t="shared" ref="G44:AS44" si="47">G26+G42</f>
        <v>1194328</v>
      </c>
      <c r="H44" s="132">
        <f t="shared" si="47"/>
        <v>1336014</v>
      </c>
      <c r="I44" s="132">
        <f t="shared" si="47"/>
        <v>1376095</v>
      </c>
      <c r="J44" s="132">
        <f t="shared" si="47"/>
        <v>1417378</v>
      </c>
      <c r="K44" s="132">
        <f t="shared" si="47"/>
        <v>1459899</v>
      </c>
      <c r="L44" s="132">
        <f t="shared" si="47"/>
        <v>1503696</v>
      </c>
      <c r="M44" s="132">
        <f t="shared" si="47"/>
        <v>1548807</v>
      </c>
      <c r="N44" s="132">
        <f t="shared" si="47"/>
        <v>1595272</v>
      </c>
      <c r="O44" s="132">
        <f t="shared" si="47"/>
        <v>1643131</v>
      </c>
      <c r="P44" s="132">
        <f t="shared" si="47"/>
        <v>1692426</v>
      </c>
      <c r="Q44" s="132">
        <f t="shared" si="47"/>
        <v>1743198</v>
      </c>
      <c r="R44" s="132">
        <f t="shared" si="47"/>
        <v>1795494</v>
      </c>
      <c r="S44" s="132">
        <f t="shared" si="47"/>
        <v>1849360</v>
      </c>
      <c r="T44" s="132">
        <f t="shared" si="47"/>
        <v>1904841</v>
      </c>
      <c r="U44" s="132">
        <f t="shared" si="47"/>
        <v>1961987</v>
      </c>
      <c r="V44" s="132">
        <f t="shared" si="47"/>
        <v>2020847</v>
      </c>
      <c r="W44" s="132">
        <f t="shared" si="47"/>
        <v>2081472</v>
      </c>
      <c r="X44" s="132">
        <f t="shared" si="47"/>
        <v>2143915</v>
      </c>
      <c r="Y44" s="132">
        <f t="shared" si="47"/>
        <v>2208234</v>
      </c>
      <c r="Z44" s="132">
        <f t="shared" si="47"/>
        <v>2274481</v>
      </c>
      <c r="AA44" s="132">
        <f t="shared" si="47"/>
        <v>2342715</v>
      </c>
      <c r="AB44" s="132">
        <f t="shared" si="47"/>
        <v>2412997</v>
      </c>
      <c r="AC44" s="132">
        <f t="shared" si="47"/>
        <v>2485386</v>
      </c>
      <c r="AD44" s="132">
        <f t="shared" si="47"/>
        <v>2559948</v>
      </c>
      <c r="AE44" s="132">
        <f t="shared" si="47"/>
        <v>2636748</v>
      </c>
      <c r="AF44" s="132">
        <f t="shared" si="47"/>
        <v>2715849</v>
      </c>
      <c r="AG44" s="132">
        <f t="shared" si="47"/>
        <v>2797325</v>
      </c>
      <c r="AH44" s="132">
        <f t="shared" si="47"/>
        <v>2881244</v>
      </c>
      <c r="AI44" s="132">
        <f t="shared" si="47"/>
        <v>2967683</v>
      </c>
      <c r="AJ44" s="132">
        <f t="shared" si="47"/>
        <v>3056712</v>
      </c>
      <c r="AK44" s="132">
        <f t="shared" si="47"/>
        <v>3148413</v>
      </c>
      <c r="AL44" s="132">
        <f t="shared" si="47"/>
        <v>3242866</v>
      </c>
      <c r="AM44" s="132">
        <f t="shared" si="47"/>
        <v>3340152</v>
      </c>
      <c r="AN44" s="132">
        <f t="shared" si="47"/>
        <v>3440356</v>
      </c>
      <c r="AO44" s="132">
        <f t="shared" si="47"/>
        <v>3543566</v>
      </c>
      <c r="AP44" s="132">
        <f t="shared" si="47"/>
        <v>3649874</v>
      </c>
      <c r="AQ44" s="132">
        <f t="shared" si="47"/>
        <v>3759371</v>
      </c>
      <c r="AR44" s="132">
        <f t="shared" si="47"/>
        <v>3872152</v>
      </c>
      <c r="AS44" s="132">
        <f t="shared" si="47"/>
        <v>3988316</v>
      </c>
    </row>
    <row r="45" spans="1:46" x14ac:dyDescent="0.4"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</row>
    <row r="46" spans="1:46" x14ac:dyDescent="0.4"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</row>
    <row r="47" spans="1:46" x14ac:dyDescent="0.4"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</row>
    <row r="48" spans="1:46" x14ac:dyDescent="0.4"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</row>
    <row r="49" spans="1:45" x14ac:dyDescent="0.4"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</row>
    <row r="50" spans="1:45" s="22" customFormat="1" x14ac:dyDescent="0.4">
      <c r="A50" s="104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</row>
    <row r="51" spans="1:45" x14ac:dyDescent="0.4"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</row>
    <row r="52" spans="1:45" s="22" customFormat="1" x14ac:dyDescent="0.4">
      <c r="A52" s="104"/>
      <c r="H52" s="131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</row>
    <row r="53" spans="1:45" s="22" customFormat="1" x14ac:dyDescent="0.4">
      <c r="A53" s="90"/>
      <c r="H53" s="131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</row>
    <row r="54" spans="1:45" s="22" customFormat="1" x14ac:dyDescent="0.4">
      <c r="A54" s="104"/>
      <c r="E54" s="128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</row>
    <row r="55" spans="1:45" s="22" customFormat="1" x14ac:dyDescent="0.4">
      <c r="A55" s="104"/>
      <c r="E55" s="107"/>
      <c r="F55" s="107"/>
      <c r="G55" s="107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</row>
    <row r="56" spans="1:45" s="22" customFormat="1" ht="13.95" customHeight="1" x14ac:dyDescent="0.4"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</row>
    <row r="57" spans="1:45" s="22" customFormat="1" x14ac:dyDescent="0.4">
      <c r="A57" s="10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</row>
    <row r="58" spans="1:45" s="22" customFormat="1" x14ac:dyDescent="0.4">
      <c r="A58" s="10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</row>
    <row r="60" spans="1:45" x14ac:dyDescent="0.4"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</row>
    <row r="61" spans="1:45" x14ac:dyDescent="0.4"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</row>
    <row r="62" spans="1:45" x14ac:dyDescent="0.4">
      <c r="E62" s="130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</row>
    <row r="63" spans="1:45" x14ac:dyDescent="0.4">
      <c r="E63" s="130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</row>
    <row r="65" spans="1:46" x14ac:dyDescent="0.4">
      <c r="A65" s="90"/>
    </row>
    <row r="66" spans="1:46" s="22" customFormat="1" x14ac:dyDescent="0.4">
      <c r="A66" s="104"/>
      <c r="E66" s="128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</row>
    <row r="67" spans="1:46" x14ac:dyDescent="0.4">
      <c r="A67" s="104"/>
      <c r="B67" s="22"/>
      <c r="C67" s="22"/>
      <c r="D67" s="22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</row>
    <row r="68" spans="1:46" x14ac:dyDescent="0.4">
      <c r="A68" s="22"/>
      <c r="B68" s="22"/>
      <c r="C68" s="22"/>
      <c r="D68" s="22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</row>
    <row r="69" spans="1:46" x14ac:dyDescent="0.4">
      <c r="A69" s="104"/>
      <c r="B69" s="22"/>
      <c r="C69" s="22"/>
      <c r="D69" s="22"/>
      <c r="E69" s="107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</row>
    <row r="70" spans="1:46" x14ac:dyDescent="0.4">
      <c r="A70" s="104"/>
      <c r="B70" s="22"/>
      <c r="C70" s="22"/>
      <c r="D70" s="22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2" spans="1:46" x14ac:dyDescent="0.4"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</row>
    <row r="73" spans="1:46" x14ac:dyDescent="0.4"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</row>
    <row r="74" spans="1:46" x14ac:dyDescent="0.4">
      <c r="E74" s="13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</row>
    <row r="75" spans="1:46" x14ac:dyDescent="0.4">
      <c r="E75" s="13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</row>
  </sheetData>
  <mergeCells count="4">
    <mergeCell ref="A1:K1"/>
    <mergeCell ref="A3:K3"/>
    <mergeCell ref="A18:K18"/>
    <mergeCell ref="A20:K20"/>
  </mergeCells>
  <pageMargins left="0.7" right="0.7" top="0.75" bottom="0.75" header="0.3" footer="0.3"/>
  <pageSetup scale="79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DE169-0160-4F9C-B48F-8AE37054993F}">
  <sheetPr>
    <pageSetUpPr fitToPage="1"/>
  </sheetPr>
  <dimension ref="A1:CK42"/>
  <sheetViews>
    <sheetView workbookViewId="0">
      <selection sqref="A1:K1"/>
    </sheetView>
  </sheetViews>
  <sheetFormatPr defaultColWidth="8.875" defaultRowHeight="14.6" x14ac:dyDescent="0.4"/>
  <cols>
    <col min="1" max="1" width="4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73" customFormat="1" ht="18.45" x14ac:dyDescent="0.4">
      <c r="A1" s="233" t="s">
        <v>207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89" s="119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</row>
    <row r="3" spans="1:89" s="121" customFormat="1" ht="15.9" x14ac:dyDescent="0.45">
      <c r="A3" s="229" t="s">
        <v>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89" s="73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</row>
    <row r="5" spans="1:89" s="73" customFormat="1" x14ac:dyDescent="0.4">
      <c r="A5" s="92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x14ac:dyDescent="0.4">
      <c r="A6" s="175" t="s">
        <v>208</v>
      </c>
      <c r="E6" s="88"/>
      <c r="F6" s="88">
        <v>33657.1</v>
      </c>
      <c r="G6" s="88">
        <v>34454.800000000003</v>
      </c>
      <c r="H6" s="88">
        <v>33204.6</v>
      </c>
      <c r="I6" s="88">
        <v>34883.550000000003</v>
      </c>
      <c r="J6" s="88">
        <v>33476.15</v>
      </c>
      <c r="K6" s="88">
        <v>34007.35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88">
        <v>0</v>
      </c>
      <c r="AG6" s="88">
        <v>0</v>
      </c>
      <c r="AH6" s="88">
        <v>0</v>
      </c>
      <c r="AI6" s="88">
        <v>0</v>
      </c>
      <c r="AJ6" s="88">
        <v>0</v>
      </c>
      <c r="AK6" s="88">
        <v>0</v>
      </c>
      <c r="AL6" s="88">
        <v>0</v>
      </c>
      <c r="AM6" s="88">
        <v>0</v>
      </c>
      <c r="AN6" s="88">
        <v>0</v>
      </c>
      <c r="AO6" s="88">
        <v>0</v>
      </c>
      <c r="AP6" s="88">
        <v>0</v>
      </c>
      <c r="AQ6" s="88">
        <v>0</v>
      </c>
      <c r="AR6" s="88">
        <v>0</v>
      </c>
      <c r="AS6" s="88">
        <v>0</v>
      </c>
    </row>
    <row r="7" spans="1:89" x14ac:dyDescent="0.4">
      <c r="A7" s="176" t="s">
        <v>209</v>
      </c>
      <c r="F7" s="88">
        <v>19382.86</v>
      </c>
      <c r="G7" s="88">
        <v>18714.98</v>
      </c>
      <c r="H7" s="88">
        <v>19022.900000000001</v>
      </c>
      <c r="I7" s="88">
        <v>19284.05</v>
      </c>
      <c r="J7" s="88">
        <v>19489.3</v>
      </c>
      <c r="K7" s="88">
        <v>18663.099999999999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>
        <v>0</v>
      </c>
      <c r="V7" s="88">
        <v>0</v>
      </c>
      <c r="W7" s="88">
        <v>0</v>
      </c>
      <c r="X7" s="88">
        <v>0</v>
      </c>
      <c r="Y7" s="88">
        <v>0</v>
      </c>
      <c r="Z7" s="88">
        <v>0</v>
      </c>
      <c r="AA7" s="88">
        <v>0</v>
      </c>
      <c r="AB7" s="88">
        <v>0</v>
      </c>
      <c r="AC7" s="88">
        <v>0</v>
      </c>
      <c r="AD7" s="88">
        <v>0</v>
      </c>
      <c r="AE7" s="88">
        <v>0</v>
      </c>
      <c r="AF7" s="88">
        <v>0</v>
      </c>
      <c r="AG7" s="88">
        <v>0</v>
      </c>
      <c r="AH7" s="88">
        <v>0</v>
      </c>
      <c r="AI7" s="88">
        <v>0</v>
      </c>
      <c r="AJ7" s="88">
        <v>0</v>
      </c>
      <c r="AK7" s="88">
        <v>0</v>
      </c>
      <c r="AL7" s="88">
        <v>0</v>
      </c>
      <c r="AM7" s="88">
        <v>0</v>
      </c>
      <c r="AN7" s="88">
        <v>0</v>
      </c>
      <c r="AO7" s="88">
        <v>0</v>
      </c>
      <c r="AP7" s="88">
        <v>0</v>
      </c>
      <c r="AQ7" s="88">
        <v>0</v>
      </c>
      <c r="AR7" s="88">
        <v>0</v>
      </c>
      <c r="AS7" s="88">
        <v>0</v>
      </c>
    </row>
    <row r="8" spans="1:89" x14ac:dyDescent="0.4">
      <c r="A8" s="176" t="s">
        <v>210</v>
      </c>
      <c r="E8" s="88"/>
      <c r="F8" s="88">
        <f>74140.54+74061.6</f>
        <v>148202.14000000001</v>
      </c>
      <c r="G8" s="88">
        <f>73981.47+73900.13</f>
        <v>147881.60000000001</v>
      </c>
      <c r="H8" s="88">
        <f>73817.58+73733.79</f>
        <v>147551.37</v>
      </c>
      <c r="I8" s="88">
        <f>73648.75+73562.42</f>
        <v>147211.16999999998</v>
      </c>
      <c r="J8" s="88">
        <f>73474.81+73385.88</f>
        <v>146860.69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/>
    </row>
    <row r="9" spans="1:89" x14ac:dyDescent="0.4">
      <c r="A9" s="176" t="s">
        <v>211</v>
      </c>
      <c r="E9" s="88"/>
      <c r="F9" s="88">
        <f>55771.6+55713.86</f>
        <v>111485.45999999999</v>
      </c>
      <c r="G9" s="88">
        <f>55655.54+55596.64</f>
        <v>111252.18</v>
      </c>
      <c r="H9" s="88">
        <f>55537.15+55477.06</f>
        <v>111014.20999999999</v>
      </c>
      <c r="I9" s="88">
        <f>55416.37+55355.08</f>
        <v>110771.45000000001</v>
      </c>
      <c r="J9" s="88">
        <f>55293.17+55230.64</f>
        <v>110523.81</v>
      </c>
      <c r="K9" s="88">
        <f>55167.49+55103.71</f>
        <v>110271.2</v>
      </c>
      <c r="L9" s="88">
        <f>55039.29+54974.22</f>
        <v>110013.51000000001</v>
      </c>
      <c r="M9" s="88">
        <f>54908.51+54842.13</f>
        <v>109750.64</v>
      </c>
      <c r="N9" s="88">
        <v>54775.1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/>
    </row>
    <row r="10" spans="1:89" ht="17.149999999999999" x14ac:dyDescent="0.7">
      <c r="A10" s="176" t="s">
        <v>212</v>
      </c>
      <c r="F10" s="177">
        <f>7171.74+7164.52</f>
        <v>14336.26</v>
      </c>
      <c r="G10" s="177">
        <f>7157.23+7149.89</f>
        <v>14307.119999999999</v>
      </c>
      <c r="H10" s="177">
        <f>7142.47+7135</f>
        <v>14277.470000000001</v>
      </c>
      <c r="I10" s="177">
        <f>7127.45+7119.84</f>
        <v>14247.29</v>
      </c>
      <c r="J10" s="177">
        <f>7112.17+7104.43</f>
        <v>14216.6</v>
      </c>
      <c r="K10" s="177">
        <f>7096.62+7088.74</f>
        <v>14185.36</v>
      </c>
      <c r="L10" s="177">
        <f>7080.79+7072.77</f>
        <v>14153.560000000001</v>
      </c>
      <c r="M10" s="177">
        <f>7064.69+7056.53</f>
        <v>14121.22</v>
      </c>
      <c r="N10" s="177">
        <f>7048.3+7040</f>
        <v>14088.3</v>
      </c>
      <c r="O10" s="177">
        <f>7031.62+7023.18</f>
        <v>14054.8</v>
      </c>
      <c r="P10" s="177">
        <f>7014.66+7006.06</f>
        <v>14020.720000000001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7">
        <v>0</v>
      </c>
      <c r="Y10" s="177">
        <v>0</v>
      </c>
      <c r="Z10" s="177">
        <v>0</v>
      </c>
      <c r="AA10" s="177">
        <v>0</v>
      </c>
      <c r="AB10" s="177">
        <v>0</v>
      </c>
      <c r="AC10" s="177">
        <v>0</v>
      </c>
      <c r="AD10" s="177">
        <v>0</v>
      </c>
      <c r="AE10" s="177">
        <v>0</v>
      </c>
      <c r="AF10" s="177">
        <v>0</v>
      </c>
      <c r="AG10" s="177">
        <v>0</v>
      </c>
      <c r="AH10" s="177">
        <v>0</v>
      </c>
      <c r="AI10" s="177">
        <v>0</v>
      </c>
      <c r="AJ10" s="177">
        <v>0</v>
      </c>
      <c r="AK10" s="177">
        <v>0</v>
      </c>
      <c r="AL10" s="177">
        <v>0</v>
      </c>
      <c r="AM10" s="177">
        <v>0</v>
      </c>
      <c r="AN10" s="177">
        <v>0</v>
      </c>
      <c r="AO10" s="177">
        <v>0</v>
      </c>
      <c r="AP10" s="177">
        <v>0</v>
      </c>
      <c r="AQ10" s="177">
        <v>0</v>
      </c>
      <c r="AR10" s="177">
        <v>0</v>
      </c>
      <c r="AS10" s="177">
        <v>0</v>
      </c>
    </row>
    <row r="11" spans="1:89" x14ac:dyDescent="0.4">
      <c r="A11" s="104" t="s">
        <v>213</v>
      </c>
      <c r="F11" s="88">
        <f t="shared" ref="F11:AS11" si="1">SUM(F6:F10)</f>
        <v>327063.82</v>
      </c>
      <c r="G11" s="88">
        <f t="shared" si="1"/>
        <v>326610.68</v>
      </c>
      <c r="H11" s="88">
        <f t="shared" si="1"/>
        <v>325070.54999999993</v>
      </c>
      <c r="I11" s="88">
        <f t="shared" si="1"/>
        <v>326397.50999999995</v>
      </c>
      <c r="J11" s="88">
        <f t="shared" si="1"/>
        <v>324566.55</v>
      </c>
      <c r="K11" s="88">
        <f t="shared" si="1"/>
        <v>177127.01</v>
      </c>
      <c r="L11" s="88">
        <f t="shared" si="1"/>
        <v>124167.07</v>
      </c>
      <c r="M11" s="88">
        <f t="shared" si="1"/>
        <v>123871.86</v>
      </c>
      <c r="N11" s="88">
        <f t="shared" si="1"/>
        <v>68863.399999999994</v>
      </c>
      <c r="O11" s="88">
        <f t="shared" si="1"/>
        <v>14054.8</v>
      </c>
      <c r="P11" s="88">
        <f t="shared" si="1"/>
        <v>14020.720000000001</v>
      </c>
      <c r="Q11" s="88">
        <f t="shared" si="1"/>
        <v>0</v>
      </c>
      <c r="R11" s="88">
        <f t="shared" si="1"/>
        <v>0</v>
      </c>
      <c r="S11" s="88">
        <f t="shared" si="1"/>
        <v>0</v>
      </c>
      <c r="T11" s="88">
        <f t="shared" si="1"/>
        <v>0</v>
      </c>
      <c r="U11" s="88">
        <f t="shared" si="1"/>
        <v>0</v>
      </c>
      <c r="V11" s="88">
        <f t="shared" si="1"/>
        <v>0</v>
      </c>
      <c r="W11" s="88">
        <f t="shared" si="1"/>
        <v>0</v>
      </c>
      <c r="X11" s="88">
        <f t="shared" si="1"/>
        <v>0</v>
      </c>
      <c r="Y11" s="88">
        <f t="shared" si="1"/>
        <v>0</v>
      </c>
      <c r="Z11" s="88">
        <f t="shared" si="1"/>
        <v>0</v>
      </c>
      <c r="AA11" s="88">
        <f t="shared" si="1"/>
        <v>0</v>
      </c>
      <c r="AB11" s="88">
        <f t="shared" si="1"/>
        <v>0</v>
      </c>
      <c r="AC11" s="88">
        <f t="shared" si="1"/>
        <v>0</v>
      </c>
      <c r="AD11" s="88">
        <f t="shared" si="1"/>
        <v>0</v>
      </c>
      <c r="AE11" s="88">
        <f t="shared" si="1"/>
        <v>0</v>
      </c>
      <c r="AF11" s="88">
        <f t="shared" si="1"/>
        <v>0</v>
      </c>
      <c r="AG11" s="88">
        <f t="shared" si="1"/>
        <v>0</v>
      </c>
      <c r="AH11" s="88">
        <f t="shared" si="1"/>
        <v>0</v>
      </c>
      <c r="AI11" s="88">
        <f t="shared" si="1"/>
        <v>0</v>
      </c>
      <c r="AJ11" s="88">
        <f t="shared" si="1"/>
        <v>0</v>
      </c>
      <c r="AK11" s="88">
        <f t="shared" si="1"/>
        <v>0</v>
      </c>
      <c r="AL11" s="88">
        <f t="shared" si="1"/>
        <v>0</v>
      </c>
      <c r="AM11" s="88">
        <f t="shared" si="1"/>
        <v>0</v>
      </c>
      <c r="AN11" s="88">
        <f t="shared" si="1"/>
        <v>0</v>
      </c>
      <c r="AO11" s="88">
        <f t="shared" si="1"/>
        <v>0</v>
      </c>
      <c r="AP11" s="88">
        <f t="shared" si="1"/>
        <v>0</v>
      </c>
      <c r="AQ11" s="88">
        <f t="shared" si="1"/>
        <v>0</v>
      </c>
      <c r="AR11" s="88">
        <f t="shared" si="1"/>
        <v>0</v>
      </c>
      <c r="AS11" s="88">
        <f t="shared" si="1"/>
        <v>0</v>
      </c>
    </row>
    <row r="12" spans="1:89" x14ac:dyDescent="0.4">
      <c r="A12" s="104"/>
    </row>
    <row r="13" spans="1:89" x14ac:dyDescent="0.4">
      <c r="A13" s="104" t="s">
        <v>214</v>
      </c>
      <c r="F13" s="88">
        <f>ROUND(F11*'Plan Inputs'!F16,0)</f>
        <v>65413</v>
      </c>
      <c r="G13" s="88">
        <f>ROUND(G11*'Plan Inputs'!G16,0)</f>
        <v>65322</v>
      </c>
      <c r="H13" s="88">
        <f>ROUND(H11*'Plan Inputs'!H16,0)</f>
        <v>65014</v>
      </c>
      <c r="I13" s="88">
        <f>ROUND(I11*'Plan Inputs'!I16,0)</f>
        <v>65280</v>
      </c>
      <c r="J13" s="88">
        <f>ROUND(J11*'Plan Inputs'!J16,0)</f>
        <v>64913</v>
      </c>
      <c r="K13" s="88">
        <f>ROUND(K11*'Plan Inputs'!K16,0)</f>
        <v>35425</v>
      </c>
      <c r="L13" s="88">
        <f>ROUND(L11*'Plan Inputs'!L16,0)</f>
        <v>24833</v>
      </c>
      <c r="M13" s="88">
        <f>ROUND(M11*'Plan Inputs'!M16,0)</f>
        <v>24774</v>
      </c>
      <c r="N13" s="88">
        <f>ROUND(N11*'Plan Inputs'!N16,0)</f>
        <v>13773</v>
      </c>
      <c r="O13" s="88">
        <f>ROUND(O11*'Plan Inputs'!O16,0)</f>
        <v>2811</v>
      </c>
      <c r="P13" s="88">
        <f>ROUND(P11*'Plan Inputs'!P16,0)</f>
        <v>2804</v>
      </c>
      <c r="Q13" s="88">
        <f>ROUND(Q11*'Plan Inputs'!Q16,0)</f>
        <v>0</v>
      </c>
      <c r="R13" s="88">
        <f>ROUND(R11*'Plan Inputs'!R16,0)</f>
        <v>0</v>
      </c>
      <c r="S13" s="88">
        <f>ROUND(S11*'Plan Inputs'!S16,0)</f>
        <v>0</v>
      </c>
      <c r="T13" s="88">
        <f>ROUND(T11*'Plan Inputs'!T16,0)</f>
        <v>0</v>
      </c>
      <c r="U13" s="88">
        <f>ROUND(U11*'Plan Inputs'!U16,0)</f>
        <v>0</v>
      </c>
      <c r="V13" s="88">
        <f>ROUND(V11*'Plan Inputs'!V16,0)</f>
        <v>0</v>
      </c>
      <c r="W13" s="88">
        <f>ROUND(W11*'Plan Inputs'!W16,0)</f>
        <v>0</v>
      </c>
      <c r="X13" s="88">
        <f>ROUND(X11*'Plan Inputs'!X16,0)</f>
        <v>0</v>
      </c>
      <c r="Y13" s="88">
        <f>ROUND(Y11*'Plan Inputs'!Y16,0)</f>
        <v>0</v>
      </c>
      <c r="Z13" s="88">
        <f>ROUND(Z11*'Plan Inputs'!Z16,0)</f>
        <v>0</v>
      </c>
      <c r="AA13" s="88">
        <f>ROUND(AA11*'Plan Inputs'!AA16,0)</f>
        <v>0</v>
      </c>
      <c r="AB13" s="88">
        <f>ROUND(AB11*'Plan Inputs'!AB16,0)</f>
        <v>0</v>
      </c>
      <c r="AC13" s="88">
        <f>ROUND(AC11*'Plan Inputs'!AC16,0)</f>
        <v>0</v>
      </c>
      <c r="AD13" s="88">
        <f>ROUND(AD11*'Plan Inputs'!AD16,0)</f>
        <v>0</v>
      </c>
      <c r="AE13" s="88">
        <f>ROUND(AE11*'Plan Inputs'!AE16,0)</f>
        <v>0</v>
      </c>
      <c r="AF13" s="88">
        <f>ROUND(AF11*'Plan Inputs'!AF16,0)</f>
        <v>0</v>
      </c>
      <c r="AG13" s="88">
        <f>ROUND(AG11*'Plan Inputs'!AG16,0)</f>
        <v>0</v>
      </c>
      <c r="AH13" s="88">
        <f>ROUND(AH11*'Plan Inputs'!AH16,0)</f>
        <v>0</v>
      </c>
      <c r="AI13" s="88">
        <f>ROUND(AI11*'Plan Inputs'!AI16,0)</f>
        <v>0</v>
      </c>
      <c r="AJ13" s="88">
        <f>ROUND(AJ11*'Plan Inputs'!AJ16,0)</f>
        <v>0</v>
      </c>
      <c r="AK13" s="88">
        <f>ROUND(AK11*'Plan Inputs'!AK16,0)</f>
        <v>0</v>
      </c>
      <c r="AL13" s="88">
        <f>ROUND(AL11*'Plan Inputs'!AL16,0)</f>
        <v>0</v>
      </c>
      <c r="AM13" s="88">
        <f>ROUND(AM11*'Plan Inputs'!AM16,0)</f>
        <v>0</v>
      </c>
      <c r="AN13" s="88">
        <f>ROUND(AN11*'Plan Inputs'!AN16,0)</f>
        <v>0</v>
      </c>
      <c r="AO13" s="88">
        <f>ROUND(AO11*'Plan Inputs'!AO16,0)</f>
        <v>0</v>
      </c>
      <c r="AP13" s="88">
        <f>ROUND(AP11*'Plan Inputs'!AP16,0)</f>
        <v>0</v>
      </c>
      <c r="AQ13" s="88">
        <f>ROUND(AQ11*'Plan Inputs'!AQ16,0)</f>
        <v>0</v>
      </c>
      <c r="AR13" s="88">
        <f>ROUND(AR11*'Plan Inputs'!AR16,0)</f>
        <v>0</v>
      </c>
      <c r="AS13" s="88">
        <f>ROUND(AS11*'Plan Inputs'!AS16,0)</f>
        <v>0</v>
      </c>
    </row>
    <row r="15" spans="1:89" x14ac:dyDescent="0.4">
      <c r="A15" s="168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89" ht="18.45" x14ac:dyDescent="0.4">
      <c r="A16" s="233" t="s">
        <v>215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</row>
    <row r="17" spans="1:45" ht="18.45" x14ac:dyDescent="0.5">
      <c r="A17" s="117"/>
      <c r="B17" s="204"/>
      <c r="C17" s="204"/>
      <c r="D17" s="204"/>
      <c r="E17" s="204"/>
      <c r="F17" s="204" t="s">
        <v>0</v>
      </c>
      <c r="G17" s="204"/>
      <c r="H17" s="204"/>
      <c r="I17" s="204"/>
      <c r="J17" s="204"/>
      <c r="K17" s="204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</row>
    <row r="18" spans="1:45" ht="15.9" x14ac:dyDescent="0.45">
      <c r="A18" s="229" t="s">
        <v>91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</row>
    <row r="19" spans="1:45" x14ac:dyDescent="0.4">
      <c r="A19" s="84"/>
      <c r="B19" s="83"/>
      <c r="C19" s="83"/>
      <c r="D19" s="83"/>
      <c r="E19" s="83"/>
      <c r="F19" s="83"/>
      <c r="G19" s="74"/>
      <c r="H19" s="83"/>
      <c r="I19" s="83"/>
      <c r="J19" s="83"/>
      <c r="K19" s="8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</row>
    <row r="20" spans="1:45" x14ac:dyDescent="0.4">
      <c r="A20" s="92"/>
      <c r="B20" s="73"/>
      <c r="C20" s="73"/>
      <c r="D20" s="73"/>
      <c r="E20" s="105"/>
      <c r="F20" s="75">
        <v>2026</v>
      </c>
      <c r="G20" s="76">
        <f>F20+1</f>
        <v>2027</v>
      </c>
      <c r="H20" s="76">
        <f t="shared" ref="H20" si="2">G20+1</f>
        <v>2028</v>
      </c>
      <c r="I20" s="76">
        <f t="shared" ref="I20" si="3">H20+1</f>
        <v>2029</v>
      </c>
      <c r="J20" s="76">
        <f t="shared" ref="J20" si="4">I20+1</f>
        <v>2030</v>
      </c>
      <c r="K20" s="76">
        <f t="shared" ref="K20" si="5">J20+1</f>
        <v>2031</v>
      </c>
      <c r="L20" s="76">
        <f t="shared" ref="L20" si="6">K20+1</f>
        <v>2032</v>
      </c>
      <c r="M20" s="76">
        <f t="shared" ref="M20" si="7">L20+1</f>
        <v>2033</v>
      </c>
      <c r="N20" s="76">
        <f t="shared" ref="N20" si="8">M20+1</f>
        <v>2034</v>
      </c>
      <c r="O20" s="76">
        <f t="shared" ref="O20" si="9">N20+1</f>
        <v>2035</v>
      </c>
      <c r="P20" s="76">
        <f t="shared" ref="P20" si="10">O20+1</f>
        <v>2036</v>
      </c>
      <c r="Q20" s="76">
        <f t="shared" ref="Q20" si="11">P20+1</f>
        <v>2037</v>
      </c>
      <c r="R20" s="76">
        <f t="shared" ref="R20" si="12">Q20+1</f>
        <v>2038</v>
      </c>
      <c r="S20" s="76">
        <f t="shared" ref="S20" si="13">R20+1</f>
        <v>2039</v>
      </c>
      <c r="T20" s="76">
        <f t="shared" ref="T20" si="14">S20+1</f>
        <v>2040</v>
      </c>
      <c r="U20" s="76">
        <f t="shared" ref="U20" si="15">T20+1</f>
        <v>2041</v>
      </c>
      <c r="V20" s="76">
        <f t="shared" ref="V20" si="16">U20+1</f>
        <v>2042</v>
      </c>
      <c r="W20" s="76">
        <f t="shared" ref="W20" si="17">V20+1</f>
        <v>2043</v>
      </c>
      <c r="X20" s="76">
        <f t="shared" ref="X20" si="18">W20+1</f>
        <v>2044</v>
      </c>
      <c r="Y20" s="76">
        <f t="shared" ref="Y20" si="19">X20+1</f>
        <v>2045</v>
      </c>
      <c r="Z20" s="76">
        <f t="shared" ref="Z20" si="20">Y20+1</f>
        <v>2046</v>
      </c>
      <c r="AA20" s="76">
        <f t="shared" ref="AA20" si="21">Z20+1</f>
        <v>2047</v>
      </c>
      <c r="AB20" s="76">
        <f t="shared" ref="AB20" si="22">AA20+1</f>
        <v>2048</v>
      </c>
      <c r="AC20" s="76">
        <f t="shared" ref="AC20" si="23">AB20+1</f>
        <v>2049</v>
      </c>
      <c r="AD20" s="76">
        <f t="shared" ref="AD20" si="24">AC20+1</f>
        <v>2050</v>
      </c>
      <c r="AE20" s="76">
        <f t="shared" ref="AE20" si="25">AD20+1</f>
        <v>2051</v>
      </c>
      <c r="AF20" s="76">
        <f t="shared" ref="AF20" si="26">AE20+1</f>
        <v>2052</v>
      </c>
      <c r="AG20" s="76">
        <f t="shared" ref="AG20" si="27">AF20+1</f>
        <v>2053</v>
      </c>
      <c r="AH20" s="76">
        <f t="shared" ref="AH20" si="28">AG20+1</f>
        <v>2054</v>
      </c>
      <c r="AI20" s="76">
        <f t="shared" ref="AI20" si="29">AH20+1</f>
        <v>2055</v>
      </c>
      <c r="AJ20" s="76">
        <f t="shared" ref="AJ20" si="30">AI20+1</f>
        <v>2056</v>
      </c>
      <c r="AK20" s="76">
        <f t="shared" ref="AK20" si="31">AJ20+1</f>
        <v>2057</v>
      </c>
      <c r="AL20" s="76">
        <f t="shared" ref="AL20" si="32">AK20+1</f>
        <v>2058</v>
      </c>
      <c r="AM20" s="76">
        <f t="shared" ref="AM20" si="33">AL20+1</f>
        <v>2059</v>
      </c>
      <c r="AN20" s="76">
        <f t="shared" ref="AN20" si="34">AM20+1</f>
        <v>2060</v>
      </c>
      <c r="AO20" s="76">
        <f t="shared" ref="AO20" si="35">AN20+1</f>
        <v>2061</v>
      </c>
      <c r="AP20" s="76">
        <f t="shared" ref="AP20" si="36">AO20+1</f>
        <v>2062</v>
      </c>
      <c r="AQ20" s="76">
        <f t="shared" ref="AQ20" si="37">AP20+1</f>
        <v>2063</v>
      </c>
      <c r="AR20" s="76">
        <f t="shared" ref="AR20" si="38">AQ20+1</f>
        <v>2064</v>
      </c>
      <c r="AS20" s="76">
        <f t="shared" ref="AS20" si="39">AR20+1</f>
        <v>2065</v>
      </c>
    </row>
    <row r="21" spans="1:45" x14ac:dyDescent="0.4">
      <c r="A21" s="176" t="s">
        <v>216</v>
      </c>
      <c r="E21" s="88"/>
      <c r="F21" s="1">
        <f>ROUND(-PMT('Plan Inputs'!F15,'Plan Inputs'!F14,'Plan Inputs'!F18,0,0),0)</f>
        <v>571998</v>
      </c>
      <c r="G21" s="88">
        <f>F21</f>
        <v>571998</v>
      </c>
      <c r="H21" s="88">
        <f t="shared" ref="H21:AI21" si="40">G21</f>
        <v>571998</v>
      </c>
      <c r="I21" s="88">
        <f t="shared" si="40"/>
        <v>571998</v>
      </c>
      <c r="J21" s="88">
        <f t="shared" si="40"/>
        <v>571998</v>
      </c>
      <c r="K21" s="88">
        <f t="shared" si="40"/>
        <v>571998</v>
      </c>
      <c r="L21" s="88">
        <f t="shared" si="40"/>
        <v>571998</v>
      </c>
      <c r="M21" s="88">
        <f t="shared" si="40"/>
        <v>571998</v>
      </c>
      <c r="N21" s="88">
        <f t="shared" si="40"/>
        <v>571998</v>
      </c>
      <c r="O21" s="88">
        <f t="shared" si="40"/>
        <v>571998</v>
      </c>
      <c r="P21" s="88">
        <f t="shared" si="40"/>
        <v>571998</v>
      </c>
      <c r="Q21" s="88">
        <f t="shared" si="40"/>
        <v>571998</v>
      </c>
      <c r="R21" s="88">
        <f t="shared" si="40"/>
        <v>571998</v>
      </c>
      <c r="S21" s="88">
        <f t="shared" si="40"/>
        <v>571998</v>
      </c>
      <c r="T21" s="88">
        <f t="shared" si="40"/>
        <v>571998</v>
      </c>
      <c r="U21" s="88">
        <f t="shared" si="40"/>
        <v>571998</v>
      </c>
      <c r="V21" s="88">
        <f t="shared" si="40"/>
        <v>571998</v>
      </c>
      <c r="W21" s="88">
        <f t="shared" si="40"/>
        <v>571998</v>
      </c>
      <c r="X21" s="88">
        <f t="shared" si="40"/>
        <v>571998</v>
      </c>
      <c r="Y21" s="88">
        <f t="shared" si="40"/>
        <v>571998</v>
      </c>
      <c r="Z21" s="88">
        <f t="shared" si="40"/>
        <v>571998</v>
      </c>
      <c r="AA21" s="88">
        <f t="shared" si="40"/>
        <v>571998</v>
      </c>
      <c r="AB21" s="88">
        <f t="shared" si="40"/>
        <v>571998</v>
      </c>
      <c r="AC21" s="88">
        <f t="shared" si="40"/>
        <v>571998</v>
      </c>
      <c r="AD21" s="88">
        <f t="shared" si="40"/>
        <v>571998</v>
      </c>
      <c r="AE21" s="88">
        <f t="shared" si="40"/>
        <v>571998</v>
      </c>
      <c r="AF21" s="88">
        <f t="shared" si="40"/>
        <v>571998</v>
      </c>
      <c r="AG21" s="88">
        <f t="shared" si="40"/>
        <v>571998</v>
      </c>
      <c r="AH21" s="88">
        <f t="shared" si="40"/>
        <v>571998</v>
      </c>
      <c r="AI21" s="88">
        <f t="shared" si="40"/>
        <v>571998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</row>
    <row r="22" spans="1:45" x14ac:dyDescent="0.4">
      <c r="A22" s="176" t="s">
        <v>217</v>
      </c>
      <c r="E22" s="88"/>
      <c r="F22" s="88">
        <v>0</v>
      </c>
      <c r="G22" s="1">
        <f>ROUND(-PMT('Plan Inputs'!G15,'Plan Inputs'!G14,'Plan Inputs'!G18,0,0),0)</f>
        <v>571998</v>
      </c>
      <c r="H22" s="1">
        <f>G22</f>
        <v>571998</v>
      </c>
      <c r="I22" s="1">
        <f t="shared" ref="I22:AJ22" si="41">H22</f>
        <v>571998</v>
      </c>
      <c r="J22" s="1">
        <f t="shared" si="41"/>
        <v>571998</v>
      </c>
      <c r="K22" s="1">
        <f t="shared" si="41"/>
        <v>571998</v>
      </c>
      <c r="L22" s="1">
        <f t="shared" si="41"/>
        <v>571998</v>
      </c>
      <c r="M22" s="1">
        <f t="shared" si="41"/>
        <v>571998</v>
      </c>
      <c r="N22" s="1">
        <f t="shared" si="41"/>
        <v>571998</v>
      </c>
      <c r="O22" s="1">
        <f t="shared" si="41"/>
        <v>571998</v>
      </c>
      <c r="P22" s="1">
        <f t="shared" si="41"/>
        <v>571998</v>
      </c>
      <c r="Q22" s="1">
        <f t="shared" si="41"/>
        <v>571998</v>
      </c>
      <c r="R22" s="1">
        <f t="shared" si="41"/>
        <v>571998</v>
      </c>
      <c r="S22" s="1">
        <f t="shared" si="41"/>
        <v>571998</v>
      </c>
      <c r="T22" s="1">
        <f t="shared" si="41"/>
        <v>571998</v>
      </c>
      <c r="U22" s="1">
        <f t="shared" si="41"/>
        <v>571998</v>
      </c>
      <c r="V22" s="1">
        <f t="shared" si="41"/>
        <v>571998</v>
      </c>
      <c r="W22" s="1">
        <f t="shared" si="41"/>
        <v>571998</v>
      </c>
      <c r="X22" s="1">
        <f t="shared" si="41"/>
        <v>571998</v>
      </c>
      <c r="Y22" s="1">
        <f t="shared" si="41"/>
        <v>571998</v>
      </c>
      <c r="Z22" s="1">
        <f t="shared" si="41"/>
        <v>571998</v>
      </c>
      <c r="AA22" s="1">
        <f t="shared" si="41"/>
        <v>571998</v>
      </c>
      <c r="AB22" s="1">
        <f t="shared" si="41"/>
        <v>571998</v>
      </c>
      <c r="AC22" s="1">
        <f t="shared" si="41"/>
        <v>571998</v>
      </c>
      <c r="AD22" s="1">
        <f t="shared" si="41"/>
        <v>571998</v>
      </c>
      <c r="AE22" s="1">
        <f t="shared" si="41"/>
        <v>571998</v>
      </c>
      <c r="AF22" s="1">
        <f t="shared" si="41"/>
        <v>571998</v>
      </c>
      <c r="AG22" s="1">
        <f t="shared" si="41"/>
        <v>571998</v>
      </c>
      <c r="AH22" s="1">
        <f t="shared" si="41"/>
        <v>571998</v>
      </c>
      <c r="AI22" s="1">
        <f t="shared" si="41"/>
        <v>571998</v>
      </c>
      <c r="AJ22" s="1">
        <f t="shared" si="41"/>
        <v>571998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</row>
    <row r="23" spans="1:45" ht="17.149999999999999" x14ac:dyDescent="0.7">
      <c r="A23" s="176" t="s">
        <v>218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  <c r="S23" s="177">
        <v>0</v>
      </c>
      <c r="T23" s="177">
        <v>0</v>
      </c>
      <c r="U23" s="177">
        <v>0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0</v>
      </c>
      <c r="AJ23" s="2">
        <f>ROUND(-PMT('Plan Inputs'!AJ15,'Plan Inputs'!AJ14,'Financial Plan'!AH13,0,0),0)</f>
        <v>578301</v>
      </c>
      <c r="AK23" s="177">
        <f>AJ23</f>
        <v>578301</v>
      </c>
      <c r="AL23" s="177">
        <f t="shared" ref="AL23:AS23" si="42">AK23</f>
        <v>578301</v>
      </c>
      <c r="AM23" s="177">
        <f t="shared" si="42"/>
        <v>578301</v>
      </c>
      <c r="AN23" s="177">
        <f t="shared" si="42"/>
        <v>578301</v>
      </c>
      <c r="AO23" s="177">
        <f t="shared" si="42"/>
        <v>578301</v>
      </c>
      <c r="AP23" s="177">
        <f t="shared" si="42"/>
        <v>578301</v>
      </c>
      <c r="AQ23" s="177">
        <f t="shared" si="42"/>
        <v>578301</v>
      </c>
      <c r="AR23" s="177">
        <f t="shared" si="42"/>
        <v>578301</v>
      </c>
      <c r="AS23" s="177">
        <f t="shared" si="42"/>
        <v>578301</v>
      </c>
    </row>
    <row r="24" spans="1:45" x14ac:dyDescent="0.4">
      <c r="A24" s="104" t="s">
        <v>213</v>
      </c>
      <c r="F24" s="88">
        <f t="shared" ref="F24:AS24" si="43">SUM(F21:F23)</f>
        <v>571998</v>
      </c>
      <c r="G24" s="88">
        <f t="shared" si="43"/>
        <v>1143996</v>
      </c>
      <c r="H24" s="88">
        <f t="shared" si="43"/>
        <v>1143996</v>
      </c>
      <c r="I24" s="88">
        <f t="shared" si="43"/>
        <v>1143996</v>
      </c>
      <c r="J24" s="88">
        <f t="shared" si="43"/>
        <v>1143996</v>
      </c>
      <c r="K24" s="88">
        <f t="shared" si="43"/>
        <v>1143996</v>
      </c>
      <c r="L24" s="88">
        <f t="shared" si="43"/>
        <v>1143996</v>
      </c>
      <c r="M24" s="88">
        <f t="shared" si="43"/>
        <v>1143996</v>
      </c>
      <c r="N24" s="88">
        <f t="shared" si="43"/>
        <v>1143996</v>
      </c>
      <c r="O24" s="88">
        <f t="shared" si="43"/>
        <v>1143996</v>
      </c>
      <c r="P24" s="88">
        <f t="shared" si="43"/>
        <v>1143996</v>
      </c>
      <c r="Q24" s="88">
        <f t="shared" si="43"/>
        <v>1143996</v>
      </c>
      <c r="R24" s="88">
        <f t="shared" si="43"/>
        <v>1143996</v>
      </c>
      <c r="S24" s="88">
        <f t="shared" si="43"/>
        <v>1143996</v>
      </c>
      <c r="T24" s="88">
        <f t="shared" si="43"/>
        <v>1143996</v>
      </c>
      <c r="U24" s="88">
        <f t="shared" si="43"/>
        <v>1143996</v>
      </c>
      <c r="V24" s="88">
        <f t="shared" si="43"/>
        <v>1143996</v>
      </c>
      <c r="W24" s="88">
        <f t="shared" si="43"/>
        <v>1143996</v>
      </c>
      <c r="X24" s="88">
        <f t="shared" si="43"/>
        <v>1143996</v>
      </c>
      <c r="Y24" s="88">
        <f t="shared" si="43"/>
        <v>1143996</v>
      </c>
      <c r="Z24" s="88">
        <f t="shared" si="43"/>
        <v>1143996</v>
      </c>
      <c r="AA24" s="88">
        <f t="shared" si="43"/>
        <v>1143996</v>
      </c>
      <c r="AB24" s="88">
        <f t="shared" si="43"/>
        <v>1143996</v>
      </c>
      <c r="AC24" s="88">
        <f t="shared" si="43"/>
        <v>1143996</v>
      </c>
      <c r="AD24" s="88">
        <f t="shared" si="43"/>
        <v>1143996</v>
      </c>
      <c r="AE24" s="88">
        <f t="shared" si="43"/>
        <v>1143996</v>
      </c>
      <c r="AF24" s="88">
        <f t="shared" si="43"/>
        <v>1143996</v>
      </c>
      <c r="AG24" s="88">
        <f t="shared" si="43"/>
        <v>1143996</v>
      </c>
      <c r="AH24" s="88">
        <f t="shared" si="43"/>
        <v>1143996</v>
      </c>
      <c r="AI24" s="88">
        <f t="shared" si="43"/>
        <v>1143996</v>
      </c>
      <c r="AJ24" s="88">
        <f t="shared" si="43"/>
        <v>1150299</v>
      </c>
      <c r="AK24" s="88">
        <f t="shared" si="43"/>
        <v>578301</v>
      </c>
      <c r="AL24" s="88">
        <f t="shared" si="43"/>
        <v>578301</v>
      </c>
      <c r="AM24" s="88">
        <f t="shared" si="43"/>
        <v>578301</v>
      </c>
      <c r="AN24" s="88">
        <f t="shared" si="43"/>
        <v>578301</v>
      </c>
      <c r="AO24" s="88">
        <f t="shared" si="43"/>
        <v>578301</v>
      </c>
      <c r="AP24" s="88">
        <f t="shared" si="43"/>
        <v>578301</v>
      </c>
      <c r="AQ24" s="88">
        <f t="shared" si="43"/>
        <v>578301</v>
      </c>
      <c r="AR24" s="88">
        <f t="shared" si="43"/>
        <v>578301</v>
      </c>
      <c r="AS24" s="88">
        <f t="shared" si="43"/>
        <v>578301</v>
      </c>
    </row>
    <row r="25" spans="1:45" x14ac:dyDescent="0.4">
      <c r="A25" s="104"/>
    </row>
    <row r="26" spans="1:45" x14ac:dyDescent="0.4">
      <c r="A26" s="104" t="s">
        <v>214</v>
      </c>
      <c r="F26" s="88">
        <f>ROUND(F24*'Plan Inputs'!F16,0)</f>
        <v>114400</v>
      </c>
      <c r="G26" s="88">
        <f>ROUND(G24*'Plan Inputs'!G16,0)</f>
        <v>228799</v>
      </c>
      <c r="H26" s="88">
        <f>ROUND(H24*'Plan Inputs'!H16,0)</f>
        <v>228799</v>
      </c>
      <c r="I26" s="88">
        <f>ROUND(I24*'Plan Inputs'!I16,0)</f>
        <v>228799</v>
      </c>
      <c r="J26" s="88">
        <f>ROUND(J24*'Plan Inputs'!J16,0)</f>
        <v>228799</v>
      </c>
      <c r="K26" s="88">
        <f>ROUND(K24*'Plan Inputs'!K16,0)</f>
        <v>228799</v>
      </c>
      <c r="L26" s="88">
        <f>ROUND(L24*'Plan Inputs'!L16,0)</f>
        <v>228799</v>
      </c>
      <c r="M26" s="88">
        <f>ROUND(M24*'Plan Inputs'!M16,0)</f>
        <v>228799</v>
      </c>
      <c r="N26" s="88">
        <f>ROUND(N24*'Plan Inputs'!N16,0)</f>
        <v>228799</v>
      </c>
      <c r="O26" s="88">
        <f>ROUND(O24*'Plan Inputs'!O16,0)</f>
        <v>228799</v>
      </c>
      <c r="P26" s="88">
        <f>ROUND(P24*'Plan Inputs'!P16,0)</f>
        <v>228799</v>
      </c>
      <c r="Q26" s="88">
        <f>ROUND(Q24*'Plan Inputs'!Q16,0)</f>
        <v>228799</v>
      </c>
      <c r="R26" s="88">
        <f>ROUND(R24*'Plan Inputs'!R16,0)</f>
        <v>228799</v>
      </c>
      <c r="S26" s="88">
        <f>ROUND(S24*'Plan Inputs'!S16,0)</f>
        <v>228799</v>
      </c>
      <c r="T26" s="88">
        <f>ROUND(T24*'Plan Inputs'!T16,0)</f>
        <v>228799</v>
      </c>
      <c r="U26" s="88">
        <f>ROUND(U24*'Plan Inputs'!U16,0)</f>
        <v>228799</v>
      </c>
      <c r="V26" s="88">
        <f>ROUND(V24*'Plan Inputs'!V16,0)</f>
        <v>228799</v>
      </c>
      <c r="W26" s="88">
        <f>ROUND(W24*'Plan Inputs'!W16,0)</f>
        <v>228799</v>
      </c>
      <c r="X26" s="88">
        <f>ROUND(X24*'Plan Inputs'!X16,0)</f>
        <v>228799</v>
      </c>
      <c r="Y26" s="88">
        <f>ROUND(Y24*'Plan Inputs'!Y16,0)</f>
        <v>228799</v>
      </c>
      <c r="Z26" s="88">
        <f>ROUND(Z24*'Plan Inputs'!Z16,0)</f>
        <v>228799</v>
      </c>
      <c r="AA26" s="88">
        <f>ROUND(AA24*'Plan Inputs'!AA16,0)</f>
        <v>228799</v>
      </c>
      <c r="AB26" s="88">
        <f>ROUND(AB24*'Plan Inputs'!AB16,0)</f>
        <v>228799</v>
      </c>
      <c r="AC26" s="88">
        <f>ROUND(AC24*'Plan Inputs'!AC16,0)</f>
        <v>228799</v>
      </c>
      <c r="AD26" s="88">
        <f>ROUND(AD24*'Plan Inputs'!AD16,0)</f>
        <v>228799</v>
      </c>
      <c r="AE26" s="88">
        <f>ROUND(AE24*'Plan Inputs'!AE16,0)</f>
        <v>228799</v>
      </c>
      <c r="AF26" s="88">
        <f>ROUND(AF24*'Plan Inputs'!AF16,0)</f>
        <v>228799</v>
      </c>
      <c r="AG26" s="88">
        <f>ROUND(AG24*'Plan Inputs'!AG16,0)</f>
        <v>228799</v>
      </c>
      <c r="AH26" s="88">
        <f>ROUND(AH24*'Plan Inputs'!AH16,0)</f>
        <v>228799</v>
      </c>
      <c r="AI26" s="88">
        <f>ROUND(AI24*'Plan Inputs'!AI16,0)</f>
        <v>228799</v>
      </c>
      <c r="AJ26" s="88">
        <f>ROUND(AJ24*'Plan Inputs'!AJ16,0)</f>
        <v>230060</v>
      </c>
      <c r="AK26" s="88">
        <f>ROUND(AK24*'Plan Inputs'!AK16,0)</f>
        <v>115660</v>
      </c>
      <c r="AL26" s="88">
        <f>ROUND(AL24*'Plan Inputs'!AL16,0)</f>
        <v>115660</v>
      </c>
      <c r="AM26" s="88">
        <f>ROUND(AM24*'Plan Inputs'!AM16,0)</f>
        <v>115660</v>
      </c>
      <c r="AN26" s="88">
        <f>ROUND(AN24*'Plan Inputs'!AN16,0)</f>
        <v>115660</v>
      </c>
      <c r="AO26" s="88">
        <f>ROUND(AO24*'Plan Inputs'!AO16,0)</f>
        <v>115660</v>
      </c>
      <c r="AP26" s="88">
        <f>ROUND(AP24*'Plan Inputs'!AP16,0)</f>
        <v>115660</v>
      </c>
      <c r="AQ26" s="88">
        <f>ROUND(AQ24*'Plan Inputs'!AQ16,0)</f>
        <v>115660</v>
      </c>
      <c r="AR26" s="88">
        <f>ROUND(AR24*'Plan Inputs'!AR16,0)</f>
        <v>115660</v>
      </c>
      <c r="AS26" s="88">
        <f>ROUND(AS24*'Plan Inputs'!AS16,0)</f>
        <v>115660</v>
      </c>
    </row>
    <row r="27" spans="1:45" x14ac:dyDescent="0.4">
      <c r="A27" s="10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</row>
    <row r="28" spans="1:45" x14ac:dyDescent="0.4">
      <c r="A28" s="70" t="s">
        <v>219</v>
      </c>
      <c r="F28" s="88">
        <f>F11+F13+F24+F26</f>
        <v>1078874.82</v>
      </c>
      <c r="G28" s="88">
        <f t="shared" ref="G28:AS28" si="44">G11+G13+G24+G26</f>
        <v>1764727.68</v>
      </c>
      <c r="H28" s="88">
        <f t="shared" si="44"/>
        <v>1762879.5499999998</v>
      </c>
      <c r="I28" s="88">
        <f t="shared" si="44"/>
        <v>1764472.51</v>
      </c>
      <c r="J28" s="88">
        <f t="shared" si="44"/>
        <v>1762274.55</v>
      </c>
      <c r="K28" s="88">
        <f t="shared" si="44"/>
        <v>1585347.01</v>
      </c>
      <c r="L28" s="88">
        <f t="shared" si="44"/>
        <v>1521795.07</v>
      </c>
      <c r="M28" s="88">
        <f t="shared" si="44"/>
        <v>1521440.8599999999</v>
      </c>
      <c r="N28" s="88">
        <f t="shared" si="44"/>
        <v>1455431.4</v>
      </c>
      <c r="O28" s="88">
        <f t="shared" si="44"/>
        <v>1389660.8</v>
      </c>
      <c r="P28" s="88">
        <f t="shared" si="44"/>
        <v>1389619.72</v>
      </c>
      <c r="Q28" s="88">
        <f t="shared" si="44"/>
        <v>1372795</v>
      </c>
      <c r="R28" s="88">
        <f t="shared" si="44"/>
        <v>1372795</v>
      </c>
      <c r="S28" s="88">
        <f t="shared" si="44"/>
        <v>1372795</v>
      </c>
      <c r="T28" s="88">
        <f t="shared" si="44"/>
        <v>1372795</v>
      </c>
      <c r="U28" s="88">
        <f t="shared" si="44"/>
        <v>1372795</v>
      </c>
      <c r="V28" s="88">
        <f t="shared" si="44"/>
        <v>1372795</v>
      </c>
      <c r="W28" s="88">
        <f t="shared" si="44"/>
        <v>1372795</v>
      </c>
      <c r="X28" s="88">
        <f t="shared" si="44"/>
        <v>1372795</v>
      </c>
      <c r="Y28" s="88">
        <f t="shared" si="44"/>
        <v>1372795</v>
      </c>
      <c r="Z28" s="88">
        <f t="shared" si="44"/>
        <v>1372795</v>
      </c>
      <c r="AA28" s="88">
        <f t="shared" si="44"/>
        <v>1372795</v>
      </c>
      <c r="AB28" s="88">
        <f t="shared" si="44"/>
        <v>1372795</v>
      </c>
      <c r="AC28" s="88">
        <f t="shared" si="44"/>
        <v>1372795</v>
      </c>
      <c r="AD28" s="88">
        <f t="shared" si="44"/>
        <v>1372795</v>
      </c>
      <c r="AE28" s="88">
        <f t="shared" si="44"/>
        <v>1372795</v>
      </c>
      <c r="AF28" s="88">
        <f t="shared" si="44"/>
        <v>1372795</v>
      </c>
      <c r="AG28" s="88">
        <f t="shared" si="44"/>
        <v>1372795</v>
      </c>
      <c r="AH28" s="88">
        <f t="shared" si="44"/>
        <v>1372795</v>
      </c>
      <c r="AI28" s="88">
        <f t="shared" si="44"/>
        <v>1372795</v>
      </c>
      <c r="AJ28" s="88">
        <f t="shared" si="44"/>
        <v>1380359</v>
      </c>
      <c r="AK28" s="88">
        <f t="shared" si="44"/>
        <v>693961</v>
      </c>
      <c r="AL28" s="88">
        <f t="shared" si="44"/>
        <v>693961</v>
      </c>
      <c r="AM28" s="88">
        <f t="shared" si="44"/>
        <v>693961</v>
      </c>
      <c r="AN28" s="88">
        <f t="shared" si="44"/>
        <v>693961</v>
      </c>
      <c r="AO28" s="88">
        <f t="shared" si="44"/>
        <v>693961</v>
      </c>
      <c r="AP28" s="88">
        <f t="shared" si="44"/>
        <v>693961</v>
      </c>
      <c r="AQ28" s="88">
        <f t="shared" si="44"/>
        <v>693961</v>
      </c>
      <c r="AR28" s="88">
        <f t="shared" si="44"/>
        <v>693961</v>
      </c>
      <c r="AS28" s="88">
        <f t="shared" si="44"/>
        <v>693961</v>
      </c>
    </row>
    <row r="29" spans="1:45" x14ac:dyDescent="0.4">
      <c r="A29" s="168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ht="18.45" x14ac:dyDescent="0.4">
      <c r="A30" s="233" t="s">
        <v>220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</row>
    <row r="31" spans="1:45" ht="18.45" x14ac:dyDescent="0.5">
      <c r="A31" s="117"/>
      <c r="B31" s="204"/>
      <c r="C31" s="204"/>
      <c r="D31" s="204"/>
      <c r="E31" s="204"/>
      <c r="F31" s="204" t="s">
        <v>0</v>
      </c>
      <c r="G31" s="204"/>
      <c r="H31" s="204"/>
      <c r="I31" s="204"/>
      <c r="J31" s="204"/>
      <c r="K31" s="204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</row>
    <row r="32" spans="1:45" ht="15.9" x14ac:dyDescent="0.45">
      <c r="A32" s="229" t="s">
        <v>163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</row>
    <row r="33" spans="1:45" x14ac:dyDescent="0.4">
      <c r="A33" s="84"/>
      <c r="B33" s="83"/>
      <c r="C33" s="83"/>
      <c r="D33" s="83"/>
      <c r="E33" s="83"/>
      <c r="F33" s="83"/>
      <c r="G33" s="74"/>
      <c r="H33" s="83"/>
      <c r="I33" s="83"/>
      <c r="J33" s="83"/>
      <c r="K33" s="8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</row>
    <row r="34" spans="1:45" x14ac:dyDescent="0.4">
      <c r="A34" s="92"/>
      <c r="B34" s="73"/>
      <c r="C34" s="73"/>
      <c r="D34" s="73"/>
      <c r="E34" s="105"/>
      <c r="F34" s="75">
        <v>2026</v>
      </c>
      <c r="G34" s="76">
        <f>F34+1</f>
        <v>2027</v>
      </c>
      <c r="H34" s="76">
        <f t="shared" ref="H34" si="45">G34+1</f>
        <v>2028</v>
      </c>
      <c r="I34" s="76">
        <f t="shared" ref="I34" si="46">H34+1</f>
        <v>2029</v>
      </c>
      <c r="J34" s="76">
        <f t="shared" ref="J34" si="47">I34+1</f>
        <v>2030</v>
      </c>
      <c r="K34" s="76">
        <f t="shared" ref="K34" si="48">J34+1</f>
        <v>2031</v>
      </c>
      <c r="L34" s="76">
        <f t="shared" ref="L34" si="49">K34+1</f>
        <v>2032</v>
      </c>
      <c r="M34" s="76">
        <f t="shared" ref="M34" si="50">L34+1</f>
        <v>2033</v>
      </c>
      <c r="N34" s="76">
        <f t="shared" ref="N34" si="51">M34+1</f>
        <v>2034</v>
      </c>
      <c r="O34" s="76">
        <f t="shared" ref="O34" si="52">N34+1</f>
        <v>2035</v>
      </c>
      <c r="P34" s="76">
        <f t="shared" ref="P34" si="53">O34+1</f>
        <v>2036</v>
      </c>
      <c r="Q34" s="76">
        <f t="shared" ref="Q34" si="54">P34+1</f>
        <v>2037</v>
      </c>
      <c r="R34" s="76">
        <f t="shared" ref="R34" si="55">Q34+1</f>
        <v>2038</v>
      </c>
      <c r="S34" s="76">
        <f t="shared" ref="S34" si="56">R34+1</f>
        <v>2039</v>
      </c>
      <c r="T34" s="76">
        <f t="shared" ref="T34" si="57">S34+1</f>
        <v>2040</v>
      </c>
      <c r="U34" s="76">
        <f t="shared" ref="U34" si="58">T34+1</f>
        <v>2041</v>
      </c>
      <c r="V34" s="76">
        <f t="shared" ref="V34" si="59">U34+1</f>
        <v>2042</v>
      </c>
      <c r="W34" s="76">
        <f t="shared" ref="W34" si="60">V34+1</f>
        <v>2043</v>
      </c>
      <c r="X34" s="76">
        <f t="shared" ref="X34" si="61">W34+1</f>
        <v>2044</v>
      </c>
      <c r="Y34" s="76">
        <f t="shared" ref="Y34" si="62">X34+1</f>
        <v>2045</v>
      </c>
      <c r="Z34" s="76">
        <f t="shared" ref="Z34" si="63">Y34+1</f>
        <v>2046</v>
      </c>
      <c r="AA34" s="76">
        <f t="shared" ref="AA34" si="64">Z34+1</f>
        <v>2047</v>
      </c>
      <c r="AB34" s="76">
        <f t="shared" ref="AB34" si="65">AA34+1</f>
        <v>2048</v>
      </c>
      <c r="AC34" s="76">
        <f t="shared" ref="AC34" si="66">AB34+1</f>
        <v>2049</v>
      </c>
      <c r="AD34" s="76">
        <f t="shared" ref="AD34" si="67">AC34+1</f>
        <v>2050</v>
      </c>
      <c r="AE34" s="76">
        <f t="shared" ref="AE34" si="68">AD34+1</f>
        <v>2051</v>
      </c>
      <c r="AF34" s="76">
        <f t="shared" ref="AF34" si="69">AE34+1</f>
        <v>2052</v>
      </c>
      <c r="AG34" s="76">
        <f t="shared" ref="AG34" si="70">AF34+1</f>
        <v>2053</v>
      </c>
      <c r="AH34" s="76">
        <f t="shared" ref="AH34" si="71">AG34+1</f>
        <v>2054</v>
      </c>
      <c r="AI34" s="76">
        <f t="shared" ref="AI34" si="72">AH34+1</f>
        <v>2055</v>
      </c>
      <c r="AJ34" s="76">
        <f t="shared" ref="AJ34" si="73">AI34+1</f>
        <v>2056</v>
      </c>
      <c r="AK34" s="76">
        <f t="shared" ref="AK34" si="74">AJ34+1</f>
        <v>2057</v>
      </c>
      <c r="AL34" s="76">
        <f t="shared" ref="AL34" si="75">AK34+1</f>
        <v>2058</v>
      </c>
      <c r="AM34" s="76">
        <f t="shared" ref="AM34" si="76">AL34+1</f>
        <v>2059</v>
      </c>
      <c r="AN34" s="76">
        <f t="shared" ref="AN34" si="77">AM34+1</f>
        <v>2060</v>
      </c>
      <c r="AO34" s="76">
        <f t="shared" ref="AO34" si="78">AN34+1</f>
        <v>2061</v>
      </c>
      <c r="AP34" s="76">
        <f t="shared" ref="AP34" si="79">AO34+1</f>
        <v>2062</v>
      </c>
      <c r="AQ34" s="76">
        <f t="shared" ref="AQ34" si="80">AP34+1</f>
        <v>2063</v>
      </c>
      <c r="AR34" s="76">
        <f t="shared" ref="AR34" si="81">AQ34+1</f>
        <v>2064</v>
      </c>
      <c r="AS34" s="76">
        <f t="shared" ref="AS34" si="82">AR34+1</f>
        <v>2065</v>
      </c>
    </row>
    <row r="35" spans="1:45" x14ac:dyDescent="0.4">
      <c r="A35" s="176" t="s">
        <v>216</v>
      </c>
      <c r="E35" s="88"/>
      <c r="F35" s="1">
        <f>ROUND(-PMT('Plan Inputs'!F15,'Plan Inputs'!F14,'Plan Inputs'!F22,0,0),0)</f>
        <v>534206</v>
      </c>
      <c r="G35" s="88">
        <f>F35</f>
        <v>534206</v>
      </c>
      <c r="H35" s="88">
        <f t="shared" ref="H35:AI35" si="83">G35</f>
        <v>534206</v>
      </c>
      <c r="I35" s="88">
        <f t="shared" si="83"/>
        <v>534206</v>
      </c>
      <c r="J35" s="88">
        <f t="shared" si="83"/>
        <v>534206</v>
      </c>
      <c r="K35" s="88">
        <f t="shared" si="83"/>
        <v>534206</v>
      </c>
      <c r="L35" s="88">
        <f t="shared" si="83"/>
        <v>534206</v>
      </c>
      <c r="M35" s="88">
        <f t="shared" si="83"/>
        <v>534206</v>
      </c>
      <c r="N35" s="88">
        <f t="shared" si="83"/>
        <v>534206</v>
      </c>
      <c r="O35" s="88">
        <f t="shared" si="83"/>
        <v>534206</v>
      </c>
      <c r="P35" s="88">
        <f t="shared" si="83"/>
        <v>534206</v>
      </c>
      <c r="Q35" s="88">
        <f t="shared" si="83"/>
        <v>534206</v>
      </c>
      <c r="R35" s="88">
        <f t="shared" si="83"/>
        <v>534206</v>
      </c>
      <c r="S35" s="88">
        <f t="shared" si="83"/>
        <v>534206</v>
      </c>
      <c r="T35" s="88">
        <f t="shared" si="83"/>
        <v>534206</v>
      </c>
      <c r="U35" s="88">
        <f t="shared" si="83"/>
        <v>534206</v>
      </c>
      <c r="V35" s="88">
        <f t="shared" si="83"/>
        <v>534206</v>
      </c>
      <c r="W35" s="88">
        <f t="shared" si="83"/>
        <v>534206</v>
      </c>
      <c r="X35" s="88">
        <f t="shared" si="83"/>
        <v>534206</v>
      </c>
      <c r="Y35" s="88">
        <f t="shared" si="83"/>
        <v>534206</v>
      </c>
      <c r="Z35" s="88">
        <f t="shared" si="83"/>
        <v>534206</v>
      </c>
      <c r="AA35" s="88">
        <f t="shared" si="83"/>
        <v>534206</v>
      </c>
      <c r="AB35" s="88">
        <f t="shared" si="83"/>
        <v>534206</v>
      </c>
      <c r="AC35" s="88">
        <f t="shared" si="83"/>
        <v>534206</v>
      </c>
      <c r="AD35" s="88">
        <f t="shared" si="83"/>
        <v>534206</v>
      </c>
      <c r="AE35" s="88">
        <f t="shared" si="83"/>
        <v>534206</v>
      </c>
      <c r="AF35" s="88">
        <f t="shared" si="83"/>
        <v>534206</v>
      </c>
      <c r="AG35" s="88">
        <f t="shared" si="83"/>
        <v>534206</v>
      </c>
      <c r="AH35" s="88">
        <f t="shared" si="83"/>
        <v>534206</v>
      </c>
      <c r="AI35" s="88">
        <f t="shared" si="83"/>
        <v>534206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</row>
    <row r="36" spans="1:45" x14ac:dyDescent="0.4">
      <c r="A36" s="176" t="s">
        <v>217</v>
      </c>
      <c r="E36" s="88"/>
      <c r="F36" s="88">
        <v>0</v>
      </c>
      <c r="G36" s="1">
        <f>ROUND(-PMT('Plan Inputs'!G15,'Plan Inputs'!G14,'Plan Inputs'!G22,0,0),0)</f>
        <v>534206</v>
      </c>
      <c r="H36" s="1">
        <f>G36</f>
        <v>534206</v>
      </c>
      <c r="I36" s="1">
        <f t="shared" ref="I36:AJ36" si="84">H36</f>
        <v>534206</v>
      </c>
      <c r="J36" s="1">
        <f t="shared" si="84"/>
        <v>534206</v>
      </c>
      <c r="K36" s="1">
        <f t="shared" si="84"/>
        <v>534206</v>
      </c>
      <c r="L36" s="1">
        <f t="shared" si="84"/>
        <v>534206</v>
      </c>
      <c r="M36" s="1">
        <f t="shared" si="84"/>
        <v>534206</v>
      </c>
      <c r="N36" s="1">
        <f t="shared" si="84"/>
        <v>534206</v>
      </c>
      <c r="O36" s="1">
        <f t="shared" si="84"/>
        <v>534206</v>
      </c>
      <c r="P36" s="1">
        <f t="shared" si="84"/>
        <v>534206</v>
      </c>
      <c r="Q36" s="1">
        <f t="shared" si="84"/>
        <v>534206</v>
      </c>
      <c r="R36" s="1">
        <f t="shared" si="84"/>
        <v>534206</v>
      </c>
      <c r="S36" s="1">
        <f t="shared" si="84"/>
        <v>534206</v>
      </c>
      <c r="T36" s="1">
        <f t="shared" si="84"/>
        <v>534206</v>
      </c>
      <c r="U36" s="1">
        <f t="shared" si="84"/>
        <v>534206</v>
      </c>
      <c r="V36" s="1">
        <f t="shared" si="84"/>
        <v>534206</v>
      </c>
      <c r="W36" s="1">
        <f t="shared" si="84"/>
        <v>534206</v>
      </c>
      <c r="X36" s="1">
        <f t="shared" si="84"/>
        <v>534206</v>
      </c>
      <c r="Y36" s="1">
        <f t="shared" si="84"/>
        <v>534206</v>
      </c>
      <c r="Z36" s="1">
        <f t="shared" si="84"/>
        <v>534206</v>
      </c>
      <c r="AA36" s="1">
        <f t="shared" si="84"/>
        <v>534206</v>
      </c>
      <c r="AB36" s="1">
        <f t="shared" si="84"/>
        <v>534206</v>
      </c>
      <c r="AC36" s="1">
        <f t="shared" si="84"/>
        <v>534206</v>
      </c>
      <c r="AD36" s="1">
        <f t="shared" si="84"/>
        <v>534206</v>
      </c>
      <c r="AE36" s="1">
        <f t="shared" si="84"/>
        <v>534206</v>
      </c>
      <c r="AF36" s="1">
        <f t="shared" si="84"/>
        <v>534206</v>
      </c>
      <c r="AG36" s="1">
        <f t="shared" si="84"/>
        <v>534206</v>
      </c>
      <c r="AH36" s="1">
        <f t="shared" si="84"/>
        <v>534206</v>
      </c>
      <c r="AI36" s="1">
        <f t="shared" si="84"/>
        <v>534206</v>
      </c>
      <c r="AJ36" s="1">
        <f t="shared" si="84"/>
        <v>534206</v>
      </c>
      <c r="AK36" s="88">
        <v>0</v>
      </c>
      <c r="AL36" s="88">
        <v>0</v>
      </c>
      <c r="AM36" s="88">
        <v>0</v>
      </c>
      <c r="AN36" s="88">
        <v>0</v>
      </c>
      <c r="AO36" s="88">
        <v>0</v>
      </c>
      <c r="AP36" s="88">
        <v>0</v>
      </c>
      <c r="AQ36" s="88">
        <v>0</v>
      </c>
      <c r="AR36" s="88">
        <v>0</v>
      </c>
      <c r="AS36" s="88">
        <v>0</v>
      </c>
    </row>
    <row r="37" spans="1:45" ht="17.149999999999999" x14ac:dyDescent="0.7">
      <c r="A37" s="176" t="s">
        <v>218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0</v>
      </c>
      <c r="AA37" s="177">
        <v>0</v>
      </c>
      <c r="AB37" s="177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7">
        <v>0</v>
      </c>
      <c r="AN37" s="177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</row>
    <row r="38" spans="1:45" x14ac:dyDescent="0.4">
      <c r="A38" s="104" t="s">
        <v>213</v>
      </c>
      <c r="F38" s="88">
        <f t="shared" ref="F38:AS38" si="85">SUM(F35:F37)</f>
        <v>534206</v>
      </c>
      <c r="G38" s="88">
        <f t="shared" si="85"/>
        <v>1068412</v>
      </c>
      <c r="H38" s="88">
        <f t="shared" si="85"/>
        <v>1068412</v>
      </c>
      <c r="I38" s="88">
        <f t="shared" si="85"/>
        <v>1068412</v>
      </c>
      <c r="J38" s="88">
        <f t="shared" si="85"/>
        <v>1068412</v>
      </c>
      <c r="K38" s="88">
        <f t="shared" si="85"/>
        <v>1068412</v>
      </c>
      <c r="L38" s="88">
        <f t="shared" si="85"/>
        <v>1068412</v>
      </c>
      <c r="M38" s="88">
        <f t="shared" si="85"/>
        <v>1068412</v>
      </c>
      <c r="N38" s="88">
        <f t="shared" si="85"/>
        <v>1068412</v>
      </c>
      <c r="O38" s="88">
        <f t="shared" si="85"/>
        <v>1068412</v>
      </c>
      <c r="P38" s="88">
        <f t="shared" si="85"/>
        <v>1068412</v>
      </c>
      <c r="Q38" s="88">
        <f t="shared" si="85"/>
        <v>1068412</v>
      </c>
      <c r="R38" s="88">
        <f t="shared" si="85"/>
        <v>1068412</v>
      </c>
      <c r="S38" s="88">
        <f t="shared" si="85"/>
        <v>1068412</v>
      </c>
      <c r="T38" s="88">
        <f t="shared" si="85"/>
        <v>1068412</v>
      </c>
      <c r="U38" s="88">
        <f t="shared" si="85"/>
        <v>1068412</v>
      </c>
      <c r="V38" s="88">
        <f t="shared" si="85"/>
        <v>1068412</v>
      </c>
      <c r="W38" s="88">
        <f t="shared" si="85"/>
        <v>1068412</v>
      </c>
      <c r="X38" s="88">
        <f t="shared" si="85"/>
        <v>1068412</v>
      </c>
      <c r="Y38" s="88">
        <f t="shared" si="85"/>
        <v>1068412</v>
      </c>
      <c r="Z38" s="88">
        <f t="shared" si="85"/>
        <v>1068412</v>
      </c>
      <c r="AA38" s="88">
        <f t="shared" si="85"/>
        <v>1068412</v>
      </c>
      <c r="AB38" s="88">
        <f t="shared" si="85"/>
        <v>1068412</v>
      </c>
      <c r="AC38" s="88">
        <f t="shared" si="85"/>
        <v>1068412</v>
      </c>
      <c r="AD38" s="88">
        <f t="shared" si="85"/>
        <v>1068412</v>
      </c>
      <c r="AE38" s="88">
        <f t="shared" si="85"/>
        <v>1068412</v>
      </c>
      <c r="AF38" s="88">
        <f t="shared" si="85"/>
        <v>1068412</v>
      </c>
      <c r="AG38" s="88">
        <f t="shared" si="85"/>
        <v>1068412</v>
      </c>
      <c r="AH38" s="88">
        <f t="shared" si="85"/>
        <v>1068412</v>
      </c>
      <c r="AI38" s="88">
        <f t="shared" si="85"/>
        <v>1068412</v>
      </c>
      <c r="AJ38" s="88">
        <f t="shared" si="85"/>
        <v>534206</v>
      </c>
      <c r="AK38" s="88">
        <f t="shared" si="85"/>
        <v>0</v>
      </c>
      <c r="AL38" s="88">
        <f t="shared" si="85"/>
        <v>0</v>
      </c>
      <c r="AM38" s="88">
        <f t="shared" si="85"/>
        <v>0</v>
      </c>
      <c r="AN38" s="88">
        <f t="shared" si="85"/>
        <v>0</v>
      </c>
      <c r="AO38" s="88">
        <f t="shared" si="85"/>
        <v>0</v>
      </c>
      <c r="AP38" s="88">
        <f t="shared" si="85"/>
        <v>0</v>
      </c>
      <c r="AQ38" s="88">
        <f t="shared" si="85"/>
        <v>0</v>
      </c>
      <c r="AR38" s="88">
        <f t="shared" si="85"/>
        <v>0</v>
      </c>
      <c r="AS38" s="88">
        <f t="shared" si="85"/>
        <v>0</v>
      </c>
    </row>
    <row r="39" spans="1:45" x14ac:dyDescent="0.4">
      <c r="A39" s="104"/>
    </row>
    <row r="40" spans="1:45" x14ac:dyDescent="0.4">
      <c r="A40" s="104" t="s">
        <v>214</v>
      </c>
      <c r="F40" s="88">
        <f>ROUND(F38*'Plan Inputs'!F16,0)</f>
        <v>106841</v>
      </c>
      <c r="G40" s="88">
        <f>ROUND(G38*'Plan Inputs'!G16,0)</f>
        <v>213682</v>
      </c>
      <c r="H40" s="88">
        <f>ROUND(H38*'Plan Inputs'!H16,0)</f>
        <v>213682</v>
      </c>
      <c r="I40" s="88">
        <f>ROUND(I38*'Plan Inputs'!I16,0)</f>
        <v>213682</v>
      </c>
      <c r="J40" s="88">
        <f>ROUND(J38*'Plan Inputs'!J16,0)</f>
        <v>213682</v>
      </c>
      <c r="K40" s="88">
        <f>ROUND(K38*'Plan Inputs'!K16,0)</f>
        <v>213682</v>
      </c>
      <c r="L40" s="88">
        <f>ROUND(L38*'Plan Inputs'!L16,0)</f>
        <v>213682</v>
      </c>
      <c r="M40" s="88">
        <f>ROUND(M38*'Plan Inputs'!M16,0)</f>
        <v>213682</v>
      </c>
      <c r="N40" s="88">
        <f>ROUND(N38*'Plan Inputs'!N16,0)</f>
        <v>213682</v>
      </c>
      <c r="O40" s="88">
        <f>ROUND(O38*'Plan Inputs'!O16,0)</f>
        <v>213682</v>
      </c>
      <c r="P40" s="88">
        <f>ROUND(P38*'Plan Inputs'!P16,0)</f>
        <v>213682</v>
      </c>
      <c r="Q40" s="88">
        <f>ROUND(Q38*'Plan Inputs'!Q16,0)</f>
        <v>213682</v>
      </c>
      <c r="R40" s="88">
        <f>ROUND(R38*'Plan Inputs'!R16,0)</f>
        <v>213682</v>
      </c>
      <c r="S40" s="88">
        <f>ROUND(S38*'Plan Inputs'!S16,0)</f>
        <v>213682</v>
      </c>
      <c r="T40" s="88">
        <f>ROUND(T38*'Plan Inputs'!T16,0)</f>
        <v>213682</v>
      </c>
      <c r="U40" s="88">
        <f>ROUND(U38*'Plan Inputs'!U16,0)</f>
        <v>213682</v>
      </c>
      <c r="V40" s="88">
        <f>ROUND(V38*'Plan Inputs'!V16,0)</f>
        <v>213682</v>
      </c>
      <c r="W40" s="88">
        <f>ROUND(W38*'Plan Inputs'!W16,0)</f>
        <v>213682</v>
      </c>
      <c r="X40" s="88">
        <f>ROUND(X38*'Plan Inputs'!X16,0)</f>
        <v>213682</v>
      </c>
      <c r="Y40" s="88">
        <f>ROUND(Y38*'Plan Inputs'!Y16,0)</f>
        <v>213682</v>
      </c>
      <c r="Z40" s="88">
        <f>ROUND(Z38*'Plan Inputs'!Z16,0)</f>
        <v>213682</v>
      </c>
      <c r="AA40" s="88">
        <f>ROUND(AA38*'Plan Inputs'!AA16,0)</f>
        <v>213682</v>
      </c>
      <c r="AB40" s="88">
        <f>ROUND(AB38*'Plan Inputs'!AB16,0)</f>
        <v>213682</v>
      </c>
      <c r="AC40" s="88">
        <f>ROUND(AC38*'Plan Inputs'!AC16,0)</f>
        <v>213682</v>
      </c>
      <c r="AD40" s="88">
        <f>ROUND(AD38*'Plan Inputs'!AD16,0)</f>
        <v>213682</v>
      </c>
      <c r="AE40" s="88">
        <f>ROUND(AE38*'Plan Inputs'!AE16,0)</f>
        <v>213682</v>
      </c>
      <c r="AF40" s="88">
        <f>ROUND(AF38*'Plan Inputs'!AF16,0)</f>
        <v>213682</v>
      </c>
      <c r="AG40" s="88">
        <f>ROUND(AG38*'Plan Inputs'!AG16,0)</f>
        <v>213682</v>
      </c>
      <c r="AH40" s="88">
        <f>ROUND(AH38*'Plan Inputs'!AH16,0)</f>
        <v>213682</v>
      </c>
      <c r="AI40" s="88">
        <f>ROUND(AI38*'Plan Inputs'!AI16,0)</f>
        <v>213682</v>
      </c>
      <c r="AJ40" s="88">
        <f>ROUND(AJ38*'Plan Inputs'!AJ16,0)</f>
        <v>106841</v>
      </c>
      <c r="AK40" s="88">
        <f>ROUND(AK38*'Plan Inputs'!AK16,0)</f>
        <v>0</v>
      </c>
      <c r="AL40" s="88">
        <f>ROUND(AL38*'Plan Inputs'!AL16,0)</f>
        <v>0</v>
      </c>
      <c r="AM40" s="88">
        <f>ROUND(AM38*'Plan Inputs'!AM16,0)</f>
        <v>0</v>
      </c>
      <c r="AN40" s="88">
        <f>ROUND(AN38*'Plan Inputs'!AN16,0)</f>
        <v>0</v>
      </c>
      <c r="AO40" s="88">
        <f>ROUND(AO38*'Plan Inputs'!AO16,0)</f>
        <v>0</v>
      </c>
      <c r="AP40" s="88">
        <f>ROUND(AP38*'Plan Inputs'!AP16,0)</f>
        <v>0</v>
      </c>
      <c r="AQ40" s="88">
        <f>ROUND(AQ38*'Plan Inputs'!AQ16,0)</f>
        <v>0</v>
      </c>
      <c r="AR40" s="88">
        <f>ROUND(AR38*'Plan Inputs'!AR16,0)</f>
        <v>0</v>
      </c>
      <c r="AS40" s="88">
        <f>ROUND(AS38*'Plan Inputs'!AS16,0)</f>
        <v>0</v>
      </c>
    </row>
    <row r="42" spans="1:45" x14ac:dyDescent="0.4">
      <c r="A42" s="70" t="s">
        <v>219</v>
      </c>
      <c r="F42" s="88">
        <f>F11+F13+F38+F40</f>
        <v>1033523.8200000001</v>
      </c>
      <c r="G42" s="88">
        <f t="shared" ref="G42:AS42" si="86">G11+G13+G38+G40</f>
        <v>1674026.68</v>
      </c>
      <c r="H42" s="88">
        <f t="shared" si="86"/>
        <v>1672178.5499999998</v>
      </c>
      <c r="I42" s="88">
        <f t="shared" si="86"/>
        <v>1673771.51</v>
      </c>
      <c r="J42" s="88">
        <f t="shared" si="86"/>
        <v>1671573.55</v>
      </c>
      <c r="K42" s="88">
        <f t="shared" si="86"/>
        <v>1494646.01</v>
      </c>
      <c r="L42" s="88">
        <f t="shared" si="86"/>
        <v>1431094.07</v>
      </c>
      <c r="M42" s="88">
        <f t="shared" si="86"/>
        <v>1430739.8599999999</v>
      </c>
      <c r="N42" s="88">
        <f t="shared" si="86"/>
        <v>1364730.4</v>
      </c>
      <c r="O42" s="88">
        <f t="shared" si="86"/>
        <v>1298959.8</v>
      </c>
      <c r="P42" s="88">
        <f t="shared" si="86"/>
        <v>1298918.72</v>
      </c>
      <c r="Q42" s="88">
        <f t="shared" si="86"/>
        <v>1282094</v>
      </c>
      <c r="R42" s="88">
        <f t="shared" si="86"/>
        <v>1282094</v>
      </c>
      <c r="S42" s="88">
        <f t="shared" si="86"/>
        <v>1282094</v>
      </c>
      <c r="T42" s="88">
        <f t="shared" si="86"/>
        <v>1282094</v>
      </c>
      <c r="U42" s="88">
        <f t="shared" si="86"/>
        <v>1282094</v>
      </c>
      <c r="V42" s="88">
        <f t="shared" si="86"/>
        <v>1282094</v>
      </c>
      <c r="W42" s="88">
        <f t="shared" si="86"/>
        <v>1282094</v>
      </c>
      <c r="X42" s="88">
        <f t="shared" si="86"/>
        <v>1282094</v>
      </c>
      <c r="Y42" s="88">
        <f t="shared" si="86"/>
        <v>1282094</v>
      </c>
      <c r="Z42" s="88">
        <f t="shared" si="86"/>
        <v>1282094</v>
      </c>
      <c r="AA42" s="88">
        <f t="shared" si="86"/>
        <v>1282094</v>
      </c>
      <c r="AB42" s="88">
        <f t="shared" si="86"/>
        <v>1282094</v>
      </c>
      <c r="AC42" s="88">
        <f t="shared" si="86"/>
        <v>1282094</v>
      </c>
      <c r="AD42" s="88">
        <f t="shared" si="86"/>
        <v>1282094</v>
      </c>
      <c r="AE42" s="88">
        <f t="shared" si="86"/>
        <v>1282094</v>
      </c>
      <c r="AF42" s="88">
        <f t="shared" si="86"/>
        <v>1282094</v>
      </c>
      <c r="AG42" s="88">
        <f t="shared" si="86"/>
        <v>1282094</v>
      </c>
      <c r="AH42" s="88">
        <f t="shared" si="86"/>
        <v>1282094</v>
      </c>
      <c r="AI42" s="88">
        <f t="shared" si="86"/>
        <v>1282094</v>
      </c>
      <c r="AJ42" s="88">
        <f t="shared" si="86"/>
        <v>641047</v>
      </c>
      <c r="AK42" s="88">
        <f t="shared" si="86"/>
        <v>0</v>
      </c>
      <c r="AL42" s="88">
        <f t="shared" si="86"/>
        <v>0</v>
      </c>
      <c r="AM42" s="88">
        <f t="shared" si="86"/>
        <v>0</v>
      </c>
      <c r="AN42" s="88">
        <f t="shared" si="86"/>
        <v>0</v>
      </c>
      <c r="AO42" s="88">
        <f t="shared" si="86"/>
        <v>0</v>
      </c>
      <c r="AP42" s="88">
        <f t="shared" si="86"/>
        <v>0</v>
      </c>
      <c r="AQ42" s="88">
        <f t="shared" si="86"/>
        <v>0</v>
      </c>
      <c r="AR42" s="88">
        <f t="shared" si="86"/>
        <v>0</v>
      </c>
      <c r="AS42" s="88">
        <f t="shared" si="86"/>
        <v>0</v>
      </c>
    </row>
  </sheetData>
  <mergeCells count="6">
    <mergeCell ref="A32:K32"/>
    <mergeCell ref="A1:K1"/>
    <mergeCell ref="A3:K3"/>
    <mergeCell ref="A16:K16"/>
    <mergeCell ref="A18:K18"/>
    <mergeCell ref="A30:K30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15</vt:i4>
      </vt:variant>
      <vt:variant>
        <vt:lpstr>Named Ranges</vt:lpstr>
      </vt:variant>
      <vt:variant>
        <vt:i4>25</vt:i4>
      </vt:variant>
    </vt:vector>
  </HeadingPairs>
  <TitlesOfParts>
    <vt:vector size="55" baseType="lpstr">
      <vt:lpstr>Demand Inputs</vt:lpstr>
      <vt:lpstr>Financial Base</vt:lpstr>
      <vt:lpstr>Plan Inputs</vt:lpstr>
      <vt:lpstr>Capital Program</vt:lpstr>
      <vt:lpstr>New Depreciation</vt:lpstr>
      <vt:lpstr>Water Purchase Costs</vt:lpstr>
      <vt:lpstr>Water Production Costs</vt:lpstr>
      <vt:lpstr>Trans and Dist Costs</vt:lpstr>
      <vt:lpstr>Debt Service</vt:lpstr>
      <vt:lpstr>Revenue Requirement</vt:lpstr>
      <vt:lpstr>Proforma Income Statement</vt:lpstr>
      <vt:lpstr>Cash Generated</vt:lpstr>
      <vt:lpstr>Financial Plan</vt:lpstr>
      <vt:lpstr>Projected Water Rates</vt:lpstr>
      <vt:lpstr>Present Value Analysis</vt:lpstr>
      <vt:lpstr>Annual Water Demand</vt:lpstr>
      <vt:lpstr>Plant Production Purchases</vt:lpstr>
      <vt:lpstr>Pipeline Production Purchases</vt:lpstr>
      <vt:lpstr>Depreciation Chart</vt:lpstr>
      <vt:lpstr>Water Purchase Graph</vt:lpstr>
      <vt:lpstr>Water Production Graph </vt:lpstr>
      <vt:lpstr>Trans and Dist Graph</vt:lpstr>
      <vt:lpstr>Debt Service Graph</vt:lpstr>
      <vt:lpstr>Rate Increase Graph</vt:lpstr>
      <vt:lpstr>Monthly Minimum Bill Graph </vt:lpstr>
      <vt:lpstr>Typical Residential Bill Graph </vt:lpstr>
      <vt:lpstr>Rev Req Annual Graph</vt:lpstr>
      <vt:lpstr>Rev Req Cumulative Graph</vt:lpstr>
      <vt:lpstr>Present Value Graph</vt:lpstr>
      <vt:lpstr>Present Value Excl Depreciation</vt:lpstr>
      <vt:lpstr>'Capital Program'!Print_Area</vt:lpstr>
      <vt:lpstr>'Cash Generated'!Print_Area</vt:lpstr>
      <vt:lpstr>'Debt Service'!Print_Area</vt:lpstr>
      <vt:lpstr>'Demand Inputs'!Print_Area</vt:lpstr>
      <vt:lpstr>'Financial Base'!Print_Area</vt:lpstr>
      <vt:lpstr>'Financial Plan'!Print_Area</vt:lpstr>
      <vt:lpstr>'New Depreciation'!Print_Area</vt:lpstr>
      <vt:lpstr>'Plan Inputs'!Print_Area</vt:lpstr>
      <vt:lpstr>'Proforma Income Statement'!Print_Area</vt:lpstr>
      <vt:lpstr>'Projected Water Rates'!Print_Area</vt:lpstr>
      <vt:lpstr>'Revenue Requirement'!Print_Area</vt:lpstr>
      <vt:lpstr>'Trans and Dist Costs'!Print_Area</vt:lpstr>
      <vt:lpstr>'Water Production Costs'!Print_Area</vt:lpstr>
      <vt:lpstr>'Water Purchase Costs'!Print_Area</vt:lpstr>
      <vt:lpstr>'Capital Program'!Print_Titles</vt:lpstr>
      <vt:lpstr>'Cash Generated'!Print_Titles</vt:lpstr>
      <vt:lpstr>'Debt Service'!Print_Titles</vt:lpstr>
      <vt:lpstr>'Demand Inputs'!Print_Titles</vt:lpstr>
      <vt:lpstr>'Financial Plan'!Print_Titles</vt:lpstr>
      <vt:lpstr>'Plan Inputs'!Print_Titles</vt:lpstr>
      <vt:lpstr>'Proforma Income Statement'!Print_Titles</vt:lpstr>
      <vt:lpstr>'Projected Water Rates'!Print_Titles</vt:lpstr>
      <vt:lpstr>'Revenue Requirement'!Print_Titles</vt:lpstr>
      <vt:lpstr>'Water Production Costs'!Print_Titles</vt:lpstr>
      <vt:lpstr>'Water Purchase Costs'!Print_Titles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Senator Gex Williams</cp:lastModifiedBy>
  <cp:revision/>
  <dcterms:created xsi:type="dcterms:W3CDTF">2016-05-18T14:12:06Z</dcterms:created>
  <dcterms:modified xsi:type="dcterms:W3CDTF">2026-02-13T02:41:52Z</dcterms:modified>
  <cp:category/>
  <cp:contentStatus/>
</cp:coreProperties>
</file>