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.Hinton\Documents\"/>
    </mc:Choice>
  </mc:AlternateContent>
  <xr:revisionPtr revIDLastSave="0" documentId="8_{14393E6D-C7B8-4F67-B038-73292C47D0E5}" xr6:coauthVersionLast="47" xr6:coauthVersionMax="47" xr10:uidLastSave="{00000000-0000-0000-0000-000000000000}"/>
  <bookViews>
    <workbookView xWindow="28680" yWindow="-120" windowWidth="29040" windowHeight="15840" tabRatio="641" firstSheet="9" activeTab="14" xr2:uid="{00000000-000D-0000-FFFF-FFFF00000000}"/>
  </bookViews>
  <sheets>
    <sheet name="TB Operating Revenues" sheetId="61" r:id="rId1"/>
    <sheet name="TB Operating Expenses" sheetId="60" r:id="rId2"/>
    <sheet name="TB Other Income and Expenses" sheetId="62" r:id="rId3"/>
    <sheet name="SAO 1" sheetId="6" r:id="rId4"/>
    <sheet name="Wages" sheetId="55" state="hidden" r:id="rId5"/>
    <sheet name="SAO 2" sheetId="65" r:id="rId6"/>
    <sheet name="Depreciation 1" sheetId="51" r:id="rId7"/>
    <sheet name="Depreciation 2" sheetId="68" r:id="rId8"/>
    <sheet name="Debt Service 1" sheetId="50" r:id="rId9"/>
    <sheet name="Debt Service 2" sheetId="69" r:id="rId10"/>
    <sheet name="Rates 1" sheetId="2" r:id="rId11"/>
    <sheet name="Alternative Rates 1" sheetId="74" r:id="rId12"/>
    <sheet name="Rates 2" sheetId="70" r:id="rId13"/>
    <sheet name="Bills 1" sheetId="42" r:id="rId14"/>
    <sheet name="Alternative Bills 1" sheetId="75" r:id="rId15"/>
    <sheet name="Bills 2" sheetId="71" r:id="rId16"/>
    <sheet name="Billing Analysis 1" sheetId="72" r:id="rId17"/>
    <sheet name="Billing Analysis 2" sheetId="73" r:id="rId18"/>
    <sheet name="ExBA" sheetId="52" state="hidden" r:id="rId19"/>
    <sheet name="PrBA" sheetId="58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HV">#REF!</definedName>
    <definedName name="_xlnm.Print_Area" localSheetId="14">'Alternative Bills 1'!$A$2:$I$30</definedName>
    <definedName name="_xlnm.Print_Area" localSheetId="11">'Alternative Rates 1'!$A$1:$I$44</definedName>
    <definedName name="_xlnm.Print_Area" localSheetId="13">'Bills 1'!$A$2:$I$30</definedName>
    <definedName name="_xlnm.Print_Area" localSheetId="15">'Bills 2'!$A$1:$I$29</definedName>
    <definedName name="_xlnm.Print_Area" localSheetId="8">'Debt Service 1'!#REF!</definedName>
    <definedName name="_xlnm.Print_Area" localSheetId="9">'Debt Service 2'!#REF!</definedName>
    <definedName name="_xlnm.Print_Area" localSheetId="6">'Depreciation 1'!$A$1:$I$67</definedName>
    <definedName name="_xlnm.Print_Area" localSheetId="7">'Depreciation 2'!$A$1:$I$67</definedName>
    <definedName name="_xlnm.Print_Area" localSheetId="10">'Rates 1'!$A$1:$I$44</definedName>
    <definedName name="_xlnm.Print_Area" localSheetId="12">'Rates 2'!$A$1:$I$44</definedName>
    <definedName name="_xlnm.Print_Area" localSheetId="3">'SAO 1'!$A$1:$F$39</definedName>
    <definedName name="_xlnm.Print_Area" localSheetId="5">'SAO 2'!$A$1:$F$39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5" l="1"/>
  <c r="F11" i="75" s="1"/>
  <c r="G11" i="75" s="1"/>
  <c r="E46" i="75"/>
  <c r="E45" i="75"/>
  <c r="F45" i="75" s="1"/>
  <c r="G45" i="75" s="1"/>
  <c r="E44" i="75"/>
  <c r="F44" i="75" s="1"/>
  <c r="G44" i="75" s="1"/>
  <c r="E43" i="75"/>
  <c r="E42" i="75"/>
  <c r="E41" i="75"/>
  <c r="F41" i="75" s="1"/>
  <c r="G41" i="75" s="1"/>
  <c r="E40" i="75"/>
  <c r="E39" i="75"/>
  <c r="E38" i="75"/>
  <c r="E37" i="75"/>
  <c r="F37" i="75" s="1"/>
  <c r="G37" i="75" s="1"/>
  <c r="E36" i="75"/>
  <c r="F36" i="75" s="1"/>
  <c r="G36" i="75" s="1"/>
  <c r="E35" i="75"/>
  <c r="E34" i="75"/>
  <c r="E33" i="75"/>
  <c r="E32" i="75"/>
  <c r="E26" i="75"/>
  <c r="E25" i="75"/>
  <c r="E24" i="75"/>
  <c r="F24" i="75" s="1"/>
  <c r="G24" i="75" s="1"/>
  <c r="E23" i="75"/>
  <c r="F23" i="75" s="1"/>
  <c r="G23" i="75" s="1"/>
  <c r="E22" i="75"/>
  <c r="E21" i="75"/>
  <c r="E20" i="75"/>
  <c r="E19" i="75"/>
  <c r="E18" i="75"/>
  <c r="E17" i="75"/>
  <c r="E16" i="75"/>
  <c r="F16" i="75" s="1"/>
  <c r="G16" i="75" s="1"/>
  <c r="E15" i="75"/>
  <c r="F15" i="75" s="1"/>
  <c r="G15" i="75" s="1"/>
  <c r="E14" i="75"/>
  <c r="E13" i="75"/>
  <c r="E12" i="75"/>
  <c r="D47" i="75"/>
  <c r="F46" i="75"/>
  <c r="G46" i="75" s="1"/>
  <c r="D46" i="75"/>
  <c r="D45" i="75"/>
  <c r="D44" i="75"/>
  <c r="F43" i="75"/>
  <c r="G43" i="75" s="1"/>
  <c r="D43" i="75"/>
  <c r="F42" i="75"/>
  <c r="G42" i="75" s="1"/>
  <c r="D42" i="75"/>
  <c r="D41" i="75"/>
  <c r="F40" i="75"/>
  <c r="G40" i="75" s="1"/>
  <c r="D40" i="75"/>
  <c r="F39" i="75"/>
  <c r="G39" i="75" s="1"/>
  <c r="D39" i="75"/>
  <c r="F38" i="75"/>
  <c r="G38" i="75" s="1"/>
  <c r="D38" i="75"/>
  <c r="D37" i="75"/>
  <c r="D36" i="75"/>
  <c r="F35" i="75"/>
  <c r="G35" i="75" s="1"/>
  <c r="D35" i="75"/>
  <c r="F34" i="75"/>
  <c r="G34" i="75" s="1"/>
  <c r="D34" i="75"/>
  <c r="F33" i="75"/>
  <c r="G33" i="75" s="1"/>
  <c r="D33" i="75"/>
  <c r="F32" i="75"/>
  <c r="G32" i="75" s="1"/>
  <c r="D32" i="75"/>
  <c r="F26" i="75"/>
  <c r="G26" i="75" s="1"/>
  <c r="D26" i="75"/>
  <c r="F25" i="75"/>
  <c r="G25" i="75" s="1"/>
  <c r="D25" i="75"/>
  <c r="D24" i="75"/>
  <c r="D23" i="75"/>
  <c r="F22" i="75"/>
  <c r="G22" i="75" s="1"/>
  <c r="D22" i="75"/>
  <c r="F21" i="75"/>
  <c r="G21" i="75" s="1"/>
  <c r="D21" i="75"/>
  <c r="F20" i="75"/>
  <c r="G20" i="75" s="1"/>
  <c r="D20" i="75"/>
  <c r="F19" i="75"/>
  <c r="G19" i="75" s="1"/>
  <c r="D19" i="75"/>
  <c r="F18" i="75"/>
  <c r="G18" i="75" s="1"/>
  <c r="D18" i="75"/>
  <c r="F17" i="75"/>
  <c r="G17" i="75" s="1"/>
  <c r="D17" i="75"/>
  <c r="D16" i="75"/>
  <c r="D15" i="75"/>
  <c r="F14" i="75"/>
  <c r="G14" i="75" s="1"/>
  <c r="D14" i="75"/>
  <c r="F13" i="75"/>
  <c r="G13" i="75" s="1"/>
  <c r="D13" i="75"/>
  <c r="F12" i="75"/>
  <c r="G12" i="75" s="1"/>
  <c r="D12" i="75"/>
  <c r="D11" i="75"/>
  <c r="D28" i="70"/>
  <c r="D27" i="70"/>
  <c r="D26" i="70"/>
  <c r="D25" i="70"/>
  <c r="D24" i="70"/>
  <c r="D23" i="70"/>
  <c r="D22" i="70"/>
  <c r="D17" i="70"/>
  <c r="D16" i="70"/>
  <c r="D15" i="70"/>
  <c r="D14" i="70"/>
  <c r="D13" i="70"/>
  <c r="D12" i="70"/>
  <c r="D11" i="70"/>
  <c r="F28" i="74"/>
  <c r="G28" i="74" s="1"/>
  <c r="E28" i="74"/>
  <c r="F27" i="74"/>
  <c r="G27" i="74" s="1"/>
  <c r="E27" i="74"/>
  <c r="E26" i="74"/>
  <c r="F26" i="74" s="1"/>
  <c r="G26" i="74" s="1"/>
  <c r="E25" i="74"/>
  <c r="F25" i="74" s="1"/>
  <c r="G25" i="74" s="1"/>
  <c r="E24" i="74"/>
  <c r="F24" i="74" s="1"/>
  <c r="G24" i="74" s="1"/>
  <c r="F23" i="74"/>
  <c r="G23" i="74" s="1"/>
  <c r="E23" i="74"/>
  <c r="E22" i="74"/>
  <c r="F22" i="74" s="1"/>
  <c r="G22" i="74" s="1"/>
  <c r="E17" i="74"/>
  <c r="E16" i="74"/>
  <c r="F16" i="74" s="1"/>
  <c r="G16" i="74" s="1"/>
  <c r="E15" i="74"/>
  <c r="F15" i="74" s="1"/>
  <c r="G15" i="74" s="1"/>
  <c r="E14" i="74"/>
  <c r="E13" i="74"/>
  <c r="F17" i="74"/>
  <c r="G17" i="74" s="1"/>
  <c r="F14" i="74"/>
  <c r="F13" i="74"/>
  <c r="G13" i="74" s="1"/>
  <c r="F12" i="74"/>
  <c r="G12" i="74" s="1"/>
  <c r="F11" i="74"/>
  <c r="E11" i="74"/>
  <c r="E12" i="74"/>
  <c r="G14" i="74"/>
  <c r="E21" i="72"/>
  <c r="E20" i="73" l="1"/>
  <c r="E19" i="73"/>
  <c r="E18" i="73"/>
  <c r="E17" i="73"/>
  <c r="E16" i="73"/>
  <c r="E15" i="73"/>
  <c r="E14" i="73"/>
  <c r="E13" i="73"/>
  <c r="E12" i="73"/>
  <c r="E11" i="73"/>
  <c r="E10" i="73"/>
  <c r="E9" i="73"/>
  <c r="G58" i="68"/>
  <c r="F58" i="68"/>
  <c r="G52" i="68"/>
  <c r="F52" i="68"/>
  <c r="G48" i="68"/>
  <c r="F48" i="68"/>
  <c r="G47" i="68"/>
  <c r="F47" i="68"/>
  <c r="G46" i="68"/>
  <c r="F46" i="68"/>
  <c r="G45" i="68"/>
  <c r="F45" i="68"/>
  <c r="G44" i="68"/>
  <c r="F44" i="68"/>
  <c r="G43" i="68"/>
  <c r="F43" i="68"/>
  <c r="G42" i="68"/>
  <c r="F42" i="68"/>
  <c r="G41" i="68"/>
  <c r="F41" i="68"/>
  <c r="G38" i="68"/>
  <c r="F38" i="68"/>
  <c r="G37" i="68"/>
  <c r="F37" i="68"/>
  <c r="G36" i="68"/>
  <c r="F36" i="68"/>
  <c r="G35" i="68"/>
  <c r="F35" i="68"/>
  <c r="G34" i="68"/>
  <c r="F34" i="68"/>
  <c r="G33" i="68"/>
  <c r="F33" i="68"/>
  <c r="G32" i="68"/>
  <c r="F32" i="68"/>
  <c r="G31" i="68"/>
  <c r="F31" i="68"/>
  <c r="G30" i="68"/>
  <c r="F30" i="68"/>
  <c r="G29" i="68"/>
  <c r="F29" i="68"/>
  <c r="G26" i="68"/>
  <c r="F26" i="68"/>
  <c r="G25" i="68"/>
  <c r="F25" i="68"/>
  <c r="G22" i="68"/>
  <c r="F22" i="68"/>
  <c r="G21" i="68"/>
  <c r="F21" i="68"/>
  <c r="G20" i="68"/>
  <c r="F20" i="68"/>
  <c r="G17" i="68"/>
  <c r="F17" i="68"/>
  <c r="G16" i="68"/>
  <c r="F16" i="68"/>
  <c r="G15" i="68"/>
  <c r="F15" i="68"/>
  <c r="G14" i="68"/>
  <c r="F14" i="68"/>
  <c r="G13" i="68"/>
  <c r="F13" i="68"/>
  <c r="G12" i="68"/>
  <c r="F12" i="68"/>
  <c r="G11" i="68"/>
  <c r="F11" i="68"/>
  <c r="G58" i="51"/>
  <c r="F58" i="51"/>
  <c r="G48" i="51"/>
  <c r="F48" i="51"/>
  <c r="G47" i="5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38" i="51"/>
  <c r="F38" i="51"/>
  <c r="G37" i="51"/>
  <c r="F37" i="51"/>
  <c r="G36" i="5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6" i="51"/>
  <c r="F26" i="51"/>
  <c r="G25" i="51"/>
  <c r="F25" i="51"/>
  <c r="G22" i="51"/>
  <c r="F22" i="51"/>
  <c r="G21" i="51"/>
  <c r="F21" i="51"/>
  <c r="G20" i="51"/>
  <c r="F20" i="51"/>
  <c r="G17" i="51"/>
  <c r="F17" i="51"/>
  <c r="G16" i="51"/>
  <c r="F16" i="51"/>
  <c r="G15" i="51"/>
  <c r="F15" i="51"/>
  <c r="G14" i="51"/>
  <c r="F14" i="51"/>
  <c r="G13" i="51"/>
  <c r="F13" i="51"/>
  <c r="G12" i="51"/>
  <c r="F12" i="51"/>
  <c r="G11" i="51"/>
  <c r="F11" i="51"/>
  <c r="B19" i="62"/>
  <c r="B14" i="62"/>
  <c r="A14" i="62"/>
  <c r="B13" i="62"/>
  <c r="A13" i="62"/>
  <c r="B10" i="62"/>
  <c r="A10" i="62"/>
  <c r="B9" i="62"/>
  <c r="A9" i="62"/>
  <c r="B8" i="62"/>
  <c r="A8" i="62"/>
  <c r="B7" i="62"/>
  <c r="A7" i="62"/>
  <c r="B6" i="62"/>
  <c r="A6" i="62"/>
  <c r="B70" i="60"/>
  <c r="B65" i="60"/>
  <c r="A65" i="60"/>
  <c r="B64" i="60"/>
  <c r="A64" i="60"/>
  <c r="B63" i="60"/>
  <c r="A63" i="60"/>
  <c r="B62" i="60"/>
  <c r="A62" i="60"/>
  <c r="B61" i="60"/>
  <c r="A61" i="60"/>
  <c r="B60" i="60"/>
  <c r="A60" i="60"/>
  <c r="B59" i="60"/>
  <c r="A59" i="60"/>
  <c r="B58" i="60"/>
  <c r="A58" i="60"/>
  <c r="B57" i="60"/>
  <c r="A57" i="60"/>
  <c r="B56" i="60"/>
  <c r="A56" i="60"/>
  <c r="B55" i="60"/>
  <c r="A55" i="60"/>
  <c r="B54" i="60"/>
  <c r="A54" i="60"/>
  <c r="B53" i="60"/>
  <c r="A53" i="60"/>
  <c r="B52" i="60"/>
  <c r="A52" i="60"/>
  <c r="B51" i="60"/>
  <c r="A51" i="60"/>
  <c r="B50" i="60"/>
  <c r="A50" i="60"/>
  <c r="B49" i="60"/>
  <c r="A49" i="60"/>
  <c r="B48" i="60"/>
  <c r="A48" i="60"/>
  <c r="B47" i="60"/>
  <c r="A47" i="60"/>
  <c r="B46" i="60"/>
  <c r="A46" i="60"/>
  <c r="B45" i="60"/>
  <c r="A45" i="60"/>
  <c r="B44" i="60"/>
  <c r="A44" i="60"/>
  <c r="B43" i="60"/>
  <c r="A43" i="60"/>
  <c r="B42" i="60"/>
  <c r="A42" i="60"/>
  <c r="B39" i="60"/>
  <c r="A39" i="60"/>
  <c r="B38" i="60"/>
  <c r="D38" i="60" s="1"/>
  <c r="A38" i="60"/>
  <c r="B37" i="60"/>
  <c r="A37" i="60"/>
  <c r="B36" i="60"/>
  <c r="A36" i="60"/>
  <c r="B35" i="60"/>
  <c r="A35" i="60"/>
  <c r="B34" i="60"/>
  <c r="A34" i="60"/>
  <c r="B33" i="60"/>
  <c r="A33" i="60"/>
  <c r="B32" i="60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7" i="60"/>
  <c r="A7" i="60"/>
  <c r="B6" i="60"/>
  <c r="A6" i="60"/>
  <c r="D39" i="60"/>
  <c r="A23" i="61"/>
  <c r="A21" i="61"/>
  <c r="A20" i="61"/>
  <c r="A18" i="61"/>
  <c r="A17" i="61"/>
  <c r="A15" i="61"/>
  <c r="A14" i="61"/>
  <c r="A12" i="61"/>
  <c r="A11" i="61"/>
  <c r="A10" i="61"/>
  <c r="A9" i="61"/>
  <c r="A7" i="61"/>
  <c r="A6" i="61"/>
  <c r="B25" i="61" l="1"/>
  <c r="B20" i="61"/>
  <c r="B17" i="61"/>
  <c r="B14" i="61"/>
  <c r="B11" i="61"/>
  <c r="B10" i="61"/>
  <c r="B9" i="61"/>
  <c r="B6" i="61"/>
  <c r="D14" i="62" l="1"/>
  <c r="D13" i="62"/>
  <c r="D10" i="62"/>
  <c r="D9" i="62"/>
  <c r="D8" i="62"/>
  <c r="D7" i="62"/>
  <c r="D6" i="62"/>
  <c r="D8" i="6" l="1"/>
  <c r="E21" i="73" l="1"/>
  <c r="G27" i="72"/>
  <c r="D7" i="61" l="1"/>
  <c r="B12" i="50" l="1"/>
  <c r="C12" i="50"/>
  <c r="D12" i="50"/>
  <c r="E12" i="50"/>
  <c r="F12" i="50"/>
  <c r="G12" i="50"/>
  <c r="H12" i="50"/>
  <c r="I12" i="50"/>
  <c r="J12" i="50"/>
  <c r="K12" i="50"/>
  <c r="L12" i="50"/>
  <c r="X12" i="50"/>
  <c r="Y12" i="50"/>
  <c r="Z12" i="50"/>
  <c r="AA12" i="50"/>
  <c r="B13" i="50"/>
  <c r="C13" i="50"/>
  <c r="D13" i="50"/>
  <c r="E13" i="50"/>
  <c r="F13" i="50"/>
  <c r="G13" i="50"/>
  <c r="H13" i="50"/>
  <c r="I13" i="50"/>
  <c r="J13" i="50"/>
  <c r="K13" i="50"/>
  <c r="L13" i="50"/>
  <c r="X13" i="50"/>
  <c r="Y13" i="50"/>
  <c r="Z13" i="50"/>
  <c r="AA13" i="50"/>
  <c r="B14" i="50"/>
  <c r="C14" i="50"/>
  <c r="D14" i="50"/>
  <c r="E14" i="50"/>
  <c r="F14" i="50"/>
  <c r="G14" i="50"/>
  <c r="H14" i="50"/>
  <c r="I14" i="50"/>
  <c r="J14" i="50"/>
  <c r="K14" i="50"/>
  <c r="L14" i="50"/>
  <c r="X14" i="50"/>
  <c r="Y14" i="50"/>
  <c r="Z14" i="50"/>
  <c r="AA14" i="50"/>
  <c r="B15" i="50"/>
  <c r="C15" i="50"/>
  <c r="D15" i="50"/>
  <c r="E15" i="50"/>
  <c r="F15" i="50"/>
  <c r="G15" i="50"/>
  <c r="H15" i="50"/>
  <c r="I15" i="50"/>
  <c r="J15" i="50"/>
  <c r="K15" i="50"/>
  <c r="L15" i="50"/>
  <c r="X15" i="50"/>
  <c r="Y15" i="50"/>
  <c r="Z15" i="50"/>
  <c r="AA15" i="50"/>
  <c r="B16" i="50"/>
  <c r="C16" i="50"/>
  <c r="D16" i="50"/>
  <c r="E16" i="50"/>
  <c r="F16" i="50"/>
  <c r="G16" i="50"/>
  <c r="H16" i="50"/>
  <c r="I16" i="50"/>
  <c r="J16" i="50"/>
  <c r="K16" i="50"/>
  <c r="L16" i="50"/>
  <c r="X16" i="50"/>
  <c r="Y16" i="50"/>
  <c r="Z16" i="50"/>
  <c r="AA16" i="50"/>
  <c r="B17" i="50"/>
  <c r="C17" i="50"/>
  <c r="D17" i="50"/>
  <c r="E17" i="50"/>
  <c r="F17" i="50"/>
  <c r="G17" i="50"/>
  <c r="H17" i="50"/>
  <c r="I17" i="50"/>
  <c r="J17" i="50"/>
  <c r="K17" i="50"/>
  <c r="L17" i="50"/>
  <c r="X17" i="50"/>
  <c r="Y17" i="50"/>
  <c r="Z17" i="50"/>
  <c r="AA17" i="50"/>
  <c r="B18" i="50"/>
  <c r="C18" i="50"/>
  <c r="D18" i="50"/>
  <c r="E18" i="50"/>
  <c r="F18" i="50"/>
  <c r="G18" i="50"/>
  <c r="H18" i="50"/>
  <c r="I18" i="50"/>
  <c r="J18" i="50"/>
  <c r="K18" i="50"/>
  <c r="L18" i="50"/>
  <c r="X18" i="50"/>
  <c r="Y18" i="50"/>
  <c r="Z18" i="50"/>
  <c r="AA18" i="50"/>
  <c r="Q32" i="50"/>
  <c r="D35" i="2"/>
  <c r="D42" i="2"/>
  <c r="M12" i="50" l="1"/>
  <c r="Q12" i="50" s="1"/>
  <c r="T12" i="50" s="1"/>
  <c r="M13" i="50"/>
  <c r="Q13" i="50" s="1"/>
  <c r="R13" i="50" s="1"/>
  <c r="M16" i="50"/>
  <c r="Q16" i="50" s="1"/>
  <c r="S16" i="50" s="1"/>
  <c r="M15" i="50"/>
  <c r="Q15" i="50" s="1"/>
  <c r="U15" i="50" s="1"/>
  <c r="M18" i="50"/>
  <c r="Q18" i="50" s="1"/>
  <c r="R18" i="50" s="1"/>
  <c r="M17" i="50"/>
  <c r="Q17" i="50" s="1"/>
  <c r="T17" i="50" s="1"/>
  <c r="M14" i="50"/>
  <c r="Q14" i="50" s="1"/>
  <c r="S14" i="50" s="1"/>
  <c r="T16" i="50" l="1"/>
  <c r="R16" i="50"/>
  <c r="R12" i="50"/>
  <c r="U12" i="50"/>
  <c r="S12" i="50"/>
  <c r="R15" i="50"/>
  <c r="S13" i="50"/>
  <c r="T13" i="50"/>
  <c r="U16" i="50"/>
  <c r="U18" i="50"/>
  <c r="T18" i="50"/>
  <c r="U14" i="50"/>
  <c r="S18" i="50"/>
  <c r="R14" i="50"/>
  <c r="T14" i="50"/>
  <c r="T15" i="50"/>
  <c r="R17" i="50"/>
  <c r="S15" i="50"/>
  <c r="U13" i="50"/>
  <c r="S17" i="50"/>
  <c r="U17" i="50"/>
  <c r="D41" i="70" l="1"/>
  <c r="G41" i="70" s="1"/>
  <c r="D40" i="70"/>
  <c r="G40" i="70" s="1"/>
  <c r="D34" i="70" l="1"/>
  <c r="D33" i="70"/>
  <c r="G33" i="70" s="1"/>
  <c r="F41" i="70"/>
  <c r="F40" i="70"/>
  <c r="F33" i="70"/>
  <c r="M32" i="69" a="1"/>
  <c r="M32" i="69" s="1"/>
  <c r="M32" i="50"/>
  <c r="L19" i="69"/>
  <c r="K19" i="69"/>
  <c r="J19" i="69"/>
  <c r="I19" i="69"/>
  <c r="H19" i="69"/>
  <c r="G19" i="69"/>
  <c r="F34" i="70" l="1"/>
  <c r="G34" i="70"/>
  <c r="AA22" i="69"/>
  <c r="Z22" i="69"/>
  <c r="Y22" i="69"/>
  <c r="X22" i="69"/>
  <c r="L22" i="69"/>
  <c r="K22" i="69"/>
  <c r="J22" i="69"/>
  <c r="I22" i="69"/>
  <c r="H22" i="69"/>
  <c r="G22" i="69"/>
  <c r="B22" i="69"/>
  <c r="AA21" i="69"/>
  <c r="Z21" i="69"/>
  <c r="Y21" i="69"/>
  <c r="X21" i="69"/>
  <c r="L21" i="69"/>
  <c r="K21" i="69"/>
  <c r="J21" i="69"/>
  <c r="I21" i="69"/>
  <c r="H21" i="69"/>
  <c r="G21" i="69"/>
  <c r="B21" i="69"/>
  <c r="AA20" i="69"/>
  <c r="Z20" i="69"/>
  <c r="Y20" i="69"/>
  <c r="X20" i="69"/>
  <c r="L20" i="69"/>
  <c r="K20" i="69"/>
  <c r="J20" i="69"/>
  <c r="I20" i="69"/>
  <c r="H20" i="69"/>
  <c r="G20" i="69"/>
  <c r="B20" i="69"/>
  <c r="AA19" i="69"/>
  <c r="Z19" i="69"/>
  <c r="Y19" i="69"/>
  <c r="X19" i="69"/>
  <c r="B19" i="69"/>
  <c r="AA18" i="69"/>
  <c r="Z18" i="69"/>
  <c r="Y18" i="69"/>
  <c r="X18" i="69"/>
  <c r="L18" i="69"/>
  <c r="K18" i="69"/>
  <c r="J18" i="69"/>
  <c r="I18" i="69"/>
  <c r="H18" i="69"/>
  <c r="G18" i="69"/>
  <c r="B18" i="69"/>
  <c r="AA17" i="69"/>
  <c r="Z17" i="69"/>
  <c r="Y17" i="69"/>
  <c r="X17" i="69"/>
  <c r="L17" i="69"/>
  <c r="K17" i="69"/>
  <c r="J17" i="69"/>
  <c r="I17" i="69"/>
  <c r="H17" i="69"/>
  <c r="G17" i="69"/>
  <c r="B17" i="69"/>
  <c r="AA16" i="69"/>
  <c r="Z16" i="69"/>
  <c r="Y16" i="69"/>
  <c r="X16" i="69"/>
  <c r="L16" i="69"/>
  <c r="K16" i="69"/>
  <c r="J16" i="69"/>
  <c r="I16" i="69"/>
  <c r="H16" i="69"/>
  <c r="G16" i="69"/>
  <c r="B16" i="69"/>
  <c r="AA15" i="69"/>
  <c r="Z15" i="69"/>
  <c r="Y15" i="69"/>
  <c r="X15" i="69"/>
  <c r="L15" i="69"/>
  <c r="K15" i="69"/>
  <c r="J15" i="69"/>
  <c r="I15" i="69"/>
  <c r="H15" i="69"/>
  <c r="G15" i="69"/>
  <c r="B15" i="69"/>
  <c r="AA14" i="69"/>
  <c r="Z14" i="69"/>
  <c r="Y14" i="69"/>
  <c r="X14" i="69"/>
  <c r="L14" i="69"/>
  <c r="K14" i="69"/>
  <c r="J14" i="69"/>
  <c r="I14" i="69"/>
  <c r="H14" i="69"/>
  <c r="G14" i="69"/>
  <c r="B14" i="69"/>
  <c r="AA13" i="69"/>
  <c r="Z13" i="69"/>
  <c r="Y13" i="69"/>
  <c r="X13" i="69"/>
  <c r="L13" i="69"/>
  <c r="K13" i="69"/>
  <c r="J13" i="69"/>
  <c r="I13" i="69"/>
  <c r="H13" i="69"/>
  <c r="G13" i="69"/>
  <c r="B13" i="69"/>
  <c r="AA12" i="69"/>
  <c r="Z12" i="69"/>
  <c r="Y12" i="69"/>
  <c r="X12" i="69"/>
  <c r="L12" i="69"/>
  <c r="K12" i="69"/>
  <c r="J12" i="69"/>
  <c r="I12" i="69"/>
  <c r="H12" i="69"/>
  <c r="G12" i="69"/>
  <c r="B12" i="69"/>
  <c r="M22" i="69" l="1"/>
  <c r="Q22" i="69" s="1"/>
  <c r="S22" i="69" s="1"/>
  <c r="M17" i="69"/>
  <c r="Q17" i="69" s="1"/>
  <c r="R17" i="69" s="1"/>
  <c r="M14" i="69"/>
  <c r="Q14" i="69" s="1"/>
  <c r="R14" i="69" s="1"/>
  <c r="M16" i="69"/>
  <c r="Q16" i="69" s="1"/>
  <c r="U16" i="69" s="1"/>
  <c r="M15" i="69"/>
  <c r="Q15" i="69" s="1"/>
  <c r="T15" i="69" s="1"/>
  <c r="M20" i="69"/>
  <c r="Q20" i="69" s="1"/>
  <c r="S20" i="69" s="1"/>
  <c r="M21" i="69"/>
  <c r="Q21" i="69" s="1"/>
  <c r="T21" i="69" s="1"/>
  <c r="M13" i="69"/>
  <c r="Q13" i="69" s="1"/>
  <c r="R13" i="69" s="1"/>
  <c r="M18" i="69"/>
  <c r="Q18" i="69" s="1"/>
  <c r="U18" i="69" s="1"/>
  <c r="L23" i="69"/>
  <c r="K23" i="69"/>
  <c r="I23" i="69"/>
  <c r="J23" i="69"/>
  <c r="H23" i="69"/>
  <c r="M19" i="69"/>
  <c r="G23" i="69"/>
  <c r="M12" i="69"/>
  <c r="Q12" i="69" s="1"/>
  <c r="T22" i="69" l="1"/>
  <c r="S14" i="69"/>
  <c r="T14" i="69"/>
  <c r="U14" i="69"/>
  <c r="S15" i="69"/>
  <c r="U15" i="69"/>
  <c r="R15" i="69"/>
  <c r="R21" i="69"/>
  <c r="U21" i="69"/>
  <c r="R18" i="69"/>
  <c r="R16" i="69"/>
  <c r="U22" i="69"/>
  <c r="R22" i="69"/>
  <c r="T20" i="69"/>
  <c r="U20" i="69"/>
  <c r="S13" i="69"/>
  <c r="S16" i="69"/>
  <c r="T16" i="69"/>
  <c r="T13" i="69"/>
  <c r="T17" i="69"/>
  <c r="S17" i="69"/>
  <c r="U17" i="69"/>
  <c r="S18" i="69"/>
  <c r="R20" i="69"/>
  <c r="S21" i="69"/>
  <c r="U13" i="69"/>
  <c r="T18" i="69"/>
  <c r="Q19" i="69"/>
  <c r="U19" i="69" s="1"/>
  <c r="M23" i="69"/>
  <c r="M26" i="69" l="1"/>
  <c r="M33" i="69" s="1"/>
  <c r="T19" i="69"/>
  <c r="S19" i="69"/>
  <c r="R19" i="69"/>
  <c r="Q23" i="69"/>
  <c r="U12" i="69"/>
  <c r="U23" i="69" s="1"/>
  <c r="T12" i="69"/>
  <c r="S12" i="69"/>
  <c r="R12" i="69"/>
  <c r="R23" i="69" l="1"/>
  <c r="R26" i="69" s="1"/>
  <c r="M28" i="69"/>
  <c r="M30" i="69" s="1"/>
  <c r="S23" i="69"/>
  <c r="S26" i="69" s="1"/>
  <c r="T23" i="69"/>
  <c r="T28" i="69" s="1"/>
  <c r="Q26" i="69"/>
  <c r="Q28" i="69"/>
  <c r="U28" i="69"/>
  <c r="U26" i="69"/>
  <c r="U30" i="69" l="1"/>
  <c r="F29" i="65"/>
  <c r="R28" i="69"/>
  <c r="F30" i="65" s="1"/>
  <c r="S28" i="69"/>
  <c r="S30" i="69" s="1"/>
  <c r="Q30" i="69"/>
  <c r="Q33" i="69"/>
  <c r="T26" i="69"/>
  <c r="T30" i="69" s="1"/>
  <c r="AA22" i="50"/>
  <c r="AA21" i="50"/>
  <c r="AA20" i="50"/>
  <c r="AA19" i="50"/>
  <c r="R30" i="69" l="1"/>
  <c r="F50" i="68"/>
  <c r="F54" i="68" s="1"/>
  <c r="F60" i="68" s="1"/>
  <c r="G50" i="68"/>
  <c r="G54" i="68" s="1"/>
  <c r="G60" i="68" l="1"/>
  <c r="D22" i="65"/>
  <c r="L22" i="50"/>
  <c r="L21" i="50"/>
  <c r="L20" i="50"/>
  <c r="C19" i="65"/>
  <c r="C18" i="65"/>
  <c r="C17" i="65"/>
  <c r="E12" i="65"/>
  <c r="B12" i="65"/>
  <c r="E11" i="65"/>
  <c r="B11" i="65"/>
  <c r="E10" i="65"/>
  <c r="B10" i="65"/>
  <c r="E9" i="65"/>
  <c r="B9" i="65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F33" i="2"/>
  <c r="G33" i="2" s="1"/>
  <c r="F40" i="2"/>
  <c r="G40" i="2" s="1"/>
  <c r="F41" i="2"/>
  <c r="G41" i="2" s="1"/>
  <c r="F34" i="2"/>
  <c r="G34" i="2" s="1"/>
  <c r="L23" i="50" l="1"/>
  <c r="Z22" i="50"/>
  <c r="Y22" i="50"/>
  <c r="X22" i="50"/>
  <c r="Z21" i="50"/>
  <c r="Y21" i="50"/>
  <c r="X21" i="50"/>
  <c r="Z20" i="50"/>
  <c r="Y20" i="50"/>
  <c r="X20" i="50"/>
  <c r="Z19" i="50"/>
  <c r="Y19" i="50"/>
  <c r="X19" i="50"/>
  <c r="K22" i="50"/>
  <c r="J22" i="50"/>
  <c r="I22" i="50"/>
  <c r="H22" i="50"/>
  <c r="G22" i="50"/>
  <c r="F22" i="50"/>
  <c r="E22" i="50"/>
  <c r="D22" i="50"/>
  <c r="C22" i="50"/>
  <c r="B22" i="50"/>
  <c r="K21" i="50"/>
  <c r="J21" i="50"/>
  <c r="I21" i="50"/>
  <c r="H21" i="50"/>
  <c r="G21" i="50"/>
  <c r="F21" i="50"/>
  <c r="E21" i="50"/>
  <c r="D21" i="50"/>
  <c r="C21" i="50"/>
  <c r="B21" i="50"/>
  <c r="K20" i="50"/>
  <c r="J20" i="50"/>
  <c r="I20" i="50"/>
  <c r="H20" i="50"/>
  <c r="G20" i="50"/>
  <c r="F20" i="50"/>
  <c r="E20" i="50"/>
  <c r="D20" i="50"/>
  <c r="C20" i="50"/>
  <c r="B20" i="50"/>
  <c r="F19" i="50"/>
  <c r="E19" i="50"/>
  <c r="D19" i="50"/>
  <c r="C19" i="50"/>
  <c r="B19" i="50"/>
  <c r="D23" i="50" l="1"/>
  <c r="E23" i="50"/>
  <c r="M20" i="50"/>
  <c r="Q20" i="50" s="1"/>
  <c r="F23" i="50"/>
  <c r="G23" i="50"/>
  <c r="H23" i="50"/>
  <c r="M21" i="50"/>
  <c r="Q21" i="50" s="1"/>
  <c r="I23" i="50"/>
  <c r="M19" i="50"/>
  <c r="Q19" i="50" s="1"/>
  <c r="J23" i="50"/>
  <c r="M22" i="50"/>
  <c r="Q22" i="50" s="1"/>
  <c r="C23" i="50"/>
  <c r="K23" i="50"/>
  <c r="Q23" i="50" l="1"/>
  <c r="U22" i="50"/>
  <c r="T22" i="50"/>
  <c r="R22" i="50"/>
  <c r="S22" i="50"/>
  <c r="T19" i="50"/>
  <c r="U19" i="50"/>
  <c r="R19" i="50"/>
  <c r="S19" i="50"/>
  <c r="T20" i="50"/>
  <c r="U20" i="50"/>
  <c r="S20" i="50"/>
  <c r="R20" i="50"/>
  <c r="S21" i="50"/>
  <c r="R21" i="50"/>
  <c r="T21" i="50"/>
  <c r="U21" i="50"/>
  <c r="M23" i="50"/>
  <c r="M26" i="50" s="1"/>
  <c r="Q26" i="50" l="1"/>
  <c r="Q28" i="50"/>
  <c r="T23" i="50"/>
  <c r="T26" i="50" s="1"/>
  <c r="U23" i="50"/>
  <c r="U26" i="50" s="1"/>
  <c r="M28" i="50"/>
  <c r="M30" i="50" s="1"/>
  <c r="M33" i="50" s="1"/>
  <c r="S23" i="50"/>
  <c r="R23" i="50"/>
  <c r="Q30" i="50" l="1"/>
  <c r="Q33" i="50" s="1"/>
  <c r="T28" i="50"/>
  <c r="T30" i="50" s="1"/>
  <c r="U28" i="50"/>
  <c r="U30" i="50" s="1"/>
  <c r="S28" i="50"/>
  <c r="S26" i="50"/>
  <c r="R26" i="50"/>
  <c r="R28" i="50"/>
  <c r="F30" i="6" s="1"/>
  <c r="S30" i="50" l="1"/>
  <c r="F29" i="6"/>
  <c r="R30" i="5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C19" i="6"/>
  <c r="C18" i="6"/>
  <c r="C17" i="6"/>
  <c r="B12" i="6"/>
  <c r="B11" i="6"/>
  <c r="D18" i="61"/>
  <c r="E11" i="6" s="1"/>
  <c r="D15" i="61"/>
  <c r="E10" i="6" s="1"/>
  <c r="B10" i="6"/>
  <c r="B9" i="6"/>
  <c r="B15" i="62" l="1"/>
  <c r="E10" i="62"/>
  <c r="D21" i="61"/>
  <c r="E12" i="6" s="1"/>
  <c r="B21" i="61"/>
  <c r="B18" i="61"/>
  <c r="E14" i="61"/>
  <c r="E15" i="61" s="1"/>
  <c r="B7" i="61"/>
  <c r="D37" i="60"/>
  <c r="D32" i="60"/>
  <c r="D29" i="60"/>
  <c r="D24" i="60"/>
  <c r="D19" i="60"/>
  <c r="D14" i="60"/>
  <c r="D11" i="60"/>
  <c r="D7" i="6" l="1"/>
  <c r="D11" i="6"/>
  <c r="F11" i="6" s="1"/>
  <c r="D11" i="65"/>
  <c r="F11" i="65" s="1"/>
  <c r="D12" i="6"/>
  <c r="F12" i="6" s="1"/>
  <c r="D12" i="65"/>
  <c r="F12" i="65" s="1"/>
  <c r="E7" i="62"/>
  <c r="E8" i="62"/>
  <c r="B21" i="60"/>
  <c r="D17" i="65" s="1"/>
  <c r="D26" i="60"/>
  <c r="C40" i="60"/>
  <c r="B12" i="61"/>
  <c r="B40" i="60"/>
  <c r="D18" i="65" s="1"/>
  <c r="D8" i="60"/>
  <c r="D34" i="60"/>
  <c r="D9" i="60"/>
  <c r="D17" i="60"/>
  <c r="D27" i="60"/>
  <c r="D35" i="60"/>
  <c r="C21" i="60"/>
  <c r="E17" i="65" s="1"/>
  <c r="D16" i="60"/>
  <c r="D10" i="60"/>
  <c r="D18" i="60"/>
  <c r="D28" i="60"/>
  <c r="D36" i="60"/>
  <c r="D20" i="60"/>
  <c r="D13" i="60"/>
  <c r="D23" i="60"/>
  <c r="D31" i="60"/>
  <c r="D12" i="60"/>
  <c r="D30" i="60"/>
  <c r="B66" i="60"/>
  <c r="D7" i="60"/>
  <c r="D15" i="60"/>
  <c r="D25" i="60"/>
  <c r="D33" i="60"/>
  <c r="D6" i="60"/>
  <c r="B15" i="61"/>
  <c r="E11" i="61"/>
  <c r="E13" i="62"/>
  <c r="E10" i="61"/>
  <c r="E9" i="61"/>
  <c r="B11" i="62"/>
  <c r="B17" i="62" s="1"/>
  <c r="D11" i="62"/>
  <c r="D15" i="62"/>
  <c r="E14" i="62"/>
  <c r="E9" i="62"/>
  <c r="E6" i="62"/>
  <c r="E20" i="61"/>
  <c r="E21" i="61" s="1"/>
  <c r="D12" i="61"/>
  <c r="E6" i="61"/>
  <c r="E7" i="61" s="1"/>
  <c r="E17" i="61"/>
  <c r="E18" i="61" s="1"/>
  <c r="C66" i="60"/>
  <c r="E18" i="6" l="1"/>
  <c r="E18" i="65"/>
  <c r="F18" i="65"/>
  <c r="E19" i="6"/>
  <c r="E19" i="65"/>
  <c r="D9" i="6"/>
  <c r="D9" i="65"/>
  <c r="F9" i="65" s="1"/>
  <c r="D10" i="6"/>
  <c r="F10" i="6" s="1"/>
  <c r="D10" i="65"/>
  <c r="F10" i="65" s="1"/>
  <c r="D19" i="6"/>
  <c r="D19" i="65"/>
  <c r="F17" i="65"/>
  <c r="E12" i="61"/>
  <c r="E23" i="61" s="1"/>
  <c r="D18" i="6"/>
  <c r="E40" i="60"/>
  <c r="D23" i="61"/>
  <c r="E9" i="6"/>
  <c r="D21" i="60"/>
  <c r="D40" i="60"/>
  <c r="E17" i="6"/>
  <c r="E20" i="6" s="1"/>
  <c r="E23" i="6" s="1"/>
  <c r="C68" i="60"/>
  <c r="B68" i="60"/>
  <c r="D17" i="6"/>
  <c r="E15" i="62"/>
  <c r="B23" i="61"/>
  <c r="B27" i="61" s="1"/>
  <c r="D66" i="60"/>
  <c r="D17" i="62"/>
  <c r="E11" i="62"/>
  <c r="F33" i="65" s="1"/>
  <c r="E20" i="65" l="1"/>
  <c r="E23" i="65" s="1"/>
  <c r="F19" i="65"/>
  <c r="F20" i="65" s="1"/>
  <c r="F9" i="6"/>
  <c r="D20" i="65"/>
  <c r="F34" i="6"/>
  <c r="F34" i="65"/>
  <c r="E17" i="62"/>
  <c r="F33" i="6"/>
  <c r="D68" i="60"/>
  <c r="F18" i="6" l="1"/>
  <c r="G32" i="55" l="1"/>
  <c r="G20" i="55"/>
  <c r="G26" i="55"/>
  <c r="F17" i="6" l="1"/>
  <c r="E29" i="52"/>
  <c r="E28" i="52"/>
  <c r="E27" i="52"/>
  <c r="E26" i="52"/>
  <c r="E25" i="52"/>
  <c r="D20" i="58"/>
  <c r="C20" i="58"/>
  <c r="D19" i="58"/>
  <c r="C19" i="58"/>
  <c r="D18" i="58"/>
  <c r="C18" i="58"/>
  <c r="D17" i="58"/>
  <c r="C17" i="58"/>
  <c r="D16" i="58"/>
  <c r="C16" i="58"/>
  <c r="B29" i="58"/>
  <c r="B28" i="58"/>
  <c r="B27" i="58"/>
  <c r="B26" i="58"/>
  <c r="B25" i="58"/>
  <c r="H20" i="58"/>
  <c r="G20" i="58"/>
  <c r="F20" i="58"/>
  <c r="E20" i="58"/>
  <c r="G19" i="58"/>
  <c r="F19" i="58"/>
  <c r="E19" i="58"/>
  <c r="F18" i="58"/>
  <c r="E18" i="58"/>
  <c r="J16" i="58"/>
  <c r="E16" i="58"/>
  <c r="I15" i="58"/>
  <c r="H15" i="58"/>
  <c r="G15" i="58"/>
  <c r="F15" i="58"/>
  <c r="E15" i="58"/>
  <c r="E7" i="58"/>
  <c r="D7" i="58"/>
  <c r="D18" i="52"/>
  <c r="E7" i="52"/>
  <c r="D9" i="52"/>
  <c r="F10" i="52"/>
  <c r="H19" i="52"/>
  <c r="G19" i="52"/>
  <c r="F19" i="52"/>
  <c r="E19" i="52"/>
  <c r="I20" i="52"/>
  <c r="H20" i="52"/>
  <c r="D19" i="52"/>
  <c r="C19" i="52"/>
  <c r="C18" i="52"/>
  <c r="D17" i="52"/>
  <c r="C17" i="52"/>
  <c r="D7" i="52"/>
  <c r="E34" i="52"/>
  <c r="F34" i="52" s="1"/>
  <c r="F7" i="52" s="1"/>
  <c r="B28" i="52"/>
  <c r="H15" i="52"/>
  <c r="I20" i="58" l="1"/>
  <c r="C21" i="58"/>
  <c r="D6" i="58" s="1"/>
  <c r="D9" i="58" s="1"/>
  <c r="I21" i="58"/>
  <c r="D29" i="58" s="1"/>
  <c r="J20" i="58"/>
  <c r="E21" i="58"/>
  <c r="D25" i="58" s="1"/>
  <c r="H19" i="58"/>
  <c r="H21" i="58" s="1"/>
  <c r="D28" i="58" s="1"/>
  <c r="G18" i="58"/>
  <c r="G21" i="58" s="1"/>
  <c r="D27" i="58" s="1"/>
  <c r="D21" i="58"/>
  <c r="E17" i="58"/>
  <c r="J19" i="52"/>
  <c r="C25" i="58" l="1"/>
  <c r="C30" i="58" s="1"/>
  <c r="J18" i="58"/>
  <c r="J19" i="58"/>
  <c r="F17" i="58"/>
  <c r="F21" i="58" s="1"/>
  <c r="D26" i="58" s="1"/>
  <c r="C16" i="55"/>
  <c r="B16" i="55"/>
  <c r="F12" i="55"/>
  <c r="E12" i="55"/>
  <c r="F11" i="55"/>
  <c r="E11" i="55"/>
  <c r="G11" i="55" s="1"/>
  <c r="F10" i="55"/>
  <c r="E10" i="55"/>
  <c r="G10" i="55" l="1"/>
  <c r="D30" i="58"/>
  <c r="J17" i="58"/>
  <c r="J21" i="58" s="1"/>
  <c r="E6" i="58" s="1"/>
  <c r="E9" i="58" s="1"/>
  <c r="G12" i="55"/>
  <c r="D11" i="42"/>
  <c r="B29" i="52"/>
  <c r="B27" i="52"/>
  <c r="B26" i="52"/>
  <c r="B25" i="52"/>
  <c r="G20" i="52"/>
  <c r="F20" i="52"/>
  <c r="E20" i="52"/>
  <c r="F18" i="52"/>
  <c r="E18" i="52"/>
  <c r="E17" i="52"/>
  <c r="G15" i="52"/>
  <c r="G18" i="52" l="1"/>
  <c r="G21" i="52" s="1"/>
  <c r="D27" i="52" s="1"/>
  <c r="F27" i="52" s="1"/>
  <c r="H21" i="52" l="1"/>
  <c r="D28" i="52" s="1"/>
  <c r="F28" i="52" s="1"/>
  <c r="E5" i="55"/>
  <c r="J18" i="52" l="1"/>
  <c r="E13" i="55" l="1"/>
  <c r="E8" i="55"/>
  <c r="F7" i="55"/>
  <c r="E7" i="55"/>
  <c r="F14" i="55"/>
  <c r="F9" i="55"/>
  <c r="F6" i="55"/>
  <c r="E9" i="55"/>
  <c r="E6" i="55"/>
  <c r="F5" i="55"/>
  <c r="D21" i="52"/>
  <c r="E16" i="52"/>
  <c r="E21" i="52" s="1"/>
  <c r="C21" i="52"/>
  <c r="I15" i="52"/>
  <c r="F15" i="52"/>
  <c r="E15" i="52"/>
  <c r="D6" i="52" l="1"/>
  <c r="C25" i="52"/>
  <c r="F25" i="52" s="1"/>
  <c r="E14" i="55"/>
  <c r="G14" i="55" s="1"/>
  <c r="G6" i="55"/>
  <c r="F8" i="55"/>
  <c r="F13" i="55"/>
  <c r="G13" i="55" s="1"/>
  <c r="G9" i="55"/>
  <c r="G7" i="55"/>
  <c r="J16" i="52"/>
  <c r="F17" i="52"/>
  <c r="E16" i="55" l="1"/>
  <c r="C30" i="52"/>
  <c r="F16" i="55"/>
  <c r="G8" i="55"/>
  <c r="F21" i="52"/>
  <c r="D26" i="52" s="1"/>
  <c r="F26" i="52" s="1"/>
  <c r="I21" i="52"/>
  <c r="D29" i="52" s="1"/>
  <c r="F29" i="52" s="1"/>
  <c r="G5" i="55"/>
  <c r="J17" i="52"/>
  <c r="D25" i="52"/>
  <c r="G16" i="55" l="1"/>
  <c r="D30" i="52"/>
  <c r="J20" i="52"/>
  <c r="J21" i="52" s="1"/>
  <c r="E6" i="52" s="1"/>
  <c r="E9" i="52" s="1"/>
  <c r="F30" i="52"/>
  <c r="G19" i="55" l="1"/>
  <c r="G21" i="55" s="1"/>
  <c r="G29" i="55"/>
  <c r="G31" i="55" s="1"/>
  <c r="G33" i="55" s="1"/>
  <c r="F6" i="52"/>
  <c r="F9" i="52" s="1"/>
  <c r="G23" i="55"/>
  <c r="G25" i="55" s="1"/>
  <c r="G27" i="55" s="1"/>
  <c r="F11" i="52" l="1"/>
  <c r="F19" i="6" l="1"/>
  <c r="D13" i="6" l="1"/>
  <c r="D20" i="6"/>
  <c r="F20" i="6" l="1"/>
  <c r="F50" i="51" l="1"/>
  <c r="F54" i="51" s="1"/>
  <c r="F22" i="65"/>
  <c r="F23" i="65" s="1"/>
  <c r="G50" i="51"/>
  <c r="G54" i="51" s="1"/>
  <c r="G60" i="51" s="1"/>
  <c r="F60" i="51" l="1"/>
  <c r="D23" i="65"/>
  <c r="D22" i="6"/>
  <c r="D23" i="6" s="1"/>
  <c r="D25" i="6" s="1"/>
  <c r="F28" i="65"/>
  <c r="F31" i="65" s="1"/>
  <c r="F22" i="6" l="1"/>
  <c r="F23" i="6" s="1"/>
  <c r="F28" i="6" s="1"/>
  <c r="F31" i="6" s="1"/>
  <c r="F7" i="6" l="1"/>
  <c r="F10" i="58" l="1"/>
  <c r="D7" i="65"/>
  <c r="F7" i="65" s="1"/>
  <c r="F36" i="6"/>
  <c r="F36" i="65" l="1"/>
  <c r="E8" i="65" l="1"/>
  <c r="E13" i="65" s="1"/>
  <c r="E25" i="65" s="1"/>
  <c r="E42" i="2" l="1"/>
  <c r="E35" i="2"/>
  <c r="D35" i="70" l="1"/>
  <c r="F35" i="70" s="1"/>
  <c r="G35" i="70" s="1"/>
  <c r="F35" i="2"/>
  <c r="G35" i="2" s="1"/>
  <c r="D42" i="70"/>
  <c r="F42" i="70" s="1"/>
  <c r="G42" i="70" s="1"/>
  <c r="F42" i="2"/>
  <c r="G42" i="2" s="1"/>
  <c r="E34" i="58"/>
  <c r="F34" i="58" s="1"/>
  <c r="F7" i="58" s="1"/>
  <c r="E8" i="6" l="1"/>
  <c r="F8" i="6" l="1"/>
  <c r="E13" i="6"/>
  <c r="E25" i="6" s="1"/>
  <c r="F32" i="6" l="1"/>
  <c r="F35" i="6" s="1"/>
  <c r="F37" i="6" s="1"/>
  <c r="F39" i="6" s="1"/>
  <c r="D8" i="65"/>
  <c r="F13" i="6"/>
  <c r="F25" i="6" s="1"/>
  <c r="F8" i="65" l="1"/>
  <c r="D13" i="65"/>
  <c r="D25" i="65" s="1"/>
  <c r="E28" i="2"/>
  <c r="E16" i="2"/>
  <c r="E22" i="2"/>
  <c r="E13" i="2"/>
  <c r="E14" i="2"/>
  <c r="G17" i="72"/>
  <c r="G12" i="72"/>
  <c r="E24" i="2"/>
  <c r="E47" i="75" s="1"/>
  <c r="F47" i="75" s="1"/>
  <c r="G47" i="75" s="1"/>
  <c r="G10" i="72"/>
  <c r="E25" i="2"/>
  <c r="G11" i="72"/>
  <c r="G19" i="72"/>
  <c r="E23" i="2"/>
  <c r="G20" i="72"/>
  <c r="E17" i="2"/>
  <c r="G15" i="72"/>
  <c r="E27" i="2"/>
  <c r="G14" i="72"/>
  <c r="E11" i="2"/>
  <c r="E26" i="2"/>
  <c r="G18" i="72"/>
  <c r="E12" i="2"/>
  <c r="E15" i="2"/>
  <c r="G13" i="72"/>
  <c r="G16" i="72"/>
  <c r="G9" i="72"/>
  <c r="F14" i="2" l="1"/>
  <c r="G14" i="2" s="1"/>
  <c r="E28" i="58"/>
  <c r="F28" i="58" s="1"/>
  <c r="E33" i="42"/>
  <c r="F33" i="42" s="1"/>
  <c r="G33" i="42" s="1"/>
  <c r="F22" i="2"/>
  <c r="G22" i="2" s="1"/>
  <c r="E42" i="42"/>
  <c r="F42" i="42" s="1"/>
  <c r="G42" i="42" s="1"/>
  <c r="E32" i="42"/>
  <c r="F32" i="42" s="1"/>
  <c r="G32" i="42" s="1"/>
  <c r="E36" i="42"/>
  <c r="F36" i="42" s="1"/>
  <c r="G36" i="42" s="1"/>
  <c r="E34" i="42"/>
  <c r="F34" i="42" s="1"/>
  <c r="G34" i="42" s="1"/>
  <c r="E45" i="42"/>
  <c r="F45" i="42" s="1"/>
  <c r="G45" i="42" s="1"/>
  <c r="E44" i="42"/>
  <c r="F44" i="42" s="1"/>
  <c r="G44" i="42" s="1"/>
  <c r="E43" i="42"/>
  <c r="F43" i="42" s="1"/>
  <c r="G43" i="42" s="1"/>
  <c r="E46" i="42"/>
  <c r="F46" i="42" s="1"/>
  <c r="G46" i="42" s="1"/>
  <c r="E38" i="42"/>
  <c r="F38" i="42" s="1"/>
  <c r="G38" i="42" s="1"/>
  <c r="E37" i="42"/>
  <c r="F37" i="42" s="1"/>
  <c r="G37" i="42" s="1"/>
  <c r="E47" i="42"/>
  <c r="F47" i="42" s="1"/>
  <c r="G47" i="42" s="1"/>
  <c r="E40" i="42"/>
  <c r="F40" i="42" s="1"/>
  <c r="G40" i="42" s="1"/>
  <c r="E39" i="42"/>
  <c r="F39" i="42" s="1"/>
  <c r="G39" i="42" s="1"/>
  <c r="E35" i="42"/>
  <c r="F35" i="42" s="1"/>
  <c r="G35" i="42" s="1"/>
  <c r="E41" i="42"/>
  <c r="F41" i="42" s="1"/>
  <c r="G41" i="42" s="1"/>
  <c r="E27" i="58"/>
  <c r="F27" i="58" s="1"/>
  <c r="F13" i="2"/>
  <c r="G13" i="2" s="1"/>
  <c r="F16" i="2"/>
  <c r="G16" i="2" s="1"/>
  <c r="E29" i="58"/>
  <c r="F29" i="58" s="1"/>
  <c r="E26" i="58"/>
  <c r="F26" i="58" s="1"/>
  <c r="F12" i="2"/>
  <c r="G12" i="2" s="1"/>
  <c r="G21" i="72"/>
  <c r="G24" i="72" s="1"/>
  <c r="G26" i="72" s="1"/>
  <c r="F28" i="2"/>
  <c r="G28" i="2" s="1"/>
  <c r="F23" i="2"/>
  <c r="G23" i="2" s="1"/>
  <c r="F25" i="2"/>
  <c r="G25" i="2" s="1"/>
  <c r="F24" i="2"/>
  <c r="G24" i="2" s="1"/>
  <c r="F26" i="2"/>
  <c r="G26" i="2" s="1"/>
  <c r="E23" i="42"/>
  <c r="F23" i="42" s="1"/>
  <c r="G23" i="42" s="1"/>
  <c r="E19" i="42"/>
  <c r="F19" i="42" s="1"/>
  <c r="G19" i="42" s="1"/>
  <c r="E17" i="42"/>
  <c r="F17" i="42" s="1"/>
  <c r="G17" i="42" s="1"/>
  <c r="E25" i="58"/>
  <c r="F25" i="58" s="1"/>
  <c r="E20" i="42"/>
  <c r="F20" i="42" s="1"/>
  <c r="G20" i="42" s="1"/>
  <c r="E15" i="42"/>
  <c r="F15" i="42" s="1"/>
  <c r="G15" i="42" s="1"/>
  <c r="E24" i="42"/>
  <c r="F24" i="42" s="1"/>
  <c r="G24" i="42" s="1"/>
  <c r="F11" i="2"/>
  <c r="G11" i="2" s="1"/>
  <c r="E26" i="42"/>
  <c r="F26" i="42" s="1"/>
  <c r="G26" i="42" s="1"/>
  <c r="E18" i="42"/>
  <c r="F18" i="42" s="1"/>
  <c r="G18" i="42" s="1"/>
  <c r="E25" i="42"/>
  <c r="F25" i="42" s="1"/>
  <c r="G25" i="42" s="1"/>
  <c r="E22" i="42"/>
  <c r="F22" i="42" s="1"/>
  <c r="G22" i="42" s="1"/>
  <c r="E11" i="42"/>
  <c r="F11" i="42" s="1"/>
  <c r="G11" i="42" s="1"/>
  <c r="E21" i="42"/>
  <c r="F21" i="42" s="1"/>
  <c r="G21" i="42" s="1"/>
  <c r="E12" i="42"/>
  <c r="F12" i="42" s="1"/>
  <c r="G12" i="42" s="1"/>
  <c r="E14" i="42"/>
  <c r="F14" i="42" s="1"/>
  <c r="G14" i="42" s="1"/>
  <c r="E13" i="42"/>
  <c r="F13" i="42" s="1"/>
  <c r="G13" i="42" s="1"/>
  <c r="E16" i="42"/>
  <c r="F16" i="42" s="1"/>
  <c r="G16" i="42" s="1"/>
  <c r="F27" i="2"/>
  <c r="G27" i="2" s="1"/>
  <c r="F15" i="2"/>
  <c r="G15" i="2" s="1"/>
  <c r="F17" i="2"/>
  <c r="G17" i="2" s="1"/>
  <c r="F32" i="65"/>
  <c r="F35" i="65" s="1"/>
  <c r="F37" i="65" s="1"/>
  <c r="F13" i="65"/>
  <c r="F25" i="65" s="1"/>
  <c r="F30" i="58" l="1"/>
  <c r="F6" i="58" s="1"/>
  <c r="F9" i="58" s="1"/>
  <c r="F11" i="58" s="1"/>
  <c r="D32" i="71"/>
  <c r="D41" i="71"/>
  <c r="D44" i="71"/>
  <c r="D36" i="71"/>
  <c r="D40" i="71"/>
  <c r="D45" i="71"/>
  <c r="D46" i="71"/>
  <c r="D31" i="71"/>
  <c r="D35" i="71"/>
  <c r="D42" i="71"/>
  <c r="D43" i="71"/>
  <c r="D33" i="71"/>
  <c r="D37" i="71"/>
  <c r="D34" i="71"/>
  <c r="D39" i="71"/>
  <c r="D38" i="71"/>
  <c r="D21" i="71"/>
  <c r="D17" i="71"/>
  <c r="D22" i="71"/>
  <c r="D23" i="71"/>
  <c r="D25" i="71"/>
  <c r="D12" i="71"/>
  <c r="D15" i="71"/>
  <c r="D13" i="71"/>
  <c r="D18" i="71"/>
  <c r="D14" i="71"/>
  <c r="D24" i="71"/>
  <c r="D19" i="71"/>
  <c r="D20" i="71"/>
  <c r="D10" i="71"/>
  <c r="D16" i="71"/>
  <c r="D11" i="71"/>
  <c r="G25" i="73"/>
  <c r="F39" i="65"/>
  <c r="E22" i="70" s="1"/>
  <c r="E24" i="70" l="1"/>
  <c r="F24" i="70" s="1"/>
  <c r="G24" i="70" s="1"/>
  <c r="E11" i="70"/>
  <c r="E10" i="71" s="1"/>
  <c r="F10" i="71" s="1"/>
  <c r="G10" i="71" s="1"/>
  <c r="E25" i="70"/>
  <c r="F25" i="70" s="1"/>
  <c r="G25" i="70" s="1"/>
  <c r="E16" i="70"/>
  <c r="F16" i="70" s="1"/>
  <c r="G16" i="70" s="1"/>
  <c r="E28" i="70"/>
  <c r="F28" i="70" s="1"/>
  <c r="G28" i="70" s="1"/>
  <c r="E17" i="70"/>
  <c r="F17" i="70" s="1"/>
  <c r="G17" i="70" s="1"/>
  <c r="E27" i="70"/>
  <c r="F27" i="70" s="1"/>
  <c r="G27" i="70" s="1"/>
  <c r="E23" i="70"/>
  <c r="F23" i="70" s="1"/>
  <c r="G23" i="70" s="1"/>
  <c r="E12" i="70"/>
  <c r="F12" i="70" s="1"/>
  <c r="G12" i="70" s="1"/>
  <c r="E15" i="70"/>
  <c r="F15" i="70" s="1"/>
  <c r="G15" i="70" s="1"/>
  <c r="E32" i="71"/>
  <c r="F32" i="71" s="1"/>
  <c r="G32" i="71" s="1"/>
  <c r="F22" i="70"/>
  <c r="G22" i="70" s="1"/>
  <c r="E31" i="71"/>
  <c r="F31" i="71" s="1"/>
  <c r="G31" i="71" s="1"/>
  <c r="E13" i="70"/>
  <c r="F13" i="70" s="1"/>
  <c r="G13" i="70" s="1"/>
  <c r="G19" i="73"/>
  <c r="G11" i="73"/>
  <c r="G20" i="73"/>
  <c r="G10" i="73"/>
  <c r="G9" i="73"/>
  <c r="G16" i="73"/>
  <c r="G12" i="73"/>
  <c r="G14" i="73"/>
  <c r="G18" i="73"/>
  <c r="G15" i="73"/>
  <c r="G13" i="73"/>
  <c r="G17" i="73"/>
  <c r="E14" i="70"/>
  <c r="F14" i="70" s="1"/>
  <c r="G14" i="70" s="1"/>
  <c r="E26" i="70"/>
  <c r="F26" i="70" s="1"/>
  <c r="G26" i="70" s="1"/>
  <c r="F11" i="70" l="1"/>
  <c r="G11" i="70" s="1"/>
  <c r="E12" i="71"/>
  <c r="F12" i="71" s="1"/>
  <c r="G12" i="71" s="1"/>
  <c r="E13" i="71"/>
  <c r="F13" i="71" s="1"/>
  <c r="G13" i="71" s="1"/>
  <c r="E11" i="71"/>
  <c r="F11" i="71" s="1"/>
  <c r="G11" i="71" s="1"/>
  <c r="E36" i="71"/>
  <c r="F36" i="71" s="1"/>
  <c r="G36" i="71" s="1"/>
  <c r="E14" i="71"/>
  <c r="F14" i="71" s="1"/>
  <c r="G14" i="71" s="1"/>
  <c r="E42" i="71"/>
  <c r="F42" i="71" s="1"/>
  <c r="G42" i="71" s="1"/>
  <c r="G21" i="73"/>
  <c r="G24" i="73" s="1"/>
  <c r="G26" i="73" s="1"/>
  <c r="G27" i="73" s="1"/>
  <c r="E34" i="71"/>
  <c r="F34" i="71" s="1"/>
  <c r="G34" i="71" s="1"/>
  <c r="E39" i="71"/>
  <c r="F39" i="71" s="1"/>
  <c r="G39" i="71" s="1"/>
  <c r="E15" i="71"/>
  <c r="F15" i="71" s="1"/>
  <c r="G15" i="71" s="1"/>
  <c r="E33" i="71"/>
  <c r="F33" i="71" s="1"/>
  <c r="G33" i="71" s="1"/>
  <c r="E38" i="71"/>
  <c r="F38" i="71" s="1"/>
  <c r="G38" i="71" s="1"/>
  <c r="E41" i="71"/>
  <c r="F41" i="71" s="1"/>
  <c r="G41" i="71" s="1"/>
  <c r="E46" i="71"/>
  <c r="F46" i="71" s="1"/>
  <c r="G46" i="71" s="1"/>
  <c r="E35" i="71"/>
  <c r="F35" i="71" s="1"/>
  <c r="G35" i="71" s="1"/>
  <c r="E40" i="71"/>
  <c r="F40" i="71" s="1"/>
  <c r="G40" i="71" s="1"/>
  <c r="E37" i="71"/>
  <c r="F37" i="71" s="1"/>
  <c r="G37" i="71" s="1"/>
  <c r="E19" i="71"/>
  <c r="F19" i="71" s="1"/>
  <c r="G19" i="71" s="1"/>
  <c r="E23" i="71"/>
  <c r="F23" i="71" s="1"/>
  <c r="G23" i="71" s="1"/>
  <c r="E22" i="71"/>
  <c r="F22" i="71" s="1"/>
  <c r="G22" i="71" s="1"/>
  <c r="E16" i="71"/>
  <c r="F16" i="71" s="1"/>
  <c r="G16" i="71" s="1"/>
  <c r="E18" i="71"/>
  <c r="F18" i="71" s="1"/>
  <c r="G18" i="71" s="1"/>
  <c r="E25" i="71"/>
  <c r="F25" i="71" s="1"/>
  <c r="G25" i="71" s="1"/>
  <c r="E43" i="71"/>
  <c r="F43" i="71" s="1"/>
  <c r="G43" i="71" s="1"/>
  <c r="E24" i="71"/>
  <c r="F24" i="71" s="1"/>
  <c r="G24" i="71" s="1"/>
  <c r="E20" i="71"/>
  <c r="F20" i="71" s="1"/>
  <c r="G20" i="71" s="1"/>
  <c r="E17" i="71"/>
  <c r="F17" i="71" s="1"/>
  <c r="G17" i="71" s="1"/>
  <c r="E21" i="71"/>
  <c r="F21" i="71" s="1"/>
  <c r="G21" i="71" s="1"/>
  <c r="E45" i="71"/>
  <c r="F45" i="71" s="1"/>
  <c r="G45" i="71" s="1"/>
  <c r="E44" i="71"/>
  <c r="F44" i="71" s="1"/>
  <c r="G44" i="71" s="1"/>
  <c r="G11" i="7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<sst xmlns="http://schemas.openxmlformats.org/spreadsheetml/2006/main" count="747" uniqueCount="244">
  <si>
    <t>Total Operating Expenses</t>
  </si>
  <si>
    <t>Proposed</t>
  </si>
  <si>
    <t>Total</t>
  </si>
  <si>
    <t>Gallons</t>
  </si>
  <si>
    <t>Operating Revenues</t>
  </si>
  <si>
    <t>Sales for Resale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</si>
  <si>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</si>
  <si>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</si>
  <si>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</si>
  <si>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</si>
  <si>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</si>
  <si>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</si>
  <si>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Existing</t>
  </si>
  <si>
    <t>Change</t>
  </si>
  <si>
    <t>Test Year</t>
  </si>
  <si>
    <t>Adjustments</t>
  </si>
  <si>
    <t>Proforma</t>
  </si>
  <si>
    <t>Operation and Maintenance</t>
  </si>
  <si>
    <t>Total Utility Operating Income</t>
  </si>
  <si>
    <t>Pro Forma Operating Expenses</t>
  </si>
  <si>
    <t>Original</t>
  </si>
  <si>
    <t>SUMMARY</t>
  </si>
  <si>
    <t>FIRST</t>
  </si>
  <si>
    <t>ALL OVER</t>
  </si>
  <si>
    <t>USAGE</t>
  </si>
  <si>
    <t>BILLS</t>
  </si>
  <si>
    <t>TOTAL</t>
  </si>
  <si>
    <t>RATE</t>
  </si>
  <si>
    <t>REVENUE</t>
  </si>
  <si>
    <t>Current</t>
  </si>
  <si>
    <t>Revenue Required From Sales of Water</t>
  </si>
  <si>
    <t>Revenue from Sales with Present Rates</t>
  </si>
  <si>
    <t>Total Revenue Requirement</t>
  </si>
  <si>
    <t>Required Revenue Increase</t>
  </si>
  <si>
    <t>Difference</t>
  </si>
  <si>
    <t>Bill</t>
  </si>
  <si>
    <t>Percentage</t>
  </si>
  <si>
    <t>TOTALS</t>
  </si>
  <si>
    <t>* Highlighted usage represents the average residential bill.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</si>
  <si>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</si>
  <si>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</si>
  <si>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</si>
  <si>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</si>
  <si>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</si>
  <si>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</si>
  <si>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</si>
  <si>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</si>
  <si>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</si>
  <si>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</si>
  <si>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</si>
  <si>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</si>
  <si>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</si>
  <si>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</si>
  <si>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</si>
  <si>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</si>
  <si>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</si>
  <si>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</si>
  <si>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</si>
  <si>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</si>
  <si>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</si>
  <si>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</si>
  <si>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</si>
  <si>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</si>
  <si>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DEBT SERVICE SCHDULE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</si>
  <si>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</si>
  <si>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</si>
  <si>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</si>
  <si>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</si>
  <si>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</si>
  <si>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</si>
  <si>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</si>
  <si>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</si>
  <si>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</si>
  <si>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</si>
  <si>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</si>
  <si>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</si>
  <si>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Office Furniture &amp; Equipment</t>
  </si>
  <si>
    <t>Power Operated Equipment</t>
  </si>
  <si>
    <t>Tools, Shop, &amp; Garage Equipment</t>
  </si>
  <si>
    <t>Pumping Equipment</t>
  </si>
  <si>
    <t>Hydrants</t>
  </si>
  <si>
    <t>Meter Installations</t>
  </si>
  <si>
    <t>Services</t>
  </si>
  <si>
    <t>Reservoirs &amp; Tanks</t>
  </si>
  <si>
    <t xml:space="preserve">              *  Includes only costs associated with assets that contributed to depreciation expense in the test year.</t>
  </si>
  <si>
    <t>Cost *</t>
  </si>
  <si>
    <t>RETAIL</t>
  </si>
  <si>
    <t>WHOLESALE</t>
  </si>
  <si>
    <t>RETAIL USAGE BY RATE INCREMENT</t>
  </si>
  <si>
    <t>NEXT</t>
  </si>
  <si>
    <t>RETAIL REVENUE BY RATE INCREMENT</t>
  </si>
  <si>
    <t>THOUSAND GALLONS</t>
  </si>
  <si>
    <t>Total Gross Wages</t>
  </si>
  <si>
    <t>COMPONENT</t>
  </si>
  <si>
    <t>LESS ADJUSTMENTS</t>
  </si>
  <si>
    <t>DIFFERENCE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</si>
  <si>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</si>
  <si>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</si>
  <si>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</si>
  <si>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</si>
  <si>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</si>
  <si>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Pension</t>
  </si>
  <si>
    <t>Eligible</t>
  </si>
  <si>
    <t>NET METERED WATER SALES</t>
  </si>
  <si>
    <t>CERS</t>
  </si>
  <si>
    <t>REVENUE REQUIREMENT</t>
  </si>
  <si>
    <t>City of Dawson Springs</t>
  </si>
  <si>
    <t>FY 2023/2024 - 2027/2028</t>
  </si>
  <si>
    <t>FY 2023/2024</t>
  </si>
  <si>
    <t>FY 2024/2025</t>
  </si>
  <si>
    <t>FY 2025/2026</t>
  </si>
  <si>
    <t>FY 2026/2027</t>
  </si>
  <si>
    <t>FY 2027/2028</t>
  </si>
  <si>
    <t>Brian Thomas</t>
  </si>
  <si>
    <t>Neda Adams</t>
  </si>
  <si>
    <t>Keith Watson</t>
  </si>
  <si>
    <t>James Key</t>
  </si>
  <si>
    <t>Jake Morgan</t>
  </si>
  <si>
    <t>Zack Bivins</t>
  </si>
  <si>
    <t>Michael Midkiff</t>
  </si>
  <si>
    <t>Brandon Hayes</t>
  </si>
  <si>
    <t>Justin Horne</t>
  </si>
  <si>
    <t>Jason Asher</t>
  </si>
  <si>
    <t>Monthly Charge</t>
  </si>
  <si>
    <t>Times: 26.79 Percent CERS Rate</t>
  </si>
  <si>
    <t>per Month</t>
  </si>
  <si>
    <t>CURRENT BILLING ANALYSIS WITH 2021-2022 USAGE &amp; EXISTING RATES</t>
  </si>
  <si>
    <t>ALL USAGE</t>
  </si>
  <si>
    <t>WHOLESALE USAGE AND REVENUE</t>
  </si>
  <si>
    <t>UNITS</t>
  </si>
  <si>
    <t>CUBIC FEET*</t>
  </si>
  <si>
    <t>Usage per rate block split for 4,000/6,000 and 14,000/16,000 to create usage for Next 3,000 and Next 15,000</t>
  </si>
  <si>
    <t>Intakes</t>
  </si>
  <si>
    <t>Wells &amp; Springs</t>
  </si>
  <si>
    <t>Galleries &amp; Tunnels</t>
  </si>
  <si>
    <t>Other Source of Supply</t>
  </si>
  <si>
    <t>Other Pumping Plant</t>
  </si>
  <si>
    <t>Fire Mains</t>
  </si>
  <si>
    <t>Meters</t>
  </si>
  <si>
    <t>Stores Equpment</t>
  </si>
  <si>
    <t>Laboratory Equipment</t>
  </si>
  <si>
    <t>Communcation Equipment</t>
  </si>
  <si>
    <t>Tank Painting</t>
  </si>
  <si>
    <t>Transmission Mains</t>
  </si>
  <si>
    <t>Water Line Replacement</t>
  </si>
  <si>
    <t>FROM ANNUAL REPORT</t>
  </si>
  <si>
    <t>Total Operation and Maintenance Expenses</t>
  </si>
  <si>
    <t>Percent Increase Retail Sales</t>
  </si>
  <si>
    <t>Water Operating Expenses from Trial Balance</t>
  </si>
  <si>
    <t>Morehead Utility Plant Board</t>
  </si>
  <si>
    <t xml:space="preserve">Adjusted </t>
  </si>
  <si>
    <t>Water</t>
  </si>
  <si>
    <t>Water Operating Revenues from Trial Balance</t>
  </si>
  <si>
    <t>Water Other Income and Expenses from Trial Balance</t>
  </si>
  <si>
    <t>Other Income</t>
  </si>
  <si>
    <t>Other Expense</t>
  </si>
  <si>
    <t>Total Other Income/Expense</t>
  </si>
  <si>
    <t>Water Maintenance System</t>
  </si>
  <si>
    <t>Administrative Department</t>
  </si>
  <si>
    <t>DEPRECIATION EXPENSE</t>
  </si>
  <si>
    <t>Depreciation</t>
  </si>
  <si>
    <t>Expense</t>
  </si>
  <si>
    <t>Check Totals</t>
  </si>
  <si>
    <t>Additional</t>
  </si>
  <si>
    <t>Check Total</t>
  </si>
  <si>
    <t>Other Expenses</t>
  </si>
  <si>
    <t>Average</t>
  </si>
  <si>
    <t>Annual</t>
  </si>
  <si>
    <t>Allocation</t>
  </si>
  <si>
    <t>Debt Service</t>
  </si>
  <si>
    <t>Sewer</t>
  </si>
  <si>
    <t>Storm</t>
  </si>
  <si>
    <t>Gas</t>
  </si>
  <si>
    <t>Input Coverage Percent</t>
  </si>
  <si>
    <t>CITY WATER RATES</t>
  </si>
  <si>
    <t>First 2,000 Gallons (Minimum Bill)</t>
  </si>
  <si>
    <t>Next 4,000 Gallons</t>
  </si>
  <si>
    <t>Next 20,000 Gallons</t>
  </si>
  <si>
    <t>Next 250,000 Gallons</t>
  </si>
  <si>
    <t>Over 300,000 Gallons</t>
  </si>
  <si>
    <t>COUNTY WATER RATES</t>
  </si>
  <si>
    <t>ROWAN WATER INCORPORATED WATER RATES</t>
  </si>
  <si>
    <t>Capital Costs</t>
  </si>
  <si>
    <t>Meter and Billing Charges</t>
  </si>
  <si>
    <t>Per 1,000 Gallons</t>
  </si>
  <si>
    <t>BATH COUNTY WATER DISTRICT</t>
  </si>
  <si>
    <t>TABLE C.1</t>
  </si>
  <si>
    <t>CURRENT AND PROPOSED RATES (Phase 1)</t>
  </si>
  <si>
    <t>TABLE D.1</t>
  </si>
  <si>
    <t>CURRENT AND PROPOSED BILLS (Phase 1)</t>
  </si>
  <si>
    <t>SCHEDULE OF ADJUSTED OPERATIONS - WATER Phase 1</t>
  </si>
  <si>
    <t>Total Existing Assets</t>
  </si>
  <si>
    <t>New Regional Water Treatment Plant</t>
  </si>
  <si>
    <t>Average Total Debt Service</t>
  </si>
  <si>
    <t>CURRENT AND PROPOSED RATES (Phase 2)</t>
  </si>
  <si>
    <t>TABLE C.2</t>
  </si>
  <si>
    <t>Table A.1</t>
  </si>
  <si>
    <t>Table A.2</t>
  </si>
  <si>
    <t>Table B.1</t>
  </si>
  <si>
    <t>CURRENT AND PROPOSED BILLS (Phase 2)</t>
  </si>
  <si>
    <t>Retail Water Sales</t>
  </si>
  <si>
    <t>Wholesale Water Sales</t>
  </si>
  <si>
    <t>SCHEDULE OF ADJUSTED OPERATIONS - WATER Phase 2</t>
  </si>
  <si>
    <t>DEPRECIATION EXPENSE Phase 1</t>
  </si>
  <si>
    <t>Table B.2</t>
  </si>
  <si>
    <t>TABLE D.2</t>
  </si>
  <si>
    <t>Billing Analysis</t>
  </si>
  <si>
    <t>Company</t>
  </si>
  <si>
    <t>Description</t>
  </si>
  <si>
    <t>Current Amount</t>
  </si>
  <si>
    <t>Rate Class</t>
  </si>
  <si>
    <t>Proposed Amount</t>
  </si>
  <si>
    <t>C1</t>
  </si>
  <si>
    <t>C2</t>
  </si>
  <si>
    <t>City</t>
  </si>
  <si>
    <t>County</t>
  </si>
  <si>
    <t>Revenue Increase</t>
  </si>
  <si>
    <t>Revenue Increase Required</t>
  </si>
  <si>
    <t>Percent Difference</t>
  </si>
  <si>
    <t>Water Rate Code</t>
  </si>
  <si>
    <t>100</t>
  </si>
  <si>
    <t>Landlord City Water</t>
  </si>
  <si>
    <t>101</t>
  </si>
  <si>
    <t>Residential Water</t>
  </si>
  <si>
    <t>101A</t>
  </si>
  <si>
    <t>Res Water (Adj)</t>
  </si>
  <si>
    <t>102</t>
  </si>
  <si>
    <t>Residential County Water</t>
  </si>
  <si>
    <t>103</t>
  </si>
  <si>
    <t>Landlord Co Water</t>
  </si>
  <si>
    <t>201</t>
  </si>
  <si>
    <t>Commercial City Watr</t>
  </si>
  <si>
    <t>202</t>
  </si>
  <si>
    <t>Commercial Co Water</t>
  </si>
  <si>
    <t>203</t>
  </si>
  <si>
    <t>Exempt City Water</t>
  </si>
  <si>
    <t>204</t>
  </si>
  <si>
    <t>Exempt Co Water</t>
  </si>
  <si>
    <t>302</t>
  </si>
  <si>
    <t>Industrial County Water</t>
  </si>
  <si>
    <t>Table E.1</t>
  </si>
  <si>
    <t>Table E.2</t>
  </si>
  <si>
    <t>As of June 30, 2023 Audit</t>
  </si>
  <si>
    <t>Based Upon Water Rate Code Summary July 2022 thru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</si>
</sst>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00_);_(&quot;$&quot;* \(#,##0.0000\);_(&quot;$&quot;* &quot;-&quot;??_);_(@_)"/>
    <numFmt numFmtId="169" formatCode="_(* #,##0.000_);_(* \(#,##0.000\);_(* &quot;-&quot;??_);_(@_)"/>
    <numFmt numFmtId="170" formatCode="_(&quot;$&quot;* #,##0.000_);_(&quot;$&quot;* \(#,##0.000\);_(&quot;$&quot;* &quot;-&quot;??_);_(@_)"/>
  </numFmts>
  <fonts count="43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 val="singleAccounting"/>
      <sz val="11"/>
      <name val="Calibri"/>
      <family val="2"/>
    </font>
    <font>
      <b/>
      <i/>
      <sz val="12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6"/>
      <name val="Times New Roman"/>
      <family val="1"/>
    </font>
    <font>
      <u/>
      <sz val="12"/>
      <name val="Times New Roman"/>
      <family val="1"/>
    </font>
    <font>
      <b/>
      <i/>
      <u/>
      <sz val="14"/>
      <name val="Times New Roman"/>
      <family val="1"/>
    </font>
    <font>
      <u val="singleAccounting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501">
    <xf numFmtId="0" fontId="0" fillId="0" borderId="0" xfId="0"/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5" applyNumberFormat="1" applyFont="1" applyBorder="1"/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Border="1" applyAlignment="1"/>
    <xf numFmtId="43" fontId="3" fillId="0" borderId="0" xfId="1" applyFont="1" applyBorder="1" applyAlignment="1">
      <alignment horizontal="right"/>
    </xf>
    <xf numFmtId="43" fontId="3" fillId="0" borderId="7" xfId="1" applyFont="1" applyBorder="1"/>
    <xf numFmtId="43" fontId="9" fillId="0" borderId="0" xfId="1" applyFont="1" applyBorder="1" applyAlignment="1">
      <alignment horizontal="center"/>
    </xf>
    <xf numFmtId="44" fontId="3" fillId="0" borderId="0" xfId="2" applyFont="1" applyBorder="1" applyAlignment="1"/>
    <xf numFmtId="44" fontId="3" fillId="0" borderId="0" xfId="2" applyFont="1" applyBorder="1" applyAlignment="1">
      <alignment vertical="center"/>
    </xf>
    <xf numFmtId="165" fontId="3" fillId="0" borderId="1" xfId="0" applyNumberFormat="1" applyFont="1" applyBorder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3" fillId="0" borderId="0" xfId="1" applyNumberFormat="1" applyFont="1"/>
    <xf numFmtId="44" fontId="3" fillId="0" borderId="0" xfId="2" applyFont="1" applyBorder="1"/>
    <xf numFmtId="165" fontId="3" fillId="0" borderId="0" xfId="5" quotePrefix="1" applyNumberFormat="1" applyFont="1"/>
    <xf numFmtId="43" fontId="3" fillId="0" borderId="0" xfId="1" applyFont="1" applyBorder="1" applyAlignment="1">
      <alignment horizontal="center"/>
    </xf>
    <xf numFmtId="0" fontId="3" fillId="0" borderId="7" xfId="0" applyFont="1" applyBorder="1"/>
    <xf numFmtId="165" fontId="16" fillId="0" borderId="0" xfId="1" applyNumberFormat="1" applyFont="1"/>
    <xf numFmtId="165" fontId="3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Border="1"/>
    <xf numFmtId="10" fontId="3" fillId="2" borderId="0" xfId="3" applyNumberFormat="1" applyFont="1" applyFill="1" applyBorder="1"/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3" fillId="0" borderId="3" xfId="0" applyFont="1" applyBorder="1"/>
    <xf numFmtId="0" fontId="3" fillId="0" borderId="5" xfId="0" applyFont="1" applyBorder="1"/>
    <xf numFmtId="3" fontId="3" fillId="0" borderId="2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44" fontId="10" fillId="0" borderId="0" xfId="0" applyNumberFormat="1" applyFont="1" applyAlignment="1">
      <alignment horizontal="center"/>
    </xf>
    <xf numFmtId="167" fontId="3" fillId="0" borderId="0" xfId="5" applyNumberFormat="1" applyFont="1" applyAlignment="1"/>
    <xf numFmtId="167" fontId="3" fillId="0" borderId="2" xfId="5" applyNumberFormat="1" applyFont="1" applyBorder="1"/>
    <xf numFmtId="167" fontId="3" fillId="0" borderId="0" xfId="5" applyNumberFormat="1" applyFont="1" applyBorder="1" applyAlignment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5" fontId="7" fillId="0" borderId="0" xfId="5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2" fontId="3" fillId="0" borderId="0" xfId="0" applyNumberFormat="1" applyFont="1"/>
    <xf numFmtId="37" fontId="3" fillId="0" borderId="0" xfId="0" applyNumberFormat="1" applyFont="1" applyAlignment="1">
      <alignment horizontal="center"/>
    </xf>
    <xf numFmtId="165" fontId="3" fillId="0" borderId="0" xfId="1" applyNumberFormat="1" applyFont="1" applyBorder="1" applyAlignment="1"/>
    <xf numFmtId="164" fontId="3" fillId="0" borderId="0" xfId="6" applyNumberFormat="1" applyFont="1" applyBorder="1"/>
    <xf numFmtId="164" fontId="3" fillId="0" borderId="0" xfId="0" applyNumberFormat="1" applyFont="1"/>
    <xf numFmtId="164" fontId="0" fillId="0" borderId="0" xfId="0" applyNumberFormat="1" applyAlignment="1">
      <alignment vertical="top"/>
    </xf>
    <xf numFmtId="10" fontId="0" fillId="0" borderId="0" xfId="3" applyNumberFormat="1" applyFont="1" applyBorder="1" applyAlignment="1">
      <alignment vertical="top"/>
    </xf>
    <xf numFmtId="164" fontId="3" fillId="0" borderId="0" xfId="2" applyNumberFormat="1" applyFont="1" applyBorder="1" applyAlignment="1"/>
    <xf numFmtId="3" fontId="3" fillId="0" borderId="0" xfId="0" applyNumberFormat="1" applyFont="1" applyAlignment="1">
      <alignment horizontal="left"/>
    </xf>
    <xf numFmtId="37" fontId="3" fillId="0" borderId="0" xfId="0" quotePrefix="1" applyNumberFormat="1" applyFont="1"/>
    <xf numFmtId="37" fontId="3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37" fontId="3" fillId="0" borderId="0" xfId="0" applyNumberFormat="1" applyFont="1" applyAlignment="1">
      <alignment horizontal="right"/>
    </xf>
    <xf numFmtId="165" fontId="3" fillId="0" borderId="0" xfId="5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44" fontId="3" fillId="0" borderId="0" xfId="5" applyNumberFormat="1" applyFont="1" applyBorder="1"/>
    <xf numFmtId="3" fontId="3" fillId="0" borderId="0" xfId="0" applyNumberFormat="1" applyFont="1" applyAlignment="1">
      <alignment vertical="top"/>
    </xf>
    <xf numFmtId="44" fontId="3" fillId="0" borderId="0" xfId="0" applyNumberFormat="1" applyFont="1" applyAlignment="1">
      <alignment vertical="top"/>
    </xf>
    <xf numFmtId="164" fontId="9" fillId="0" borderId="0" xfId="2" applyNumberFormat="1" applyFont="1" applyBorder="1" applyAlignment="1"/>
    <xf numFmtId="0" fontId="0" fillId="0" borderId="0" xfId="0" applyAlignment="1">
      <alignment horizontal="right"/>
    </xf>
    <xf numFmtId="167" fontId="3" fillId="0" borderId="0" xfId="5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0" fontId="3" fillId="0" borderId="0" xfId="3" applyNumberFormat="1" applyFont="1" applyBorder="1" applyAlignment="1"/>
    <xf numFmtId="43" fontId="3" fillId="0" borderId="0" xfId="1" applyFont="1" applyBorder="1" applyAlignment="1">
      <alignment vertical="center"/>
    </xf>
    <xf numFmtId="43" fontId="3" fillId="0" borderId="7" xfId="1" applyFont="1" applyBorder="1" applyAlignment="1"/>
    <xf numFmtId="43" fontId="3" fillId="0" borderId="8" xfId="1" applyFont="1" applyBorder="1" applyAlignment="1"/>
    <xf numFmtId="44" fontId="3" fillId="0" borderId="0" xfId="2" applyFont="1" applyBorder="1" applyAlignment="1">
      <alignment horizontal="center"/>
    </xf>
    <xf numFmtId="10" fontId="3" fillId="0" borderId="0" xfId="3" applyNumberFormat="1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10" fontId="3" fillId="0" borderId="1" xfId="3" applyNumberFormat="1" applyFont="1" applyBorder="1" applyAlignment="1">
      <alignment horizontal="center"/>
    </xf>
    <xf numFmtId="44" fontId="3" fillId="0" borderId="0" xfId="2" applyFont="1"/>
    <xf numFmtId="164" fontId="9" fillId="0" borderId="0" xfId="2" applyNumberFormat="1" applyFont="1" applyFill="1" applyBorder="1" applyAlignment="1"/>
    <xf numFmtId="10" fontId="3" fillId="0" borderId="0" xfId="3" applyNumberFormat="1" applyFont="1" applyBorder="1" applyAlignment="1">
      <alignment vertical="top"/>
    </xf>
    <xf numFmtId="3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3" fillId="0" borderId="0" xfId="0" applyNumberFormat="1" applyFont="1" applyAlignment="1">
      <alignment vertical="top"/>
    </xf>
    <xf numFmtId="165" fontId="11" fillId="0" borderId="0" xfId="5" applyNumberFormat="1" applyFont="1" applyBorder="1" applyAlignment="1">
      <alignment horizontal="center" vertical="center"/>
    </xf>
    <xf numFmtId="44" fontId="20" fillId="0" borderId="7" xfId="2" applyFont="1" applyBorder="1" applyAlignment="1">
      <alignment horizontal="center"/>
    </xf>
    <xf numFmtId="44" fontId="20" fillId="0" borderId="0" xfId="2" applyFont="1" applyBorder="1" applyAlignment="1">
      <alignment horizontal="center"/>
    </xf>
    <xf numFmtId="44" fontId="20" fillId="0" borderId="8" xfId="2" applyFont="1" applyBorder="1" applyAlignment="1">
      <alignment horizontal="center"/>
    </xf>
    <xf numFmtId="44" fontId="3" fillId="0" borderId="7" xfId="2" applyFont="1" applyBorder="1" applyAlignment="1">
      <alignment horizontal="right"/>
    </xf>
    <xf numFmtId="0" fontId="21" fillId="0" borderId="0" xfId="0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44" fontId="3" fillId="0" borderId="0" xfId="2" applyFont="1" applyFill="1"/>
    <xf numFmtId="169" fontId="3" fillId="0" borderId="0" xfId="1" applyNumberFormat="1" applyFont="1" applyAlignment="1">
      <alignment horizontal="center" wrapText="1"/>
    </xf>
    <xf numFmtId="44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6" applyNumberFormat="1" applyFont="1" applyFill="1" applyBorder="1"/>
    <xf numFmtId="164" fontId="3" fillId="0" borderId="1" xfId="2" applyNumberFormat="1" applyFont="1" applyFill="1" applyBorder="1" applyAlignment="1"/>
    <xf numFmtId="165" fontId="3" fillId="0" borderId="1" xfId="1" applyNumberFormat="1" applyFont="1" applyBorder="1" applyAlignment="1"/>
    <xf numFmtId="168" fontId="3" fillId="0" borderId="0" xfId="2" applyNumberFormat="1" applyFont="1" applyBorder="1" applyAlignment="1"/>
    <xf numFmtId="44" fontId="3" fillId="0" borderId="0" xfId="3" applyNumberFormat="1" applyFont="1" applyBorder="1" applyAlignment="1"/>
    <xf numFmtId="10" fontId="3" fillId="0" borderId="0" xfId="3" applyNumberFormat="1" applyFont="1" applyBorder="1" applyAlignment="1">
      <alignment horizontal="right"/>
    </xf>
    <xf numFmtId="37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164" fontId="3" fillId="0" borderId="0" xfId="5" applyNumberFormat="1" applyFont="1" applyBorder="1"/>
    <xf numFmtId="165" fontId="3" fillId="0" borderId="1" xfId="5" applyNumberFormat="1" applyFont="1" applyBorder="1"/>
    <xf numFmtId="164" fontId="3" fillId="0" borderId="1" xfId="2" applyNumberFormat="1" applyFont="1" applyBorder="1" applyAlignment="1"/>
    <xf numFmtId="37" fontId="3" fillId="0" borderId="0" xfId="0" applyNumberFormat="1" applyFont="1" applyAlignment="1">
      <alignment horizontal="right" indent="1"/>
    </xf>
    <xf numFmtId="165" fontId="3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0" fontId="3" fillId="0" borderId="1" xfId="0" applyFont="1" applyBorder="1"/>
    <xf numFmtId="0" fontId="21" fillId="0" borderId="0" xfId="0" applyFont="1" applyAlignment="1">
      <alignment horizontal="right"/>
    </xf>
    <xf numFmtId="0" fontId="22" fillId="0" borderId="0" xfId="0" applyFont="1"/>
    <xf numFmtId="43" fontId="3" fillId="0" borderId="1" xfId="1" applyFont="1" applyFill="1" applyBorder="1"/>
    <xf numFmtId="44" fontId="3" fillId="3" borderId="0" xfId="2" applyFont="1" applyFill="1" applyAlignment="1">
      <alignment horizontal="center"/>
    </xf>
    <xf numFmtId="43" fontId="3" fillId="0" borderId="0" xfId="1" applyFont="1" applyAlignment="1">
      <alignment vertical="center"/>
    </xf>
    <xf numFmtId="165" fontId="8" fillId="0" borderId="0" xfId="1" applyNumberFormat="1" applyFont="1" applyAlignment="1">
      <alignment vertical="center"/>
    </xf>
    <xf numFmtId="43" fontId="3" fillId="2" borderId="7" xfId="1" applyFont="1" applyFill="1" applyBorder="1"/>
    <xf numFmtId="0" fontId="29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39" fontId="26" fillId="0" borderId="1" xfId="1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4" fillId="0" borderId="0" xfId="0" applyFont="1"/>
    <xf numFmtId="39" fontId="24" fillId="0" borderId="0" xfId="0" applyNumberFormat="1" applyFont="1"/>
    <xf numFmtId="9" fontId="25" fillId="0" borderId="0" xfId="3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 applyAlignment="1">
      <alignment wrapText="1"/>
    </xf>
    <xf numFmtId="43" fontId="25" fillId="0" borderId="1" xfId="1" applyFont="1" applyFill="1" applyBorder="1" applyAlignment="1">
      <alignment horizontal="right"/>
    </xf>
    <xf numFmtId="39" fontId="25" fillId="0" borderId="1" xfId="1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0" xfId="0" applyFont="1" applyAlignment="1">
      <alignment horizontal="left" wrapText="1"/>
    </xf>
    <xf numFmtId="43" fontId="24" fillId="0" borderId="0" xfId="1" applyFont="1" applyFill="1" applyBorder="1" applyAlignment="1">
      <alignment horizontal="right"/>
    </xf>
    <xf numFmtId="39" fontId="24" fillId="0" borderId="0" xfId="1" applyNumberFormat="1" applyFont="1" applyFill="1" applyBorder="1" applyAlignment="1">
      <alignment horizontal="right"/>
    </xf>
    <xf numFmtId="43" fontId="24" fillId="0" borderId="0" xfId="0" applyNumberFormat="1" applyFont="1"/>
    <xf numFmtId="43" fontId="24" fillId="0" borderId="1" xfId="1" applyFont="1" applyFill="1" applyBorder="1" applyAlignment="1">
      <alignment horizontal="right"/>
    </xf>
    <xf numFmtId="39" fontId="24" fillId="0" borderId="1" xfId="0" applyNumberFormat="1" applyFont="1" applyBorder="1"/>
    <xf numFmtId="43" fontId="24" fillId="0" borderId="1" xfId="0" applyNumberFormat="1" applyFont="1" applyBorder="1"/>
    <xf numFmtId="0" fontId="24" fillId="0" borderId="0" xfId="0" applyFont="1" applyAlignment="1">
      <alignment horizontal="center"/>
    </xf>
    <xf numFmtId="165" fontId="3" fillId="0" borderId="1" xfId="1" applyNumberFormat="1" applyFont="1" applyBorder="1" applyAlignment="1">
      <alignment vertical="center"/>
    </xf>
    <xf numFmtId="37" fontId="3" fillId="0" borderId="0" xfId="1" applyNumberFormat="1" applyFont="1" applyAlignment="1">
      <alignment horizontal="right" vertical="center" wrapText="1"/>
    </xf>
    <xf numFmtId="37" fontId="8" fillId="0" borderId="0" xfId="1" applyNumberFormat="1" applyFont="1" applyAlignment="1">
      <alignment horizontal="right" vertical="center" wrapText="1"/>
    </xf>
    <xf numFmtId="37" fontId="3" fillId="0" borderId="1" xfId="1" applyNumberFormat="1" applyFont="1" applyBorder="1" applyAlignment="1">
      <alignment horizontal="right" vertical="center" wrapText="1"/>
    </xf>
    <xf numFmtId="37" fontId="3" fillId="0" borderId="0" xfId="1" applyNumberFormat="1" applyFont="1" applyAlignment="1">
      <alignment horizontal="right" wrapText="1"/>
    </xf>
    <xf numFmtId="37" fontId="3" fillId="0" borderId="0" xfId="1" applyNumberFormat="1" applyFont="1" applyFill="1" applyAlignment="1">
      <alignment horizontal="right" wrapText="1"/>
    </xf>
    <xf numFmtId="37" fontId="3" fillId="0" borderId="1" xfId="1" applyNumberFormat="1" applyFont="1" applyBorder="1" applyAlignment="1">
      <alignment horizontal="right" wrapText="1"/>
    </xf>
    <xf numFmtId="39" fontId="3" fillId="0" borderId="0" xfId="0" applyNumberFormat="1" applyFont="1"/>
    <xf numFmtId="39" fontId="26" fillId="0" borderId="0" xfId="3" applyNumberFormat="1" applyFont="1" applyBorder="1" applyAlignment="1">
      <alignment horizontal="right"/>
    </xf>
    <xf numFmtId="39" fontId="26" fillId="0" borderId="0" xfId="0" applyNumberFormat="1" applyFont="1" applyAlignment="1">
      <alignment horizontal="right"/>
    </xf>
    <xf numFmtId="39" fontId="26" fillId="0" borderId="1" xfId="0" applyNumberFormat="1" applyFont="1" applyBorder="1" applyAlignment="1">
      <alignment horizontal="right"/>
    </xf>
    <xf numFmtId="39" fontId="28" fillId="0" borderId="0" xfId="1" applyNumberFormat="1" applyFont="1"/>
    <xf numFmtId="39" fontId="28" fillId="0" borderId="1" xfId="1" applyNumberFormat="1" applyFont="1" applyBorder="1"/>
    <xf numFmtId="39" fontId="3" fillId="0" borderId="1" xfId="0" applyNumberFormat="1" applyFont="1" applyBorder="1"/>
    <xf numFmtId="165" fontId="3" fillId="0" borderId="1" xfId="1" applyNumberFormat="1" applyFont="1" applyFill="1" applyBorder="1" applyAlignment="1">
      <alignment vertical="center"/>
    </xf>
    <xf numFmtId="43" fontId="3" fillId="0" borderId="2" xfId="1" applyFont="1" applyBorder="1" applyAlignment="1">
      <alignment horizontal="right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43" fontId="7" fillId="0" borderId="1" xfId="1" applyFont="1" applyBorder="1" applyAlignment="1">
      <alignment horizontal="right"/>
    </xf>
    <xf numFmtId="43" fontId="0" fillId="0" borderId="0" xfId="1" applyFont="1"/>
    <xf numFmtId="43" fontId="21" fillId="0" borderId="0" xfId="1" applyFont="1" applyAlignment="1">
      <alignment horizontal="right"/>
    </xf>
    <xf numFmtId="43" fontId="22" fillId="0" borderId="0" xfId="1" applyFont="1" applyAlignment="1">
      <alignment horizontal="right"/>
    </xf>
    <xf numFmtId="43" fontId="21" fillId="0" borderId="0" xfId="1" applyFont="1" applyBorder="1" applyAlignment="1">
      <alignment horizontal="right"/>
    </xf>
    <xf numFmtId="39" fontId="25" fillId="0" borderId="0" xfId="1" applyNumberFormat="1" applyFont="1" applyFill="1" applyBorder="1" applyAlignment="1">
      <alignment horizontal="right"/>
    </xf>
    <xf numFmtId="39" fontId="26" fillId="0" borderId="0" xfId="1" applyNumberFormat="1" applyFont="1" applyAlignment="1">
      <alignment horizontal="right"/>
    </xf>
    <xf numFmtId="0" fontId="7" fillId="0" borderId="0" xfId="0" applyFont="1"/>
    <xf numFmtId="165" fontId="3" fillId="0" borderId="0" xfId="1" applyNumberFormat="1" applyFont="1" applyFill="1" applyAlignment="1">
      <alignment vertical="center"/>
    </xf>
    <xf numFmtId="165" fontId="21" fillId="0" borderId="0" xfId="5" applyNumberFormat="1" applyFont="1" applyFill="1" applyBorder="1"/>
    <xf numFmtId="165" fontId="21" fillId="0" borderId="0" xfId="5" applyNumberFormat="1" applyFont="1" applyFill="1" applyBorder="1" applyAlignment="1">
      <alignment horizontal="right"/>
    </xf>
    <xf numFmtId="37" fontId="21" fillId="0" borderId="0" xfId="5" applyNumberFormat="1" applyFont="1" applyFill="1" applyBorder="1"/>
    <xf numFmtId="9" fontId="21" fillId="0" borderId="0" xfId="3" applyFont="1" applyFill="1" applyBorder="1" applyAlignment="1">
      <alignment horizontal="right"/>
    </xf>
    <xf numFmtId="9" fontId="24" fillId="0" borderId="0" xfId="3" applyFont="1" applyFill="1" applyBorder="1" applyAlignment="1">
      <alignment horizontal="right"/>
    </xf>
    <xf numFmtId="165" fontId="21" fillId="0" borderId="3" xfId="5" applyNumberFormat="1" applyFont="1" applyFill="1" applyBorder="1"/>
    <xf numFmtId="165" fontId="21" fillId="0" borderId="2" xfId="5" applyNumberFormat="1" applyFont="1" applyFill="1" applyBorder="1" applyAlignment="1">
      <alignment horizontal="right"/>
    </xf>
    <xf numFmtId="165" fontId="21" fillId="0" borderId="4" xfId="5" applyNumberFormat="1" applyFont="1" applyFill="1" applyBorder="1"/>
    <xf numFmtId="165" fontId="22" fillId="0" borderId="0" xfId="5" applyNumberFormat="1" applyFont="1" applyFill="1" applyBorder="1" applyAlignment="1">
      <alignment horizontal="right"/>
    </xf>
    <xf numFmtId="165" fontId="21" fillId="0" borderId="8" xfId="5" applyNumberFormat="1" applyFont="1" applyFill="1" applyBorder="1"/>
    <xf numFmtId="165" fontId="32" fillId="0" borderId="0" xfId="5" applyNumberFormat="1" applyFont="1" applyFill="1" applyBorder="1" applyAlignment="1">
      <alignment horizontal="right"/>
    </xf>
    <xf numFmtId="165" fontId="21" fillId="0" borderId="7" xfId="5" applyNumberFormat="1" applyFont="1" applyFill="1" applyBorder="1" applyAlignment="1">
      <alignment horizontal="centerContinuous"/>
    </xf>
    <xf numFmtId="165" fontId="21" fillId="0" borderId="9" xfId="5" applyNumberFormat="1" applyFont="1" applyFill="1" applyBorder="1" applyAlignment="1">
      <alignment horizontal="left"/>
    </xf>
    <xf numFmtId="165" fontId="21" fillId="0" borderId="3" xfId="5" applyNumberFormat="1" applyFont="1" applyFill="1" applyBorder="1" applyAlignment="1">
      <alignment horizontal="right"/>
    </xf>
    <xf numFmtId="165" fontId="21" fillId="0" borderId="4" xfId="5" applyNumberFormat="1" applyFont="1" applyFill="1" applyBorder="1" applyAlignment="1">
      <alignment horizontal="right"/>
    </xf>
    <xf numFmtId="165" fontId="21" fillId="0" borderId="10" xfId="5" applyNumberFormat="1" applyFont="1" applyFill="1" applyBorder="1"/>
    <xf numFmtId="165" fontId="35" fillId="0" borderId="0" xfId="5" applyNumberFormat="1" applyFont="1" applyFill="1" applyBorder="1" applyAlignment="1">
      <alignment horizontal="right" vertical="center"/>
    </xf>
    <xf numFmtId="165" fontId="22" fillId="0" borderId="8" xfId="5" applyNumberFormat="1" applyFont="1" applyFill="1" applyBorder="1" applyAlignment="1">
      <alignment horizontal="right" vertical="center"/>
    </xf>
    <xf numFmtId="165" fontId="22" fillId="0" borderId="0" xfId="5" applyNumberFormat="1" applyFont="1" applyFill="1" applyBorder="1" applyAlignment="1">
      <alignment horizontal="right" vertical="center"/>
    </xf>
    <xf numFmtId="9" fontId="22" fillId="0" borderId="0" xfId="3" applyFont="1" applyFill="1" applyBorder="1" applyAlignment="1">
      <alignment horizontal="right"/>
    </xf>
    <xf numFmtId="165" fontId="35" fillId="0" borderId="8" xfId="5" applyNumberFormat="1" applyFont="1" applyFill="1" applyBorder="1" applyAlignment="1">
      <alignment horizontal="right" vertical="center"/>
    </xf>
    <xf numFmtId="37" fontId="21" fillId="0" borderId="7" xfId="5" applyNumberFormat="1" applyFont="1" applyFill="1" applyBorder="1" applyAlignment="1">
      <alignment horizontal="right"/>
    </xf>
    <xf numFmtId="37" fontId="21" fillId="0" borderId="0" xfId="5" quotePrefix="1" applyNumberFormat="1" applyFont="1" applyFill="1" applyBorder="1" applyAlignment="1">
      <alignment horizontal="right"/>
    </xf>
    <xf numFmtId="166" fontId="21" fillId="0" borderId="0" xfId="3" applyNumberFormat="1" applyFont="1" applyFill="1" applyBorder="1" applyAlignment="1">
      <alignment horizontal="right"/>
    </xf>
    <xf numFmtId="165" fontId="21" fillId="0" borderId="6" xfId="5" applyNumberFormat="1" applyFont="1" applyFill="1" applyBorder="1"/>
    <xf numFmtId="37" fontId="21" fillId="0" borderId="1" xfId="5" applyNumberFormat="1" applyFont="1" applyFill="1" applyBorder="1"/>
    <xf numFmtId="165" fontId="22" fillId="0" borderId="7" xfId="5" applyNumberFormat="1" applyFont="1" applyFill="1" applyBorder="1" applyAlignment="1">
      <alignment horizontal="center"/>
    </xf>
    <xf numFmtId="37" fontId="22" fillId="0" borderId="7" xfId="5" quotePrefix="1" applyNumberFormat="1" applyFont="1" applyFill="1" applyBorder="1" applyAlignment="1">
      <alignment horizontal="right"/>
    </xf>
    <xf numFmtId="37" fontId="22" fillId="0" borderId="8" xfId="5" quotePrefix="1" applyNumberFormat="1" applyFont="1" applyFill="1" applyBorder="1" applyAlignment="1">
      <alignment horizontal="right"/>
    </xf>
    <xf numFmtId="37" fontId="22" fillId="0" borderId="0" xfId="5" quotePrefix="1" applyNumberFormat="1" applyFont="1" applyFill="1" applyBorder="1" applyAlignment="1">
      <alignment horizontal="right"/>
    </xf>
    <xf numFmtId="37" fontId="22" fillId="0" borderId="0" xfId="5" applyNumberFormat="1" applyFont="1" applyFill="1" applyBorder="1"/>
    <xf numFmtId="165" fontId="22" fillId="0" borderId="11" xfId="5" applyNumberFormat="1" applyFont="1" applyFill="1" applyBorder="1" applyAlignment="1">
      <alignment horizontal="right"/>
    </xf>
    <xf numFmtId="39" fontId="22" fillId="0" borderId="5" xfId="5" applyNumberFormat="1" applyFont="1" applyFill="1" applyBorder="1" applyAlignment="1">
      <alignment horizontal="right"/>
    </xf>
    <xf numFmtId="39" fontId="22" fillId="0" borderId="1" xfId="5" applyNumberFormat="1" applyFont="1" applyFill="1" applyBorder="1" applyAlignment="1">
      <alignment horizontal="right"/>
    </xf>
    <xf numFmtId="39" fontId="22" fillId="0" borderId="6" xfId="5" applyNumberFormat="1" applyFont="1" applyFill="1" applyBorder="1" applyAlignment="1">
      <alignment horizontal="right"/>
    </xf>
    <xf numFmtId="39" fontId="22" fillId="0" borderId="8" xfId="5" applyNumberFormat="1" applyFont="1" applyFill="1" applyBorder="1" applyAlignment="1">
      <alignment horizontal="right"/>
    </xf>
    <xf numFmtId="165" fontId="22" fillId="0" borderId="7" xfId="5" applyNumberFormat="1" applyFont="1" applyFill="1" applyBorder="1" applyAlignment="1">
      <alignment horizontal="right"/>
    </xf>
    <xf numFmtId="165" fontId="22" fillId="0" borderId="2" xfId="5" applyNumberFormat="1" applyFont="1" applyFill="1" applyBorder="1" applyAlignment="1">
      <alignment horizontal="right"/>
    </xf>
    <xf numFmtId="165" fontId="22" fillId="0" borderId="7" xfId="5" applyNumberFormat="1" applyFont="1" applyFill="1" applyBorder="1"/>
    <xf numFmtId="164" fontId="22" fillId="0" borderId="0" xfId="6" applyNumberFormat="1" applyFont="1" applyFill="1" applyBorder="1" applyAlignment="1">
      <alignment horizontal="right"/>
    </xf>
    <xf numFmtId="165" fontId="21" fillId="0" borderId="7" xfId="5" applyNumberFormat="1" applyFont="1" applyFill="1" applyBorder="1"/>
    <xf numFmtId="164" fontId="21" fillId="0" borderId="0" xfId="6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5" fontId="21" fillId="0" borderId="5" xfId="5" applyNumberFormat="1" applyFont="1" applyFill="1" applyBorder="1" applyAlignment="1">
      <alignment horizontal="center"/>
    </xf>
    <xf numFmtId="165" fontId="21" fillId="0" borderId="1" xfId="5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37" fontId="24" fillId="0" borderId="0" xfId="0" applyNumberFormat="1" applyFont="1" applyAlignment="1">
      <alignment horizontal="right"/>
    </xf>
    <xf numFmtId="37" fontId="24" fillId="0" borderId="0" xfId="0" applyNumberFormat="1" applyFont="1"/>
    <xf numFmtId="9" fontId="24" fillId="0" borderId="0" xfId="3" applyFont="1" applyFill="1" applyBorder="1" applyAlignment="1">
      <alignment horizontal="left"/>
    </xf>
    <xf numFmtId="37" fontId="21" fillId="0" borderId="5" xfId="5" applyNumberFormat="1" applyFont="1" applyFill="1" applyBorder="1" applyAlignment="1">
      <alignment horizontal="right"/>
    </xf>
    <xf numFmtId="37" fontId="21" fillId="0" borderId="11" xfId="5" applyNumberFormat="1" applyFont="1" applyFill="1" applyBorder="1" applyAlignment="1">
      <alignment horizontal="right"/>
    </xf>
    <xf numFmtId="37" fontId="21" fillId="0" borderId="10" xfId="5" applyNumberFormat="1" applyFont="1" applyFill="1" applyBorder="1" applyAlignment="1">
      <alignment horizontal="right"/>
    </xf>
    <xf numFmtId="37" fontId="22" fillId="0" borderId="1" xfId="5" applyNumberFormat="1" applyFont="1" applyFill="1" applyBorder="1" applyAlignment="1">
      <alignment horizontal="right"/>
    </xf>
    <xf numFmtId="9" fontId="22" fillId="0" borderId="1" xfId="3" applyFont="1" applyFill="1" applyBorder="1" applyAlignment="1">
      <alignment horizontal="right"/>
    </xf>
    <xf numFmtId="44" fontId="20" fillId="0" borderId="2" xfId="2" applyFont="1" applyBorder="1" applyAlignment="1">
      <alignment horizontal="center"/>
    </xf>
    <xf numFmtId="44" fontId="20" fillId="0" borderId="4" xfId="2" applyFont="1" applyBorder="1" applyAlignment="1">
      <alignment horizontal="center"/>
    </xf>
    <xf numFmtId="44" fontId="9" fillId="0" borderId="0" xfId="2" applyFont="1" applyBorder="1" applyAlignment="1">
      <alignment horizontal="right"/>
    </xf>
    <xf numFmtId="44" fontId="3" fillId="0" borderId="5" xfId="2" applyFont="1" applyBorder="1" applyAlignment="1">
      <alignment horizontal="right"/>
    </xf>
    <xf numFmtId="44" fontId="3" fillId="0" borderId="1" xfId="2" applyFont="1" applyBorder="1" applyAlignment="1">
      <alignment vertical="center"/>
    </xf>
    <xf numFmtId="44" fontId="20" fillId="0" borderId="6" xfId="2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170" fontId="3" fillId="0" borderId="0" xfId="2" applyNumberFormat="1" applyFont="1" applyBorder="1" applyAlignment="1">
      <alignment horizontal="center"/>
    </xf>
    <xf numFmtId="43" fontId="3" fillId="0" borderId="3" xfId="1" applyFont="1" applyBorder="1" applyAlignment="1"/>
    <xf numFmtId="43" fontId="3" fillId="0" borderId="4" xfId="1" applyFont="1" applyBorder="1" applyAlignment="1"/>
    <xf numFmtId="44" fontId="3" fillId="0" borderId="3" xfId="2" applyFont="1" applyBorder="1" applyAlignment="1">
      <alignment horizontal="right"/>
    </xf>
    <xf numFmtId="170" fontId="3" fillId="0" borderId="1" xfId="2" applyNumberFormat="1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2" xfId="2" applyFont="1" applyBorder="1" applyAlignment="1">
      <alignment vertical="center"/>
    </xf>
    <xf numFmtId="10" fontId="3" fillId="0" borderId="2" xfId="3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4" fontId="3" fillId="0" borderId="2" xfId="2" applyFont="1" applyBorder="1" applyAlignment="1"/>
    <xf numFmtId="43" fontId="3" fillId="0" borderId="7" xfId="1" applyFont="1" applyFill="1" applyBorder="1"/>
    <xf numFmtId="43" fontId="24" fillId="0" borderId="0" xfId="2" applyNumberFormat="1" applyFont="1"/>
    <xf numFmtId="43" fontId="25" fillId="0" borderId="0" xfId="2" applyNumberFormat="1" applyFont="1" applyFill="1" applyBorder="1" applyAlignment="1">
      <alignment horizontal="right"/>
    </xf>
    <xf numFmtId="43" fontId="25" fillId="0" borderId="0" xfId="2" applyNumberFormat="1" applyFont="1" applyAlignment="1">
      <alignment horizontal="right"/>
    </xf>
    <xf numFmtId="43" fontId="25" fillId="0" borderId="1" xfId="2" applyNumberFormat="1" applyFont="1" applyFill="1" applyBorder="1" applyAlignment="1">
      <alignment horizontal="right"/>
    </xf>
    <xf numFmtId="43" fontId="25" fillId="0" borderId="1" xfId="2" applyNumberFormat="1" applyFont="1" applyBorder="1" applyAlignment="1">
      <alignment horizontal="right"/>
    </xf>
    <xf numFmtId="43" fontId="24" fillId="0" borderId="12" xfId="2" applyNumberFormat="1" applyFont="1" applyFill="1" applyBorder="1" applyAlignment="1">
      <alignment horizontal="right"/>
    </xf>
    <xf numFmtId="43" fontId="27" fillId="0" borderId="12" xfId="2" applyNumberFormat="1" applyFont="1" applyBorder="1"/>
    <xf numFmtId="43" fontId="24" fillId="0" borderId="12" xfId="2" applyNumberFormat="1" applyFont="1" applyBorder="1"/>
    <xf numFmtId="43" fontId="24" fillId="0" borderId="0" xfId="2" applyNumberFormat="1" applyFont="1" applyFill="1" applyBorder="1" applyAlignment="1">
      <alignment horizontal="right"/>
    </xf>
    <xf numFmtId="43" fontId="24" fillId="0" borderId="0" xfId="2" applyNumberFormat="1" applyFont="1" applyFill="1" applyBorder="1" applyAlignment="1"/>
    <xf numFmtId="43" fontId="27" fillId="0" borderId="0" xfId="2" applyNumberFormat="1" applyFont="1"/>
    <xf numFmtId="43" fontId="24" fillId="0" borderId="1" xfId="2" applyNumberFormat="1" applyFont="1" applyFill="1" applyBorder="1" applyAlignment="1">
      <alignment horizontal="right"/>
    </xf>
    <xf numFmtId="43" fontId="27" fillId="0" borderId="1" xfId="2" applyNumberFormat="1" applyFont="1" applyBorder="1"/>
    <xf numFmtId="43" fontId="24" fillId="0" borderId="1" xfId="2" applyNumberFormat="1" applyFont="1" applyBorder="1"/>
    <xf numFmtId="43" fontId="24" fillId="0" borderId="0" xfId="2" applyNumberFormat="1" applyFont="1" applyAlignment="1">
      <alignment horizontal="right"/>
    </xf>
    <xf numFmtId="43" fontId="24" fillId="0" borderId="0" xfId="2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170" fontId="3" fillId="0" borderId="1" xfId="2" applyNumberFormat="1" applyFont="1" applyBorder="1" applyAlignment="1">
      <alignment vertical="center"/>
    </xf>
    <xf numFmtId="37" fontId="21" fillId="0" borderId="7" xfId="5" applyNumberFormat="1" applyFont="1" applyFill="1" applyBorder="1" applyAlignment="1">
      <alignment horizontal="left"/>
    </xf>
    <xf numFmtId="37" fontId="21" fillId="0" borderId="5" xfId="5" applyNumberFormat="1" applyFont="1" applyFill="1" applyBorder="1" applyAlignment="1">
      <alignment horizontal="left"/>
    </xf>
    <xf numFmtId="37" fontId="21" fillId="0" borderId="5" xfId="5" quotePrefix="1" applyNumberFormat="1" applyFont="1" applyFill="1" applyBorder="1" applyAlignment="1">
      <alignment horizontal="right"/>
    </xf>
    <xf numFmtId="37" fontId="21" fillId="0" borderId="3" xfId="5" applyNumberFormat="1" applyFont="1" applyFill="1" applyBorder="1"/>
    <xf numFmtId="37" fontId="21" fillId="0" borderId="2" xfId="5" applyNumberFormat="1" applyFont="1" applyFill="1" applyBorder="1"/>
    <xf numFmtId="37" fontId="21" fillId="0" borderId="4" xfId="5" applyNumberFormat="1" applyFont="1" applyFill="1" applyBorder="1"/>
    <xf numFmtId="37" fontId="22" fillId="0" borderId="7" xfId="5" applyNumberFormat="1" applyFont="1" applyFill="1" applyBorder="1" applyAlignment="1">
      <alignment horizontal="right"/>
    </xf>
    <xf numFmtId="37" fontId="21" fillId="0" borderId="8" xfId="5" applyNumberFormat="1" applyFont="1" applyFill="1" applyBorder="1"/>
    <xf numFmtId="37" fontId="22" fillId="0" borderId="5" xfId="5" applyNumberFormat="1" applyFont="1" applyFill="1" applyBorder="1" applyAlignment="1">
      <alignment horizontal="right"/>
    </xf>
    <xf numFmtId="37" fontId="22" fillId="0" borderId="6" xfId="5" applyNumberFormat="1" applyFont="1" applyFill="1" applyBorder="1" applyAlignment="1">
      <alignment horizontal="right"/>
    </xf>
    <xf numFmtId="37" fontId="21" fillId="0" borderId="7" xfId="5" applyNumberFormat="1" applyFont="1" applyFill="1" applyBorder="1"/>
    <xf numFmtId="37" fontId="21" fillId="0" borderId="5" xfId="5" applyNumberFormat="1" applyFont="1" applyFill="1" applyBorder="1"/>
    <xf numFmtId="37" fontId="21" fillId="0" borderId="6" xfId="5" applyNumberFormat="1" applyFont="1" applyFill="1" applyBorder="1"/>
    <xf numFmtId="37" fontId="22" fillId="0" borderId="7" xfId="5" applyNumberFormat="1" applyFont="1" applyFill="1" applyBorder="1"/>
    <xf numFmtId="37" fontId="22" fillId="0" borderId="8" xfId="5" applyNumberFormat="1" applyFont="1" applyFill="1" applyBorder="1"/>
    <xf numFmtId="164" fontId="22" fillId="0" borderId="7" xfId="2" applyNumberFormat="1" applyFont="1" applyFill="1" applyBorder="1"/>
    <xf numFmtId="164" fontId="22" fillId="0" borderId="0" xfId="2" applyNumberFormat="1" applyFont="1" applyFill="1" applyBorder="1"/>
    <xf numFmtId="164" fontId="22" fillId="0" borderId="8" xfId="2" applyNumberFormat="1" applyFont="1" applyFill="1" applyBorder="1"/>
    <xf numFmtId="9" fontId="21" fillId="0" borderId="3" xfId="3" applyFont="1" applyFill="1" applyBorder="1" applyAlignment="1">
      <alignment horizontal="right"/>
    </xf>
    <xf numFmtId="9" fontId="24" fillId="0" borderId="2" xfId="3" applyFont="1" applyFill="1" applyBorder="1" applyAlignment="1">
      <alignment horizontal="right"/>
    </xf>
    <xf numFmtId="9" fontId="24" fillId="0" borderId="4" xfId="3" applyFont="1" applyFill="1" applyBorder="1" applyAlignment="1">
      <alignment horizontal="right"/>
    </xf>
    <xf numFmtId="9" fontId="21" fillId="0" borderId="7" xfId="3" applyFont="1" applyFill="1" applyBorder="1" applyAlignment="1">
      <alignment horizontal="right"/>
    </xf>
    <xf numFmtId="9" fontId="24" fillId="0" borderId="8" xfId="3" applyFont="1" applyFill="1" applyBorder="1" applyAlignment="1">
      <alignment horizontal="right"/>
    </xf>
    <xf numFmtId="9" fontId="22" fillId="0" borderId="7" xfId="3" applyFont="1" applyFill="1" applyBorder="1" applyAlignment="1">
      <alignment horizontal="right"/>
    </xf>
    <xf numFmtId="9" fontId="22" fillId="0" borderId="8" xfId="3" applyFont="1" applyFill="1" applyBorder="1" applyAlignment="1">
      <alignment horizontal="right"/>
    </xf>
    <xf numFmtId="9" fontId="22" fillId="0" borderId="5" xfId="3" applyFont="1" applyFill="1" applyBorder="1" applyAlignment="1">
      <alignment horizontal="right"/>
    </xf>
    <xf numFmtId="9" fontId="22" fillId="0" borderId="6" xfId="3" applyFont="1" applyFill="1" applyBorder="1" applyAlignment="1">
      <alignment horizontal="right"/>
    </xf>
    <xf numFmtId="166" fontId="21" fillId="0" borderId="7" xfId="3" applyNumberFormat="1" applyFont="1" applyFill="1" applyBorder="1" applyAlignment="1">
      <alignment horizontal="right"/>
    </xf>
    <xf numFmtId="166" fontId="21" fillId="0" borderId="8" xfId="3" applyNumberFormat="1" applyFont="1" applyFill="1" applyBorder="1" applyAlignment="1">
      <alignment horizontal="right"/>
    </xf>
    <xf numFmtId="9" fontId="21" fillId="0" borderId="5" xfId="3" applyFont="1" applyFill="1" applyBorder="1" applyAlignment="1">
      <alignment horizontal="right"/>
    </xf>
    <xf numFmtId="9" fontId="24" fillId="0" borderId="1" xfId="3" applyFont="1" applyFill="1" applyBorder="1" applyAlignment="1">
      <alignment horizontal="right"/>
    </xf>
    <xf numFmtId="9" fontId="24" fillId="0" borderId="6" xfId="3" applyFont="1" applyFill="1" applyBorder="1" applyAlignment="1">
      <alignment horizontal="right"/>
    </xf>
    <xf numFmtId="43" fontId="3" fillId="0" borderId="1" xfId="1" applyFont="1" applyBorder="1" applyAlignment="1">
      <alignment horizontal="right"/>
    </xf>
    <xf numFmtId="37" fontId="21" fillId="4" borderId="9" xfId="5" applyNumberFormat="1" applyFont="1" applyFill="1" applyBorder="1"/>
    <xf numFmtId="164" fontId="22" fillId="4" borderId="10" xfId="2" applyNumberFormat="1" applyFont="1" applyFill="1" applyBorder="1"/>
    <xf numFmtId="164" fontId="24" fillId="0" borderId="0" xfId="2" applyNumberFormat="1" applyFont="1" applyAlignment="1">
      <alignment horizontal="right"/>
    </xf>
    <xf numFmtId="165" fontId="22" fillId="0" borderId="1" xfId="5" applyNumberFormat="1" applyFont="1" applyFill="1" applyBorder="1" applyAlignment="1">
      <alignment horizontal="right"/>
    </xf>
    <xf numFmtId="164" fontId="22" fillId="0" borderId="1" xfId="2" applyNumberFormat="1" applyFont="1" applyFill="1" applyBorder="1" applyAlignment="1">
      <alignment horizontal="right"/>
    </xf>
    <xf numFmtId="43" fontId="24" fillId="0" borderId="0" xfId="1" applyFont="1" applyAlignment="1">
      <alignment horizontal="right"/>
    </xf>
    <xf numFmtId="43" fontId="24" fillId="0" borderId="0" xfId="0" applyNumberFormat="1" applyFont="1" applyAlignment="1">
      <alignment horizontal="right"/>
    </xf>
    <xf numFmtId="37" fontId="3" fillId="0" borderId="0" xfId="1" applyNumberFormat="1" applyFont="1" applyFill="1" applyAlignment="1">
      <alignment horizontal="right" vertical="center" wrapText="1"/>
    </xf>
    <xf numFmtId="10" fontId="3" fillId="0" borderId="0" xfId="3" applyNumberFormat="1" applyFont="1" applyFill="1" applyAlignment="1">
      <alignment horizontal="right" vertical="center" wrapText="1"/>
    </xf>
    <xf numFmtId="165" fontId="21" fillId="0" borderId="5" xfId="5" applyNumberFormat="1" applyFont="1" applyFill="1" applyBorder="1" applyAlignment="1">
      <alignment horizontal="centerContinuous"/>
    </xf>
    <xf numFmtId="37" fontId="21" fillId="0" borderId="10" xfId="5" applyNumberFormat="1" applyFont="1" applyFill="1" applyBorder="1" applyAlignment="1">
      <alignment horizontal="left"/>
    </xf>
    <xf numFmtId="37" fontId="21" fillId="0" borderId="11" xfId="5" applyNumberFormat="1" applyFont="1" applyFill="1" applyBorder="1" applyAlignment="1">
      <alignment horizontal="left"/>
    </xf>
    <xf numFmtId="165" fontId="22" fillId="0" borderId="10" xfId="5" applyNumberFormat="1" applyFont="1" applyFill="1" applyBorder="1" applyAlignment="1">
      <alignment horizontal="center"/>
    </xf>
    <xf numFmtId="164" fontId="22" fillId="0" borderId="6" xfId="2" applyNumberFormat="1" applyFont="1" applyFill="1" applyBorder="1" applyAlignment="1">
      <alignment horizontal="right"/>
    </xf>
    <xf numFmtId="164" fontId="22" fillId="0" borderId="5" xfId="2" applyNumberFormat="1" applyFont="1" applyFill="1" applyBorder="1" applyAlignment="1">
      <alignment horizontal="right"/>
    </xf>
    <xf numFmtId="164" fontId="22" fillId="4" borderId="1" xfId="2" applyNumberFormat="1" applyFont="1" applyFill="1" applyBorder="1" applyAlignment="1">
      <alignment horizontal="right"/>
    </xf>
    <xf numFmtId="37" fontId="22" fillId="0" borderId="0" xfId="5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4" fontId="22" fillId="4" borderId="11" xfId="2" applyNumberFormat="1" applyFont="1" applyFill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1" fillId="0" borderId="2" xfId="0" applyFont="1" applyBorder="1"/>
    <xf numFmtId="44" fontId="21" fillId="0" borderId="2" xfId="5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4" xfId="0" applyFont="1" applyBorder="1"/>
    <xf numFmtId="0" fontId="30" fillId="0" borderId="0" xfId="0" applyFont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44" fontId="22" fillId="0" borderId="0" xfId="5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0" borderId="8" xfId="0" applyFont="1" applyBorder="1"/>
    <xf numFmtId="0" fontId="22" fillId="0" borderId="0" xfId="0" applyFont="1" applyAlignment="1">
      <alignment horizontal="center" wrapText="1"/>
    </xf>
    <xf numFmtId="0" fontId="22" fillId="0" borderId="8" xfId="0" applyFont="1" applyBorder="1" applyAlignment="1">
      <alignment horizontal="right"/>
    </xf>
    <xf numFmtId="0" fontId="21" fillId="0" borderId="7" xfId="0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4" fontId="21" fillId="0" borderId="0" xfId="5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44" fontId="21" fillId="0" borderId="0" xfId="0" applyNumberFormat="1" applyFont="1"/>
    <xf numFmtId="44" fontId="21" fillId="0" borderId="8" xfId="0" applyNumberFormat="1" applyFont="1" applyBorder="1"/>
    <xf numFmtId="44" fontId="21" fillId="0" borderId="1" xfId="5" applyNumberFormat="1" applyFont="1" applyFill="1" applyBorder="1" applyAlignment="1">
      <alignment horizontal="right"/>
    </xf>
    <xf numFmtId="44" fontId="21" fillId="0" borderId="1" xfId="0" applyNumberFormat="1" applyFont="1" applyBorder="1"/>
    <xf numFmtId="44" fontId="22" fillId="0" borderId="0" xfId="0" applyNumberFormat="1" applyFont="1"/>
    <xf numFmtId="44" fontId="22" fillId="0" borderId="8" xfId="0" applyNumberFormat="1" applyFont="1" applyBorder="1"/>
    <xf numFmtId="44" fontId="22" fillId="0" borderId="0" xfId="6" applyFont="1" applyFill="1" applyBorder="1"/>
    <xf numFmtId="44" fontId="22" fillId="0" borderId="8" xfId="6" applyFont="1" applyFill="1" applyBorder="1"/>
    <xf numFmtId="0" fontId="21" fillId="0" borderId="5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horizontal="right"/>
    </xf>
    <xf numFmtId="10" fontId="21" fillId="0" borderId="1" xfId="7" applyNumberFormat="1" applyFont="1" applyFill="1" applyBorder="1"/>
    <xf numFmtId="0" fontId="21" fillId="0" borderId="6" xfId="0" applyFont="1" applyBorder="1"/>
    <xf numFmtId="165" fontId="21" fillId="0" borderId="0" xfId="0" applyNumberFormat="1" applyFont="1"/>
    <xf numFmtId="10" fontId="22" fillId="0" borderId="1" xfId="7" applyNumberFormat="1" applyFont="1" applyFill="1" applyBorder="1"/>
    <xf numFmtId="3" fontId="3" fillId="0" borderId="1" xfId="1" applyNumberFormat="1" applyFont="1" applyBorder="1" applyAlignment="1">
      <alignment horizontal="right" vertical="center"/>
    </xf>
    <xf numFmtId="43" fontId="37" fillId="0" borderId="0" xfId="1" applyFont="1" applyBorder="1" applyAlignment="1"/>
    <xf numFmtId="43" fontId="37" fillId="0" borderId="0" xfId="1" applyFont="1" applyBorder="1" applyAlignment="1">
      <alignment horizontal="center"/>
    </xf>
    <xf numFmtId="44" fontId="37" fillId="0" borderId="0" xfId="2" applyFont="1" applyBorder="1" applyAlignment="1"/>
    <xf numFmtId="10" fontId="37" fillId="0" borderId="0" xfId="3" applyNumberFormat="1" applyFont="1" applyBorder="1" applyAlignment="1"/>
    <xf numFmtId="43" fontId="37" fillId="0" borderId="0" xfId="1" applyFont="1" applyBorder="1"/>
    <xf numFmtId="43" fontId="37" fillId="0" borderId="7" xfId="1" applyFont="1" applyBorder="1" applyAlignment="1"/>
    <xf numFmtId="43" fontId="37" fillId="0" borderId="8" xfId="1" applyFont="1" applyBorder="1" applyAlignment="1"/>
    <xf numFmtId="43" fontId="37" fillId="0" borderId="3" xfId="1" applyFont="1" applyBorder="1" applyAlignment="1"/>
    <xf numFmtId="43" fontId="37" fillId="0" borderId="2" xfId="1" applyFont="1" applyBorder="1" applyAlignment="1">
      <alignment horizontal="center"/>
    </xf>
    <xf numFmtId="44" fontId="37" fillId="0" borderId="2" xfId="2" applyFont="1" applyBorder="1" applyAlignment="1"/>
    <xf numFmtId="43" fontId="37" fillId="0" borderId="4" xfId="1" applyFont="1" applyBorder="1" applyAlignment="1"/>
    <xf numFmtId="44" fontId="41" fillId="0" borderId="7" xfId="2" applyFont="1" applyBorder="1" applyAlignment="1">
      <alignment horizontal="center"/>
    </xf>
    <xf numFmtId="44" fontId="41" fillId="0" borderId="0" xfId="2" applyFont="1" applyBorder="1" applyAlignment="1">
      <alignment horizontal="center"/>
    </xf>
    <xf numFmtId="44" fontId="41" fillId="0" borderId="8" xfId="2" applyFont="1" applyBorder="1" applyAlignment="1">
      <alignment horizontal="center"/>
    </xf>
    <xf numFmtId="43" fontId="42" fillId="0" borderId="0" xfId="1" applyFont="1" applyBorder="1" applyAlignment="1">
      <alignment horizontal="center"/>
    </xf>
    <xf numFmtId="44" fontId="42" fillId="0" borderId="0" xfId="2" applyFont="1" applyBorder="1" applyAlignment="1">
      <alignment horizontal="right"/>
    </xf>
    <xf numFmtId="10" fontId="37" fillId="0" borderId="0" xfId="3" applyNumberFormat="1" applyFont="1" applyBorder="1" applyAlignment="1">
      <alignment horizontal="right"/>
    </xf>
    <xf numFmtId="44" fontId="37" fillId="0" borderId="0" xfId="2" applyFont="1" applyBorder="1" applyAlignment="1">
      <alignment horizontal="center"/>
    </xf>
    <xf numFmtId="44" fontId="37" fillId="0" borderId="0" xfId="2" applyFont="1" applyBorder="1" applyAlignment="1">
      <alignment vertical="center"/>
    </xf>
    <xf numFmtId="10" fontId="37" fillId="0" borderId="0" xfId="3" applyNumberFormat="1" applyFont="1" applyBorder="1" applyAlignment="1">
      <alignment horizontal="center"/>
    </xf>
    <xf numFmtId="44" fontId="37" fillId="0" borderId="0" xfId="3" applyNumberFormat="1" applyFont="1" applyBorder="1" applyAlignment="1"/>
    <xf numFmtId="44" fontId="37" fillId="0" borderId="7" xfId="2" applyFont="1" applyBorder="1" applyAlignment="1">
      <alignment horizontal="right"/>
    </xf>
    <xf numFmtId="168" fontId="37" fillId="0" borderId="0" xfId="2" applyNumberFormat="1" applyFont="1" applyBorder="1" applyAlignment="1"/>
    <xf numFmtId="44" fontId="37" fillId="0" borderId="5" xfId="2" applyFont="1" applyBorder="1" applyAlignment="1">
      <alignment horizontal="right"/>
    </xf>
    <xf numFmtId="44" fontId="37" fillId="0" borderId="1" xfId="2" applyFont="1" applyBorder="1" applyAlignment="1">
      <alignment horizontal="center"/>
    </xf>
    <xf numFmtId="44" fontId="37" fillId="0" borderId="1" xfId="2" applyFont="1" applyBorder="1" applyAlignment="1">
      <alignment vertical="center"/>
    </xf>
    <xf numFmtId="10" fontId="37" fillId="0" borderId="1" xfId="3" applyNumberFormat="1" applyFont="1" applyBorder="1" applyAlignment="1">
      <alignment horizontal="center"/>
    </xf>
    <xf numFmtId="44" fontId="41" fillId="0" borderId="6" xfId="2" applyFont="1" applyBorder="1" applyAlignment="1">
      <alignment horizontal="center"/>
    </xf>
    <xf numFmtId="43" fontId="37" fillId="0" borderId="0" xfId="1" applyFont="1" applyBorder="1" applyAlignment="1">
      <alignment vertical="center"/>
    </xf>
    <xf numFmtId="44" fontId="37" fillId="0" borderId="3" xfId="2" applyFont="1" applyBorder="1" applyAlignment="1">
      <alignment horizontal="right"/>
    </xf>
    <xf numFmtId="44" fontId="41" fillId="0" borderId="4" xfId="2" applyFont="1" applyBorder="1" applyAlignment="1">
      <alignment horizontal="center"/>
    </xf>
    <xf numFmtId="170" fontId="37" fillId="0" borderId="1" xfId="2" applyNumberFormat="1" applyFont="1" applyBorder="1" applyAlignment="1">
      <alignment horizontal="center"/>
    </xf>
    <xf numFmtId="170" fontId="37" fillId="0" borderId="1" xfId="2" applyNumberFormat="1" applyFont="1" applyBorder="1" applyAlignment="1">
      <alignment vertical="center"/>
    </xf>
    <xf numFmtId="170" fontId="37" fillId="0" borderId="0" xfId="2" applyNumberFormat="1" applyFont="1" applyBorder="1" applyAlignment="1">
      <alignment horizontal="center"/>
    </xf>
    <xf numFmtId="44" fontId="37" fillId="0" borderId="2" xfId="2" applyFont="1" applyBorder="1" applyAlignment="1">
      <alignment horizontal="right"/>
    </xf>
    <xf numFmtId="44" fontId="37" fillId="0" borderId="2" xfId="2" applyFont="1" applyBorder="1" applyAlignment="1">
      <alignment horizontal="center"/>
    </xf>
    <xf numFmtId="44" fontId="37" fillId="0" borderId="2" xfId="2" applyFont="1" applyBorder="1" applyAlignment="1">
      <alignment vertical="center"/>
    </xf>
    <xf numFmtId="10" fontId="37" fillId="0" borderId="2" xfId="3" applyNumberFormat="1" applyFont="1" applyBorder="1" applyAlignment="1">
      <alignment horizontal="center"/>
    </xf>
    <xf numFmtId="44" fontId="41" fillId="0" borderId="2" xfId="2" applyFont="1" applyBorder="1" applyAlignment="1">
      <alignment horizontal="center"/>
    </xf>
    <xf numFmtId="165" fontId="4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5" fontId="30" fillId="0" borderId="7" xfId="5" applyNumberFormat="1" applyFont="1" applyFill="1" applyBorder="1" applyAlignment="1">
      <alignment horizontal="center"/>
    </xf>
    <xf numFmtId="165" fontId="30" fillId="0" borderId="0" xfId="5" applyNumberFormat="1" applyFont="1" applyFill="1" applyBorder="1" applyAlignment="1">
      <alignment horizontal="center"/>
    </xf>
    <xf numFmtId="165" fontId="31" fillId="0" borderId="7" xfId="5" applyNumberFormat="1" applyFont="1" applyFill="1" applyBorder="1" applyAlignment="1">
      <alignment horizontal="center"/>
    </xf>
    <xf numFmtId="165" fontId="31" fillId="0" borderId="0" xfId="5" applyNumberFormat="1" applyFont="1" applyFill="1" applyBorder="1" applyAlignment="1">
      <alignment horizontal="center"/>
    </xf>
    <xf numFmtId="165" fontId="33" fillId="0" borderId="7" xfId="5" applyNumberFormat="1" applyFont="1" applyFill="1" applyBorder="1" applyAlignment="1">
      <alignment horizontal="center" vertical="center"/>
    </xf>
    <xf numFmtId="165" fontId="33" fillId="0" borderId="0" xfId="5" applyNumberFormat="1" applyFont="1" applyFill="1" applyBorder="1" applyAlignment="1">
      <alignment horizontal="center" vertical="center"/>
    </xf>
    <xf numFmtId="165" fontId="34" fillId="0" borderId="7" xfId="5" applyNumberFormat="1" applyFont="1" applyFill="1" applyBorder="1" applyAlignment="1">
      <alignment horizontal="center"/>
    </xf>
    <xf numFmtId="165" fontId="34" fillId="0" borderId="0" xfId="5" applyNumberFormat="1" applyFont="1" applyFill="1" applyBorder="1" applyAlignment="1">
      <alignment horizontal="center"/>
    </xf>
    <xf numFmtId="165" fontId="35" fillId="0" borderId="7" xfId="5" applyNumberFormat="1" applyFont="1" applyFill="1" applyBorder="1" applyAlignment="1">
      <alignment horizontal="center" vertical="center"/>
    </xf>
    <xf numFmtId="165" fontId="35" fillId="0" borderId="8" xfId="5" applyNumberFormat="1" applyFont="1" applyFill="1" applyBorder="1" applyAlignment="1">
      <alignment horizontal="center" vertical="center"/>
    </xf>
    <xf numFmtId="44" fontId="40" fillId="0" borderId="7" xfId="2" applyFont="1" applyBorder="1" applyAlignment="1">
      <alignment horizontal="center"/>
    </xf>
    <xf numFmtId="44" fontId="40" fillId="0" borderId="0" xfId="2" applyFont="1" applyBorder="1" applyAlignment="1">
      <alignment horizontal="center"/>
    </xf>
    <xf numFmtId="44" fontId="40" fillId="0" borderId="8" xfId="2" applyFont="1" applyBorder="1" applyAlignment="1">
      <alignment horizontal="center"/>
    </xf>
    <xf numFmtId="43" fontId="42" fillId="0" borderId="0" xfId="1" applyFont="1" applyBorder="1" applyAlignment="1">
      <alignment horizontal="center"/>
    </xf>
    <xf numFmtId="43" fontId="38" fillId="0" borderId="3" xfId="1" applyFont="1" applyBorder="1" applyAlignment="1">
      <alignment horizontal="center"/>
    </xf>
    <xf numFmtId="43" fontId="38" fillId="0" borderId="2" xfId="1" applyFont="1" applyBorder="1" applyAlignment="1">
      <alignment horizontal="center"/>
    </xf>
    <xf numFmtId="43" fontId="38" fillId="0" borderId="4" xfId="1" applyFont="1" applyBorder="1" applyAlignment="1">
      <alignment horizontal="center"/>
    </xf>
    <xf numFmtId="3" fontId="39" fillId="0" borderId="7" xfId="0" applyNumberFormat="1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8" xfId="0" applyNumberFormat="1" applyFont="1" applyBorder="1" applyAlignment="1">
      <alignment horizontal="center"/>
    </xf>
    <xf numFmtId="3" fontId="38" fillId="0" borderId="7" xfId="0" applyNumberFormat="1" applyFont="1" applyBorder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" fontId="38" fillId="0" borderId="8" xfId="0" applyNumberFormat="1" applyFont="1" applyBorder="1" applyAlignment="1">
      <alignment horizontal="center" vertical="center"/>
    </xf>
    <xf numFmtId="43" fontId="38" fillId="0" borderId="7" xfId="1" applyFont="1" applyBorder="1" applyAlignment="1">
      <alignment horizontal="center"/>
    </xf>
    <xf numFmtId="43" fontId="38" fillId="0" borderId="0" xfId="1" applyFont="1" applyBorder="1" applyAlignment="1">
      <alignment horizontal="center"/>
    </xf>
    <xf numFmtId="43" fontId="38" fillId="0" borderId="8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4" fontId="20" fillId="0" borderId="7" xfId="2" applyFont="1" applyBorder="1" applyAlignment="1">
      <alignment horizontal="center"/>
    </xf>
    <xf numFmtId="44" fontId="20" fillId="0" borderId="0" xfId="2" applyFont="1" applyBorder="1" applyAlignment="1">
      <alignment horizontal="center"/>
    </xf>
    <xf numFmtId="44" fontId="20" fillId="0" borderId="8" xfId="2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65" fontId="36" fillId="0" borderId="3" xfId="1" applyNumberFormat="1" applyFont="1" applyBorder="1" applyAlignment="1">
      <alignment horizontal="center"/>
    </xf>
    <xf numFmtId="165" fontId="36" fillId="0" borderId="2" xfId="1" applyNumberFormat="1" applyFont="1" applyBorder="1" applyAlignment="1">
      <alignment horizontal="center"/>
    </xf>
    <xf numFmtId="165" fontId="36" fillId="0" borderId="4" xfId="1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11" fillId="0" borderId="0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Trial%20Balance%20for%20Rate%20Study%20Updated%20with%202023%20Audit%20Results.xlsx" TargetMode="External"/><Relationship Id="rId1" Type="http://schemas.openxmlformats.org/officeDocument/2006/relationships/externalLinkPath" Target="https://d.docs.live.net/4620783bd5d64abe/City%20of%20Morehead%20UPB/Trial%20Balance%20for%20Rate%20Study%20Updated%20with%202023%20Audit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Morehead%20Utility%20Plant%20Board/Trial%20Balance%20for%20Rate%20Study.xlsx" TargetMode="External"/><Relationship Id="rId1" Type="http://schemas.openxmlformats.org/officeDocument/2006/relationships/externalLinkPath" Target="https://d.docs.live.net/4620783bd5d64abe/City%20of%20Morehead%20UPB/Trial%20Balance%20for%20Rate%20Stud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Water%20Wholesale%20Rate%20Model%20Updated%20with%202023%20Audit%20Results.xlsx" TargetMode="External"/><Relationship Id="rId1" Type="http://schemas.openxmlformats.org/officeDocument/2006/relationships/externalLinkPath" Target="https://d.docs.live.net/4620783bd5d64abe/City%20of%20Morehead%20UPB/Water%20Wholesale%20Rate%20Model%20Updated%20with%202023%20Audit%20Result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Depreciation%20for%20Rate%20Study%20Updated%20with%202023%20Audit.xlsx" TargetMode="External"/><Relationship Id="rId1" Type="http://schemas.openxmlformats.org/officeDocument/2006/relationships/externalLinkPath" Target="https://d.docs.live.net/4620783bd5d64abe/City%20of%20Morehead%20UPB/Depreciation%20for%20Rate%20Study%20Updated%20with%202023%20Audi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Morehead%20Utility%20Plant%20Board/Debt%20Service%20Schedule.xlsx" TargetMode="External"/><Relationship Id="rId1" Type="http://schemas.openxmlformats.org/officeDocument/2006/relationships/externalLinkPath" Target="https://d.docs.live.net/4620783bd5d64abe/City%20of%20Morehead%20UPB/Debt%20Service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Water%20Wholesale%20Rate%20Model.xlsx" TargetMode="External"/><Relationship Id="rId1" Type="http://schemas.openxmlformats.org/officeDocument/2006/relationships/externalLinkPath" Target="https://d.docs.live.net/4620783bd5d64abe/City%20of%20Morehead%20UPB/Water%20Wholesale%20R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Balance"/>
      <sheetName val="Operating Revenues"/>
      <sheetName val="Water Operating Revenues"/>
      <sheetName val="Sewer Operating Revenues"/>
      <sheetName val="Operating Expenses"/>
      <sheetName val="Water Operating Expenses"/>
      <sheetName val="Water Op Ex Matrix"/>
      <sheetName val="Sewer Operating Expenses"/>
      <sheetName val="Other Income and Expenses"/>
      <sheetName val="Water Other Income and Expense"/>
      <sheetName val="Sewer Other Income and Expenses"/>
    </sheetNames>
    <sheetDataSet>
      <sheetData sheetId="0"/>
      <sheetData sheetId="1"/>
      <sheetData sheetId="2">
        <row r="6">
          <cell r="A6" t="str">
            <v>4000 Water Service Sales</v>
          </cell>
          <cell r="B6">
            <v>4975659.3</v>
          </cell>
        </row>
        <row r="7">
          <cell r="A7" t="str">
            <v>Water Service Sales</v>
          </cell>
        </row>
        <row r="9">
          <cell r="A9" t="str">
            <v>4010 Late Charges (Penalties)</v>
          </cell>
          <cell r="B9">
            <v>36110.873540000001</v>
          </cell>
        </row>
        <row r="10">
          <cell r="A10" t="str">
            <v>4015 Materials And Supplies</v>
          </cell>
          <cell r="B10">
            <v>0</v>
          </cell>
        </row>
        <row r="11">
          <cell r="A11" t="str">
            <v>4030 Met Res/Rt Ck/Turn</v>
          </cell>
          <cell r="B11">
            <v>3708.8088800000005</v>
          </cell>
        </row>
        <row r="12">
          <cell r="A12" t="str">
            <v>Other Operating Revenue</v>
          </cell>
        </row>
        <row r="14">
          <cell r="A14" t="str">
            <v>4055 Grants, CIAC</v>
          </cell>
          <cell r="B14">
            <v>0</v>
          </cell>
        </row>
        <row r="15">
          <cell r="A15" t="str">
            <v>Grant Revenue</v>
          </cell>
        </row>
        <row r="17">
          <cell r="A17" t="str">
            <v>4055001 Water Tap Fees</v>
          </cell>
          <cell r="B17">
            <v>23148</v>
          </cell>
        </row>
        <row r="18">
          <cell r="A18" t="str">
            <v>Tap Fee Revenue</v>
          </cell>
        </row>
        <row r="20">
          <cell r="A20" t="str">
            <v>4055015 KLC Ins Reimbursement</v>
          </cell>
          <cell r="B20">
            <v>0</v>
          </cell>
        </row>
        <row r="21">
          <cell r="A21" t="str">
            <v>Insurance Reimbursement</v>
          </cell>
        </row>
        <row r="23">
          <cell r="A23" t="str">
            <v>Total Operating Revenues</v>
          </cell>
          <cell r="B23">
            <v>5038626.9824200002</v>
          </cell>
        </row>
      </sheetData>
      <sheetData sheetId="3"/>
      <sheetData sheetId="4"/>
      <sheetData sheetId="5">
        <row r="6">
          <cell r="A6" t="str">
            <v>6001 Water Department:Water Maintenance System:Salaries - Water Maint</v>
          </cell>
          <cell r="B6">
            <v>341780.93</v>
          </cell>
        </row>
        <row r="7">
          <cell r="A7" t="str">
            <v>6010 Water Department:Water Maintenance System:Equipment Repairs</v>
          </cell>
          <cell r="B7">
            <v>16665.22</v>
          </cell>
        </row>
        <row r="8">
          <cell r="A8" t="str">
            <v>6011 Water Department:Water Maintenance System:Equipment Fuel</v>
          </cell>
          <cell r="B8">
            <v>28872.43</v>
          </cell>
        </row>
        <row r="9">
          <cell r="A9" t="str">
            <v>6016 Water Department:Water Maintenance System:Shop Utilities</v>
          </cell>
          <cell r="B9">
            <v>14193.07</v>
          </cell>
        </row>
        <row r="10">
          <cell r="A10" t="str">
            <v>6017 Water Department:Water Maintenance System:Vehicle Expenses</v>
          </cell>
          <cell r="B10">
            <v>38200.269999999997</v>
          </cell>
        </row>
        <row r="11">
          <cell r="A11" t="str">
            <v>6019 Water Department:Water Maintenance System:Equipment Expenses</v>
          </cell>
          <cell r="B11">
            <v>2093.88</v>
          </cell>
        </row>
        <row r="12">
          <cell r="A12" t="str">
            <v>6020 Water Department:Water Maintenance System:System Repair/Maintenance</v>
          </cell>
          <cell r="B12">
            <v>128378.27</v>
          </cell>
        </row>
        <row r="13">
          <cell r="A13" t="str">
            <v>6026 Water Department:Water Maintenance System:Janitor/Shop Supplies</v>
          </cell>
          <cell r="B13">
            <v>6886</v>
          </cell>
        </row>
        <row r="14">
          <cell r="A14" t="str">
            <v>6027 Water Department:Water Maintenance System:Office Supplies</v>
          </cell>
          <cell r="B14">
            <v>1031.81</v>
          </cell>
        </row>
        <row r="15">
          <cell r="A15" t="str">
            <v>6030 Water Department:Water Maintenance System:Computer Expense</v>
          </cell>
          <cell r="B15">
            <v>10076.69</v>
          </cell>
        </row>
        <row r="16">
          <cell r="A16" t="str">
            <v>6050 Water Department:Water Maintenance System:Easements</v>
          </cell>
          <cell r="B16">
            <v>421.9</v>
          </cell>
        </row>
        <row r="17">
          <cell r="A17" t="str">
            <v>6070 Water Department:Water Maintenance System:Drug and Alcohol Testing</v>
          </cell>
          <cell r="B17">
            <v>0</v>
          </cell>
        </row>
        <row r="18">
          <cell r="A18" t="str">
            <v>6075 Water Department:Water Maintenance System:Employee Training &amp; Travel</v>
          </cell>
          <cell r="B18">
            <v>11620.92</v>
          </cell>
        </row>
        <row r="19">
          <cell r="A19" t="str">
            <v>6088 Water Department:Water Maintenance System:Employee Benefits - Maintenance</v>
          </cell>
          <cell r="B19">
            <v>241102.07</v>
          </cell>
        </row>
        <row r="20">
          <cell r="A20" t="str">
            <v>6092 Water Department:Water Maintenance System:Uniform Exp - Mtn</v>
          </cell>
          <cell r="B20">
            <v>904.84</v>
          </cell>
        </row>
        <row r="21">
          <cell r="A21" t="str">
            <v>6000 Water Department:Water Treatment Plant:Salaries - WTP</v>
          </cell>
          <cell r="B21">
            <v>566595.88</v>
          </cell>
        </row>
        <row r="22">
          <cell r="A22" t="str">
            <v>6012 Water Department:Water Treatment Plant:Equipment Repairs</v>
          </cell>
          <cell r="B22">
            <v>6214.72</v>
          </cell>
        </row>
        <row r="23">
          <cell r="A23" t="str">
            <v>6013 Water Department:Water Treatment Plant:Equipment Fuel</v>
          </cell>
          <cell r="B23">
            <v>9832.41</v>
          </cell>
        </row>
        <row r="24">
          <cell r="A24" t="str">
            <v>6015 Water Department:Water Treatment Plant:Utilities-WTP</v>
          </cell>
          <cell r="B24">
            <v>433779.01</v>
          </cell>
        </row>
        <row r="25">
          <cell r="A25" t="str">
            <v>6018 Water Department:Water Treatment Plant:Vehicle Expenses</v>
          </cell>
          <cell r="B25">
            <v>23628.25</v>
          </cell>
        </row>
        <row r="26">
          <cell r="A26" t="str">
            <v>6021 Water Department:Water Treatment Plant:Repairs and Maintenance</v>
          </cell>
          <cell r="B26">
            <v>120827.37</v>
          </cell>
        </row>
        <row r="27">
          <cell r="A27" t="str">
            <v>6025 Water Department:Water Treatment Plant:Janitor/Shop Supplies</v>
          </cell>
          <cell r="B27">
            <v>2089.5300000000002</v>
          </cell>
        </row>
        <row r="28">
          <cell r="A28" t="str">
            <v>6031 Water Department:Water Treatment Plant:Computer Expense</v>
          </cell>
          <cell r="B28">
            <v>4214.51</v>
          </cell>
        </row>
        <row r="29">
          <cell r="A29" t="str">
            <v>6035 Water Department:Water Treatment Plant:Chemicals - WTP</v>
          </cell>
          <cell r="B29">
            <v>382843.31</v>
          </cell>
        </row>
        <row r="30">
          <cell r="A30" t="str">
            <v>6044 Water Department:Water Treatment Plant:Water Pumps &amp; Tank Repair</v>
          </cell>
          <cell r="B30">
            <v>3261.32</v>
          </cell>
        </row>
        <row r="31">
          <cell r="A31" t="str">
            <v>6065 Water Department:Water Treatment Plant:Office Supplies</v>
          </cell>
          <cell r="B31">
            <v>406.94</v>
          </cell>
        </row>
        <row r="32">
          <cell r="A32" t="str">
            <v>6085 Water Department:Water Treatment Plant:Employee Training &amp; Travel</v>
          </cell>
          <cell r="B32">
            <v>14596.82</v>
          </cell>
        </row>
        <row r="33">
          <cell r="A33" t="str">
            <v>6086 Water Department:Water Treatment Plant:Water Lab Testing &amp; Supplies</v>
          </cell>
          <cell r="B33">
            <v>46783.96</v>
          </cell>
        </row>
        <row r="34">
          <cell r="A34" t="str">
            <v>6087 Water Department:Water Treatment Plant:Dues &amp; Subscriptions WTP</v>
          </cell>
          <cell r="B34">
            <v>0</v>
          </cell>
        </row>
        <row r="35">
          <cell r="A35" t="str">
            <v>6093 Water Department:Water Treatment Plant:Uniform Exp - WTP</v>
          </cell>
          <cell r="B35">
            <v>1007.23</v>
          </cell>
        </row>
        <row r="36">
          <cell r="A36" t="str">
            <v>6099 Water Department:Water Treatment Plant:Employee Benefits- WTP</v>
          </cell>
          <cell r="B36">
            <v>380219.56</v>
          </cell>
        </row>
        <row r="37">
          <cell r="A37" t="str">
            <v>6150 Water Department:Water Treatment Plant:Drug/Alcohol Test  WTP</v>
          </cell>
          <cell r="B37">
            <v>0</v>
          </cell>
        </row>
        <row r="40">
          <cell r="A40" t="str">
            <v>8000 Administrative Department:Salaries - Admin</v>
          </cell>
          <cell r="B40">
            <v>286233.34634999995</v>
          </cell>
        </row>
        <row r="41">
          <cell r="A41" t="str">
            <v>8015 Administrative Department:Office Utilities</v>
          </cell>
          <cell r="B41">
            <v>14426.023919999998</v>
          </cell>
        </row>
        <row r="42">
          <cell r="A42" t="str">
            <v>8018 Administrative Department:Vehicle Expenses</v>
          </cell>
          <cell r="B42">
            <v>12541.323200000001</v>
          </cell>
        </row>
        <row r="43">
          <cell r="A43" t="str">
            <v>8020 Administrative Department:Repairs &amp; Maintenance</v>
          </cell>
          <cell r="B43">
            <v>3338.8117699999998</v>
          </cell>
        </row>
        <row r="44">
          <cell r="A44" t="str">
            <v>8035 Administrative Department:Advertising &amp; Printing</v>
          </cell>
          <cell r="B44">
            <v>437.78</v>
          </cell>
        </row>
        <row r="45">
          <cell r="A45" t="str">
            <v>8040 Administrative Department:Professional Services</v>
          </cell>
          <cell r="B45">
            <v>52595.388930000001</v>
          </cell>
        </row>
        <row r="46">
          <cell r="A46" t="str">
            <v>8050 Administrative Department:Easements and Right of Way</v>
          </cell>
          <cell r="B46">
            <v>225.88208999999998</v>
          </cell>
        </row>
        <row r="47">
          <cell r="A47" t="str">
            <v>8052 Administrative Department:Janitorial Service</v>
          </cell>
          <cell r="B47">
            <v>5683.2062699999997</v>
          </cell>
        </row>
        <row r="48">
          <cell r="A48" t="str">
            <v>8055 Administrative Department:Employee Training &amp; Travel</v>
          </cell>
          <cell r="B48">
            <v>13832.44793</v>
          </cell>
        </row>
        <row r="49">
          <cell r="A49" t="str">
            <v>8055 Administrative Department:Pension Expense</v>
          </cell>
          <cell r="B49">
            <v>0</v>
          </cell>
        </row>
        <row r="50">
          <cell r="A50" t="str">
            <v>8065 Administrative Department:General Insurance</v>
          </cell>
          <cell r="B50">
            <v>80357.488469999997</v>
          </cell>
        </row>
        <row r="51">
          <cell r="A51" t="str">
            <v>8065 Administrative Department:Workman's Comp Ins</v>
          </cell>
          <cell r="B51">
            <v>0</v>
          </cell>
        </row>
        <row r="52">
          <cell r="A52" t="str">
            <v>8070 Administrative Department:Office Supplies</v>
          </cell>
          <cell r="B52">
            <v>7734.9241899999997</v>
          </cell>
        </row>
        <row r="53">
          <cell r="A53" t="str">
            <v>8071 Administrative Department:Postage</v>
          </cell>
          <cell r="B53">
            <v>20855.661609999999</v>
          </cell>
        </row>
        <row r="54">
          <cell r="A54" t="str">
            <v>8072 Administrative Department:Service Contracts</v>
          </cell>
          <cell r="B54">
            <v>1712.56232</v>
          </cell>
        </row>
        <row r="55">
          <cell r="A55" t="str">
            <v>8073 Administrative Department:Dues &amp; Subscriptions</v>
          </cell>
          <cell r="B55">
            <v>526.57499999999993</v>
          </cell>
        </row>
        <row r="56">
          <cell r="A56" t="str">
            <v>8074 Administrative Department:Computer Programming</v>
          </cell>
          <cell r="B56">
            <v>10097.742620000001</v>
          </cell>
        </row>
        <row r="57">
          <cell r="A57" t="str">
            <v>8080 Administrative Department:Payroll Taxes</v>
          </cell>
          <cell r="B57">
            <v>2003.05</v>
          </cell>
        </row>
        <row r="58">
          <cell r="A58" t="str">
            <v>8087 Administrative Department:Bad Debts</v>
          </cell>
          <cell r="B58">
            <v>15456</v>
          </cell>
        </row>
        <row r="59">
          <cell r="A59" t="str">
            <v>8088 Administrative Department:Safety Program Expenses</v>
          </cell>
          <cell r="B59">
            <v>2872.2580599999997</v>
          </cell>
        </row>
        <row r="60">
          <cell r="A60" t="str">
            <v>8090 Administrative Department:Miscellaneous</v>
          </cell>
          <cell r="B60">
            <v>15707.740509999998</v>
          </cell>
        </row>
        <row r="61">
          <cell r="A61" t="str">
            <v>8091 Administrative Department:Ceremonies &amp; Award</v>
          </cell>
          <cell r="B61">
            <v>6567.4103599999989</v>
          </cell>
        </row>
        <row r="62">
          <cell r="A62" t="str">
            <v>8092 Administrative Department:Uniform Expense</v>
          </cell>
          <cell r="B62">
            <v>544.48680999999988</v>
          </cell>
        </row>
        <row r="63">
          <cell r="A63" t="str">
            <v>8099 Administrative Department:Employee Benefits</v>
          </cell>
          <cell r="B63">
            <v>190555.32551999998</v>
          </cell>
        </row>
        <row r="66">
          <cell r="B66">
            <v>3582834.5559299998</v>
          </cell>
        </row>
      </sheetData>
      <sheetData sheetId="6"/>
      <sheetData sheetId="7"/>
      <sheetData sheetId="8"/>
      <sheetData sheetId="9">
        <row r="6">
          <cell r="A6" t="str">
            <v>9000 Other Income (Expenses):Interest Income</v>
          </cell>
          <cell r="B6">
            <v>32918.475379999996</v>
          </cell>
        </row>
        <row r="7">
          <cell r="A7" t="str">
            <v>9035 Other Income (Expenses):Sales Tax Vendors Compensation</v>
          </cell>
          <cell r="B7">
            <v>225.4</v>
          </cell>
        </row>
        <row r="8">
          <cell r="A8" t="str">
            <v>9036 Other Income (Expenses):Health/Vision Insurance Reimbursement</v>
          </cell>
          <cell r="B8">
            <v>16953.8796</v>
          </cell>
        </row>
        <row r="9">
          <cell r="A9" t="str">
            <v>9045 Other Income (Expenses):Bad Debt Recovery</v>
          </cell>
          <cell r="B9">
            <v>244.43342000000001</v>
          </cell>
        </row>
        <row r="10">
          <cell r="A10" t="str">
            <v>9060 Other Income (Expenses):Maintenance Bldg Rental Income</v>
          </cell>
          <cell r="B10">
            <v>0</v>
          </cell>
        </row>
        <row r="13">
          <cell r="A13" t="str">
            <v>9037 Other Income (Expenses):Bank Draft Incentive</v>
          </cell>
          <cell r="B13">
            <v>676.2</v>
          </cell>
        </row>
        <row r="14">
          <cell r="A14" t="str">
            <v>9040 Other Income (Expenses):Misc Income (Expense)</v>
          </cell>
          <cell r="B14">
            <v>24462.95824</v>
          </cell>
        </row>
        <row r="17">
          <cell r="B17">
            <v>25203.030159999998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Balance"/>
      <sheetName val="Operating Revenues"/>
      <sheetName val="Water Operating Revenues"/>
      <sheetName val="Sewer Operating Revenues"/>
      <sheetName val="Operating Expenses"/>
      <sheetName val="Water Operating Expenses"/>
      <sheetName val="Water Op Ex Matrix"/>
      <sheetName val="Sewer Operating Expenses"/>
      <sheetName val="Other Income and Expenses"/>
      <sheetName val="Water Other Income and Expense"/>
      <sheetName val="Sewer Other Income and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ter and Shared Trial Balance"/>
      <sheetName val="Matrix"/>
      <sheetName val="Depreciation 1"/>
      <sheetName val="Depreciation 2"/>
      <sheetName val="Debt Service 1"/>
      <sheetName val="Debt Service 2"/>
      <sheetName val="DS Allocation 1"/>
      <sheetName val="DS Allocation 2"/>
      <sheetName val="System Information "/>
      <sheetName val="Wholesale Factors"/>
      <sheetName val="Rate Computation 1"/>
      <sheetName val="Rate Computation 2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8">
          <cell r="H48">
            <v>2.2839999999999998</v>
          </cell>
        </row>
      </sheetData>
      <sheetData sheetId="11"/>
      <sheetData sheetId="12">
        <row r="31">
          <cell r="B31">
            <v>2387902.4219999998</v>
          </cell>
          <cell r="C31">
            <v>233094.92599999998</v>
          </cell>
        </row>
        <row r="37">
          <cell r="E37">
            <v>2818065.8766327039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il with Subtotals"/>
      <sheetName val="Water"/>
      <sheetName val="Water Share of Joint"/>
      <sheetName val="Water + Joint"/>
      <sheetName val="New Project"/>
      <sheetName val="Sewer"/>
      <sheetName val="Sewer Share of Joint"/>
      <sheetName val="Sewer + Joint"/>
    </sheetNames>
    <sheetDataSet>
      <sheetData sheetId="0"/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  <cell r="J5">
            <v>0</v>
          </cell>
        </row>
        <row r="6">
          <cell r="F6">
            <v>259378.88</v>
          </cell>
          <cell r="J6">
            <v>14447.77</v>
          </cell>
        </row>
        <row r="7">
          <cell r="F7">
            <v>0</v>
          </cell>
          <cell r="J7">
            <v>0</v>
          </cell>
        </row>
        <row r="8">
          <cell r="F8">
            <v>0</v>
          </cell>
          <cell r="J8">
            <v>0</v>
          </cell>
        </row>
        <row r="9">
          <cell r="F9">
            <v>0</v>
          </cell>
          <cell r="J9">
            <v>0</v>
          </cell>
        </row>
        <row r="10">
          <cell r="F10">
            <v>0</v>
          </cell>
          <cell r="J10">
            <v>0</v>
          </cell>
        </row>
        <row r="13">
          <cell r="F13">
            <v>40654.6</v>
          </cell>
          <cell r="J13">
            <v>1231.9599999999998</v>
          </cell>
        </row>
        <row r="14">
          <cell r="F14">
            <v>127601.86</v>
          </cell>
          <cell r="J14">
            <v>8461.51</v>
          </cell>
        </row>
        <row r="15">
          <cell r="F15">
            <v>48409.39</v>
          </cell>
          <cell r="J15">
            <v>1953.0600000000002</v>
          </cell>
        </row>
        <row r="18">
          <cell r="F18">
            <v>13747793.23</v>
          </cell>
          <cell r="J18">
            <v>416565.21999999991</v>
          </cell>
        </row>
        <row r="19">
          <cell r="F19">
            <v>819119.37000000011</v>
          </cell>
          <cell r="J19">
            <v>37806.17</v>
          </cell>
        </row>
        <row r="22">
          <cell r="F22">
            <v>66278.69</v>
          </cell>
          <cell r="J22">
            <v>2008.44</v>
          </cell>
        </row>
        <row r="23">
          <cell r="F23">
            <v>1567689.23</v>
          </cell>
          <cell r="J23">
            <v>126788.32999999999</v>
          </cell>
        </row>
        <row r="24">
          <cell r="F24">
            <v>0</v>
          </cell>
          <cell r="J24">
            <v>0</v>
          </cell>
        </row>
        <row r="25">
          <cell r="F25">
            <v>7779859.1700000009</v>
          </cell>
          <cell r="J25">
            <v>105693.79000000001</v>
          </cell>
        </row>
        <row r="26">
          <cell r="F26">
            <v>679260.61</v>
          </cell>
          <cell r="J26">
            <v>40423.699999999997</v>
          </cell>
        </row>
        <row r="27">
          <cell r="F27">
            <v>0</v>
          </cell>
          <cell r="J27">
            <v>0</v>
          </cell>
        </row>
        <row r="28">
          <cell r="F28">
            <v>13270</v>
          </cell>
          <cell r="J28">
            <v>0</v>
          </cell>
        </row>
        <row r="29">
          <cell r="F29">
            <v>988798.08986457111</v>
          </cell>
          <cell r="J29">
            <v>92253.409397480602</v>
          </cell>
        </row>
        <row r="30">
          <cell r="F30">
            <v>0</v>
          </cell>
          <cell r="J30">
            <v>0</v>
          </cell>
        </row>
        <row r="31">
          <cell r="F31">
            <v>17082.633159359961</v>
          </cell>
          <cell r="J31">
            <v>566.31137243805006</v>
          </cell>
        </row>
        <row r="34">
          <cell r="F34">
            <v>326460.06676044653</v>
          </cell>
          <cell r="J34">
            <v>11966.607216762497</v>
          </cell>
        </row>
        <row r="35">
          <cell r="F35">
            <v>1188.6802646874862</v>
          </cell>
          <cell r="J35">
            <v>183.82538631746789</v>
          </cell>
        </row>
        <row r="36">
          <cell r="F36">
            <v>27450.737052180011</v>
          </cell>
          <cell r="J36">
            <v>9045.5815726165602</v>
          </cell>
        </row>
        <row r="37">
          <cell r="F37">
            <v>0</v>
          </cell>
          <cell r="J37">
            <v>0</v>
          </cell>
        </row>
        <row r="38">
          <cell r="F38">
            <v>29749.266619975682</v>
          </cell>
          <cell r="J38">
            <v>3860.5048376094769</v>
          </cell>
        </row>
        <row r="39">
          <cell r="F39">
            <v>0</v>
          </cell>
          <cell r="J39">
            <v>0</v>
          </cell>
        </row>
        <row r="40">
          <cell r="F40">
            <v>179867.14505019563</v>
          </cell>
          <cell r="J40">
            <v>23428.072003341196</v>
          </cell>
        </row>
        <row r="41">
          <cell r="F41">
            <v>137992.99196855354</v>
          </cell>
          <cell r="J41">
            <v>9608.1646518494708</v>
          </cell>
        </row>
        <row r="42">
          <cell r="F42">
            <v>26857904.640739974</v>
          </cell>
        </row>
        <row r="44">
          <cell r="J44">
            <v>906292.42643841496</v>
          </cell>
        </row>
      </sheetData>
      <sheetData sheetId="4">
        <row r="10">
          <cell r="G10">
            <v>52052602</v>
          </cell>
        </row>
        <row r="12">
          <cell r="G12">
            <v>1500166.5053171716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bt Service Schedule"/>
      <sheetName val="Regional WTP Estimated DS"/>
    </sheetNames>
    <sheetDataSet>
      <sheetData sheetId="0">
        <row r="12">
          <cell r="C12" t="str">
            <v>Wastewater Revolving Loan Program Fund A</v>
          </cell>
          <cell r="D12">
            <v>386740</v>
          </cell>
          <cell r="E12">
            <v>18394</v>
          </cell>
          <cell r="F12">
            <v>390617</v>
          </cell>
          <cell r="G12">
            <v>10754</v>
          </cell>
          <cell r="H12">
            <v>394532</v>
          </cell>
          <cell r="I12">
            <v>6877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</row>
        <row r="13">
          <cell r="C13" t="str">
            <v xml:space="preserve">KIA Big Woods </v>
          </cell>
          <cell r="D13">
            <v>19739</v>
          </cell>
          <cell r="E13">
            <v>1776</v>
          </cell>
          <cell r="F13">
            <v>19937</v>
          </cell>
          <cell r="G13">
            <v>1540</v>
          </cell>
          <cell r="H13">
            <v>20137</v>
          </cell>
          <cell r="I13">
            <v>1300</v>
          </cell>
          <cell r="J13">
            <v>20339</v>
          </cell>
          <cell r="K13">
            <v>1057</v>
          </cell>
          <cell r="L13">
            <v>20534</v>
          </cell>
          <cell r="M13">
            <v>812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</row>
        <row r="14">
          <cell r="C14" t="str">
            <v xml:space="preserve">KIA Phase IV </v>
          </cell>
          <cell r="D14">
            <v>31539</v>
          </cell>
          <cell r="E14">
            <v>3246</v>
          </cell>
          <cell r="F14">
            <v>31856</v>
          </cell>
          <cell r="G14">
            <v>2867</v>
          </cell>
          <cell r="H14">
            <v>32175</v>
          </cell>
          <cell r="I14">
            <v>2482</v>
          </cell>
          <cell r="J14">
            <v>32498</v>
          </cell>
          <cell r="K14">
            <v>2096</v>
          </cell>
          <cell r="L14">
            <v>32823</v>
          </cell>
          <cell r="M14">
            <v>1705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</row>
        <row r="15">
          <cell r="C15" t="str">
            <v xml:space="preserve">KIA Wastewater Treatment Plant </v>
          </cell>
          <cell r="D15">
            <v>95456</v>
          </cell>
          <cell r="E15">
            <v>11700</v>
          </cell>
          <cell r="F15">
            <v>96413</v>
          </cell>
          <cell r="G15">
            <v>10551</v>
          </cell>
          <cell r="H15">
            <v>97379</v>
          </cell>
          <cell r="I15">
            <v>9391</v>
          </cell>
          <cell r="J15">
            <v>98355</v>
          </cell>
          <cell r="K15">
            <v>8220</v>
          </cell>
          <cell r="L15">
            <v>99342</v>
          </cell>
          <cell r="M15">
            <v>7037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</row>
        <row r="16">
          <cell r="C16" t="str">
            <v xml:space="preserve">KIA KY 801 and 158 Sewer Extension </v>
          </cell>
          <cell r="D16">
            <v>87677</v>
          </cell>
          <cell r="E16">
            <v>10039</v>
          </cell>
          <cell r="F16">
            <v>88336</v>
          </cell>
          <cell r="G16">
            <v>9379</v>
          </cell>
          <cell r="H16">
            <v>89001</v>
          </cell>
          <cell r="I16">
            <v>8714</v>
          </cell>
          <cell r="J16">
            <v>89671</v>
          </cell>
          <cell r="K16">
            <v>8044</v>
          </cell>
          <cell r="L16">
            <v>90346</v>
          </cell>
          <cell r="M16">
            <v>7369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</row>
        <row r="17">
          <cell r="C17" t="str">
            <v xml:space="preserve">KIA A19-032 US60 and KY 801 SSO </v>
          </cell>
          <cell r="D17">
            <v>172292</v>
          </cell>
          <cell r="E17">
            <v>116066</v>
          </cell>
          <cell r="F17">
            <v>177090</v>
          </cell>
          <cell r="G17">
            <v>111268</v>
          </cell>
          <cell r="H17">
            <v>182022</v>
          </cell>
          <cell r="I17">
            <v>106336</v>
          </cell>
          <cell r="J17">
            <v>187091</v>
          </cell>
          <cell r="K17">
            <v>101267</v>
          </cell>
          <cell r="L17">
            <v>192301</v>
          </cell>
          <cell r="M17">
            <v>96056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</row>
        <row r="18">
          <cell r="C18" t="str">
            <v>KIA A20-020</v>
          </cell>
          <cell r="D18">
            <v>28630</v>
          </cell>
          <cell r="E18">
            <v>9577</v>
          </cell>
          <cell r="F18">
            <v>29062</v>
          </cell>
          <cell r="G18">
            <v>9145</v>
          </cell>
          <cell r="H18">
            <v>29501</v>
          </cell>
          <cell r="I18">
            <v>8706</v>
          </cell>
          <cell r="J18">
            <v>29947</v>
          </cell>
          <cell r="K18">
            <v>8260</v>
          </cell>
          <cell r="L18">
            <v>30399</v>
          </cell>
          <cell r="M18">
            <v>7808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</row>
        <row r="19">
          <cell r="C19" t="str">
            <v>KIA New Regional Water Treatment Plant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</row>
        <row r="20">
          <cell r="C20" t="str">
            <v>Cave Run Lake</v>
          </cell>
          <cell r="D20">
            <v>160000</v>
          </cell>
          <cell r="E20">
            <v>123313</v>
          </cell>
          <cell r="F20">
            <v>165000</v>
          </cell>
          <cell r="G20">
            <v>115188</v>
          </cell>
          <cell r="H20">
            <v>175000</v>
          </cell>
          <cell r="I20">
            <v>106688</v>
          </cell>
          <cell r="J20">
            <v>185000</v>
          </cell>
          <cell r="K20">
            <v>97688</v>
          </cell>
          <cell r="L20">
            <v>195000</v>
          </cell>
          <cell r="M20">
            <v>88188</v>
          </cell>
          <cell r="W20">
            <v>0.72693469672321631</v>
          </cell>
          <cell r="X20">
            <v>0.27306530327678363</v>
          </cell>
          <cell r="Y20">
            <v>0</v>
          </cell>
          <cell r="Z20">
            <v>0</v>
          </cell>
        </row>
        <row r="21">
          <cell r="C21" t="str">
            <v>Kentucky Utility Refunding Bonds 2022 Series A</v>
          </cell>
          <cell r="D21">
            <v>0</v>
          </cell>
          <cell r="E21">
            <v>115368</v>
          </cell>
          <cell r="F21">
            <v>50402.64</v>
          </cell>
          <cell r="G21">
            <v>64965.36</v>
          </cell>
          <cell r="H21">
            <v>49103.33</v>
          </cell>
          <cell r="I21">
            <v>66264.67</v>
          </cell>
          <cell r="J21">
            <v>47778.04</v>
          </cell>
          <cell r="K21">
            <v>67589.960000000006</v>
          </cell>
          <cell r="L21">
            <v>46426.239999999998</v>
          </cell>
          <cell r="M21">
            <v>68941.759999999995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</row>
        <row r="22">
          <cell r="C22" t="str">
            <v>Vehicle Leases</v>
          </cell>
          <cell r="D22">
            <v>174975.35</v>
          </cell>
          <cell r="E22">
            <v>34221.71</v>
          </cell>
          <cell r="F22">
            <v>113651.62</v>
          </cell>
          <cell r="G22">
            <v>23606.47</v>
          </cell>
          <cell r="H22">
            <v>89917.09</v>
          </cell>
          <cell r="I22">
            <v>19297.87</v>
          </cell>
          <cell r="J22">
            <v>67709.13</v>
          </cell>
          <cell r="K22">
            <v>15981.52</v>
          </cell>
          <cell r="L22">
            <v>40283.54</v>
          </cell>
          <cell r="M22">
            <v>10226.08</v>
          </cell>
          <cell r="W22">
            <v>0.30230916154833876</v>
          </cell>
          <cell r="X22">
            <v>0.28818548237665365</v>
          </cell>
          <cell r="Y22">
            <v>0.20475267803750374</v>
          </cell>
          <cell r="Z22">
            <v>0.20475267803750374</v>
          </cell>
        </row>
        <row r="23">
          <cell r="H23">
            <v>1158767.4200000002</v>
          </cell>
          <cell r="I23">
            <v>336056.54</v>
          </cell>
          <cell r="J23">
            <v>758388.17</v>
          </cell>
          <cell r="K23">
            <v>310203.48000000004</v>
          </cell>
          <cell r="L23">
            <v>747454.78</v>
          </cell>
          <cell r="M23">
            <v>288142.84000000003</v>
          </cell>
        </row>
        <row r="30">
          <cell r="N30">
            <v>1613133.9312</v>
          </cell>
        </row>
      </sheetData>
      <sheetData sheetId="1">
        <row r="11">
          <cell r="C11">
            <v>224990</v>
          </cell>
          <cell r="D11">
            <v>1393989.37</v>
          </cell>
        </row>
        <row r="12">
          <cell r="C12">
            <v>218020.05315000002</v>
          </cell>
          <cell r="D12">
            <v>1400959.3168500001</v>
          </cell>
        </row>
        <row r="13">
          <cell r="C13">
            <v>211015.25656575002</v>
          </cell>
          <cell r="D13">
            <v>1407964.11343425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ter and Shared Trial Balance"/>
      <sheetName val="Matrix"/>
      <sheetName val="Depreciation 1"/>
      <sheetName val="Depreciation 2"/>
      <sheetName val="Debt Service 1"/>
      <sheetName val="Debt Service 2"/>
      <sheetName val="DS Allocation 1"/>
      <sheetName val="DS Allocation 2"/>
      <sheetName val="System Information "/>
      <sheetName val="Wholesale Factors"/>
      <sheetName val="Rate Computation 1"/>
      <sheetName val="Rate Computation 2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1.6259999999999999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7954-5296-41F3-87DD-FC733F65AA1B}">
  <dimension ref="A1:E152"/>
  <sheetViews>
    <sheetView workbookViewId="0">
      <selection activeCell="D6" sqref="D6"/>
    </sheetView>
  </sheetViews>
  <sheetFormatPr defaultRowHeight="15" x14ac:dyDescent="0.25"/>
  <cols>
    <col min="1" max="1" width="59.33203125" style="166" customWidth="1"/>
    <col min="2" max="2" width="11.109375" style="284" bestFit="1" customWidth="1"/>
    <col min="3" max="3" width="3" style="284" customWidth="1"/>
    <col min="4" max="5" width="12.109375" style="284" customWidth="1"/>
    <col min="6" max="16384" width="8.88671875" style="166"/>
  </cols>
  <sheetData>
    <row r="1" spans="1:5" x14ac:dyDescent="0.25">
      <c r="A1" s="165" t="s">
        <v>149</v>
      </c>
    </row>
    <row r="2" spans="1:5" x14ac:dyDescent="0.25">
      <c r="A2" s="165" t="s">
        <v>152</v>
      </c>
    </row>
    <row r="3" spans="1:5" x14ac:dyDescent="0.25">
      <c r="A3" s="165" t="s">
        <v>242</v>
      </c>
    </row>
    <row r="4" spans="1:5" x14ac:dyDescent="0.25">
      <c r="B4" s="285"/>
      <c r="D4" s="285" t="s">
        <v>163</v>
      </c>
      <c r="E4" s="286" t="s">
        <v>150</v>
      </c>
    </row>
    <row r="5" spans="1:5" x14ac:dyDescent="0.25">
      <c r="A5" s="170"/>
      <c r="B5" s="287" t="s">
        <v>151</v>
      </c>
      <c r="D5" s="287" t="s">
        <v>15</v>
      </c>
      <c r="E5" s="288" t="s">
        <v>151</v>
      </c>
    </row>
    <row r="6" spans="1:5" x14ac:dyDescent="0.25">
      <c r="A6" s="174" t="str">
        <f>'[1]Water Operating Revenues'!A6</f>
        <v>4000 Water Service Sales</v>
      </c>
      <c r="B6" s="289">
        <f>'[1]Water Operating Revenues'!$B$6</f>
        <v>4975659.3</v>
      </c>
      <c r="D6" s="290"/>
      <c r="E6" s="291">
        <f>B6+D6</f>
        <v>4975659.3</v>
      </c>
    </row>
    <row r="7" spans="1:5" x14ac:dyDescent="0.25">
      <c r="A7" s="174" t="str">
        <f>'[1]Water Operating Revenues'!A7</f>
        <v>Water Service Sales</v>
      </c>
      <c r="B7" s="292">
        <f>SUM(B6:B6)</f>
        <v>4975659.3</v>
      </c>
      <c r="D7" s="292">
        <f>SUM(D6:D6)</f>
        <v>0</v>
      </c>
      <c r="E7" s="292">
        <f t="shared" ref="E7" si="0">SUM(E6:E6)</f>
        <v>4975659.3</v>
      </c>
    </row>
    <row r="8" spans="1:5" x14ac:dyDescent="0.25">
      <c r="A8" s="174"/>
      <c r="B8" s="293"/>
    </row>
    <row r="9" spans="1:5" x14ac:dyDescent="0.25">
      <c r="A9" s="174" t="str">
        <f>'[1]Water Operating Revenues'!A9</f>
        <v>4010 Late Charges (Penalties)</v>
      </c>
      <c r="B9" s="292">
        <f>'[1]Water Operating Revenues'!$B$9</f>
        <v>36110.873540000001</v>
      </c>
      <c r="D9" s="294">
        <v>0</v>
      </c>
      <c r="E9" s="284">
        <f t="shared" ref="E9:E11" si="1">B9+D9</f>
        <v>36110.873540000001</v>
      </c>
    </row>
    <row r="10" spans="1:5" x14ac:dyDescent="0.25">
      <c r="A10" s="174" t="str">
        <f>'[1]Water Operating Revenues'!A10</f>
        <v>4015 Materials And Supplies</v>
      </c>
      <c r="B10" s="292">
        <f>'[1]Water Operating Revenues'!$B$10</f>
        <v>0</v>
      </c>
      <c r="D10" s="294">
        <v>0</v>
      </c>
      <c r="E10" s="284">
        <f t="shared" si="1"/>
        <v>0</v>
      </c>
    </row>
    <row r="11" spans="1:5" x14ac:dyDescent="0.25">
      <c r="A11" s="174" t="str">
        <f>'[1]Water Operating Revenues'!A11</f>
        <v>4030 Met Res/Rt Ck/Turn</v>
      </c>
      <c r="B11" s="295">
        <f>'[1]Water Operating Revenues'!$B$11</f>
        <v>3708.8088800000005</v>
      </c>
      <c r="D11" s="296">
        <v>0</v>
      </c>
      <c r="E11" s="297">
        <f t="shared" si="1"/>
        <v>3708.8088800000005</v>
      </c>
    </row>
    <row r="12" spans="1:5" x14ac:dyDescent="0.25">
      <c r="A12" s="174" t="str">
        <f>'[1]Water Operating Revenues'!A12</f>
        <v>Other Operating Revenue</v>
      </c>
      <c r="B12" s="298">
        <f>SUM(B9:B11)</f>
        <v>39819.682419999997</v>
      </c>
      <c r="D12" s="298">
        <f t="shared" ref="D12:E12" si="2">SUM(D9:D11)</f>
        <v>0</v>
      </c>
      <c r="E12" s="298">
        <f t="shared" si="2"/>
        <v>39819.682419999997</v>
      </c>
    </row>
    <row r="13" spans="1:5" x14ac:dyDescent="0.25">
      <c r="A13" s="174"/>
      <c r="B13" s="293"/>
    </row>
    <row r="14" spans="1:5" x14ac:dyDescent="0.25">
      <c r="A14" s="174" t="str">
        <f>'[1]Water Operating Revenues'!A14</f>
        <v>4055 Grants, CIAC</v>
      </c>
      <c r="B14" s="295">
        <f>'[1]Water Operating Revenues'!$B$14</f>
        <v>0</v>
      </c>
      <c r="D14" s="296">
        <v>0</v>
      </c>
      <c r="E14" s="297">
        <f>B14+D14</f>
        <v>0</v>
      </c>
    </row>
    <row r="15" spans="1:5" x14ac:dyDescent="0.25">
      <c r="A15" s="174" t="str">
        <f>'[1]Water Operating Revenues'!A15</f>
        <v>Grant Revenue</v>
      </c>
      <c r="B15" s="293">
        <f>B14</f>
        <v>0</v>
      </c>
      <c r="D15" s="293">
        <f>D14</f>
        <v>0</v>
      </c>
      <c r="E15" s="293">
        <f t="shared" ref="E15" si="3">E14</f>
        <v>0</v>
      </c>
    </row>
    <row r="16" spans="1:5" x14ac:dyDescent="0.25">
      <c r="A16" s="174"/>
      <c r="B16" s="293"/>
      <c r="D16" s="294"/>
    </row>
    <row r="17" spans="1:5" x14ac:dyDescent="0.25">
      <c r="A17" s="174" t="str">
        <f>'[1]Water Operating Revenues'!A17</f>
        <v>4055001 Water Tap Fees</v>
      </c>
      <c r="B17" s="295">
        <f>'[1]Water Operating Revenues'!$B$17</f>
        <v>23148</v>
      </c>
      <c r="D17" s="296">
        <v>0</v>
      </c>
      <c r="E17" s="297">
        <f>B17+D17</f>
        <v>23148</v>
      </c>
    </row>
    <row r="18" spans="1:5" x14ac:dyDescent="0.25">
      <c r="A18" s="174" t="str">
        <f>'[1]Water Operating Revenues'!A18</f>
        <v>Tap Fee Revenue</v>
      </c>
      <c r="B18" s="293">
        <f>B17</f>
        <v>23148</v>
      </c>
      <c r="D18" s="293">
        <f>D17</f>
        <v>0</v>
      </c>
      <c r="E18" s="293">
        <f t="shared" ref="E18" si="4">E17</f>
        <v>23148</v>
      </c>
    </row>
    <row r="19" spans="1:5" x14ac:dyDescent="0.25">
      <c r="A19" s="174"/>
      <c r="B19" s="293"/>
      <c r="D19" s="294"/>
    </row>
    <row r="20" spans="1:5" x14ac:dyDescent="0.25">
      <c r="A20" s="174" t="str">
        <f>'[1]Water Operating Revenues'!A20</f>
        <v>4055015 KLC Ins Reimbursement</v>
      </c>
      <c r="B20" s="295">
        <f>'[1]Water Operating Revenues'!$B$20</f>
        <v>0</v>
      </c>
      <c r="D20" s="296">
        <v>0</v>
      </c>
      <c r="E20" s="297">
        <f>B20+D20</f>
        <v>0</v>
      </c>
    </row>
    <row r="21" spans="1:5" x14ac:dyDescent="0.25">
      <c r="A21" s="174" t="str">
        <f>'[1]Water Operating Revenues'!A21</f>
        <v>Insurance Reimbursement</v>
      </c>
      <c r="B21" s="284">
        <f>B20</f>
        <v>0</v>
      </c>
      <c r="D21" s="284">
        <f>D20</f>
        <v>0</v>
      </c>
      <c r="E21" s="284">
        <f>E20</f>
        <v>0</v>
      </c>
    </row>
    <row r="22" spans="1:5" x14ac:dyDescent="0.25">
      <c r="A22" s="174"/>
    </row>
    <row r="23" spans="1:5" x14ac:dyDescent="0.25">
      <c r="A23" s="174" t="str">
        <f>'[1]Water Operating Revenues'!A23</f>
        <v>Total Operating Revenues</v>
      </c>
      <c r="B23" s="284">
        <f>B7+B12+B15+B18+B21</f>
        <v>5038626.9824200002</v>
      </c>
      <c r="D23" s="284">
        <f t="shared" ref="D23:E23" si="5">D7+D12+D15+D18+D21</f>
        <v>0</v>
      </c>
      <c r="E23" s="284">
        <f t="shared" si="5"/>
        <v>5038626.9824200002</v>
      </c>
    </row>
    <row r="24" spans="1:5" x14ac:dyDescent="0.25">
      <c r="A24" s="174"/>
    </row>
    <row r="25" spans="1:5" x14ac:dyDescent="0.25">
      <c r="A25" s="174" t="s">
        <v>164</v>
      </c>
      <c r="B25" s="284">
        <f>'[1]Water Operating Revenues'!$B$23</f>
        <v>5038626.9824200002</v>
      </c>
    </row>
    <row r="26" spans="1:5" x14ac:dyDescent="0.25">
      <c r="A26" s="174"/>
    </row>
    <row r="27" spans="1:5" x14ac:dyDescent="0.25">
      <c r="A27" s="174"/>
      <c r="B27" s="299" t="str">
        <f>IF(B25=B23,"OK","Out of Balance")</f>
        <v>OK</v>
      </c>
    </row>
    <row r="28" spans="1:5" x14ac:dyDescent="0.25">
      <c r="A28" s="174"/>
    </row>
    <row r="29" spans="1:5" x14ac:dyDescent="0.25">
      <c r="A29" s="174"/>
    </row>
    <row r="30" spans="1:5" x14ac:dyDescent="0.25">
      <c r="A30" s="174"/>
    </row>
    <row r="31" spans="1:5" x14ac:dyDescent="0.25">
      <c r="A31" s="174"/>
    </row>
    <row r="32" spans="1:5" x14ac:dyDescent="0.25">
      <c r="A32" s="174"/>
    </row>
    <row r="33" spans="1:1" x14ac:dyDescent="0.25">
      <c r="A33" s="174"/>
    </row>
    <row r="34" spans="1:1" x14ac:dyDescent="0.25">
      <c r="A34" s="174"/>
    </row>
    <row r="35" spans="1:1" x14ac:dyDescent="0.25">
      <c r="A35" s="174"/>
    </row>
    <row r="36" spans="1:1" x14ac:dyDescent="0.25">
      <c r="A36" s="174"/>
    </row>
    <row r="37" spans="1:1" x14ac:dyDescent="0.25">
      <c r="A37" s="174"/>
    </row>
    <row r="38" spans="1:1" x14ac:dyDescent="0.25">
      <c r="A38" s="174"/>
    </row>
    <row r="39" spans="1:1" x14ac:dyDescent="0.25">
      <c r="A39" s="174"/>
    </row>
    <row r="40" spans="1:1" x14ac:dyDescent="0.25">
      <c r="A40" s="174"/>
    </row>
    <row r="41" spans="1:1" x14ac:dyDescent="0.25">
      <c r="A41" s="174"/>
    </row>
    <row r="42" spans="1:1" x14ac:dyDescent="0.25">
      <c r="A42" s="174"/>
    </row>
    <row r="43" spans="1:1" x14ac:dyDescent="0.25">
      <c r="A43" s="174"/>
    </row>
    <row r="44" spans="1:1" x14ac:dyDescent="0.25">
      <c r="A44" s="174"/>
    </row>
    <row r="45" spans="1:1" x14ac:dyDescent="0.25">
      <c r="A45" s="174"/>
    </row>
    <row r="46" spans="1:1" x14ac:dyDescent="0.25">
      <c r="A46" s="174"/>
    </row>
    <row r="47" spans="1:1" x14ac:dyDescent="0.25">
      <c r="A47" s="174"/>
    </row>
    <row r="48" spans="1:1" x14ac:dyDescent="0.25">
      <c r="A48" s="174"/>
    </row>
    <row r="49" spans="1:1" x14ac:dyDescent="0.25">
      <c r="A49" s="174"/>
    </row>
    <row r="50" spans="1:1" x14ac:dyDescent="0.25">
      <c r="A50" s="174"/>
    </row>
    <row r="51" spans="1:1" x14ac:dyDescent="0.25">
      <c r="A51" s="174"/>
    </row>
    <row r="52" spans="1:1" x14ac:dyDescent="0.25">
      <c r="A52" s="174"/>
    </row>
    <row r="53" spans="1:1" x14ac:dyDescent="0.25">
      <c r="A53" s="174"/>
    </row>
    <row r="54" spans="1:1" x14ac:dyDescent="0.25">
      <c r="A54" s="174"/>
    </row>
    <row r="55" spans="1:1" x14ac:dyDescent="0.25">
      <c r="A55" s="174"/>
    </row>
    <row r="56" spans="1:1" x14ac:dyDescent="0.25">
      <c r="A56" s="174"/>
    </row>
    <row r="57" spans="1:1" x14ac:dyDescent="0.25">
      <c r="A57" s="174"/>
    </row>
    <row r="58" spans="1:1" x14ac:dyDescent="0.25">
      <c r="A58" s="174"/>
    </row>
    <row r="59" spans="1:1" x14ac:dyDescent="0.25">
      <c r="A59" s="174"/>
    </row>
    <row r="60" spans="1:1" x14ac:dyDescent="0.25">
      <c r="A60" s="174"/>
    </row>
    <row r="61" spans="1:1" x14ac:dyDescent="0.25">
      <c r="A61" s="174"/>
    </row>
    <row r="62" spans="1:1" x14ac:dyDescent="0.25">
      <c r="A62" s="174"/>
    </row>
    <row r="63" spans="1:1" x14ac:dyDescent="0.25">
      <c r="A63" s="174"/>
    </row>
    <row r="64" spans="1:1" x14ac:dyDescent="0.25">
      <c r="A64" s="174"/>
    </row>
    <row r="65" spans="1:1" x14ac:dyDescent="0.25">
      <c r="A65" s="174"/>
    </row>
    <row r="66" spans="1:1" x14ac:dyDescent="0.25">
      <c r="A66" s="174"/>
    </row>
    <row r="67" spans="1:1" x14ac:dyDescent="0.25">
      <c r="A67" s="174"/>
    </row>
    <row r="68" spans="1:1" x14ac:dyDescent="0.25">
      <c r="A68" s="174"/>
    </row>
    <row r="69" spans="1:1" x14ac:dyDescent="0.25">
      <c r="A69" s="174"/>
    </row>
    <row r="70" spans="1:1" x14ac:dyDescent="0.25">
      <c r="A70" s="174"/>
    </row>
    <row r="71" spans="1:1" x14ac:dyDescent="0.25">
      <c r="A71" s="174"/>
    </row>
    <row r="72" spans="1:1" x14ac:dyDescent="0.25">
      <c r="A72" s="174"/>
    </row>
    <row r="73" spans="1:1" x14ac:dyDescent="0.25">
      <c r="A73" s="174"/>
    </row>
    <row r="74" spans="1:1" x14ac:dyDescent="0.25">
      <c r="A74" s="174"/>
    </row>
    <row r="75" spans="1:1" x14ac:dyDescent="0.25">
      <c r="A75" s="174"/>
    </row>
    <row r="76" spans="1:1" x14ac:dyDescent="0.25">
      <c r="A76" s="174"/>
    </row>
    <row r="77" spans="1:1" x14ac:dyDescent="0.25">
      <c r="A77" s="174"/>
    </row>
    <row r="78" spans="1:1" x14ac:dyDescent="0.25">
      <c r="A78" s="174"/>
    </row>
    <row r="79" spans="1:1" x14ac:dyDescent="0.25">
      <c r="A79" s="174"/>
    </row>
    <row r="80" spans="1:1" x14ac:dyDescent="0.25">
      <c r="A80" s="174"/>
    </row>
    <row r="81" spans="1:1" x14ac:dyDescent="0.25">
      <c r="A81" s="174"/>
    </row>
    <row r="82" spans="1:1" x14ac:dyDescent="0.25">
      <c r="A82" s="174"/>
    </row>
    <row r="83" spans="1:1" x14ac:dyDescent="0.25">
      <c r="A83" s="174"/>
    </row>
    <row r="84" spans="1:1" x14ac:dyDescent="0.25">
      <c r="A84" s="174"/>
    </row>
    <row r="85" spans="1:1" x14ac:dyDescent="0.25">
      <c r="A85" s="174"/>
    </row>
    <row r="86" spans="1:1" x14ac:dyDescent="0.25">
      <c r="A86" s="174"/>
    </row>
    <row r="87" spans="1:1" x14ac:dyDescent="0.25">
      <c r="A87" s="174"/>
    </row>
    <row r="88" spans="1:1" x14ac:dyDescent="0.25">
      <c r="A88" s="174"/>
    </row>
    <row r="89" spans="1:1" x14ac:dyDescent="0.25">
      <c r="A89" s="174"/>
    </row>
    <row r="90" spans="1:1" x14ac:dyDescent="0.25">
      <c r="A90" s="174"/>
    </row>
    <row r="91" spans="1:1" x14ac:dyDescent="0.25">
      <c r="A91" s="174"/>
    </row>
    <row r="92" spans="1:1" x14ac:dyDescent="0.25">
      <c r="A92" s="174"/>
    </row>
    <row r="93" spans="1:1" x14ac:dyDescent="0.25">
      <c r="A93" s="174"/>
    </row>
    <row r="94" spans="1:1" x14ac:dyDescent="0.25">
      <c r="A94" s="174"/>
    </row>
    <row r="95" spans="1:1" x14ac:dyDescent="0.25">
      <c r="A95" s="174"/>
    </row>
    <row r="96" spans="1:1" x14ac:dyDescent="0.25">
      <c r="A96" s="174"/>
    </row>
    <row r="97" spans="1:1" x14ac:dyDescent="0.25">
      <c r="A97" s="174"/>
    </row>
    <row r="98" spans="1:1" x14ac:dyDescent="0.25">
      <c r="A98" s="174"/>
    </row>
    <row r="99" spans="1:1" x14ac:dyDescent="0.25">
      <c r="A99" s="174"/>
    </row>
    <row r="100" spans="1:1" x14ac:dyDescent="0.25">
      <c r="A100" s="174"/>
    </row>
    <row r="101" spans="1:1" x14ac:dyDescent="0.25">
      <c r="A101" s="174"/>
    </row>
    <row r="102" spans="1:1" x14ac:dyDescent="0.25">
      <c r="A102" s="174"/>
    </row>
    <row r="103" spans="1:1" x14ac:dyDescent="0.25">
      <c r="A103" s="174"/>
    </row>
    <row r="104" spans="1:1" x14ac:dyDescent="0.25">
      <c r="A104" s="174"/>
    </row>
    <row r="105" spans="1:1" x14ac:dyDescent="0.25">
      <c r="A105" s="174"/>
    </row>
    <row r="106" spans="1:1" x14ac:dyDescent="0.25">
      <c r="A106" s="174"/>
    </row>
    <row r="107" spans="1:1" x14ac:dyDescent="0.25">
      <c r="A107" s="174"/>
    </row>
    <row r="108" spans="1:1" x14ac:dyDescent="0.25">
      <c r="A108" s="174"/>
    </row>
    <row r="109" spans="1:1" x14ac:dyDescent="0.25">
      <c r="A109" s="174"/>
    </row>
    <row r="110" spans="1:1" x14ac:dyDescent="0.25">
      <c r="A110" s="174"/>
    </row>
    <row r="111" spans="1:1" x14ac:dyDescent="0.25">
      <c r="A111" s="174"/>
    </row>
    <row r="112" spans="1:1" x14ac:dyDescent="0.25">
      <c r="A112" s="174"/>
    </row>
    <row r="113" spans="1:1" x14ac:dyDescent="0.25">
      <c r="A113" s="174"/>
    </row>
    <row r="114" spans="1:1" x14ac:dyDescent="0.25">
      <c r="A114" s="174"/>
    </row>
    <row r="115" spans="1:1" x14ac:dyDescent="0.25">
      <c r="A115" s="174"/>
    </row>
    <row r="116" spans="1:1" x14ac:dyDescent="0.25">
      <c r="A116" s="174"/>
    </row>
    <row r="117" spans="1:1" x14ac:dyDescent="0.25">
      <c r="A117" s="174"/>
    </row>
    <row r="118" spans="1:1" x14ac:dyDescent="0.25">
      <c r="A118" s="174"/>
    </row>
    <row r="119" spans="1:1" x14ac:dyDescent="0.25">
      <c r="A119" s="174"/>
    </row>
    <row r="120" spans="1:1" x14ac:dyDescent="0.25">
      <c r="A120" s="174"/>
    </row>
    <row r="121" spans="1:1" x14ac:dyDescent="0.25">
      <c r="A121" s="174"/>
    </row>
    <row r="122" spans="1:1" x14ac:dyDescent="0.25">
      <c r="A122" s="174"/>
    </row>
    <row r="123" spans="1:1" x14ac:dyDescent="0.25">
      <c r="A123" s="174"/>
    </row>
    <row r="124" spans="1:1" x14ac:dyDescent="0.25">
      <c r="A124" s="174"/>
    </row>
    <row r="125" spans="1:1" x14ac:dyDescent="0.25">
      <c r="A125" s="174"/>
    </row>
    <row r="126" spans="1:1" x14ac:dyDescent="0.25">
      <c r="A126" s="174"/>
    </row>
    <row r="127" spans="1:1" x14ac:dyDescent="0.25">
      <c r="A127" s="174"/>
    </row>
    <row r="128" spans="1:1" x14ac:dyDescent="0.25">
      <c r="A128" s="174"/>
    </row>
    <row r="129" spans="1:1" x14ac:dyDescent="0.25">
      <c r="A129" s="174"/>
    </row>
    <row r="130" spans="1:1" x14ac:dyDescent="0.25">
      <c r="A130" s="174"/>
    </row>
    <row r="131" spans="1:1" x14ac:dyDescent="0.25">
      <c r="A131" s="174"/>
    </row>
    <row r="132" spans="1:1" x14ac:dyDescent="0.25">
      <c r="A132" s="174"/>
    </row>
    <row r="133" spans="1:1" x14ac:dyDescent="0.25">
      <c r="A133" s="174"/>
    </row>
    <row r="134" spans="1:1" x14ac:dyDescent="0.25">
      <c r="A134" s="174"/>
    </row>
    <row r="135" spans="1:1" x14ac:dyDescent="0.25">
      <c r="A135" s="174"/>
    </row>
    <row r="136" spans="1:1" x14ac:dyDescent="0.25">
      <c r="A136" s="174"/>
    </row>
    <row r="137" spans="1:1" x14ac:dyDescent="0.25">
      <c r="A137" s="174"/>
    </row>
    <row r="138" spans="1:1" x14ac:dyDescent="0.25">
      <c r="A138" s="174"/>
    </row>
    <row r="139" spans="1:1" x14ac:dyDescent="0.25">
      <c r="A139" s="174"/>
    </row>
    <row r="140" spans="1:1" x14ac:dyDescent="0.25">
      <c r="A140" s="174"/>
    </row>
    <row r="141" spans="1:1" x14ac:dyDescent="0.25">
      <c r="A141" s="174"/>
    </row>
    <row r="142" spans="1:1" x14ac:dyDescent="0.25">
      <c r="A142" s="174"/>
    </row>
    <row r="143" spans="1:1" x14ac:dyDescent="0.25">
      <c r="A143" s="174"/>
    </row>
    <row r="144" spans="1:1" x14ac:dyDescent="0.25">
      <c r="A144" s="174"/>
    </row>
    <row r="145" spans="1:1" x14ac:dyDescent="0.25">
      <c r="A145" s="174"/>
    </row>
    <row r="146" spans="1:1" x14ac:dyDescent="0.25">
      <c r="A146" s="174"/>
    </row>
    <row r="147" spans="1:1" x14ac:dyDescent="0.25">
      <c r="A147" s="174"/>
    </row>
    <row r="148" spans="1:1" x14ac:dyDescent="0.25">
      <c r="A148" s="174"/>
    </row>
    <row r="149" spans="1:1" x14ac:dyDescent="0.25">
      <c r="A149" s="174"/>
    </row>
    <row r="152" spans="1:1" x14ac:dyDescent="0.25">
      <c r="A152" s="1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5CE4-E6A2-47A1-A3DB-DA4553EFDEB5}">
  <dimension ref="A1:E70"/>
  <sheetViews>
    <sheetView topLeftCell="A46" workbookViewId="0">
      <selection sqref="A1:B68"/>
    </sheetView>
  </sheetViews>
  <sheetFormatPr defaultRowHeight="15" x14ac:dyDescent="0.25"/>
  <cols>
    <col min="1" max="1" width="73.88671875" style="1" customWidth="1"/>
    <col min="2" max="4" width="14.5546875" style="189" customWidth="1"/>
    <col min="5" max="5" width="9.77734375" style="1" bestFit="1" customWidth="1"/>
    <col min="6" max="16384" width="8.88671875" style="1"/>
  </cols>
  <sheetData>
    <row r="1" spans="1:4" x14ac:dyDescent="0.25">
      <c r="A1" s="160" t="s">
        <v>149</v>
      </c>
    </row>
    <row r="2" spans="1:4" x14ac:dyDescent="0.25">
      <c r="A2" s="160" t="s">
        <v>148</v>
      </c>
    </row>
    <row r="3" spans="1:4" x14ac:dyDescent="0.25">
      <c r="A3" s="160" t="s">
        <v>242</v>
      </c>
    </row>
    <row r="4" spans="1:4" x14ac:dyDescent="0.25">
      <c r="A4" s="161"/>
      <c r="B4" s="190"/>
      <c r="C4" s="209" t="s">
        <v>163</v>
      </c>
      <c r="D4" s="191" t="s">
        <v>150</v>
      </c>
    </row>
    <row r="5" spans="1:4" x14ac:dyDescent="0.25">
      <c r="A5" s="162"/>
      <c r="B5" s="164" t="s">
        <v>151</v>
      </c>
      <c r="C5" s="164" t="s">
        <v>15</v>
      </c>
      <c r="D5" s="192" t="s">
        <v>151</v>
      </c>
    </row>
    <row r="6" spans="1:4" x14ac:dyDescent="0.25">
      <c r="A6" s="163" t="str">
        <f>'[1]Water Operating Expenses'!A6</f>
        <v>6001 Water Department:Water Maintenance System:Salaries - Water Maint</v>
      </c>
      <c r="B6" s="193">
        <f>'[1]Water Operating Expenses'!B6</f>
        <v>341780.93</v>
      </c>
      <c r="C6" s="193">
        <v>0</v>
      </c>
      <c r="D6" s="189">
        <f>B6+C6</f>
        <v>341780.93</v>
      </c>
    </row>
    <row r="7" spans="1:4" x14ac:dyDescent="0.25">
      <c r="A7" s="163" t="str">
        <f>'[1]Water Operating Expenses'!A7</f>
        <v>6010 Water Department:Water Maintenance System:Equipment Repairs</v>
      </c>
      <c r="B7" s="193">
        <f>'[1]Water Operating Expenses'!B7</f>
        <v>16665.22</v>
      </c>
      <c r="C7" s="193">
        <v>0</v>
      </c>
      <c r="D7" s="189">
        <f t="shared" ref="D7:D39" si="0">B7+C7</f>
        <v>16665.22</v>
      </c>
    </row>
    <row r="8" spans="1:4" x14ac:dyDescent="0.25">
      <c r="A8" s="163" t="str">
        <f>'[1]Water Operating Expenses'!A8</f>
        <v>6011 Water Department:Water Maintenance System:Equipment Fuel</v>
      </c>
      <c r="B8" s="193">
        <f>'[1]Water Operating Expenses'!B8</f>
        <v>28872.43</v>
      </c>
      <c r="C8" s="193">
        <v>0</v>
      </c>
      <c r="D8" s="189">
        <f t="shared" si="0"/>
        <v>28872.43</v>
      </c>
    </row>
    <row r="9" spans="1:4" x14ac:dyDescent="0.25">
      <c r="A9" s="163" t="str">
        <f>'[1]Water Operating Expenses'!A9</f>
        <v>6016 Water Department:Water Maintenance System:Shop Utilities</v>
      </c>
      <c r="B9" s="193">
        <f>'[1]Water Operating Expenses'!B9</f>
        <v>14193.07</v>
      </c>
      <c r="C9" s="193">
        <v>0</v>
      </c>
      <c r="D9" s="189">
        <f t="shared" si="0"/>
        <v>14193.07</v>
      </c>
    </row>
    <row r="10" spans="1:4" x14ac:dyDescent="0.25">
      <c r="A10" s="163" t="str">
        <f>'[1]Water Operating Expenses'!A10</f>
        <v>6017 Water Department:Water Maintenance System:Vehicle Expenses</v>
      </c>
      <c r="B10" s="193">
        <f>'[1]Water Operating Expenses'!B10</f>
        <v>38200.269999999997</v>
      </c>
      <c r="C10" s="193">
        <v>0</v>
      </c>
      <c r="D10" s="189">
        <f t="shared" si="0"/>
        <v>38200.269999999997</v>
      </c>
    </row>
    <row r="11" spans="1:4" x14ac:dyDescent="0.25">
      <c r="A11" s="163" t="str">
        <f>'[1]Water Operating Expenses'!A11</f>
        <v>6019 Water Department:Water Maintenance System:Equipment Expenses</v>
      </c>
      <c r="B11" s="193">
        <f>'[1]Water Operating Expenses'!B11</f>
        <v>2093.88</v>
      </c>
      <c r="C11" s="193">
        <v>0</v>
      </c>
      <c r="D11" s="189">
        <f t="shared" si="0"/>
        <v>2093.88</v>
      </c>
    </row>
    <row r="12" spans="1:4" x14ac:dyDescent="0.25">
      <c r="A12" s="163" t="str">
        <f>'[1]Water Operating Expenses'!A12</f>
        <v>6020 Water Department:Water Maintenance System:System Repair/Maintenance</v>
      </c>
      <c r="B12" s="193">
        <f>'[1]Water Operating Expenses'!B12</f>
        <v>128378.27</v>
      </c>
      <c r="C12" s="193">
        <v>0</v>
      </c>
      <c r="D12" s="189">
        <f t="shared" si="0"/>
        <v>128378.27</v>
      </c>
    </row>
    <row r="13" spans="1:4" x14ac:dyDescent="0.25">
      <c r="A13" s="163" t="str">
        <f>'[1]Water Operating Expenses'!A13</f>
        <v>6026 Water Department:Water Maintenance System:Janitor/Shop Supplies</v>
      </c>
      <c r="B13" s="193">
        <f>'[1]Water Operating Expenses'!B13</f>
        <v>6886</v>
      </c>
      <c r="C13" s="193">
        <v>0</v>
      </c>
      <c r="D13" s="189">
        <f t="shared" si="0"/>
        <v>6886</v>
      </c>
    </row>
    <row r="14" spans="1:4" x14ac:dyDescent="0.25">
      <c r="A14" s="163" t="str">
        <f>'[1]Water Operating Expenses'!A14</f>
        <v>6027 Water Department:Water Maintenance System:Office Supplies</v>
      </c>
      <c r="B14" s="193">
        <f>'[1]Water Operating Expenses'!B14</f>
        <v>1031.81</v>
      </c>
      <c r="C14" s="193">
        <v>0</v>
      </c>
      <c r="D14" s="189">
        <f t="shared" si="0"/>
        <v>1031.81</v>
      </c>
    </row>
    <row r="15" spans="1:4" x14ac:dyDescent="0.25">
      <c r="A15" s="163" t="str">
        <f>'[1]Water Operating Expenses'!A15</f>
        <v>6030 Water Department:Water Maintenance System:Computer Expense</v>
      </c>
      <c r="B15" s="193">
        <f>'[1]Water Operating Expenses'!B15</f>
        <v>10076.69</v>
      </c>
      <c r="C15" s="193">
        <v>0</v>
      </c>
      <c r="D15" s="189">
        <f t="shared" si="0"/>
        <v>10076.69</v>
      </c>
    </row>
    <row r="16" spans="1:4" x14ac:dyDescent="0.25">
      <c r="A16" s="163" t="str">
        <f>'[1]Water Operating Expenses'!A16</f>
        <v>6050 Water Department:Water Maintenance System:Easements</v>
      </c>
      <c r="B16" s="193">
        <f>'[1]Water Operating Expenses'!B16</f>
        <v>421.9</v>
      </c>
      <c r="C16" s="193">
        <v>0</v>
      </c>
      <c r="D16" s="189">
        <f t="shared" si="0"/>
        <v>421.9</v>
      </c>
    </row>
    <row r="17" spans="1:4" x14ac:dyDescent="0.25">
      <c r="A17" s="163" t="str">
        <f>'[1]Water Operating Expenses'!A17</f>
        <v>6070 Water Department:Water Maintenance System:Drug and Alcohol Testing</v>
      </c>
      <c r="B17" s="193">
        <f>'[1]Water Operating Expenses'!B17</f>
        <v>0</v>
      </c>
      <c r="C17" s="193">
        <v>0</v>
      </c>
      <c r="D17" s="189">
        <f t="shared" si="0"/>
        <v>0</v>
      </c>
    </row>
    <row r="18" spans="1:4" x14ac:dyDescent="0.25">
      <c r="A18" s="163" t="str">
        <f>'[1]Water Operating Expenses'!A18</f>
        <v>6075 Water Department:Water Maintenance System:Employee Training &amp; Travel</v>
      </c>
      <c r="B18" s="193">
        <f>'[1]Water Operating Expenses'!B18</f>
        <v>11620.92</v>
      </c>
      <c r="C18" s="193">
        <v>0</v>
      </c>
      <c r="D18" s="189">
        <f t="shared" si="0"/>
        <v>11620.92</v>
      </c>
    </row>
    <row r="19" spans="1:4" x14ac:dyDescent="0.25">
      <c r="A19" s="163" t="str">
        <f>'[1]Water Operating Expenses'!A19</f>
        <v>6088 Water Department:Water Maintenance System:Employee Benefits - Maintenance</v>
      </c>
      <c r="B19" s="193">
        <f>'[1]Water Operating Expenses'!B19</f>
        <v>241102.07</v>
      </c>
      <c r="C19" s="193">
        <v>0</v>
      </c>
      <c r="D19" s="189">
        <f t="shared" si="0"/>
        <v>241102.07</v>
      </c>
    </row>
    <row r="20" spans="1:4" x14ac:dyDescent="0.25">
      <c r="A20" s="163" t="str">
        <f>'[1]Water Operating Expenses'!A20</f>
        <v>6092 Water Department:Water Maintenance System:Uniform Exp - Mtn</v>
      </c>
      <c r="B20" s="194">
        <f>'[1]Water Operating Expenses'!B20</f>
        <v>904.84</v>
      </c>
      <c r="C20" s="194">
        <v>0</v>
      </c>
      <c r="D20" s="195">
        <f t="shared" si="0"/>
        <v>904.84</v>
      </c>
    </row>
    <row r="21" spans="1:4" x14ac:dyDescent="0.25">
      <c r="A21" s="163" t="s">
        <v>157</v>
      </c>
      <c r="B21" s="193">
        <f>SUM(B6:B20)</f>
        <v>842228.30000000016</v>
      </c>
      <c r="C21" s="193">
        <f t="shared" ref="C21:D21" si="1">SUM(C6:C20)</f>
        <v>0</v>
      </c>
      <c r="D21" s="193">
        <f t="shared" si="1"/>
        <v>842228.30000000016</v>
      </c>
    </row>
    <row r="22" spans="1:4" x14ac:dyDescent="0.25">
      <c r="A22" s="163"/>
      <c r="B22" s="193"/>
      <c r="C22" s="193"/>
    </row>
    <row r="23" spans="1:4" x14ac:dyDescent="0.25">
      <c r="A23" s="163" t="str">
        <f>'[1]Water Operating Expenses'!A21</f>
        <v>6000 Water Department:Water Treatment Plant:Salaries - WTP</v>
      </c>
      <c r="B23" s="193">
        <f>'[1]Water Operating Expenses'!B21</f>
        <v>566595.88</v>
      </c>
      <c r="C23" s="193">
        <v>0</v>
      </c>
      <c r="D23" s="189">
        <f t="shared" si="0"/>
        <v>566595.88</v>
      </c>
    </row>
    <row r="24" spans="1:4" x14ac:dyDescent="0.25">
      <c r="A24" s="163" t="str">
        <f>'[1]Water Operating Expenses'!A22</f>
        <v>6012 Water Department:Water Treatment Plant:Equipment Repairs</v>
      </c>
      <c r="B24" s="193">
        <f>'[1]Water Operating Expenses'!B22</f>
        <v>6214.72</v>
      </c>
      <c r="C24" s="193">
        <v>0</v>
      </c>
      <c r="D24" s="189">
        <f t="shared" si="0"/>
        <v>6214.72</v>
      </c>
    </row>
    <row r="25" spans="1:4" x14ac:dyDescent="0.25">
      <c r="A25" s="163" t="str">
        <f>'[1]Water Operating Expenses'!A23</f>
        <v>6013 Water Department:Water Treatment Plant:Equipment Fuel</v>
      </c>
      <c r="B25" s="193">
        <f>'[1]Water Operating Expenses'!B23</f>
        <v>9832.41</v>
      </c>
      <c r="C25" s="193">
        <v>0</v>
      </c>
      <c r="D25" s="189">
        <f t="shared" si="0"/>
        <v>9832.41</v>
      </c>
    </row>
    <row r="26" spans="1:4" x14ac:dyDescent="0.25">
      <c r="A26" s="163" t="str">
        <f>'[1]Water Operating Expenses'!A24</f>
        <v>6015 Water Department:Water Treatment Plant:Utilities-WTP</v>
      </c>
      <c r="B26" s="193">
        <f>'[1]Water Operating Expenses'!B24</f>
        <v>433779.01</v>
      </c>
      <c r="C26" s="193">
        <v>0</v>
      </c>
      <c r="D26" s="189">
        <f t="shared" si="0"/>
        <v>433779.01</v>
      </c>
    </row>
    <row r="27" spans="1:4" x14ac:dyDescent="0.25">
      <c r="A27" s="163" t="str">
        <f>'[1]Water Operating Expenses'!A25</f>
        <v>6018 Water Department:Water Treatment Plant:Vehicle Expenses</v>
      </c>
      <c r="B27" s="193">
        <f>'[1]Water Operating Expenses'!B25</f>
        <v>23628.25</v>
      </c>
      <c r="C27" s="193">
        <v>0</v>
      </c>
      <c r="D27" s="189">
        <f t="shared" si="0"/>
        <v>23628.25</v>
      </c>
    </row>
    <row r="28" spans="1:4" x14ac:dyDescent="0.25">
      <c r="A28" s="163" t="str">
        <f>'[1]Water Operating Expenses'!A26</f>
        <v>6021 Water Department:Water Treatment Plant:Repairs and Maintenance</v>
      </c>
      <c r="B28" s="193">
        <f>'[1]Water Operating Expenses'!B26</f>
        <v>120827.37</v>
      </c>
      <c r="C28" s="193">
        <v>0</v>
      </c>
      <c r="D28" s="189">
        <f t="shared" si="0"/>
        <v>120827.37</v>
      </c>
    </row>
    <row r="29" spans="1:4" x14ac:dyDescent="0.25">
      <c r="A29" s="163" t="str">
        <f>'[1]Water Operating Expenses'!A27</f>
        <v>6025 Water Department:Water Treatment Plant:Janitor/Shop Supplies</v>
      </c>
      <c r="B29" s="193">
        <f>'[1]Water Operating Expenses'!B27</f>
        <v>2089.5300000000002</v>
      </c>
      <c r="C29" s="193">
        <v>0</v>
      </c>
      <c r="D29" s="189">
        <f t="shared" si="0"/>
        <v>2089.5300000000002</v>
      </c>
    </row>
    <row r="30" spans="1:4" x14ac:dyDescent="0.25">
      <c r="A30" s="163" t="str">
        <f>'[1]Water Operating Expenses'!A28</f>
        <v>6031 Water Department:Water Treatment Plant:Computer Expense</v>
      </c>
      <c r="B30" s="193">
        <f>'[1]Water Operating Expenses'!B28</f>
        <v>4214.51</v>
      </c>
      <c r="C30" s="193">
        <v>0</v>
      </c>
      <c r="D30" s="189">
        <f t="shared" si="0"/>
        <v>4214.51</v>
      </c>
    </row>
    <row r="31" spans="1:4" x14ac:dyDescent="0.25">
      <c r="A31" s="163" t="str">
        <f>'[1]Water Operating Expenses'!A29</f>
        <v>6035 Water Department:Water Treatment Plant:Chemicals - WTP</v>
      </c>
      <c r="B31" s="193">
        <f>'[1]Water Operating Expenses'!B29</f>
        <v>382843.31</v>
      </c>
      <c r="C31" s="193">
        <v>0</v>
      </c>
      <c r="D31" s="189">
        <f t="shared" si="0"/>
        <v>382843.31</v>
      </c>
    </row>
    <row r="32" spans="1:4" x14ac:dyDescent="0.25">
      <c r="A32" s="163" t="str">
        <f>'[1]Water Operating Expenses'!A30</f>
        <v>6044 Water Department:Water Treatment Plant:Water Pumps &amp; Tank Repair</v>
      </c>
      <c r="B32" s="193">
        <f>'[1]Water Operating Expenses'!B30</f>
        <v>3261.32</v>
      </c>
      <c r="C32" s="193">
        <v>0</v>
      </c>
      <c r="D32" s="189">
        <f t="shared" si="0"/>
        <v>3261.32</v>
      </c>
    </row>
    <row r="33" spans="1:5" x14ac:dyDescent="0.25">
      <c r="A33" s="163" t="str">
        <f>'[1]Water Operating Expenses'!A31</f>
        <v>6065 Water Department:Water Treatment Plant:Office Supplies</v>
      </c>
      <c r="B33" s="193">
        <f>'[1]Water Operating Expenses'!B31</f>
        <v>406.94</v>
      </c>
      <c r="C33" s="193">
        <v>0</v>
      </c>
      <c r="D33" s="189">
        <f t="shared" si="0"/>
        <v>406.94</v>
      </c>
    </row>
    <row r="34" spans="1:5" x14ac:dyDescent="0.25">
      <c r="A34" s="163" t="str">
        <f>'[1]Water Operating Expenses'!A32</f>
        <v>6085 Water Department:Water Treatment Plant:Employee Training &amp; Travel</v>
      </c>
      <c r="B34" s="193">
        <f>'[1]Water Operating Expenses'!B32</f>
        <v>14596.82</v>
      </c>
      <c r="C34" s="193">
        <v>0</v>
      </c>
      <c r="D34" s="189">
        <f t="shared" si="0"/>
        <v>14596.82</v>
      </c>
    </row>
    <row r="35" spans="1:5" x14ac:dyDescent="0.25">
      <c r="A35" s="163" t="str">
        <f>'[1]Water Operating Expenses'!A33</f>
        <v>6086 Water Department:Water Treatment Plant:Water Lab Testing &amp; Supplies</v>
      </c>
      <c r="B35" s="193">
        <f>'[1]Water Operating Expenses'!B33</f>
        <v>46783.96</v>
      </c>
      <c r="C35" s="193">
        <v>0</v>
      </c>
      <c r="D35" s="189">
        <f t="shared" si="0"/>
        <v>46783.96</v>
      </c>
    </row>
    <row r="36" spans="1:5" x14ac:dyDescent="0.25">
      <c r="A36" s="163" t="str">
        <f>'[1]Water Operating Expenses'!A34</f>
        <v>6087 Water Department:Water Treatment Plant:Dues &amp; Subscriptions WTP</v>
      </c>
      <c r="B36" s="193">
        <f>'[1]Water Operating Expenses'!B34</f>
        <v>0</v>
      </c>
      <c r="C36" s="193">
        <v>0</v>
      </c>
      <c r="D36" s="189">
        <f t="shared" si="0"/>
        <v>0</v>
      </c>
    </row>
    <row r="37" spans="1:5" x14ac:dyDescent="0.25">
      <c r="A37" s="163" t="str">
        <f>'[1]Water Operating Expenses'!A35</f>
        <v>6093 Water Department:Water Treatment Plant:Uniform Exp - WTP</v>
      </c>
      <c r="B37" s="193">
        <f>'[1]Water Operating Expenses'!B35</f>
        <v>1007.23</v>
      </c>
      <c r="C37" s="193">
        <v>0</v>
      </c>
      <c r="D37" s="189">
        <f t="shared" si="0"/>
        <v>1007.23</v>
      </c>
    </row>
    <row r="38" spans="1:5" x14ac:dyDescent="0.25">
      <c r="A38" s="163" t="str">
        <f>'[1]Water Operating Expenses'!A36</f>
        <v>6099 Water Department:Water Treatment Plant:Employee Benefits- WTP</v>
      </c>
      <c r="B38" s="193">
        <f>'[1]Water Operating Expenses'!B36</f>
        <v>380219.56</v>
      </c>
      <c r="C38" s="193">
        <v>0</v>
      </c>
      <c r="D38" s="189">
        <f t="shared" si="0"/>
        <v>380219.56</v>
      </c>
    </row>
    <row r="39" spans="1:5" x14ac:dyDescent="0.25">
      <c r="A39" s="163" t="str">
        <f>'[1]Water Operating Expenses'!A37</f>
        <v>6150 Water Department:Water Treatment Plant:Drug/Alcohol Test  WTP</v>
      </c>
      <c r="B39" s="194">
        <f>'[1]Water Operating Expenses'!B37</f>
        <v>0</v>
      </c>
      <c r="C39" s="194">
        <v>0</v>
      </c>
      <c r="D39" s="195">
        <f t="shared" si="0"/>
        <v>0</v>
      </c>
    </row>
    <row r="40" spans="1:5" x14ac:dyDescent="0.25">
      <c r="A40" s="163" t="s">
        <v>73</v>
      </c>
      <c r="B40" s="193">
        <f>SUM(B23:B39)</f>
        <v>1996300.8200000003</v>
      </c>
      <c r="C40" s="193">
        <f>SUM(C23:C39)</f>
        <v>0</v>
      </c>
      <c r="D40" s="193">
        <f>SUM(D23:D39)</f>
        <v>1996300.8200000003</v>
      </c>
      <c r="E40" s="189">
        <f>B40+B21</f>
        <v>2838529.1200000006</v>
      </c>
    </row>
    <row r="41" spans="1:5" x14ac:dyDescent="0.25">
      <c r="A41" s="163"/>
      <c r="B41" s="193"/>
    </row>
    <row r="42" spans="1:5" x14ac:dyDescent="0.25">
      <c r="A42" s="163" t="str">
        <f>'[1]Water Operating Expenses'!A40</f>
        <v>8000 Administrative Department:Salaries - Admin</v>
      </c>
      <c r="B42" s="193">
        <f>'[1]Water Operating Expenses'!B40</f>
        <v>286233.34634999995</v>
      </c>
      <c r="C42" s="193">
        <v>0</v>
      </c>
      <c r="D42" s="189">
        <f t="shared" ref="D42:D65" si="2">B42+C42</f>
        <v>286233.34634999995</v>
      </c>
    </row>
    <row r="43" spans="1:5" x14ac:dyDescent="0.25">
      <c r="A43" s="163" t="str">
        <f>'[1]Water Operating Expenses'!A41</f>
        <v>8015 Administrative Department:Office Utilities</v>
      </c>
      <c r="B43" s="193">
        <f>'[1]Water Operating Expenses'!B41</f>
        <v>14426.023919999998</v>
      </c>
      <c r="C43" s="193">
        <v>0</v>
      </c>
      <c r="D43" s="189">
        <f t="shared" si="2"/>
        <v>14426.023919999998</v>
      </c>
    </row>
    <row r="44" spans="1:5" x14ac:dyDescent="0.25">
      <c r="A44" s="163" t="str">
        <f>'[1]Water Operating Expenses'!A42</f>
        <v>8018 Administrative Department:Vehicle Expenses</v>
      </c>
      <c r="B44" s="193">
        <f>'[1]Water Operating Expenses'!B42</f>
        <v>12541.323200000001</v>
      </c>
      <c r="C44" s="193">
        <v>0</v>
      </c>
      <c r="D44" s="189">
        <f t="shared" si="2"/>
        <v>12541.323200000001</v>
      </c>
    </row>
    <row r="45" spans="1:5" x14ac:dyDescent="0.25">
      <c r="A45" s="163" t="str">
        <f>'[1]Water Operating Expenses'!A43</f>
        <v>8020 Administrative Department:Repairs &amp; Maintenance</v>
      </c>
      <c r="B45" s="193">
        <f>'[1]Water Operating Expenses'!B43</f>
        <v>3338.8117699999998</v>
      </c>
      <c r="C45" s="193">
        <v>0</v>
      </c>
      <c r="D45" s="189">
        <f t="shared" si="2"/>
        <v>3338.8117699999998</v>
      </c>
    </row>
    <row r="46" spans="1:5" x14ac:dyDescent="0.25">
      <c r="A46" s="163" t="str">
        <f>'[1]Water Operating Expenses'!A44</f>
        <v>8035 Administrative Department:Advertising &amp; Printing</v>
      </c>
      <c r="B46" s="193">
        <f>'[1]Water Operating Expenses'!B44</f>
        <v>437.78</v>
      </c>
      <c r="C46" s="193">
        <v>0</v>
      </c>
      <c r="D46" s="189">
        <f t="shared" si="2"/>
        <v>437.78</v>
      </c>
    </row>
    <row r="47" spans="1:5" x14ac:dyDescent="0.25">
      <c r="A47" s="163" t="str">
        <f>'[1]Water Operating Expenses'!A45</f>
        <v>8040 Administrative Department:Professional Services</v>
      </c>
      <c r="B47" s="193">
        <f>'[1]Water Operating Expenses'!B45</f>
        <v>52595.388930000001</v>
      </c>
      <c r="C47" s="193">
        <v>0</v>
      </c>
      <c r="D47" s="189">
        <f t="shared" si="2"/>
        <v>52595.388930000001</v>
      </c>
    </row>
    <row r="48" spans="1:5" x14ac:dyDescent="0.25">
      <c r="A48" s="163" t="str">
        <f>'[1]Water Operating Expenses'!A46</f>
        <v>8050 Administrative Department:Easements and Right of Way</v>
      </c>
      <c r="B48" s="193">
        <f>'[1]Water Operating Expenses'!B46</f>
        <v>225.88208999999998</v>
      </c>
      <c r="C48" s="193">
        <v>0</v>
      </c>
      <c r="D48" s="189">
        <f t="shared" si="2"/>
        <v>225.88208999999998</v>
      </c>
    </row>
    <row r="49" spans="1:4" x14ac:dyDescent="0.25">
      <c r="A49" s="163" t="str">
        <f>'[1]Water Operating Expenses'!A47</f>
        <v>8052 Administrative Department:Janitorial Service</v>
      </c>
      <c r="B49" s="193">
        <f>'[1]Water Operating Expenses'!B47</f>
        <v>5683.2062699999997</v>
      </c>
      <c r="C49" s="193">
        <v>0</v>
      </c>
      <c r="D49" s="189">
        <f t="shared" si="2"/>
        <v>5683.2062699999997</v>
      </c>
    </row>
    <row r="50" spans="1:4" x14ac:dyDescent="0.25">
      <c r="A50" s="163" t="str">
        <f>'[1]Water Operating Expenses'!A48</f>
        <v>8055 Administrative Department:Employee Training &amp; Travel</v>
      </c>
      <c r="B50" s="193">
        <f>'[1]Water Operating Expenses'!B48</f>
        <v>13832.44793</v>
      </c>
      <c r="C50" s="193">
        <v>0</v>
      </c>
      <c r="D50" s="189">
        <f t="shared" si="2"/>
        <v>13832.44793</v>
      </c>
    </row>
    <row r="51" spans="1:4" x14ac:dyDescent="0.25">
      <c r="A51" s="163" t="str">
        <f>'[1]Water Operating Expenses'!A49</f>
        <v>8055 Administrative Department:Pension Expense</v>
      </c>
      <c r="B51" s="193">
        <f>'[1]Water Operating Expenses'!B49</f>
        <v>0</v>
      </c>
      <c r="C51" s="193">
        <v>0</v>
      </c>
      <c r="D51" s="189">
        <f t="shared" si="2"/>
        <v>0</v>
      </c>
    </row>
    <row r="52" spans="1:4" x14ac:dyDescent="0.25">
      <c r="A52" s="163" t="str">
        <f>'[1]Water Operating Expenses'!A50</f>
        <v>8065 Administrative Department:General Insurance</v>
      </c>
      <c r="B52" s="193">
        <f>'[1]Water Operating Expenses'!B50</f>
        <v>80357.488469999997</v>
      </c>
      <c r="C52" s="193">
        <v>0</v>
      </c>
      <c r="D52" s="189">
        <f t="shared" si="2"/>
        <v>80357.488469999997</v>
      </c>
    </row>
    <row r="53" spans="1:4" x14ac:dyDescent="0.25">
      <c r="A53" s="163" t="str">
        <f>'[1]Water Operating Expenses'!A51</f>
        <v>8065 Administrative Department:Workman's Comp Ins</v>
      </c>
      <c r="B53" s="193">
        <f>'[1]Water Operating Expenses'!B51</f>
        <v>0</v>
      </c>
      <c r="C53" s="193">
        <v>0</v>
      </c>
      <c r="D53" s="189">
        <f t="shared" si="2"/>
        <v>0</v>
      </c>
    </row>
    <row r="54" spans="1:4" x14ac:dyDescent="0.25">
      <c r="A54" s="163" t="str">
        <f>'[1]Water Operating Expenses'!A52</f>
        <v>8070 Administrative Department:Office Supplies</v>
      </c>
      <c r="B54" s="193">
        <f>'[1]Water Operating Expenses'!B52</f>
        <v>7734.9241899999997</v>
      </c>
      <c r="C54" s="193">
        <v>0</v>
      </c>
      <c r="D54" s="189">
        <f t="shared" si="2"/>
        <v>7734.9241899999997</v>
      </c>
    </row>
    <row r="55" spans="1:4" x14ac:dyDescent="0.25">
      <c r="A55" s="163" t="str">
        <f>'[1]Water Operating Expenses'!A53</f>
        <v>8071 Administrative Department:Postage</v>
      </c>
      <c r="B55" s="193">
        <f>'[1]Water Operating Expenses'!B53</f>
        <v>20855.661609999999</v>
      </c>
      <c r="C55" s="193">
        <v>0</v>
      </c>
      <c r="D55" s="189">
        <f t="shared" si="2"/>
        <v>20855.661609999999</v>
      </c>
    </row>
    <row r="56" spans="1:4" x14ac:dyDescent="0.25">
      <c r="A56" s="163" t="str">
        <f>'[1]Water Operating Expenses'!A54</f>
        <v>8072 Administrative Department:Service Contracts</v>
      </c>
      <c r="B56" s="193">
        <f>'[1]Water Operating Expenses'!B54</f>
        <v>1712.56232</v>
      </c>
      <c r="C56" s="193">
        <v>0</v>
      </c>
      <c r="D56" s="189">
        <f t="shared" si="2"/>
        <v>1712.56232</v>
      </c>
    </row>
    <row r="57" spans="1:4" x14ac:dyDescent="0.25">
      <c r="A57" s="163" t="str">
        <f>'[1]Water Operating Expenses'!A55</f>
        <v>8073 Administrative Department:Dues &amp; Subscriptions</v>
      </c>
      <c r="B57" s="193">
        <f>'[1]Water Operating Expenses'!B55</f>
        <v>526.57499999999993</v>
      </c>
      <c r="C57" s="193">
        <v>0</v>
      </c>
      <c r="D57" s="189">
        <f t="shared" si="2"/>
        <v>526.57499999999993</v>
      </c>
    </row>
    <row r="58" spans="1:4" x14ac:dyDescent="0.25">
      <c r="A58" s="163" t="str">
        <f>'[1]Water Operating Expenses'!A56</f>
        <v>8074 Administrative Department:Computer Programming</v>
      </c>
      <c r="B58" s="193">
        <f>'[1]Water Operating Expenses'!B56</f>
        <v>10097.742620000001</v>
      </c>
      <c r="C58" s="193">
        <v>0</v>
      </c>
      <c r="D58" s="189">
        <f t="shared" si="2"/>
        <v>10097.742620000001</v>
      </c>
    </row>
    <row r="59" spans="1:4" x14ac:dyDescent="0.25">
      <c r="A59" s="163" t="str">
        <f>'[1]Water Operating Expenses'!A57</f>
        <v>8080 Administrative Department:Payroll Taxes</v>
      </c>
      <c r="B59" s="193">
        <f>'[1]Water Operating Expenses'!B57</f>
        <v>2003.05</v>
      </c>
      <c r="C59" s="193">
        <v>0</v>
      </c>
      <c r="D59" s="189">
        <f t="shared" si="2"/>
        <v>2003.05</v>
      </c>
    </row>
    <row r="60" spans="1:4" x14ac:dyDescent="0.25">
      <c r="A60" s="163" t="str">
        <f>'[1]Water Operating Expenses'!A58</f>
        <v>8087 Administrative Department:Bad Debts</v>
      </c>
      <c r="B60" s="193">
        <f>'[1]Water Operating Expenses'!B58</f>
        <v>15456</v>
      </c>
      <c r="C60" s="193">
        <v>0</v>
      </c>
      <c r="D60" s="189">
        <f t="shared" si="2"/>
        <v>15456</v>
      </c>
    </row>
    <row r="61" spans="1:4" x14ac:dyDescent="0.25">
      <c r="A61" s="163" t="str">
        <f>'[1]Water Operating Expenses'!A59</f>
        <v>8088 Administrative Department:Safety Program Expenses</v>
      </c>
      <c r="B61" s="193">
        <f>'[1]Water Operating Expenses'!B59</f>
        <v>2872.2580599999997</v>
      </c>
      <c r="C61" s="193">
        <v>0</v>
      </c>
      <c r="D61" s="189">
        <f t="shared" si="2"/>
        <v>2872.2580599999997</v>
      </c>
    </row>
    <row r="62" spans="1:4" x14ac:dyDescent="0.25">
      <c r="A62" s="163" t="str">
        <f>'[1]Water Operating Expenses'!A60</f>
        <v>8090 Administrative Department:Miscellaneous</v>
      </c>
      <c r="B62" s="193">
        <f>'[1]Water Operating Expenses'!B60</f>
        <v>15707.740509999998</v>
      </c>
      <c r="C62" s="193">
        <v>0</v>
      </c>
      <c r="D62" s="189">
        <f t="shared" si="2"/>
        <v>15707.740509999998</v>
      </c>
    </row>
    <row r="63" spans="1:4" x14ac:dyDescent="0.25">
      <c r="A63" s="163" t="str">
        <f>'[1]Water Operating Expenses'!A61</f>
        <v>8091 Administrative Department:Ceremonies &amp; Award</v>
      </c>
      <c r="B63" s="193">
        <f>'[1]Water Operating Expenses'!B61</f>
        <v>6567.4103599999989</v>
      </c>
      <c r="C63" s="193">
        <v>0</v>
      </c>
      <c r="D63" s="189">
        <f t="shared" si="2"/>
        <v>6567.4103599999989</v>
      </c>
    </row>
    <row r="64" spans="1:4" x14ac:dyDescent="0.25">
      <c r="A64" s="163" t="str">
        <f>'[1]Water Operating Expenses'!A62</f>
        <v>8092 Administrative Department:Uniform Expense</v>
      </c>
      <c r="B64" s="193">
        <f>'[1]Water Operating Expenses'!B62</f>
        <v>544.48680999999988</v>
      </c>
      <c r="C64" s="193">
        <v>0</v>
      </c>
      <c r="D64" s="189">
        <f t="shared" si="2"/>
        <v>544.48680999999988</v>
      </c>
    </row>
    <row r="65" spans="1:4" x14ac:dyDescent="0.25">
      <c r="A65" s="163" t="str">
        <f>'[1]Water Operating Expenses'!A63</f>
        <v>8099 Administrative Department:Employee Benefits</v>
      </c>
      <c r="B65" s="194">
        <f>'[1]Water Operating Expenses'!B63</f>
        <v>190555.32551999998</v>
      </c>
      <c r="C65" s="194">
        <v>0</v>
      </c>
      <c r="D65" s="195">
        <f t="shared" si="2"/>
        <v>190555.32551999998</v>
      </c>
    </row>
    <row r="66" spans="1:4" x14ac:dyDescent="0.25">
      <c r="A66" s="163" t="s">
        <v>158</v>
      </c>
      <c r="B66" s="193">
        <f>SUM(B42:B65)</f>
        <v>744305.43593000004</v>
      </c>
      <c r="C66" s="193">
        <f>SUM(C42:C65)</f>
        <v>0</v>
      </c>
      <c r="D66" s="189">
        <f>SUM(D42:D65)</f>
        <v>744305.43593000004</v>
      </c>
    </row>
    <row r="67" spans="1:4" x14ac:dyDescent="0.25">
      <c r="A67" s="163"/>
      <c r="B67" s="193"/>
    </row>
    <row r="68" spans="1:4" x14ac:dyDescent="0.25">
      <c r="A68" s="163" t="s">
        <v>0</v>
      </c>
      <c r="B68" s="193">
        <f>B21+B40+B66</f>
        <v>3582834.5559300007</v>
      </c>
      <c r="C68" s="193">
        <f>C21+C40+C66</f>
        <v>0</v>
      </c>
      <c r="D68" s="193">
        <f>D21+D40+D66</f>
        <v>3582834.5559300007</v>
      </c>
    </row>
    <row r="70" spans="1:4" x14ac:dyDescent="0.25">
      <c r="A70" s="210" t="s">
        <v>164</v>
      </c>
      <c r="B70" s="189">
        <f>'[1]Water Operating Expenses'!$B$66</f>
        <v>3582834.5559299998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47C7-990E-45C5-B1ED-89002E383101}">
  <dimension ref="A1:E19"/>
  <sheetViews>
    <sheetView workbookViewId="0">
      <selection activeCell="B17" sqref="A1:B17"/>
    </sheetView>
  </sheetViews>
  <sheetFormatPr defaultRowHeight="15" x14ac:dyDescent="0.25"/>
  <cols>
    <col min="1" max="1" width="59.33203125" style="166" customWidth="1"/>
    <col min="2" max="2" width="10" style="166" customWidth="1"/>
    <col min="3" max="3" width="3" style="166" customWidth="1"/>
    <col min="4" max="4" width="12.109375" style="167" customWidth="1"/>
    <col min="5" max="5" width="12.109375" style="166" customWidth="1"/>
    <col min="6" max="16384" width="8.88671875" style="166"/>
  </cols>
  <sheetData>
    <row r="1" spans="1:5" x14ac:dyDescent="0.25">
      <c r="A1" s="165" t="s">
        <v>149</v>
      </c>
    </row>
    <row r="2" spans="1:5" x14ac:dyDescent="0.25">
      <c r="A2" s="165" t="s">
        <v>153</v>
      </c>
    </row>
    <row r="3" spans="1:5" x14ac:dyDescent="0.25">
      <c r="A3" s="165" t="s">
        <v>242</v>
      </c>
    </row>
    <row r="4" spans="1:5" x14ac:dyDescent="0.25">
      <c r="B4" s="168"/>
      <c r="D4" s="208" t="s">
        <v>163</v>
      </c>
      <c r="E4" s="169" t="s">
        <v>150</v>
      </c>
    </row>
    <row r="5" spans="1:5" x14ac:dyDescent="0.25">
      <c r="A5" s="170"/>
      <c r="B5" s="171" t="s">
        <v>151</v>
      </c>
      <c r="D5" s="172" t="s">
        <v>15</v>
      </c>
      <c r="E5" s="173" t="s">
        <v>151</v>
      </c>
    </row>
    <row r="6" spans="1:5" x14ac:dyDescent="0.25">
      <c r="A6" s="174" t="str">
        <f>'[1]Water Other Income and Expense'!A6</f>
        <v>9000 Other Income (Expenses):Interest Income</v>
      </c>
      <c r="B6" s="175">
        <f>'[1]Water Other Income and Expense'!B6</f>
        <v>32918.475379999996</v>
      </c>
      <c r="D6" s="167">
        <f>'[2]Water Other Income and Expense'!D6</f>
        <v>0</v>
      </c>
      <c r="E6" s="177">
        <f>B6+D6</f>
        <v>32918.475379999996</v>
      </c>
    </row>
    <row r="7" spans="1:5" x14ac:dyDescent="0.25">
      <c r="A7" s="174" t="str">
        <f>'[1]Water Other Income and Expense'!A7</f>
        <v>9035 Other Income (Expenses):Sales Tax Vendors Compensation</v>
      </c>
      <c r="B7" s="175">
        <f>'[1]Water Other Income and Expense'!B7</f>
        <v>225.4</v>
      </c>
      <c r="D7" s="167">
        <f>'[2]Water Other Income and Expense'!D7</f>
        <v>0</v>
      </c>
      <c r="E7" s="177">
        <f t="shared" ref="E7:E10" si="0">B7+D7</f>
        <v>225.4</v>
      </c>
    </row>
    <row r="8" spans="1:5" x14ac:dyDescent="0.25">
      <c r="A8" s="174" t="str">
        <f>'[1]Water Other Income and Expense'!A8</f>
        <v>9036 Other Income (Expenses):Health/Vision Insurance Reimbursement</v>
      </c>
      <c r="B8" s="175">
        <f>'[1]Water Other Income and Expense'!B8</f>
        <v>16953.8796</v>
      </c>
      <c r="D8" s="167">
        <f>'[2]Water Other Income and Expense'!D8</f>
        <v>0</v>
      </c>
      <c r="E8" s="177">
        <f t="shared" si="0"/>
        <v>16953.8796</v>
      </c>
    </row>
    <row r="9" spans="1:5" x14ac:dyDescent="0.25">
      <c r="A9" s="174" t="str">
        <f>'[1]Water Other Income and Expense'!A9</f>
        <v>9045 Other Income (Expenses):Bad Debt Recovery</v>
      </c>
      <c r="B9" s="175">
        <f>'[1]Water Other Income and Expense'!B9</f>
        <v>244.43342000000001</v>
      </c>
      <c r="D9" s="167">
        <f>'[2]Water Other Income and Expense'!D9</f>
        <v>0</v>
      </c>
      <c r="E9" s="177">
        <f t="shared" si="0"/>
        <v>244.43342000000001</v>
      </c>
    </row>
    <row r="10" spans="1:5" x14ac:dyDescent="0.25">
      <c r="A10" s="174" t="str">
        <f>'[1]Water Other Income and Expense'!A10</f>
        <v>9060 Other Income (Expenses):Maintenance Bldg Rental Income</v>
      </c>
      <c r="B10" s="178">
        <f>'[1]Water Other Income and Expense'!B10</f>
        <v>0</v>
      </c>
      <c r="D10" s="179">
        <f>'[2]Water Other Income and Expense'!D10</f>
        <v>0</v>
      </c>
      <c r="E10" s="180">
        <f t="shared" si="0"/>
        <v>0</v>
      </c>
    </row>
    <row r="11" spans="1:5" x14ac:dyDescent="0.25">
      <c r="A11" s="174" t="s">
        <v>154</v>
      </c>
      <c r="B11" s="175">
        <f t="shared" ref="B11:E11" si="1">SUM(B6:B10)</f>
        <v>50342.188399999999</v>
      </c>
      <c r="D11" s="176">
        <f t="shared" si="1"/>
        <v>0</v>
      </c>
      <c r="E11" s="175">
        <f t="shared" si="1"/>
        <v>50342.188399999999</v>
      </c>
    </row>
    <row r="12" spans="1:5" x14ac:dyDescent="0.25">
      <c r="A12" s="174"/>
      <c r="B12" s="175"/>
    </row>
    <row r="13" spans="1:5" x14ac:dyDescent="0.25">
      <c r="A13" s="174" t="str">
        <f>'[1]Water Other Income and Expense'!A13</f>
        <v>9037 Other Income (Expenses):Bank Draft Incentive</v>
      </c>
      <c r="B13" s="175">
        <f>'[1]Water Other Income and Expense'!B13</f>
        <v>676.2</v>
      </c>
      <c r="D13" s="167">
        <f>'[2]Water Other Income and Expense'!D13</f>
        <v>0</v>
      </c>
      <c r="E13" s="177">
        <f t="shared" ref="E13:E14" si="2">B13+D13</f>
        <v>676.2</v>
      </c>
    </row>
    <row r="14" spans="1:5" x14ac:dyDescent="0.25">
      <c r="A14" s="174" t="str">
        <f>'[1]Water Other Income and Expense'!A14</f>
        <v>9040 Other Income (Expenses):Misc Income (Expense)</v>
      </c>
      <c r="B14" s="175">
        <f>'[1]Water Other Income and Expense'!B14</f>
        <v>24462.95824</v>
      </c>
      <c r="D14" s="179">
        <f>'[2]Water Other Income and Expense'!D14</f>
        <v>0</v>
      </c>
      <c r="E14" s="180">
        <f t="shared" si="2"/>
        <v>24462.95824</v>
      </c>
    </row>
    <row r="15" spans="1:5" x14ac:dyDescent="0.25">
      <c r="A15" s="174" t="s">
        <v>155</v>
      </c>
      <c r="B15" s="175">
        <f>SUM(B13:B14)</f>
        <v>25139.158240000001</v>
      </c>
      <c r="D15" s="176">
        <f>SUM(D13:D14)</f>
        <v>0</v>
      </c>
      <c r="E15" s="175">
        <f>SUM(E13:E14)</f>
        <v>25139.158240000001</v>
      </c>
    </row>
    <row r="17" spans="1:5" x14ac:dyDescent="0.25">
      <c r="A17" s="174" t="s">
        <v>156</v>
      </c>
      <c r="B17" s="177">
        <f>B11-B15</f>
        <v>25203.030159999998</v>
      </c>
      <c r="D17" s="167">
        <f>D11-D15</f>
        <v>0</v>
      </c>
      <c r="E17" s="177">
        <f>E11-E15</f>
        <v>25203.030159999998</v>
      </c>
    </row>
    <row r="19" spans="1:5" x14ac:dyDescent="0.25">
      <c r="A19" s="166" t="s">
        <v>164</v>
      </c>
      <c r="B19" s="177">
        <f>'[1]Water Other Income and Expense'!$B$17</f>
        <v>25203.030159999998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workbookViewId="0">
      <selection activeCell="E8" sqref="E8"/>
    </sheetView>
  </sheetViews>
  <sheetFormatPr defaultColWidth="8.77734375" defaultRowHeight="15" x14ac:dyDescent="0.2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11.5546875" style="186" customWidth="1"/>
    <col min="7" max="7" width="3.5546875" style="7" customWidth="1"/>
    <col min="8" max="10" width="11.33203125" style="7" customWidth="1"/>
    <col min="11" max="11" width="10.88671875" style="7" customWidth="1"/>
    <col min="12" max="16384" width="8.77734375" style="7"/>
  </cols>
  <sheetData>
    <row r="1" spans="1:11" ht="18.75" x14ac:dyDescent="0.25">
      <c r="A1" s="431" t="s">
        <v>190</v>
      </c>
      <c r="B1" s="431"/>
      <c r="C1" s="431"/>
      <c r="D1" s="431"/>
      <c r="E1" s="431"/>
      <c r="F1" s="431"/>
      <c r="G1" s="50"/>
      <c r="H1" s="50"/>
      <c r="I1" s="50"/>
      <c r="J1" s="50"/>
    </row>
    <row r="2" spans="1:11" ht="15.75" x14ac:dyDescent="0.25">
      <c r="A2" s="432" t="s">
        <v>149</v>
      </c>
      <c r="B2" s="432"/>
      <c r="C2" s="432"/>
      <c r="D2" s="432"/>
      <c r="E2" s="432"/>
      <c r="F2" s="432"/>
      <c r="G2" s="50"/>
      <c r="H2" s="50"/>
      <c r="I2" s="50"/>
      <c r="J2" s="50"/>
      <c r="K2" s="50"/>
    </row>
    <row r="3" spans="1:11" x14ac:dyDescent="0.25">
      <c r="A3" s="44"/>
      <c r="B3" s="52"/>
      <c r="C3" s="52"/>
      <c r="D3" s="52"/>
      <c r="E3" s="52"/>
      <c r="F3" s="183"/>
      <c r="G3" s="50"/>
      <c r="H3" s="50"/>
      <c r="I3" s="50"/>
      <c r="J3" s="50"/>
    </row>
    <row r="4" spans="1:11" x14ac:dyDescent="0.25">
      <c r="A4" s="44"/>
      <c r="B4" s="52"/>
      <c r="C4" s="52"/>
      <c r="D4" s="300"/>
      <c r="E4" s="300"/>
      <c r="F4" s="183"/>
      <c r="G4" s="50"/>
      <c r="H4" s="50"/>
      <c r="I4" s="50"/>
      <c r="J4" s="50"/>
    </row>
    <row r="5" spans="1:11" ht="17.25" x14ac:dyDescent="0.25">
      <c r="A5" s="50"/>
      <c r="B5" s="50"/>
      <c r="C5" s="50"/>
      <c r="D5" s="51" t="s">
        <v>14</v>
      </c>
      <c r="E5" s="51" t="s">
        <v>15</v>
      </c>
      <c r="F5" s="184" t="s">
        <v>16</v>
      </c>
      <c r="G5" s="50"/>
      <c r="H5" s="60"/>
      <c r="I5" s="50"/>
      <c r="J5" s="50"/>
    </row>
    <row r="6" spans="1:11" x14ac:dyDescent="0.25">
      <c r="A6" s="158" t="s">
        <v>4</v>
      </c>
      <c r="B6" s="50"/>
      <c r="C6" s="50"/>
      <c r="D6" s="50"/>
      <c r="F6" s="183"/>
      <c r="G6" s="50"/>
      <c r="I6" s="50"/>
      <c r="J6" s="50"/>
    </row>
    <row r="7" spans="1:11" x14ac:dyDescent="0.25">
      <c r="A7" s="50"/>
      <c r="B7" s="50" t="s">
        <v>200</v>
      </c>
      <c r="C7" s="50"/>
      <c r="D7" s="211">
        <f>'TB Operating Revenues'!B7-D8</f>
        <v>2587756.878</v>
      </c>
      <c r="E7" s="211"/>
      <c r="F7" s="183">
        <f>D7+E7</f>
        <v>2587756.878</v>
      </c>
      <c r="G7" s="53"/>
      <c r="H7" s="50"/>
      <c r="I7" s="50"/>
      <c r="J7" s="50"/>
    </row>
    <row r="8" spans="1:11" x14ac:dyDescent="0.25">
      <c r="A8" s="50"/>
      <c r="B8" s="50" t="s">
        <v>201</v>
      </c>
      <c r="C8" s="50"/>
      <c r="D8" s="211">
        <f>[3]Analysis!$B$31</f>
        <v>2387902.4219999998</v>
      </c>
      <c r="E8" s="211">
        <f>[3]Analysis!$C$31</f>
        <v>233094.92599999998</v>
      </c>
      <c r="F8" s="183">
        <f>D8+E8</f>
        <v>2620997.3479999998</v>
      </c>
      <c r="G8" s="53"/>
      <c r="H8" s="50"/>
      <c r="I8" s="50"/>
      <c r="J8" s="50"/>
    </row>
    <row r="9" spans="1:11" x14ac:dyDescent="0.25">
      <c r="A9" s="50"/>
      <c r="B9" s="50" t="str">
        <f>'TB Operating Revenues'!A12</f>
        <v>Other Operating Revenue</v>
      </c>
      <c r="C9" s="50"/>
      <c r="D9" s="50">
        <f>'TB Operating Revenues'!B12</f>
        <v>39819.682419999997</v>
      </c>
      <c r="E9" s="211">
        <f>'TB Operating Revenues'!D12</f>
        <v>0</v>
      </c>
      <c r="F9" s="183">
        <f t="shared" ref="F9:F12" si="0">D9+E9</f>
        <v>39819.682419999997</v>
      </c>
      <c r="G9" s="54"/>
      <c r="H9" s="49"/>
      <c r="I9" s="50"/>
      <c r="J9" s="50"/>
    </row>
    <row r="10" spans="1:11" x14ac:dyDescent="0.25">
      <c r="A10" s="50"/>
      <c r="B10" s="50" t="str">
        <f>'TB Operating Revenues'!A15</f>
        <v>Grant Revenue</v>
      </c>
      <c r="C10" s="50"/>
      <c r="D10" s="50">
        <f>'TB Operating Revenues'!B15</f>
        <v>0</v>
      </c>
      <c r="E10" s="50">
        <f>'TB Operating Revenues'!D15</f>
        <v>0</v>
      </c>
      <c r="F10" s="183">
        <f t="shared" si="0"/>
        <v>0</v>
      </c>
      <c r="G10" s="53"/>
      <c r="H10" s="50"/>
      <c r="I10" s="50"/>
    </row>
    <row r="11" spans="1:11" x14ac:dyDescent="0.25">
      <c r="A11" s="50"/>
      <c r="B11" s="50" t="str">
        <f>'TB Operating Revenues'!A18</f>
        <v>Tap Fee Revenue</v>
      </c>
      <c r="C11" s="50"/>
      <c r="D11" s="63">
        <f>'TB Operating Revenues'!B18</f>
        <v>23148</v>
      </c>
      <c r="E11" s="63">
        <f>'TB Operating Revenues'!D18</f>
        <v>0</v>
      </c>
      <c r="F11" s="183">
        <f t="shared" si="0"/>
        <v>23148</v>
      </c>
      <c r="G11" s="55"/>
      <c r="H11" s="50"/>
      <c r="I11" s="50"/>
      <c r="J11" s="50"/>
    </row>
    <row r="12" spans="1:11" x14ac:dyDescent="0.25">
      <c r="A12" s="50"/>
      <c r="B12" s="50" t="str">
        <f>'TB Operating Revenues'!A21</f>
        <v>Insurance Reimbursement</v>
      </c>
      <c r="C12" s="50"/>
      <c r="D12" s="182">
        <f>'TB Operating Revenues'!B21</f>
        <v>0</v>
      </c>
      <c r="E12" s="182">
        <f>'TB Operating Revenues'!D21</f>
        <v>0</v>
      </c>
      <c r="F12" s="185">
        <f t="shared" si="0"/>
        <v>0</v>
      </c>
      <c r="G12" s="55"/>
      <c r="H12" s="50"/>
      <c r="I12" s="50"/>
      <c r="J12" s="50"/>
    </row>
    <row r="13" spans="1:11" x14ac:dyDescent="0.25">
      <c r="A13" s="56" t="s">
        <v>6</v>
      </c>
      <c r="B13" s="50"/>
      <c r="C13" s="50"/>
      <c r="D13" s="50">
        <f>SUM(D7:D11)</f>
        <v>5038626.9824200002</v>
      </c>
      <c r="E13" s="50">
        <f>SUM(E7:E11)</f>
        <v>233094.92599999998</v>
      </c>
      <c r="F13" s="183">
        <f>SUM(F7:F11)</f>
        <v>5271721.9084200002</v>
      </c>
      <c r="G13" s="55"/>
      <c r="I13" s="50"/>
      <c r="J13" s="50"/>
    </row>
    <row r="14" spans="1:11" x14ac:dyDescent="0.25">
      <c r="A14" s="50"/>
      <c r="B14" s="50"/>
      <c r="C14" s="50"/>
      <c r="D14" s="50"/>
      <c r="E14" s="50"/>
      <c r="F14" s="183"/>
      <c r="G14" s="55"/>
      <c r="H14" s="50"/>
      <c r="I14" s="50"/>
      <c r="J14" s="50"/>
    </row>
    <row r="15" spans="1:11" x14ac:dyDescent="0.25">
      <c r="A15" s="158" t="s">
        <v>7</v>
      </c>
      <c r="B15" s="50"/>
      <c r="C15" s="50"/>
      <c r="D15" s="50"/>
      <c r="E15" s="50"/>
      <c r="F15" s="183"/>
      <c r="G15" s="55"/>
      <c r="H15" s="50"/>
      <c r="I15" s="50"/>
      <c r="J15" s="50"/>
    </row>
    <row r="16" spans="1:11" x14ac:dyDescent="0.25">
      <c r="A16" s="50"/>
      <c r="B16" s="50" t="s">
        <v>17</v>
      </c>
      <c r="C16" s="50"/>
      <c r="D16" s="50"/>
      <c r="E16" s="50"/>
      <c r="F16" s="183"/>
      <c r="G16" s="55"/>
      <c r="H16" s="50"/>
      <c r="I16" s="50"/>
      <c r="J16" s="50"/>
    </row>
    <row r="17" spans="1:10" x14ac:dyDescent="0.25">
      <c r="A17" s="50"/>
      <c r="B17" s="50"/>
      <c r="C17" s="50" t="str">
        <f>'TB Operating Expenses'!A21</f>
        <v>Water Maintenance System</v>
      </c>
      <c r="D17" s="50">
        <f>'TB Operating Expenses'!B21</f>
        <v>842228.30000000016</v>
      </c>
      <c r="E17" s="211">
        <f>'TB Operating Expenses'!C21</f>
        <v>0</v>
      </c>
      <c r="F17" s="183">
        <f>D17+E17</f>
        <v>842228.30000000016</v>
      </c>
      <c r="G17" s="53"/>
      <c r="H17" s="50"/>
      <c r="I17" s="50"/>
      <c r="J17" s="50"/>
    </row>
    <row r="18" spans="1:10" x14ac:dyDescent="0.25">
      <c r="A18" s="50"/>
      <c r="B18" s="50"/>
      <c r="C18" s="50" t="str">
        <f>'TB Operating Expenses'!A40</f>
        <v>Water Treatment Plant</v>
      </c>
      <c r="D18" s="50">
        <f>'TB Operating Expenses'!B40</f>
        <v>1996300.8200000003</v>
      </c>
      <c r="E18" s="211">
        <f>'TB Operating Expenses'!C40</f>
        <v>0</v>
      </c>
      <c r="F18" s="183">
        <f>D18+E18</f>
        <v>1996300.8200000003</v>
      </c>
      <c r="G18" s="53"/>
      <c r="H18" s="50"/>
      <c r="I18" s="50"/>
      <c r="J18" s="50"/>
    </row>
    <row r="19" spans="1:10" x14ac:dyDescent="0.25">
      <c r="A19" s="50"/>
      <c r="B19" s="50"/>
      <c r="C19" s="50" t="str">
        <f>'TB Operating Expenses'!A66</f>
        <v>Administrative Department</v>
      </c>
      <c r="D19" s="196">
        <f>'TB Operating Expenses'!B66</f>
        <v>744305.43593000004</v>
      </c>
      <c r="E19" s="182">
        <f>'TB Operating Expenses'!C66</f>
        <v>0</v>
      </c>
      <c r="F19" s="185">
        <f>D19+E19</f>
        <v>744305.43593000004</v>
      </c>
      <c r="G19" s="55"/>
      <c r="H19" s="50"/>
      <c r="I19" s="50"/>
      <c r="J19" s="50"/>
    </row>
    <row r="20" spans="1:10" x14ac:dyDescent="0.25">
      <c r="A20" s="50"/>
      <c r="B20" s="50" t="s">
        <v>146</v>
      </c>
      <c r="C20" s="50"/>
      <c r="D20" s="50">
        <f>SUM(D17:D19)</f>
        <v>3582834.5559300007</v>
      </c>
      <c r="E20" s="50">
        <f>SUM(E17:E19)</f>
        <v>0</v>
      </c>
      <c r="F20" s="183">
        <f>SUM(F17:F19)</f>
        <v>3582834.5559300007</v>
      </c>
      <c r="G20" s="55"/>
      <c r="H20" s="157"/>
      <c r="I20" s="50"/>
      <c r="J20" s="50"/>
    </row>
    <row r="21" spans="1:10" ht="4.1500000000000004" customHeight="1" x14ac:dyDescent="0.25">
      <c r="A21" s="50"/>
      <c r="B21" s="50"/>
      <c r="C21" s="50"/>
      <c r="D21" s="50"/>
      <c r="E21" s="50"/>
      <c r="F21" s="183"/>
      <c r="G21" s="55"/>
      <c r="H21" s="50"/>
      <c r="I21" s="50"/>
      <c r="J21" s="50"/>
    </row>
    <row r="22" spans="1:10" x14ac:dyDescent="0.25">
      <c r="A22" s="50"/>
      <c r="B22" s="50" t="s">
        <v>8</v>
      </c>
      <c r="C22" s="50"/>
      <c r="D22" s="50">
        <f>'Depreciation 1'!G54</f>
        <v>906292.42643841519</v>
      </c>
      <c r="E22" s="50"/>
      <c r="F22" s="183">
        <f>D22+E22</f>
        <v>906292.42643841519</v>
      </c>
      <c r="G22" s="55"/>
      <c r="H22" s="50"/>
      <c r="I22" s="50"/>
    </row>
    <row r="23" spans="1:10" x14ac:dyDescent="0.25">
      <c r="A23" s="56" t="s">
        <v>0</v>
      </c>
      <c r="B23" s="50"/>
      <c r="C23" s="50"/>
      <c r="D23" s="182">
        <f>SUM(D20:D22)</f>
        <v>4489126.9823684162</v>
      </c>
      <c r="E23" s="182">
        <f t="shared" ref="E23:F23" si="1">SUM(E20:E22)</f>
        <v>0</v>
      </c>
      <c r="F23" s="182">
        <f t="shared" si="1"/>
        <v>4489126.9823684162</v>
      </c>
      <c r="G23" s="55"/>
      <c r="H23" s="50"/>
      <c r="I23" s="50"/>
      <c r="J23" s="50"/>
    </row>
    <row r="24" spans="1:10" ht="4.1500000000000004" customHeight="1" x14ac:dyDescent="0.25">
      <c r="A24" s="56"/>
      <c r="B24" s="50"/>
      <c r="C24" s="50"/>
      <c r="D24" s="64"/>
      <c r="E24" s="50"/>
      <c r="F24" s="183"/>
      <c r="G24" s="50"/>
      <c r="H24" s="50"/>
      <c r="I24" s="50"/>
      <c r="J24" s="50"/>
    </row>
    <row r="25" spans="1:10" x14ac:dyDescent="0.25">
      <c r="A25" s="56" t="s">
        <v>18</v>
      </c>
      <c r="B25" s="50"/>
      <c r="C25" s="50"/>
      <c r="D25" s="50">
        <f>D13-D23</f>
        <v>549500.00005158409</v>
      </c>
      <c r="E25" s="50">
        <f>E13-E23</f>
        <v>233094.92599999998</v>
      </c>
      <c r="F25" s="183">
        <f>F13-F23</f>
        <v>782594.92605158407</v>
      </c>
      <c r="G25" s="50"/>
      <c r="H25" s="50"/>
      <c r="J25" s="50"/>
    </row>
    <row r="26" spans="1:10" x14ac:dyDescent="0.25">
      <c r="A26" s="50"/>
      <c r="B26" s="50"/>
      <c r="C26" s="50"/>
      <c r="D26" s="50"/>
      <c r="E26" s="50"/>
      <c r="F26" s="183"/>
      <c r="G26" s="50"/>
      <c r="H26" s="50"/>
      <c r="I26" s="50"/>
      <c r="J26" s="50"/>
    </row>
    <row r="27" spans="1:10" ht="18.75" x14ac:dyDescent="0.25">
      <c r="A27" s="431" t="s">
        <v>9</v>
      </c>
      <c r="B27" s="431"/>
      <c r="C27" s="431"/>
      <c r="D27" s="431"/>
      <c r="E27" s="431"/>
      <c r="F27" s="431"/>
      <c r="G27" s="50"/>
      <c r="H27" s="57"/>
      <c r="I27" s="58"/>
      <c r="J27" s="50"/>
    </row>
    <row r="28" spans="1:10" x14ac:dyDescent="0.25">
      <c r="A28" s="56" t="s">
        <v>19</v>
      </c>
      <c r="B28" s="50"/>
      <c r="C28" s="50"/>
      <c r="D28" s="59"/>
      <c r="E28" s="50"/>
      <c r="F28" s="186">
        <f>F23</f>
        <v>4489126.9823684162</v>
      </c>
      <c r="G28" s="50"/>
      <c r="I28" s="50"/>
      <c r="J28" s="50"/>
    </row>
    <row r="29" spans="1:10" x14ac:dyDescent="0.25">
      <c r="A29" s="50" t="s">
        <v>10</v>
      </c>
      <c r="B29" s="50"/>
      <c r="C29" s="50" t="s">
        <v>61</v>
      </c>
      <c r="D29" s="59"/>
      <c r="E29" s="50"/>
      <c r="F29" s="186">
        <f>'Debt Service 1'!R26</f>
        <v>356183.06556634902</v>
      </c>
      <c r="G29" s="50"/>
      <c r="I29" s="50"/>
      <c r="J29" s="50"/>
    </row>
    <row r="30" spans="1:10" x14ac:dyDescent="0.25">
      <c r="A30" s="50"/>
      <c r="B30" s="50"/>
      <c r="C30" s="50" t="s">
        <v>62</v>
      </c>
      <c r="D30" s="59"/>
      <c r="E30" s="50"/>
      <c r="F30" s="188">
        <f>'Debt Service 1'!R28</f>
        <v>71236.613113269806</v>
      </c>
      <c r="G30" s="50"/>
      <c r="I30" s="50"/>
      <c r="J30" s="50"/>
    </row>
    <row r="31" spans="1:10" x14ac:dyDescent="0.25">
      <c r="A31" s="56" t="s">
        <v>32</v>
      </c>
      <c r="B31" s="50"/>
      <c r="C31" s="50"/>
      <c r="D31" s="59"/>
      <c r="E31" s="50"/>
      <c r="F31" s="186">
        <f>F28+F29+F30</f>
        <v>4916546.6610480351</v>
      </c>
      <c r="G31" s="50"/>
      <c r="I31" s="50"/>
      <c r="J31" s="50"/>
    </row>
    <row r="32" spans="1:10" x14ac:dyDescent="0.25">
      <c r="A32" s="50" t="s">
        <v>11</v>
      </c>
      <c r="B32" s="50"/>
      <c r="C32" s="50" t="s">
        <v>5</v>
      </c>
      <c r="D32" s="59"/>
      <c r="E32" s="50"/>
      <c r="F32" s="187">
        <f>F8</f>
        <v>2620997.3479999998</v>
      </c>
      <c r="G32" s="50"/>
      <c r="I32" s="50"/>
      <c r="J32" s="50"/>
    </row>
    <row r="33" spans="1:10" x14ac:dyDescent="0.25">
      <c r="A33" s="50" t="s">
        <v>11</v>
      </c>
      <c r="B33" s="50"/>
      <c r="C33" s="50" t="s">
        <v>154</v>
      </c>
      <c r="D33" s="59"/>
      <c r="E33" s="50"/>
      <c r="F33" s="187">
        <f>'TB Other Income and Expenses'!E11</f>
        <v>50342.188399999999</v>
      </c>
      <c r="G33" s="50"/>
      <c r="I33" s="50"/>
      <c r="J33" s="50"/>
    </row>
    <row r="34" spans="1:10" x14ac:dyDescent="0.25">
      <c r="A34" s="50" t="s">
        <v>10</v>
      </c>
      <c r="B34" s="50"/>
      <c r="C34" s="50" t="s">
        <v>165</v>
      </c>
      <c r="D34" s="59"/>
      <c r="E34" s="50"/>
      <c r="F34" s="188">
        <f>'TB Other Income and Expenses'!E15</f>
        <v>25139.158240000001</v>
      </c>
      <c r="G34" s="50"/>
      <c r="H34" s="31"/>
      <c r="I34" s="50"/>
      <c r="J34" s="50"/>
    </row>
    <row r="35" spans="1:10" x14ac:dyDescent="0.25">
      <c r="A35" s="56" t="s">
        <v>30</v>
      </c>
      <c r="B35" s="50"/>
      <c r="C35" s="50"/>
      <c r="D35" s="59"/>
      <c r="E35" s="50"/>
      <c r="F35" s="186">
        <f>F31-F32-F33+F34</f>
        <v>2270346.2828880353</v>
      </c>
      <c r="G35" s="50"/>
      <c r="I35" s="50"/>
      <c r="J35" s="50"/>
    </row>
    <row r="36" spans="1:10" x14ac:dyDescent="0.25">
      <c r="A36" s="50" t="s">
        <v>11</v>
      </c>
      <c r="B36" s="50"/>
      <c r="C36" s="50" t="s">
        <v>31</v>
      </c>
      <c r="D36" s="59"/>
      <c r="E36" s="50"/>
      <c r="F36" s="188">
        <f>F7+F10</f>
        <v>2587756.878</v>
      </c>
      <c r="G36" s="50"/>
      <c r="H36" s="31"/>
      <c r="I36" s="50"/>
      <c r="J36" s="50"/>
    </row>
    <row r="37" spans="1:10" x14ac:dyDescent="0.25">
      <c r="A37" s="56" t="s">
        <v>33</v>
      </c>
      <c r="B37" s="50"/>
      <c r="C37" s="50"/>
      <c r="D37" s="59"/>
      <c r="E37" s="50"/>
      <c r="F37" s="342">
        <f>F35-F36</f>
        <v>-317410.59511196474</v>
      </c>
      <c r="G37" s="50"/>
      <c r="H37" s="50"/>
      <c r="I37" s="50"/>
      <c r="J37" s="50"/>
    </row>
    <row r="38" spans="1:10" ht="4.1500000000000004" customHeight="1" x14ac:dyDescent="0.25">
      <c r="A38" s="50"/>
      <c r="B38" s="50"/>
      <c r="C38" s="50"/>
      <c r="D38" s="59"/>
      <c r="E38" s="50"/>
      <c r="F38" s="342"/>
      <c r="G38" s="50"/>
      <c r="H38" s="50"/>
      <c r="I38" s="50"/>
      <c r="J38" s="50"/>
    </row>
    <row r="39" spans="1:10" x14ac:dyDescent="0.25">
      <c r="A39" s="56" t="s">
        <v>147</v>
      </c>
      <c r="B39" s="50"/>
      <c r="C39" s="50"/>
      <c r="D39" s="59"/>
      <c r="E39" s="50"/>
      <c r="F39" s="343">
        <f>IF(F37&gt;0,F37/F36,0)</f>
        <v>0</v>
      </c>
      <c r="G39" s="211"/>
      <c r="H39" s="211"/>
      <c r="I39" s="50"/>
      <c r="J39" s="50"/>
    </row>
    <row r="42" spans="1:10" x14ac:dyDescent="0.25">
      <c r="A42" s="56"/>
      <c r="B42" s="50"/>
      <c r="C42" s="50"/>
      <c r="D42" s="59"/>
      <c r="E42" s="50"/>
      <c r="F42" s="183"/>
    </row>
    <row r="43" spans="1:10" x14ac:dyDescent="0.25">
      <c r="A43" s="50"/>
      <c r="B43" s="50"/>
      <c r="C43" s="50"/>
      <c r="D43" s="59"/>
      <c r="E43" s="50"/>
      <c r="F43" s="183"/>
    </row>
    <row r="44" spans="1:10" x14ac:dyDescent="0.25">
      <c r="A44" s="56"/>
      <c r="B44" s="50"/>
      <c r="C44" s="50"/>
      <c r="D44" s="59"/>
      <c r="E44" s="50"/>
      <c r="F44" s="183"/>
    </row>
  </sheetData>
  <mergeCells count="3">
    <mergeCell ref="A27:F27"/>
    <mergeCell ref="A1:F1"/>
    <mergeCell ref="A2:F2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25" max="16383" man="1"/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J33"/>
  <sheetViews>
    <sheetView workbookViewId="0">
      <selection activeCell="G27" sqref="G27"/>
    </sheetView>
  </sheetViews>
  <sheetFormatPr defaultRowHeight="15" x14ac:dyDescent="0.25"/>
  <cols>
    <col min="1" max="1" width="20.5546875" style="1" customWidth="1"/>
    <col min="2" max="7" width="12.5546875" style="15" customWidth="1"/>
    <col min="8" max="8" width="8.88671875" style="20"/>
    <col min="9" max="16384" width="8.88671875" style="1"/>
  </cols>
  <sheetData>
    <row r="1" spans="1:10" x14ac:dyDescent="0.25">
      <c r="A1" s="1" t="s">
        <v>39</v>
      </c>
    </row>
    <row r="2" spans="1:10" x14ac:dyDescent="0.25">
      <c r="B2" s="84"/>
      <c r="C2" s="84"/>
      <c r="D2" s="84"/>
      <c r="E2" s="84"/>
      <c r="F2" s="84"/>
      <c r="G2" s="84" t="s">
        <v>2</v>
      </c>
      <c r="H2" s="20" t="s">
        <v>104</v>
      </c>
    </row>
    <row r="3" spans="1:10" x14ac:dyDescent="0.25">
      <c r="B3" s="84" t="s">
        <v>40</v>
      </c>
      <c r="C3" s="84" t="s">
        <v>40</v>
      </c>
      <c r="D3" s="84" t="s">
        <v>41</v>
      </c>
      <c r="E3" s="84" t="s">
        <v>40</v>
      </c>
      <c r="F3" s="84" t="s">
        <v>40</v>
      </c>
      <c r="G3" s="84" t="s">
        <v>40</v>
      </c>
      <c r="H3" s="20" t="s">
        <v>101</v>
      </c>
    </row>
    <row r="4" spans="1:10" x14ac:dyDescent="0.25">
      <c r="A4" s="1" t="s">
        <v>42</v>
      </c>
      <c r="B4" s="84" t="s">
        <v>43</v>
      </c>
      <c r="C4" s="84" t="s">
        <v>44</v>
      </c>
      <c r="D4" s="84" t="s">
        <v>45</v>
      </c>
      <c r="E4" s="84" t="s">
        <v>46</v>
      </c>
      <c r="F4" s="84" t="s">
        <v>47</v>
      </c>
      <c r="G4" s="84" t="s">
        <v>48</v>
      </c>
      <c r="H4" s="20" t="s">
        <v>102</v>
      </c>
    </row>
    <row r="5" spans="1:10" x14ac:dyDescent="0.25">
      <c r="A5" s="1" t="s">
        <v>113</v>
      </c>
      <c r="B5" s="7">
        <v>1040</v>
      </c>
      <c r="C5" s="7">
        <v>0</v>
      </c>
      <c r="D5" s="117">
        <v>28.05</v>
      </c>
      <c r="E5" s="15">
        <f>B5*D5</f>
        <v>29172</v>
      </c>
      <c r="F5" s="15">
        <f>C5*D5*1.5</f>
        <v>0</v>
      </c>
      <c r="G5" s="15">
        <f>E5+F5</f>
        <v>29172</v>
      </c>
    </row>
    <row r="6" spans="1:10" x14ac:dyDescent="0.25">
      <c r="A6" s="1" t="s">
        <v>114</v>
      </c>
      <c r="B6" s="7">
        <v>1040</v>
      </c>
      <c r="C6" s="7">
        <v>0</v>
      </c>
      <c r="D6" s="117">
        <v>16.64</v>
      </c>
      <c r="E6" s="15">
        <f t="shared" ref="E6:E14" si="0">B6*D6</f>
        <v>17305.600000000002</v>
      </c>
      <c r="F6" s="15">
        <f t="shared" ref="F6:F14" si="1">C6*D6*1.5</f>
        <v>0</v>
      </c>
      <c r="G6" s="15">
        <f t="shared" ref="G6:G14" si="2">E6+F6</f>
        <v>17305.600000000002</v>
      </c>
    </row>
    <row r="7" spans="1:10" x14ac:dyDescent="0.25">
      <c r="A7" s="1" t="s">
        <v>115</v>
      </c>
      <c r="B7" s="129">
        <v>56</v>
      </c>
      <c r="C7" s="129">
        <v>98</v>
      </c>
      <c r="D7" s="131">
        <v>21.5</v>
      </c>
      <c r="E7" s="15">
        <f t="shared" si="0"/>
        <v>1204</v>
      </c>
      <c r="F7" s="15">
        <f t="shared" si="1"/>
        <v>3160.5</v>
      </c>
      <c r="G7" s="15">
        <f t="shared" si="2"/>
        <v>4364.5</v>
      </c>
    </row>
    <row r="8" spans="1:10" x14ac:dyDescent="0.25">
      <c r="A8" s="1" t="s">
        <v>116</v>
      </c>
      <c r="B8" s="129">
        <v>1024</v>
      </c>
      <c r="C8" s="129">
        <v>330</v>
      </c>
      <c r="D8" s="117">
        <v>22.5</v>
      </c>
      <c r="E8" s="15">
        <f t="shared" si="0"/>
        <v>23040</v>
      </c>
      <c r="F8" s="15">
        <f t="shared" si="1"/>
        <v>11137.5</v>
      </c>
      <c r="G8" s="15">
        <f t="shared" si="2"/>
        <v>34177.5</v>
      </c>
      <c r="J8" s="86"/>
    </row>
    <row r="9" spans="1:10" x14ac:dyDescent="0.25">
      <c r="A9" s="1" t="s">
        <v>117</v>
      </c>
      <c r="B9" s="129">
        <v>2080</v>
      </c>
      <c r="C9" s="129">
        <v>508</v>
      </c>
      <c r="D9" s="117">
        <v>21.73</v>
      </c>
      <c r="E9" s="15">
        <f t="shared" si="0"/>
        <v>45198.400000000001</v>
      </c>
      <c r="F9" s="15">
        <f t="shared" si="1"/>
        <v>16558.260000000002</v>
      </c>
      <c r="G9" s="15">
        <f t="shared" si="2"/>
        <v>61756.66</v>
      </c>
    </row>
    <row r="10" spans="1:10" x14ac:dyDescent="0.25">
      <c r="A10" s="1" t="s">
        <v>118</v>
      </c>
      <c r="B10" s="129">
        <v>432</v>
      </c>
      <c r="C10" s="129">
        <v>336</v>
      </c>
      <c r="D10" s="117">
        <v>17.05</v>
      </c>
      <c r="E10" s="15">
        <f t="shared" si="0"/>
        <v>7365.6</v>
      </c>
      <c r="F10" s="15">
        <f t="shared" si="1"/>
        <v>8593.2000000000007</v>
      </c>
      <c r="G10" s="15">
        <f t="shared" si="2"/>
        <v>15958.800000000001</v>
      </c>
    </row>
    <row r="11" spans="1:10" x14ac:dyDescent="0.25">
      <c r="A11" s="1" t="s">
        <v>119</v>
      </c>
      <c r="B11" s="129">
        <v>1040</v>
      </c>
      <c r="C11" s="129">
        <v>261</v>
      </c>
      <c r="D11" s="117">
        <v>17.600000000000001</v>
      </c>
      <c r="E11" s="15">
        <f t="shared" si="0"/>
        <v>18304</v>
      </c>
      <c r="F11" s="15">
        <f t="shared" si="1"/>
        <v>6890.4000000000005</v>
      </c>
      <c r="G11" s="15">
        <f t="shared" si="2"/>
        <v>25194.400000000001</v>
      </c>
    </row>
    <row r="12" spans="1:10" x14ac:dyDescent="0.25">
      <c r="A12" s="1" t="s">
        <v>120</v>
      </c>
      <c r="B12" s="129">
        <v>2072</v>
      </c>
      <c r="C12" s="129">
        <v>445</v>
      </c>
      <c r="D12" s="117">
        <v>17.05</v>
      </c>
      <c r="E12" s="15">
        <f t="shared" si="0"/>
        <v>35327.599999999999</v>
      </c>
      <c r="F12" s="15">
        <f t="shared" si="1"/>
        <v>11380.875</v>
      </c>
      <c r="G12" s="15">
        <f t="shared" si="2"/>
        <v>46708.474999999999</v>
      </c>
    </row>
    <row r="13" spans="1:10" x14ac:dyDescent="0.25">
      <c r="A13" s="1" t="s">
        <v>121</v>
      </c>
      <c r="B13" s="129">
        <v>0</v>
      </c>
      <c r="C13" s="129">
        <v>84</v>
      </c>
      <c r="D13" s="131">
        <v>15</v>
      </c>
      <c r="E13" s="15">
        <f t="shared" si="0"/>
        <v>0</v>
      </c>
      <c r="F13" s="15">
        <f t="shared" si="1"/>
        <v>1890</v>
      </c>
      <c r="G13" s="15">
        <f t="shared" si="2"/>
        <v>1890</v>
      </c>
    </row>
    <row r="14" spans="1:10" x14ac:dyDescent="0.25">
      <c r="A14" s="1" t="s">
        <v>122</v>
      </c>
      <c r="B14" s="129">
        <v>74</v>
      </c>
      <c r="C14" s="130">
        <v>73</v>
      </c>
      <c r="D14" s="117">
        <v>18.98</v>
      </c>
      <c r="E14" s="17">
        <f t="shared" si="0"/>
        <v>1404.52</v>
      </c>
      <c r="F14" s="17">
        <f t="shared" si="1"/>
        <v>2078.31</v>
      </c>
      <c r="G14" s="17">
        <f t="shared" si="2"/>
        <v>3482.83</v>
      </c>
    </row>
    <row r="15" spans="1:10" x14ac:dyDescent="0.25">
      <c r="D15" s="117"/>
    </row>
    <row r="16" spans="1:10" x14ac:dyDescent="0.25">
      <c r="A16" s="1" t="s">
        <v>92</v>
      </c>
      <c r="B16" s="7">
        <f>SUM(B5:B14)</f>
        <v>8858</v>
      </c>
      <c r="C16" s="7">
        <f>SUM(C5:C14)</f>
        <v>2135</v>
      </c>
      <c r="D16" s="117"/>
      <c r="E16" s="15">
        <f>SUM(E5:E14)</f>
        <v>178321.72</v>
      </c>
      <c r="F16" s="15">
        <f>SUM(F5:F14)</f>
        <v>61689.045000000006</v>
      </c>
      <c r="G16" s="15">
        <f>SUM(G5:G14)</f>
        <v>240010.76499999998</v>
      </c>
    </row>
    <row r="18" spans="4:8" x14ac:dyDescent="0.25">
      <c r="G18" s="84" t="s">
        <v>15</v>
      </c>
    </row>
    <row r="19" spans="4:8" x14ac:dyDescent="0.25">
      <c r="D19" s="15" t="s">
        <v>49</v>
      </c>
      <c r="G19" s="15">
        <f>G16</f>
        <v>240010.76499999998</v>
      </c>
    </row>
    <row r="20" spans="4:8" x14ac:dyDescent="0.25">
      <c r="D20" s="15" t="s">
        <v>50</v>
      </c>
      <c r="G20" s="155">
        <f>-'SAO 1'!D17</f>
        <v>-842228.30000000016</v>
      </c>
    </row>
    <row r="21" spans="4:8" x14ac:dyDescent="0.25">
      <c r="D21" s="15" t="s">
        <v>51</v>
      </c>
      <c r="G21" s="15">
        <f>G19+G20</f>
        <v>-602217.53500000015</v>
      </c>
      <c r="H21" s="19"/>
    </row>
    <row r="22" spans="4:8" x14ac:dyDescent="0.25">
      <c r="G22" s="15" t="s">
        <v>52</v>
      </c>
      <c r="H22" s="19"/>
    </row>
    <row r="23" spans="4:8" x14ac:dyDescent="0.25">
      <c r="D23" s="15" t="s">
        <v>53</v>
      </c>
      <c r="G23" s="15">
        <f>G16</f>
        <v>240010.76499999998</v>
      </c>
      <c r="H23" s="19"/>
    </row>
    <row r="24" spans="4:8" x14ac:dyDescent="0.25">
      <c r="D24" s="15" t="s">
        <v>54</v>
      </c>
      <c r="G24" s="85">
        <v>7.6499999999999999E-2</v>
      </c>
      <c r="H24" s="19"/>
    </row>
    <row r="25" spans="4:8" x14ac:dyDescent="0.25">
      <c r="D25" s="15" t="s">
        <v>55</v>
      </c>
      <c r="G25" s="15">
        <f>G23*G24</f>
        <v>18360.823522499999</v>
      </c>
      <c r="H25" s="19"/>
    </row>
    <row r="26" spans="4:8" x14ac:dyDescent="0.25">
      <c r="D26" s="15" t="s">
        <v>56</v>
      </c>
      <c r="G26" s="155" t="e">
        <f>-'SAO 1'!#REF!</f>
        <v>#REF!</v>
      </c>
      <c r="H26" s="19"/>
    </row>
    <row r="27" spans="4:8" x14ac:dyDescent="0.25">
      <c r="D27" s="15" t="s">
        <v>57</v>
      </c>
      <c r="G27" s="15" t="e">
        <f>G25+G26</f>
        <v>#REF!</v>
      </c>
      <c r="H27" s="19"/>
    </row>
    <row r="28" spans="4:8" x14ac:dyDescent="0.25">
      <c r="H28" s="19"/>
    </row>
    <row r="29" spans="4:8" x14ac:dyDescent="0.25">
      <c r="D29" s="15" t="s">
        <v>53</v>
      </c>
      <c r="G29" s="15">
        <f>G16</f>
        <v>240010.76499999998</v>
      </c>
      <c r="H29" s="19"/>
    </row>
    <row r="30" spans="4:8" x14ac:dyDescent="0.25">
      <c r="D30" s="15" t="s">
        <v>124</v>
      </c>
      <c r="G30" s="85">
        <v>0.26790000000000003</v>
      </c>
      <c r="H30" s="19"/>
    </row>
    <row r="31" spans="4:8" x14ac:dyDescent="0.25">
      <c r="D31" s="15" t="s">
        <v>58</v>
      </c>
      <c r="G31" s="15">
        <f>G29*G30</f>
        <v>64298.883943500005</v>
      </c>
      <c r="H31" s="19"/>
    </row>
    <row r="32" spans="4:8" x14ac:dyDescent="0.25">
      <c r="D32" s="15" t="s">
        <v>59</v>
      </c>
      <c r="G32" s="155">
        <f>-56092.56-11383.61</f>
        <v>-67476.17</v>
      </c>
      <c r="H32" s="19"/>
    </row>
    <row r="33" spans="4:8" x14ac:dyDescent="0.25">
      <c r="D33" s="15" t="s">
        <v>60</v>
      </c>
      <c r="G33" s="15">
        <f>G31+G32</f>
        <v>-3177.2860564999937</v>
      </c>
      <c r="H33" s="19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D4E0-55A4-487C-BF73-5E402D6423A5}">
  <sheetPr>
    <pageSetUpPr fitToPage="1"/>
  </sheetPr>
  <dimension ref="A1:K44"/>
  <sheetViews>
    <sheetView showGridLines="0" workbookViewId="0">
      <selection activeCell="E8" sqref="E8"/>
    </sheetView>
  </sheetViews>
  <sheetFormatPr defaultColWidth="8.77734375" defaultRowHeight="15" x14ac:dyDescent="0.2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11.5546875" style="186" customWidth="1"/>
    <col min="7" max="7" width="3.5546875" style="7" customWidth="1"/>
    <col min="8" max="10" width="11.33203125" style="7" customWidth="1"/>
    <col min="11" max="11" width="10.88671875" style="7" customWidth="1"/>
    <col min="12" max="16384" width="8.77734375" style="7"/>
  </cols>
  <sheetData>
    <row r="1" spans="1:11" ht="18.75" x14ac:dyDescent="0.25">
      <c r="A1" s="431" t="s">
        <v>202</v>
      </c>
      <c r="B1" s="431"/>
      <c r="C1" s="431"/>
      <c r="D1" s="431"/>
      <c r="E1" s="431"/>
      <c r="F1" s="431"/>
      <c r="G1" s="50"/>
      <c r="H1" s="50"/>
      <c r="I1" s="50"/>
      <c r="J1" s="50"/>
    </row>
    <row r="2" spans="1:11" ht="15.75" x14ac:dyDescent="0.25">
      <c r="A2" s="432" t="s">
        <v>149</v>
      </c>
      <c r="B2" s="432"/>
      <c r="C2" s="432"/>
      <c r="D2" s="432"/>
      <c r="E2" s="432"/>
      <c r="F2" s="432"/>
      <c r="G2" s="50"/>
      <c r="H2" s="50"/>
      <c r="I2" s="50"/>
      <c r="J2" s="50"/>
      <c r="K2" s="50"/>
    </row>
    <row r="3" spans="1:11" x14ac:dyDescent="0.25">
      <c r="A3" s="44"/>
      <c r="B3" s="52"/>
      <c r="C3" s="52"/>
      <c r="D3" s="52"/>
      <c r="E3" s="52"/>
      <c r="F3" s="183"/>
      <c r="G3" s="50"/>
      <c r="H3" s="50"/>
      <c r="I3" s="50"/>
      <c r="J3" s="50"/>
    </row>
    <row r="4" spans="1:11" x14ac:dyDescent="0.25">
      <c r="A4" s="44"/>
      <c r="B4" s="52"/>
      <c r="C4" s="52"/>
      <c r="D4" s="300" t="s">
        <v>150</v>
      </c>
      <c r="E4" s="300" t="s">
        <v>163</v>
      </c>
      <c r="F4" s="183"/>
      <c r="G4" s="50"/>
      <c r="H4" s="50"/>
      <c r="I4" s="50"/>
      <c r="J4" s="50"/>
    </row>
    <row r="5" spans="1:11" ht="17.25" x14ac:dyDescent="0.25">
      <c r="A5" s="50"/>
      <c r="B5" s="50"/>
      <c r="C5" s="50"/>
      <c r="D5" s="51" t="s">
        <v>14</v>
      </c>
      <c r="E5" s="51" t="s">
        <v>15</v>
      </c>
      <c r="F5" s="184" t="s">
        <v>16</v>
      </c>
      <c r="G5" s="50"/>
      <c r="H5" s="60"/>
      <c r="I5" s="50"/>
      <c r="J5" s="50"/>
    </row>
    <row r="6" spans="1:11" x14ac:dyDescent="0.25">
      <c r="A6" s="158" t="s">
        <v>4</v>
      </c>
      <c r="B6" s="50"/>
      <c r="C6" s="50"/>
      <c r="D6" s="50"/>
      <c r="F6" s="183"/>
      <c r="G6" s="50"/>
      <c r="I6" s="50"/>
      <c r="J6" s="50"/>
    </row>
    <row r="7" spans="1:11" x14ac:dyDescent="0.25">
      <c r="A7" s="50"/>
      <c r="B7" s="50" t="s">
        <v>200</v>
      </c>
      <c r="C7" s="50"/>
      <c r="D7" s="211">
        <f>'SAO 1'!F7</f>
        <v>2587756.878</v>
      </c>
      <c r="E7" s="211">
        <v>0</v>
      </c>
      <c r="F7" s="183">
        <f>D7+E7</f>
        <v>2587756.878</v>
      </c>
      <c r="G7" s="53"/>
      <c r="H7" s="50"/>
      <c r="I7" s="50"/>
      <c r="J7" s="50"/>
    </row>
    <row r="8" spans="1:11" x14ac:dyDescent="0.25">
      <c r="A8" s="50"/>
      <c r="B8" s="50" t="s">
        <v>201</v>
      </c>
      <c r="C8" s="50"/>
      <c r="D8" s="211">
        <f>'SAO 1'!F8</f>
        <v>2620997.3479999998</v>
      </c>
      <c r="E8" s="211">
        <f>[3]Analysis!$E$37</f>
        <v>2818065.8766327039</v>
      </c>
      <c r="F8" s="183">
        <f t="shared" ref="F8:F12" si="0">D8+E8</f>
        <v>5439063.2246327037</v>
      </c>
      <c r="G8" s="53"/>
      <c r="H8" s="50"/>
      <c r="I8" s="50"/>
      <c r="J8" s="50"/>
    </row>
    <row r="9" spans="1:11" x14ac:dyDescent="0.25">
      <c r="A9" s="50"/>
      <c r="B9" s="50" t="str">
        <f>'TB Operating Revenues'!A12</f>
        <v>Other Operating Revenue</v>
      </c>
      <c r="C9" s="50"/>
      <c r="D9" s="50">
        <f>'TB Operating Revenues'!B12</f>
        <v>39819.682419999997</v>
      </c>
      <c r="E9" s="211">
        <f>'TB Operating Revenues'!D12</f>
        <v>0</v>
      </c>
      <c r="F9" s="183">
        <f t="shared" si="0"/>
        <v>39819.682419999997</v>
      </c>
      <c r="G9" s="54"/>
      <c r="H9" s="49"/>
      <c r="I9" s="50"/>
      <c r="J9" s="50"/>
    </row>
    <row r="10" spans="1:11" x14ac:dyDescent="0.25">
      <c r="A10" s="50"/>
      <c r="B10" s="50" t="str">
        <f>'TB Operating Revenues'!A15</f>
        <v>Grant Revenue</v>
      </c>
      <c r="C10" s="50"/>
      <c r="D10" s="50">
        <f>'TB Operating Revenues'!B15</f>
        <v>0</v>
      </c>
      <c r="E10" s="50">
        <f>'TB Operating Revenues'!D15</f>
        <v>0</v>
      </c>
      <c r="F10" s="183">
        <f t="shared" si="0"/>
        <v>0</v>
      </c>
      <c r="G10" s="53"/>
      <c r="H10" s="50"/>
      <c r="I10" s="50"/>
    </row>
    <row r="11" spans="1:11" x14ac:dyDescent="0.25">
      <c r="A11" s="50"/>
      <c r="B11" s="50" t="str">
        <f>'TB Operating Revenues'!A18</f>
        <v>Tap Fee Revenue</v>
      </c>
      <c r="C11" s="50"/>
      <c r="D11" s="63">
        <f>'TB Operating Revenues'!B18</f>
        <v>23148</v>
      </c>
      <c r="E11" s="63">
        <f>'TB Operating Revenues'!D18</f>
        <v>0</v>
      </c>
      <c r="F11" s="183">
        <f t="shared" si="0"/>
        <v>23148</v>
      </c>
      <c r="G11" s="55"/>
      <c r="H11" s="50"/>
      <c r="I11" s="50"/>
      <c r="J11" s="50"/>
    </row>
    <row r="12" spans="1:11" x14ac:dyDescent="0.25">
      <c r="A12" s="50"/>
      <c r="B12" s="50" t="str">
        <f>'TB Operating Revenues'!A21</f>
        <v>Insurance Reimbursement</v>
      </c>
      <c r="C12" s="50"/>
      <c r="D12" s="182">
        <f>'TB Operating Revenues'!B21</f>
        <v>0</v>
      </c>
      <c r="E12" s="182">
        <f>'TB Operating Revenues'!D21</f>
        <v>0</v>
      </c>
      <c r="F12" s="185">
        <f t="shared" si="0"/>
        <v>0</v>
      </c>
      <c r="G12" s="55"/>
      <c r="H12" s="50"/>
      <c r="I12" s="50"/>
      <c r="J12" s="50"/>
    </row>
    <row r="13" spans="1:11" x14ac:dyDescent="0.25">
      <c r="A13" s="56" t="s">
        <v>6</v>
      </c>
      <c r="B13" s="50"/>
      <c r="C13" s="50"/>
      <c r="D13" s="50">
        <f>SUM(D7:D11)</f>
        <v>5271721.9084200002</v>
      </c>
      <c r="E13" s="50">
        <f>SUM(E7:E11)</f>
        <v>2818065.8766327039</v>
      </c>
      <c r="F13" s="183">
        <f>SUM(F7:F11)</f>
        <v>8089787.7850527037</v>
      </c>
      <c r="G13" s="55"/>
      <c r="I13" s="50"/>
      <c r="J13" s="50"/>
    </row>
    <row r="14" spans="1:11" x14ac:dyDescent="0.25">
      <c r="A14" s="50"/>
      <c r="B14" s="50"/>
      <c r="C14" s="50"/>
      <c r="D14" s="50"/>
      <c r="E14" s="50"/>
      <c r="F14" s="183"/>
      <c r="G14" s="55"/>
      <c r="H14" s="50"/>
      <c r="I14" s="50"/>
      <c r="J14" s="50"/>
    </row>
    <row r="15" spans="1:11" x14ac:dyDescent="0.25">
      <c r="A15" s="158" t="s">
        <v>7</v>
      </c>
      <c r="B15" s="50"/>
      <c r="C15" s="50"/>
      <c r="D15" s="50"/>
      <c r="E15" s="50"/>
      <c r="F15" s="183"/>
      <c r="G15" s="55"/>
      <c r="H15" s="50"/>
      <c r="I15" s="50"/>
      <c r="J15" s="50"/>
    </row>
    <row r="16" spans="1:11" x14ac:dyDescent="0.25">
      <c r="A16" s="50"/>
      <c r="B16" s="50" t="s">
        <v>17</v>
      </c>
      <c r="C16" s="50"/>
      <c r="D16" s="50"/>
      <c r="E16" s="50"/>
      <c r="F16" s="183"/>
      <c r="G16" s="55"/>
      <c r="H16" s="50"/>
      <c r="I16" s="50"/>
      <c r="J16" s="50"/>
    </row>
    <row r="17" spans="1:10" x14ac:dyDescent="0.25">
      <c r="A17" s="50"/>
      <c r="B17" s="50"/>
      <c r="C17" s="50" t="str">
        <f>'TB Operating Expenses'!A21</f>
        <v>Water Maintenance System</v>
      </c>
      <c r="D17" s="50">
        <f>'TB Operating Expenses'!B21</f>
        <v>842228.30000000016</v>
      </c>
      <c r="E17" s="211">
        <f>'TB Operating Expenses'!C21</f>
        <v>0</v>
      </c>
      <c r="F17" s="183">
        <f>D17+E17</f>
        <v>842228.30000000016</v>
      </c>
      <c r="G17" s="53"/>
      <c r="H17" s="50"/>
      <c r="I17" s="50"/>
      <c r="J17" s="50"/>
    </row>
    <row r="18" spans="1:10" x14ac:dyDescent="0.25">
      <c r="A18" s="50"/>
      <c r="B18" s="50"/>
      <c r="C18" s="50" t="str">
        <f>'TB Operating Expenses'!A40</f>
        <v>Water Treatment Plant</v>
      </c>
      <c r="D18" s="50">
        <f>'TB Operating Expenses'!B40</f>
        <v>1996300.8200000003</v>
      </c>
      <c r="E18" s="211">
        <f>'TB Operating Expenses'!C40</f>
        <v>0</v>
      </c>
      <c r="F18" s="183">
        <f>D18+E18</f>
        <v>1996300.8200000003</v>
      </c>
      <c r="G18" s="53"/>
      <c r="H18" s="50"/>
      <c r="I18" s="50"/>
      <c r="J18" s="50"/>
    </row>
    <row r="19" spans="1:10" x14ac:dyDescent="0.25">
      <c r="A19" s="50"/>
      <c r="B19" s="50"/>
      <c r="C19" s="50" t="str">
        <f>'TB Operating Expenses'!A66</f>
        <v>Administrative Department</v>
      </c>
      <c r="D19" s="196">
        <f>'TB Operating Expenses'!B66</f>
        <v>744305.43593000004</v>
      </c>
      <c r="E19" s="182">
        <f>'TB Operating Expenses'!C66</f>
        <v>0</v>
      </c>
      <c r="F19" s="185">
        <f>D19+E19</f>
        <v>744305.43593000004</v>
      </c>
      <c r="G19" s="55"/>
      <c r="H19" s="50"/>
      <c r="I19" s="50"/>
      <c r="J19" s="50"/>
    </row>
    <row r="20" spans="1:10" x14ac:dyDescent="0.25">
      <c r="A20" s="50"/>
      <c r="B20" s="50" t="s">
        <v>146</v>
      </c>
      <c r="C20" s="50"/>
      <c r="D20" s="50">
        <f>SUM(D17:D19)</f>
        <v>3582834.5559300007</v>
      </c>
      <c r="E20" s="50">
        <f>SUM(E17:E19)</f>
        <v>0</v>
      </c>
      <c r="F20" s="183">
        <f>SUM(F17:F19)</f>
        <v>3582834.5559300007</v>
      </c>
      <c r="G20" s="55"/>
      <c r="H20" s="157"/>
      <c r="I20" s="50"/>
      <c r="J20" s="50"/>
    </row>
    <row r="21" spans="1:10" ht="4.1500000000000004" customHeight="1" x14ac:dyDescent="0.25">
      <c r="A21" s="50"/>
      <c r="B21" s="50"/>
      <c r="C21" s="50"/>
      <c r="D21" s="50"/>
      <c r="E21" s="50"/>
      <c r="F21" s="183"/>
      <c r="G21" s="55"/>
      <c r="H21" s="50"/>
      <c r="I21" s="50"/>
      <c r="J21" s="50"/>
    </row>
    <row r="22" spans="1:10" x14ac:dyDescent="0.25">
      <c r="A22" s="50"/>
      <c r="B22" s="50" t="s">
        <v>8</v>
      </c>
      <c r="C22" s="50"/>
      <c r="D22" s="50">
        <f>'Depreciation 2'!G54</f>
        <v>2406458.9317555865</v>
      </c>
      <c r="E22" s="50"/>
      <c r="F22" s="183">
        <f>D22+E22</f>
        <v>2406458.9317555865</v>
      </c>
      <c r="G22" s="55"/>
      <c r="H22" s="50"/>
      <c r="I22" s="50"/>
    </row>
    <row r="23" spans="1:10" x14ac:dyDescent="0.25">
      <c r="A23" s="56" t="s">
        <v>0</v>
      </c>
      <c r="B23" s="50"/>
      <c r="C23" s="50"/>
      <c r="D23" s="182">
        <f>SUM(D20:D22)</f>
        <v>5989293.4876855873</v>
      </c>
      <c r="E23" s="182">
        <f t="shared" ref="E23:F23" si="1">SUM(E20:E22)</f>
        <v>0</v>
      </c>
      <c r="F23" s="391">
        <f t="shared" si="1"/>
        <v>5989293.4876855873</v>
      </c>
      <c r="G23" s="55"/>
      <c r="H23" s="50"/>
      <c r="I23" s="50"/>
      <c r="J23" s="50"/>
    </row>
    <row r="24" spans="1:10" ht="4.1500000000000004" customHeight="1" x14ac:dyDescent="0.25">
      <c r="A24" s="56"/>
      <c r="B24" s="50"/>
      <c r="C24" s="50"/>
      <c r="D24" s="64"/>
      <c r="E24" s="50"/>
      <c r="F24" s="183"/>
      <c r="G24" s="50"/>
      <c r="H24" s="50"/>
      <c r="I24" s="50"/>
      <c r="J24" s="50"/>
    </row>
    <row r="25" spans="1:10" x14ac:dyDescent="0.25">
      <c r="A25" s="56" t="s">
        <v>18</v>
      </c>
      <c r="B25" s="50"/>
      <c r="C25" s="50"/>
      <c r="D25" s="50">
        <f>D13-D23</f>
        <v>-717571.57926558703</v>
      </c>
      <c r="E25" s="50">
        <f>E13-E23</f>
        <v>2818065.8766327039</v>
      </c>
      <c r="F25" s="183">
        <f>F13-F23</f>
        <v>2100494.2973671164</v>
      </c>
      <c r="G25" s="50"/>
      <c r="H25" s="50"/>
      <c r="J25" s="50"/>
    </row>
    <row r="26" spans="1:10" x14ac:dyDescent="0.25">
      <c r="A26" s="50"/>
      <c r="B26" s="50"/>
      <c r="C26" s="50"/>
      <c r="D26" s="50"/>
      <c r="E26" s="50"/>
      <c r="F26" s="183"/>
      <c r="G26" s="50"/>
      <c r="H26" s="50"/>
      <c r="I26" s="50"/>
      <c r="J26" s="50"/>
    </row>
    <row r="27" spans="1:10" ht="18.75" x14ac:dyDescent="0.25">
      <c r="A27" s="431" t="s">
        <v>9</v>
      </c>
      <c r="B27" s="431"/>
      <c r="C27" s="431"/>
      <c r="D27" s="431"/>
      <c r="E27" s="431"/>
      <c r="F27" s="431"/>
      <c r="G27" s="50"/>
      <c r="H27" s="57"/>
      <c r="I27" s="58"/>
      <c r="J27" s="50"/>
    </row>
    <row r="28" spans="1:10" x14ac:dyDescent="0.25">
      <c r="A28" s="56" t="s">
        <v>19</v>
      </c>
      <c r="B28" s="50"/>
      <c r="C28" s="50"/>
      <c r="D28" s="59"/>
      <c r="E28" s="50"/>
      <c r="F28" s="186">
        <f>F23</f>
        <v>5989293.4876855873</v>
      </c>
      <c r="G28" s="50"/>
      <c r="I28" s="50"/>
      <c r="J28" s="50"/>
    </row>
    <row r="29" spans="1:10" x14ac:dyDescent="0.25">
      <c r="A29" s="50" t="s">
        <v>10</v>
      </c>
      <c r="B29" s="50"/>
      <c r="C29" s="50" t="s">
        <v>61</v>
      </c>
      <c r="D29" s="59"/>
      <c r="E29" s="50"/>
      <c r="F29" s="186">
        <f>'Debt Service 2'!R26</f>
        <v>1964250.8144609707</v>
      </c>
      <c r="G29" s="50"/>
      <c r="I29" s="50"/>
      <c r="J29" s="50"/>
    </row>
    <row r="30" spans="1:10" x14ac:dyDescent="0.25">
      <c r="A30" s="50"/>
      <c r="B30" s="50"/>
      <c r="C30" s="50" t="s">
        <v>62</v>
      </c>
      <c r="D30" s="59"/>
      <c r="E30" s="50"/>
      <c r="F30" s="188">
        <f>'Debt Service 2'!R28</f>
        <v>392850.16289219417</v>
      </c>
      <c r="G30" s="50"/>
      <c r="I30" s="50"/>
      <c r="J30" s="50"/>
    </row>
    <row r="31" spans="1:10" x14ac:dyDescent="0.25">
      <c r="A31" s="56" t="s">
        <v>32</v>
      </c>
      <c r="B31" s="50"/>
      <c r="C31" s="50"/>
      <c r="D31" s="59"/>
      <c r="E31" s="50"/>
      <c r="F31" s="186">
        <f>F28+F29+F30</f>
        <v>8346394.4650387522</v>
      </c>
      <c r="G31" s="50"/>
      <c r="I31" s="50"/>
      <c r="J31" s="50"/>
    </row>
    <row r="32" spans="1:10" x14ac:dyDescent="0.25">
      <c r="A32" s="50" t="s">
        <v>11</v>
      </c>
      <c r="B32" s="50"/>
      <c r="C32" s="50" t="s">
        <v>5</v>
      </c>
      <c r="D32" s="59"/>
      <c r="E32" s="50"/>
      <c r="F32" s="187">
        <f>F8</f>
        <v>5439063.2246327037</v>
      </c>
      <c r="G32" s="50"/>
      <c r="I32" s="50"/>
      <c r="J32" s="50"/>
    </row>
    <row r="33" spans="1:10" x14ac:dyDescent="0.25">
      <c r="A33" s="50" t="s">
        <v>11</v>
      </c>
      <c r="B33" s="50"/>
      <c r="C33" s="50" t="s">
        <v>154</v>
      </c>
      <c r="D33" s="59"/>
      <c r="E33" s="50"/>
      <c r="F33" s="187">
        <f>'TB Other Income and Expenses'!E11</f>
        <v>50342.188399999999</v>
      </c>
      <c r="G33" s="50"/>
      <c r="I33" s="50"/>
      <c r="J33" s="50"/>
    </row>
    <row r="34" spans="1:10" x14ac:dyDescent="0.25">
      <c r="A34" s="50" t="s">
        <v>10</v>
      </c>
      <c r="B34" s="50"/>
      <c r="C34" s="50" t="s">
        <v>165</v>
      </c>
      <c r="D34" s="59"/>
      <c r="E34" s="50"/>
      <c r="F34" s="188">
        <f>'TB Other Income and Expenses'!E15</f>
        <v>25139.158240000001</v>
      </c>
      <c r="G34" s="50"/>
      <c r="H34" s="31"/>
      <c r="I34" s="50"/>
      <c r="J34" s="50"/>
    </row>
    <row r="35" spans="1:10" x14ac:dyDescent="0.25">
      <c r="A35" s="56" t="s">
        <v>30</v>
      </c>
      <c r="B35" s="50"/>
      <c r="C35" s="50"/>
      <c r="D35" s="59"/>
      <c r="E35" s="50"/>
      <c r="F35" s="186">
        <f>F31-F32-F33+F34</f>
        <v>2882128.2102460484</v>
      </c>
      <c r="G35" s="50"/>
      <c r="I35" s="50"/>
      <c r="J35" s="50"/>
    </row>
    <row r="36" spans="1:10" x14ac:dyDescent="0.25">
      <c r="A36" s="50" t="s">
        <v>11</v>
      </c>
      <c r="B36" s="50"/>
      <c r="C36" s="50" t="s">
        <v>31</v>
      </c>
      <c r="D36" s="59"/>
      <c r="E36" s="50"/>
      <c r="F36" s="188">
        <f>F7+F10</f>
        <v>2587756.878</v>
      </c>
      <c r="G36" s="50"/>
      <c r="H36" s="31"/>
      <c r="I36" s="50"/>
      <c r="J36" s="50"/>
    </row>
    <row r="37" spans="1:10" x14ac:dyDescent="0.25">
      <c r="A37" s="56" t="s">
        <v>33</v>
      </c>
      <c r="B37" s="50"/>
      <c r="C37" s="50"/>
      <c r="D37" s="59"/>
      <c r="E37" s="50"/>
      <c r="F37" s="342">
        <f>F35-F36</f>
        <v>294371.33224604838</v>
      </c>
      <c r="G37" s="50"/>
      <c r="H37" s="50"/>
      <c r="I37" s="50"/>
      <c r="J37" s="50"/>
    </row>
    <row r="38" spans="1:10" ht="4.1500000000000004" customHeight="1" x14ac:dyDescent="0.25">
      <c r="A38" s="50"/>
      <c r="B38" s="50"/>
      <c r="C38" s="50"/>
      <c r="D38" s="59"/>
      <c r="E38" s="50"/>
      <c r="F38" s="342"/>
      <c r="G38" s="50"/>
      <c r="H38" s="50"/>
      <c r="I38" s="50"/>
      <c r="J38" s="50"/>
    </row>
    <row r="39" spans="1:10" x14ac:dyDescent="0.25">
      <c r="A39" s="56" t="s">
        <v>147</v>
      </c>
      <c r="B39" s="50"/>
      <c r="C39" s="50"/>
      <c r="D39" s="59"/>
      <c r="E39" s="50"/>
      <c r="F39" s="343">
        <f>F37/F36</f>
        <v>0.11375540521162064</v>
      </c>
      <c r="G39" s="50"/>
      <c r="H39" s="50"/>
      <c r="I39" s="50"/>
      <c r="J39" s="50"/>
    </row>
    <row r="42" spans="1:10" x14ac:dyDescent="0.25">
      <c r="A42" s="56"/>
      <c r="B42" s="50"/>
      <c r="C42" s="50"/>
      <c r="D42" s="59"/>
      <c r="E42" s="50"/>
      <c r="F42" s="183"/>
    </row>
    <row r="43" spans="1:10" x14ac:dyDescent="0.25">
      <c r="A43" s="50"/>
      <c r="B43" s="50"/>
      <c r="C43" s="50"/>
      <c r="D43" s="59"/>
      <c r="E43" s="50"/>
      <c r="F43" s="183"/>
    </row>
    <row r="44" spans="1:10" x14ac:dyDescent="0.25">
      <c r="A44" s="56"/>
      <c r="B44" s="50"/>
      <c r="C44" s="50"/>
      <c r="D44" s="59"/>
      <c r="E44" s="50"/>
      <c r="F44" s="183"/>
    </row>
  </sheetData>
  <mergeCells count="3">
    <mergeCell ref="A1:F1"/>
    <mergeCell ref="A2:F2"/>
    <mergeCell ref="A27:F27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25" max="16383" man="1"/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Q70"/>
  <sheetViews>
    <sheetView showGridLines="0" topLeftCell="A42" workbookViewId="0">
      <selection activeCell="J56" sqref="B1:J56"/>
    </sheetView>
  </sheetViews>
  <sheetFormatPr defaultRowHeight="15.75" x14ac:dyDescent="0.25"/>
  <cols>
    <col min="1" max="1" width="3.5546875" customWidth="1"/>
    <col min="2" max="2" width="2" customWidth="1"/>
    <col min="3" max="3" width="2.5546875" customWidth="1"/>
    <col min="4" max="4" width="1.77734375" customWidth="1"/>
    <col min="5" max="5" width="27.44140625" style="1" customWidth="1"/>
    <col min="6" max="6" width="11.109375" style="84" bestFit="1" customWidth="1"/>
    <col min="7" max="7" width="10.21875" style="202" bestFit="1" customWidth="1"/>
    <col min="8" max="8" width="2.5546875" customWidth="1"/>
    <col min="9" max="9" width="2.6640625" style="106" customWidth="1"/>
    <col min="10" max="10" width="10.6640625" customWidth="1"/>
    <col min="11" max="11" width="1.88671875" customWidth="1"/>
    <col min="12" max="12" width="2.44140625" customWidth="1"/>
    <col min="14" max="17" width="8.88671875" style="1"/>
  </cols>
  <sheetData>
    <row r="1" spans="1:17" x14ac:dyDescent="0.25">
      <c r="A1" s="1"/>
      <c r="B1" s="1"/>
      <c r="C1" s="1"/>
      <c r="D1" s="3"/>
      <c r="E1" s="3"/>
      <c r="G1" s="84"/>
      <c r="H1" s="72"/>
      <c r="I1" s="18"/>
      <c r="J1" s="3"/>
      <c r="K1" s="3"/>
      <c r="L1" s="3"/>
    </row>
    <row r="2" spans="1:17" x14ac:dyDescent="0.25">
      <c r="A2" s="1"/>
      <c r="B2" s="1"/>
      <c r="C2" s="65"/>
      <c r="D2" s="67"/>
      <c r="E2" s="67"/>
      <c r="F2" s="197"/>
      <c r="G2" s="197"/>
      <c r="H2" s="73"/>
      <c r="I2" s="77"/>
      <c r="K2" s="1"/>
      <c r="L2" s="1"/>
      <c r="M2" s="1"/>
      <c r="O2"/>
      <c r="P2"/>
      <c r="Q2"/>
    </row>
    <row r="3" spans="1:17" ht="18.75" x14ac:dyDescent="0.3">
      <c r="A3" s="1"/>
      <c r="B3" s="1"/>
      <c r="C3" s="439" t="s">
        <v>196</v>
      </c>
      <c r="D3" s="440"/>
      <c r="E3" s="440"/>
      <c r="F3" s="440"/>
      <c r="G3" s="440"/>
      <c r="H3" s="441"/>
      <c r="I3" s="77"/>
      <c r="K3" s="1"/>
      <c r="L3" s="1"/>
      <c r="M3" s="1"/>
      <c r="O3"/>
      <c r="P3"/>
      <c r="Q3"/>
    </row>
    <row r="4" spans="1:17" ht="18.75" x14ac:dyDescent="0.3">
      <c r="A4" s="1"/>
      <c r="B4" s="1"/>
      <c r="C4" s="436" t="s">
        <v>203</v>
      </c>
      <c r="D4" s="437"/>
      <c r="E4" s="437"/>
      <c r="F4" s="437"/>
      <c r="G4" s="437"/>
      <c r="H4" s="438"/>
      <c r="I4" s="77"/>
      <c r="K4" s="1"/>
      <c r="L4" s="1"/>
      <c r="M4" s="1"/>
      <c r="O4"/>
      <c r="P4"/>
      <c r="Q4"/>
    </row>
    <row r="5" spans="1:17" x14ac:dyDescent="0.25">
      <c r="A5" s="1"/>
      <c r="B5" s="1"/>
      <c r="C5" s="433" t="s">
        <v>149</v>
      </c>
      <c r="D5" s="434"/>
      <c r="E5" s="434"/>
      <c r="F5" s="434"/>
      <c r="G5" s="434"/>
      <c r="H5" s="435"/>
      <c r="I5" s="77"/>
      <c r="K5" s="1"/>
      <c r="L5" s="1"/>
      <c r="M5" s="1"/>
      <c r="O5"/>
      <c r="P5"/>
      <c r="Q5"/>
    </row>
    <row r="6" spans="1:17" x14ac:dyDescent="0.25">
      <c r="A6" s="1"/>
      <c r="B6" s="1"/>
      <c r="C6" s="48"/>
      <c r="D6" s="3"/>
      <c r="E6" s="3"/>
      <c r="G6" s="84"/>
      <c r="H6" s="74"/>
      <c r="I6" s="77"/>
      <c r="K6" s="1"/>
      <c r="L6" s="1"/>
      <c r="M6" s="1"/>
      <c r="O6"/>
      <c r="P6"/>
      <c r="Q6"/>
    </row>
    <row r="7" spans="1:17" x14ac:dyDescent="0.25">
      <c r="A7" s="1"/>
      <c r="B7" s="1"/>
      <c r="C7" s="48"/>
      <c r="D7" s="68"/>
      <c r="E7" s="68"/>
      <c r="F7" s="198" t="s">
        <v>20</v>
      </c>
      <c r="G7" s="199" t="s">
        <v>160</v>
      </c>
      <c r="H7" s="75"/>
      <c r="I7" s="77"/>
      <c r="K7" s="1"/>
      <c r="L7" s="1"/>
      <c r="M7" s="1"/>
      <c r="O7"/>
      <c r="P7"/>
      <c r="Q7"/>
    </row>
    <row r="8" spans="1:17" ht="18" x14ac:dyDescent="0.4">
      <c r="A8" s="1"/>
      <c r="B8" s="1"/>
      <c r="C8" s="48"/>
      <c r="D8" s="69"/>
      <c r="E8" s="71" t="s">
        <v>74</v>
      </c>
      <c r="F8" s="200" t="s">
        <v>85</v>
      </c>
      <c r="G8" s="200" t="s">
        <v>161</v>
      </c>
      <c r="H8" s="75"/>
      <c r="I8" s="77"/>
      <c r="K8" s="1"/>
      <c r="L8" s="1"/>
      <c r="M8" s="1"/>
      <c r="O8"/>
      <c r="P8"/>
      <c r="Q8"/>
    </row>
    <row r="9" spans="1:17" x14ac:dyDescent="0.25">
      <c r="A9" s="1"/>
      <c r="B9" s="1"/>
      <c r="C9" s="48"/>
      <c r="D9" s="3"/>
      <c r="E9" s="3"/>
      <c r="F9" s="25"/>
      <c r="G9" s="25"/>
      <c r="H9" s="75"/>
      <c r="I9" s="77"/>
      <c r="K9" s="1"/>
      <c r="L9" s="1"/>
      <c r="M9" s="1"/>
      <c r="O9"/>
      <c r="P9"/>
      <c r="Q9"/>
    </row>
    <row r="10" spans="1:17" x14ac:dyDescent="0.25">
      <c r="A10" s="1"/>
      <c r="B10" s="1"/>
      <c r="C10" s="48"/>
      <c r="D10" s="70" t="s">
        <v>98</v>
      </c>
      <c r="E10" s="3"/>
      <c r="F10" s="25"/>
      <c r="G10" s="25"/>
      <c r="H10" s="75"/>
      <c r="I10" s="77"/>
      <c r="K10" s="1"/>
      <c r="L10" s="1"/>
      <c r="M10" s="1"/>
      <c r="O10"/>
      <c r="P10"/>
      <c r="Q10"/>
    </row>
    <row r="11" spans="1:17" x14ac:dyDescent="0.25">
      <c r="A11" s="1">
        <v>1</v>
      </c>
      <c r="B11" s="1"/>
      <c r="C11" s="48"/>
      <c r="D11" s="70"/>
      <c r="E11" s="3" t="s">
        <v>75</v>
      </c>
      <c r="F11" s="25">
        <f>'[4]Water + Joint'!F4</f>
        <v>0</v>
      </c>
      <c r="G11" s="25">
        <f>'[4]Water + Joint'!IJ4</f>
        <v>0</v>
      </c>
      <c r="H11" s="75"/>
      <c r="I11" s="77"/>
      <c r="K11" s="1"/>
      <c r="L11" s="1"/>
      <c r="M11" s="1"/>
      <c r="O11"/>
      <c r="P11"/>
      <c r="Q11"/>
    </row>
    <row r="12" spans="1:17" x14ac:dyDescent="0.25">
      <c r="A12" s="1">
        <v>2</v>
      </c>
      <c r="B12" s="1"/>
      <c r="C12" s="48"/>
      <c r="D12" s="3"/>
      <c r="E12" s="3" t="s">
        <v>99</v>
      </c>
      <c r="F12" s="25">
        <f>'[4]Water + Joint'!F5</f>
        <v>0</v>
      </c>
      <c r="G12" s="25">
        <f>'[4]Water + Joint'!J5</f>
        <v>0</v>
      </c>
      <c r="H12" s="75"/>
      <c r="I12" s="77"/>
      <c r="K12" s="1"/>
      <c r="L12" s="1"/>
      <c r="M12" s="1"/>
      <c r="O12"/>
      <c r="P12"/>
      <c r="Q12"/>
    </row>
    <row r="13" spans="1:17" x14ac:dyDescent="0.25">
      <c r="A13" s="1">
        <v>3</v>
      </c>
      <c r="B13" s="1"/>
      <c r="C13" s="48"/>
      <c r="D13" s="3"/>
      <c r="E13" s="3" t="s">
        <v>132</v>
      </c>
      <c r="F13" s="25">
        <f>'[4]Water + Joint'!F6</f>
        <v>259378.88</v>
      </c>
      <c r="G13" s="25">
        <f>'[4]Water + Joint'!J6</f>
        <v>14447.77</v>
      </c>
      <c r="H13" s="75"/>
      <c r="I13" s="77"/>
      <c r="K13" s="1"/>
      <c r="L13" s="1"/>
      <c r="M13" s="1"/>
      <c r="O13"/>
      <c r="P13"/>
      <c r="Q13"/>
    </row>
    <row r="14" spans="1:17" x14ac:dyDescent="0.25">
      <c r="A14" s="1">
        <v>4</v>
      </c>
      <c r="B14" s="1"/>
      <c r="C14" s="48"/>
      <c r="D14" s="3"/>
      <c r="E14" s="3" t="s">
        <v>133</v>
      </c>
      <c r="F14" s="25">
        <f>'[4]Water + Joint'!F7</f>
        <v>0</v>
      </c>
      <c r="G14" s="25">
        <f>'[4]Water + Joint'!J7</f>
        <v>0</v>
      </c>
      <c r="H14" s="75"/>
      <c r="I14" s="77"/>
      <c r="K14" s="1"/>
      <c r="L14" s="1"/>
      <c r="M14" s="1"/>
      <c r="O14"/>
      <c r="P14"/>
      <c r="Q14"/>
    </row>
    <row r="15" spans="1:17" x14ac:dyDescent="0.25">
      <c r="A15" s="1">
        <v>5</v>
      </c>
      <c r="B15" s="1"/>
      <c r="C15" s="48"/>
      <c r="D15" s="3"/>
      <c r="E15" s="3" t="s">
        <v>134</v>
      </c>
      <c r="F15" s="25">
        <f>'[4]Water + Joint'!F8</f>
        <v>0</v>
      </c>
      <c r="G15" s="25">
        <f>'[4]Water + Joint'!J8</f>
        <v>0</v>
      </c>
      <c r="H15" s="75"/>
      <c r="I15" s="77"/>
      <c r="K15" s="1"/>
      <c r="L15" s="1"/>
      <c r="M15" s="1"/>
      <c r="O15"/>
      <c r="P15"/>
      <c r="Q15"/>
    </row>
    <row r="16" spans="1:17" x14ac:dyDescent="0.25">
      <c r="A16" s="1">
        <v>6</v>
      </c>
      <c r="B16" s="1"/>
      <c r="C16" s="48"/>
      <c r="D16" s="3"/>
      <c r="E16" s="3" t="s">
        <v>100</v>
      </c>
      <c r="F16" s="25">
        <f>'[4]Water + Joint'!F9</f>
        <v>0</v>
      </c>
      <c r="G16" s="25">
        <f>'[4]Water + Joint'!J9</f>
        <v>0</v>
      </c>
      <c r="H16" s="75"/>
      <c r="I16" s="77"/>
      <c r="K16" s="1"/>
      <c r="L16" s="1"/>
      <c r="M16" s="1"/>
      <c r="O16"/>
      <c r="P16"/>
      <c r="Q16"/>
    </row>
    <row r="17" spans="1:17" x14ac:dyDescent="0.25">
      <c r="A17" s="1">
        <v>7</v>
      </c>
      <c r="B17" s="1"/>
      <c r="C17" s="48"/>
      <c r="D17" s="3"/>
      <c r="E17" s="3" t="s">
        <v>135</v>
      </c>
      <c r="F17" s="25">
        <f>'[4]Water + Joint'!F10</f>
        <v>0</v>
      </c>
      <c r="G17" s="25">
        <f>'[4]Water + Joint'!J10</f>
        <v>0</v>
      </c>
      <c r="H17" s="75"/>
      <c r="I17" s="77"/>
      <c r="K17" s="1"/>
      <c r="L17" s="1"/>
      <c r="M17" s="1"/>
      <c r="O17"/>
      <c r="P17"/>
      <c r="Q17"/>
    </row>
    <row r="18" spans="1:17" x14ac:dyDescent="0.25">
      <c r="A18" s="1"/>
      <c r="B18" s="1"/>
      <c r="C18" s="48"/>
      <c r="D18" s="69"/>
      <c r="E18" s="69"/>
      <c r="F18" s="201"/>
      <c r="G18" s="201"/>
      <c r="H18" s="75"/>
      <c r="I18" s="77"/>
      <c r="K18" s="1"/>
      <c r="L18" s="1"/>
      <c r="M18" s="1"/>
      <c r="O18"/>
      <c r="P18"/>
      <c r="Q18"/>
    </row>
    <row r="19" spans="1:17" x14ac:dyDescent="0.25">
      <c r="A19" s="1"/>
      <c r="B19" s="1"/>
      <c r="C19" s="48"/>
      <c r="D19" s="70" t="s">
        <v>70</v>
      </c>
      <c r="E19" s="3"/>
      <c r="G19" s="84"/>
      <c r="H19" s="75"/>
      <c r="I19" s="77"/>
      <c r="K19" s="1"/>
      <c r="L19" s="1"/>
      <c r="M19" s="1"/>
      <c r="O19"/>
      <c r="P19"/>
      <c r="Q19"/>
    </row>
    <row r="20" spans="1:17" x14ac:dyDescent="0.25">
      <c r="A20" s="1">
        <v>8</v>
      </c>
      <c r="B20" s="1"/>
      <c r="C20" s="48"/>
      <c r="D20" s="70"/>
      <c r="E20" s="3" t="s">
        <v>75</v>
      </c>
      <c r="F20" s="25">
        <f>'[4]Water + Joint'!F13</f>
        <v>40654.6</v>
      </c>
      <c r="G20" s="25">
        <f>'[4]Water + Joint'!J13</f>
        <v>1231.9599999999998</v>
      </c>
      <c r="H20" s="75"/>
      <c r="I20" s="77"/>
      <c r="K20" s="1"/>
      <c r="L20" s="1"/>
      <c r="M20" s="1"/>
      <c r="O20"/>
      <c r="P20"/>
      <c r="Q20"/>
    </row>
    <row r="21" spans="1:17" x14ac:dyDescent="0.25">
      <c r="A21" s="1">
        <v>9</v>
      </c>
      <c r="B21" s="1"/>
      <c r="C21" s="48"/>
      <c r="D21" s="3"/>
      <c r="E21" s="3" t="s">
        <v>79</v>
      </c>
      <c r="F21" s="25">
        <f>'[4]Water + Joint'!F14</f>
        <v>127601.86</v>
      </c>
      <c r="G21" s="25">
        <f>'[4]Water + Joint'!J14</f>
        <v>8461.51</v>
      </c>
      <c r="H21" s="75"/>
      <c r="I21" s="77"/>
      <c r="K21" s="1"/>
      <c r="L21" s="1"/>
      <c r="M21" s="1"/>
      <c r="O21"/>
      <c r="P21"/>
      <c r="Q21"/>
    </row>
    <row r="22" spans="1:17" x14ac:dyDescent="0.25">
      <c r="A22" s="1">
        <v>10</v>
      </c>
      <c r="B22" s="1"/>
      <c r="C22" s="48"/>
      <c r="D22" s="3"/>
      <c r="E22" s="3" t="s">
        <v>136</v>
      </c>
      <c r="F22" s="25">
        <f>'[4]Water + Joint'!F15</f>
        <v>48409.39</v>
      </c>
      <c r="G22" s="25">
        <f>'[4]Water + Joint'!J15</f>
        <v>1953.0600000000002</v>
      </c>
      <c r="H22" s="75"/>
      <c r="I22" s="77"/>
      <c r="K22" s="1"/>
      <c r="L22" s="1"/>
      <c r="M22" s="1"/>
      <c r="O22"/>
      <c r="P22"/>
      <c r="Q22"/>
    </row>
    <row r="23" spans="1:17" x14ac:dyDescent="0.25">
      <c r="A23" s="1"/>
      <c r="B23" s="1"/>
      <c r="C23" s="48"/>
      <c r="D23" s="69"/>
      <c r="E23" s="69"/>
      <c r="G23" s="84"/>
      <c r="H23" s="75"/>
      <c r="I23" s="77"/>
      <c r="K23" s="1"/>
      <c r="L23" s="1"/>
      <c r="M23" s="1"/>
      <c r="O23"/>
      <c r="P23"/>
      <c r="Q23"/>
    </row>
    <row r="24" spans="1:17" x14ac:dyDescent="0.25">
      <c r="A24" s="1"/>
      <c r="B24" s="1"/>
      <c r="C24" s="48"/>
      <c r="D24" s="70" t="s">
        <v>73</v>
      </c>
      <c r="E24" s="3"/>
      <c r="G24" s="84"/>
      <c r="H24" s="75"/>
      <c r="I24" s="77"/>
      <c r="K24" s="1"/>
      <c r="L24" s="1"/>
      <c r="M24" s="1"/>
      <c r="O24"/>
      <c r="P24"/>
      <c r="Q24"/>
    </row>
    <row r="25" spans="1:17" x14ac:dyDescent="0.25">
      <c r="A25" s="1">
        <v>11</v>
      </c>
      <c r="B25" s="1"/>
      <c r="C25" s="48"/>
      <c r="D25" s="70"/>
      <c r="E25" s="1" t="s">
        <v>96</v>
      </c>
      <c r="F25" s="25">
        <f>'[4]Water + Joint'!F18</f>
        <v>13747793.23</v>
      </c>
      <c r="G25" s="25">
        <f>'[4]Water + Joint'!J18</f>
        <v>416565.21999999991</v>
      </c>
      <c r="H25" s="75"/>
      <c r="I25" s="77"/>
      <c r="K25" s="1"/>
      <c r="L25" s="1"/>
      <c r="M25" s="1"/>
      <c r="O25"/>
      <c r="P25"/>
      <c r="Q25"/>
    </row>
    <row r="26" spans="1:17" x14ac:dyDescent="0.25">
      <c r="A26" s="1">
        <v>12</v>
      </c>
      <c r="B26" s="1"/>
      <c r="C26" s="48"/>
      <c r="D26" s="70"/>
      <c r="E26" s="1" t="s">
        <v>97</v>
      </c>
      <c r="F26" s="25">
        <f>'[4]Water + Joint'!F19</f>
        <v>819119.37000000011</v>
      </c>
      <c r="G26" s="25">
        <f>'[4]Water + Joint'!J19</f>
        <v>37806.17</v>
      </c>
      <c r="H26" s="75"/>
      <c r="I26" s="77"/>
      <c r="K26" s="1"/>
      <c r="L26" s="1"/>
      <c r="M26" s="1"/>
      <c r="O26"/>
      <c r="P26"/>
      <c r="Q26"/>
    </row>
    <row r="27" spans="1:17" x14ac:dyDescent="0.25">
      <c r="A27" s="1"/>
      <c r="B27" s="1"/>
      <c r="C27" s="48"/>
      <c r="D27" s="70"/>
      <c r="G27" s="84"/>
      <c r="H27" s="75"/>
      <c r="I27" s="77"/>
      <c r="K27" s="1"/>
      <c r="L27" s="1"/>
      <c r="M27" s="1"/>
      <c r="O27"/>
      <c r="P27"/>
      <c r="Q27"/>
    </row>
    <row r="28" spans="1:17" x14ac:dyDescent="0.25">
      <c r="A28" s="1"/>
      <c r="B28" s="1"/>
      <c r="C28" s="48"/>
      <c r="D28" s="70" t="s">
        <v>71</v>
      </c>
      <c r="E28" s="3"/>
      <c r="G28" s="84"/>
      <c r="H28" s="75"/>
      <c r="I28" s="77"/>
      <c r="K28" s="1"/>
      <c r="L28" s="1"/>
      <c r="M28" s="1"/>
      <c r="O28"/>
      <c r="P28"/>
      <c r="Q28"/>
    </row>
    <row r="29" spans="1:17" x14ac:dyDescent="0.25">
      <c r="A29" s="1">
        <v>13</v>
      </c>
      <c r="B29" s="1"/>
      <c r="C29" s="48"/>
      <c r="D29" s="70"/>
      <c r="E29" s="3" t="s">
        <v>75</v>
      </c>
      <c r="F29" s="25">
        <f>'[4]Water + Joint'!F22</f>
        <v>66278.69</v>
      </c>
      <c r="G29" s="25">
        <f>'[4]Water + Joint'!J22</f>
        <v>2008.44</v>
      </c>
      <c r="H29" s="75"/>
      <c r="I29" s="77"/>
      <c r="K29" s="1"/>
      <c r="L29" s="1"/>
      <c r="M29" s="1"/>
      <c r="O29"/>
      <c r="P29"/>
      <c r="Q29"/>
    </row>
    <row r="30" spans="1:17" x14ac:dyDescent="0.25">
      <c r="A30" s="1">
        <v>14</v>
      </c>
      <c r="B30" s="1"/>
      <c r="C30" s="48"/>
      <c r="D30" s="70"/>
      <c r="E30" s="3" t="s">
        <v>83</v>
      </c>
      <c r="F30" s="25">
        <f>'[4]Water + Joint'!F23</f>
        <v>1567689.23</v>
      </c>
      <c r="G30" s="25">
        <f>'[4]Water + Joint'!J23</f>
        <v>126788.32999999999</v>
      </c>
      <c r="H30" s="75"/>
      <c r="I30" s="77"/>
      <c r="K30" s="1"/>
      <c r="L30" s="1"/>
      <c r="M30" s="1"/>
      <c r="O30"/>
      <c r="P30"/>
      <c r="Q30"/>
    </row>
    <row r="31" spans="1:17" x14ac:dyDescent="0.25">
      <c r="A31" s="1">
        <v>15</v>
      </c>
      <c r="B31" s="1"/>
      <c r="C31" s="48"/>
      <c r="D31" s="70"/>
      <c r="E31" s="3" t="s">
        <v>142</v>
      </c>
      <c r="F31" s="25">
        <f>'[4]Water + Joint'!F24</f>
        <v>0</v>
      </c>
      <c r="G31" s="25">
        <f>'[4]Water + Joint'!J24</f>
        <v>0</v>
      </c>
      <c r="H31" s="75"/>
      <c r="I31" s="77"/>
      <c r="K31" s="1"/>
      <c r="L31" s="1"/>
      <c r="M31" s="1"/>
      <c r="O31"/>
      <c r="P31"/>
      <c r="Q31"/>
    </row>
    <row r="32" spans="1:17" x14ac:dyDescent="0.25">
      <c r="A32" s="1">
        <v>16</v>
      </c>
      <c r="B32" s="1"/>
      <c r="C32" s="48"/>
      <c r="D32" s="70"/>
      <c r="E32" s="3" t="s">
        <v>143</v>
      </c>
      <c r="F32" s="25">
        <f>'[4]Water + Joint'!F25</f>
        <v>7779859.1700000009</v>
      </c>
      <c r="G32" s="25">
        <f>'[4]Water + Joint'!J25</f>
        <v>105693.79000000001</v>
      </c>
      <c r="H32" s="75"/>
      <c r="I32" s="77"/>
      <c r="K32" s="1"/>
      <c r="L32" s="1"/>
      <c r="M32" s="1"/>
      <c r="O32"/>
      <c r="P32"/>
      <c r="Q32"/>
    </row>
    <row r="33" spans="1:17" x14ac:dyDescent="0.25">
      <c r="A33" s="1">
        <v>17</v>
      </c>
      <c r="B33" s="1"/>
      <c r="C33" s="48"/>
      <c r="D33" s="70"/>
      <c r="E33" s="3" t="s">
        <v>144</v>
      </c>
      <c r="F33" s="25">
        <f>'[4]Water + Joint'!F26</f>
        <v>679260.61</v>
      </c>
      <c r="G33" s="25">
        <f>'[4]Water + Joint'!J26</f>
        <v>40423.699999999997</v>
      </c>
      <c r="H33" s="75"/>
      <c r="I33" s="77"/>
      <c r="K33" s="1"/>
      <c r="L33" s="1"/>
      <c r="M33" s="1"/>
      <c r="O33"/>
      <c r="P33"/>
      <c r="Q33"/>
    </row>
    <row r="34" spans="1:17" x14ac:dyDescent="0.25">
      <c r="A34" s="1">
        <v>18</v>
      </c>
      <c r="B34" s="1"/>
      <c r="C34" s="48"/>
      <c r="D34" s="70"/>
      <c r="E34" s="3" t="s">
        <v>137</v>
      </c>
      <c r="F34" s="25">
        <f>'[4]Water + Joint'!F27</f>
        <v>0</v>
      </c>
      <c r="G34" s="25">
        <f>'[4]Water + Joint'!J27</f>
        <v>0</v>
      </c>
      <c r="H34" s="75"/>
      <c r="I34" s="77"/>
      <c r="K34" s="1"/>
      <c r="L34" s="1"/>
      <c r="M34" s="1"/>
      <c r="O34"/>
      <c r="P34"/>
      <c r="Q34"/>
    </row>
    <row r="35" spans="1:17" x14ac:dyDescent="0.25">
      <c r="A35" s="1">
        <v>19</v>
      </c>
      <c r="B35" s="1"/>
      <c r="C35" s="48"/>
      <c r="D35" s="70"/>
      <c r="E35" s="3" t="s">
        <v>82</v>
      </c>
      <c r="F35" s="25">
        <f>'[4]Water + Joint'!F28</f>
        <v>13270</v>
      </c>
      <c r="G35" s="25">
        <f>'[4]Water + Joint'!J28</f>
        <v>0</v>
      </c>
      <c r="H35" s="75"/>
      <c r="I35" s="77"/>
      <c r="K35" s="1"/>
      <c r="L35" s="1"/>
      <c r="M35" s="1"/>
      <c r="O35"/>
      <c r="P35"/>
      <c r="Q35"/>
    </row>
    <row r="36" spans="1:17" x14ac:dyDescent="0.25">
      <c r="A36" s="1">
        <v>20</v>
      </c>
      <c r="B36" s="1"/>
      <c r="C36" s="48"/>
      <c r="D36" s="70"/>
      <c r="E36" s="3" t="s">
        <v>138</v>
      </c>
      <c r="F36" s="25">
        <f>'[4]Water + Joint'!F29</f>
        <v>988798.08986457111</v>
      </c>
      <c r="G36" s="25">
        <f>'[4]Water + Joint'!J29</f>
        <v>92253.409397480602</v>
      </c>
      <c r="H36" s="75"/>
      <c r="I36" s="77"/>
      <c r="K36" s="1"/>
      <c r="L36" s="1"/>
      <c r="M36" s="1"/>
      <c r="O36"/>
      <c r="P36"/>
      <c r="Q36"/>
    </row>
    <row r="37" spans="1:17" x14ac:dyDescent="0.25">
      <c r="A37" s="1">
        <v>21</v>
      </c>
      <c r="B37" s="1"/>
      <c r="C37" s="48"/>
      <c r="D37" s="70"/>
      <c r="E37" s="3" t="s">
        <v>81</v>
      </c>
      <c r="F37" s="25">
        <f>'[4]Water + Joint'!F30</f>
        <v>0</v>
      </c>
      <c r="G37" s="25">
        <f>'[4]Water + Joint'!J30</f>
        <v>0</v>
      </c>
      <c r="H37" s="75"/>
      <c r="I37" s="77"/>
      <c r="K37" s="1"/>
      <c r="L37" s="1"/>
      <c r="M37" s="1"/>
      <c r="O37"/>
      <c r="P37"/>
      <c r="Q37"/>
    </row>
    <row r="38" spans="1:17" x14ac:dyDescent="0.25">
      <c r="A38" s="1">
        <v>22</v>
      </c>
      <c r="B38" s="1"/>
      <c r="C38" s="48"/>
      <c r="D38" s="70"/>
      <c r="E38" s="3" t="s">
        <v>80</v>
      </c>
      <c r="F38" s="25">
        <f>'[4]Water + Joint'!F31</f>
        <v>17082.633159359961</v>
      </c>
      <c r="G38" s="25">
        <f>'[4]Water + Joint'!J31</f>
        <v>566.31137243805006</v>
      </c>
      <c r="H38" s="75"/>
      <c r="I38" s="77"/>
      <c r="K38" s="1"/>
      <c r="L38" s="1"/>
      <c r="M38" s="1"/>
      <c r="O38"/>
      <c r="P38"/>
      <c r="Q38"/>
    </row>
    <row r="39" spans="1:17" x14ac:dyDescent="0.25">
      <c r="A39" s="1"/>
      <c r="B39" s="1"/>
      <c r="C39" s="48"/>
      <c r="D39" s="70"/>
      <c r="E39" s="3"/>
      <c r="F39" s="25"/>
      <c r="G39" s="25"/>
      <c r="H39" s="75"/>
      <c r="I39" s="77"/>
      <c r="K39" s="1"/>
      <c r="L39" s="1"/>
      <c r="M39" s="1"/>
      <c r="O39"/>
      <c r="P39"/>
      <c r="Q39"/>
    </row>
    <row r="40" spans="1:17" x14ac:dyDescent="0.25">
      <c r="A40" s="1"/>
      <c r="B40" s="1"/>
      <c r="C40" s="48"/>
      <c r="D40" s="70" t="s">
        <v>69</v>
      </c>
      <c r="G40" s="84"/>
      <c r="H40" s="75"/>
      <c r="I40" s="77"/>
      <c r="K40" s="1"/>
      <c r="L40" s="1"/>
      <c r="M40" s="1"/>
      <c r="O40"/>
      <c r="P40"/>
      <c r="Q40"/>
    </row>
    <row r="41" spans="1:17" x14ac:dyDescent="0.25">
      <c r="A41" s="1">
        <v>23</v>
      </c>
      <c r="B41" s="1"/>
      <c r="C41" s="48"/>
      <c r="D41" s="70"/>
      <c r="E41" s="3" t="s">
        <v>75</v>
      </c>
      <c r="F41" s="25">
        <f>'[4]Water + Joint'!F34</f>
        <v>326460.06676044653</v>
      </c>
      <c r="G41" s="25">
        <f>'[4]Water + Joint'!J34</f>
        <v>11966.607216762497</v>
      </c>
      <c r="H41" s="75"/>
      <c r="I41" s="77"/>
      <c r="K41" s="1"/>
      <c r="L41" s="1"/>
      <c r="M41" s="1"/>
      <c r="O41"/>
      <c r="P41"/>
      <c r="Q41"/>
    </row>
    <row r="42" spans="1:17" x14ac:dyDescent="0.25">
      <c r="A42" s="1">
        <v>24</v>
      </c>
      <c r="B42" s="1"/>
      <c r="C42" s="48"/>
      <c r="D42" s="3"/>
      <c r="E42" s="3" t="s">
        <v>76</v>
      </c>
      <c r="F42" s="25">
        <f>'[4]Water + Joint'!F35</f>
        <v>1188.6802646874862</v>
      </c>
      <c r="G42" s="25">
        <f>'[4]Water + Joint'!J35</f>
        <v>183.82538631746789</v>
      </c>
      <c r="H42" s="75"/>
      <c r="I42" s="77"/>
      <c r="K42" s="1"/>
      <c r="L42" s="1"/>
      <c r="M42" s="1"/>
      <c r="O42"/>
      <c r="P42"/>
      <c r="Q42"/>
    </row>
    <row r="43" spans="1:17" x14ac:dyDescent="0.25">
      <c r="A43" s="1">
        <v>25</v>
      </c>
      <c r="B43" s="1"/>
      <c r="C43" s="48"/>
      <c r="D43" s="3"/>
      <c r="E43" s="1" t="s">
        <v>72</v>
      </c>
      <c r="F43" s="25">
        <f>'[4]Water + Joint'!F36</f>
        <v>27450.737052180011</v>
      </c>
      <c r="G43" s="25">
        <f>'[4]Water + Joint'!J36</f>
        <v>9045.5815726165602</v>
      </c>
      <c r="H43" s="75"/>
      <c r="I43" s="77"/>
      <c r="K43" s="1"/>
      <c r="L43" s="1"/>
      <c r="M43" s="1"/>
      <c r="O43"/>
      <c r="P43"/>
      <c r="Q43"/>
    </row>
    <row r="44" spans="1:17" x14ac:dyDescent="0.25">
      <c r="A44" s="1">
        <v>26</v>
      </c>
      <c r="B44" s="1"/>
      <c r="C44" s="48"/>
      <c r="D44" s="3"/>
      <c r="E44" s="1" t="s">
        <v>139</v>
      </c>
      <c r="F44" s="25">
        <f>'[4]Water + Joint'!F37</f>
        <v>0</v>
      </c>
      <c r="G44" s="25">
        <f>'[4]Water + Joint'!J37</f>
        <v>0</v>
      </c>
      <c r="H44" s="75"/>
      <c r="I44" s="77"/>
      <c r="K44" s="1"/>
      <c r="L44" s="1"/>
      <c r="M44" s="1"/>
      <c r="O44"/>
      <c r="P44"/>
      <c r="Q44"/>
    </row>
    <row r="45" spans="1:17" x14ac:dyDescent="0.25">
      <c r="A45" s="1">
        <v>27</v>
      </c>
      <c r="B45" s="1"/>
      <c r="C45" s="48"/>
      <c r="D45" s="3"/>
      <c r="E45" s="3" t="s">
        <v>78</v>
      </c>
      <c r="F45" s="25">
        <f>'[4]Water + Joint'!F38</f>
        <v>29749.266619975682</v>
      </c>
      <c r="G45" s="25">
        <f>'[4]Water + Joint'!J38</f>
        <v>3860.5048376094769</v>
      </c>
      <c r="H45" s="75"/>
      <c r="I45" s="77"/>
      <c r="K45" s="1"/>
      <c r="L45" s="1"/>
      <c r="M45" s="1"/>
      <c r="O45"/>
      <c r="P45"/>
      <c r="Q45"/>
    </row>
    <row r="46" spans="1:17" x14ac:dyDescent="0.25">
      <c r="A46" s="1">
        <v>28</v>
      </c>
      <c r="B46" s="1"/>
      <c r="C46" s="48"/>
      <c r="D46" s="3"/>
      <c r="E46" s="3" t="s">
        <v>140</v>
      </c>
      <c r="F46" s="25">
        <f>'[4]Water + Joint'!F39</f>
        <v>0</v>
      </c>
      <c r="G46" s="25">
        <f>'[4]Water + Joint'!J39</f>
        <v>0</v>
      </c>
      <c r="H46" s="75"/>
      <c r="I46" s="77"/>
      <c r="K46" s="1"/>
      <c r="L46" s="1"/>
      <c r="M46" s="1"/>
      <c r="O46"/>
      <c r="P46"/>
      <c r="Q46"/>
    </row>
    <row r="47" spans="1:17" x14ac:dyDescent="0.25">
      <c r="A47" s="1">
        <v>29</v>
      </c>
      <c r="B47" s="1"/>
      <c r="C47" s="48"/>
      <c r="D47" s="3"/>
      <c r="E47" s="3" t="s">
        <v>77</v>
      </c>
      <c r="F47" s="25">
        <f>'[4]Water + Joint'!F40</f>
        <v>179867.14505019563</v>
      </c>
      <c r="G47" s="25">
        <f>'[4]Water + Joint'!J40</f>
        <v>23428.072003341196</v>
      </c>
      <c r="H47" s="75"/>
      <c r="I47" s="77"/>
      <c r="K47" s="1"/>
      <c r="L47" s="1"/>
      <c r="M47" s="1"/>
      <c r="O47"/>
      <c r="P47"/>
      <c r="Q47"/>
    </row>
    <row r="48" spans="1:17" x14ac:dyDescent="0.25">
      <c r="A48" s="1">
        <v>30</v>
      </c>
      <c r="B48" s="1"/>
      <c r="C48" s="48"/>
      <c r="D48" s="3"/>
      <c r="E48" s="3" t="s">
        <v>141</v>
      </c>
      <c r="F48" s="334">
        <f>'[4]Water + Joint'!F41</f>
        <v>137992.99196855354</v>
      </c>
      <c r="G48" s="334">
        <f>'[4]Water + Joint'!J41</f>
        <v>9608.1646518494708</v>
      </c>
      <c r="H48" s="75"/>
      <c r="I48" s="77"/>
      <c r="K48" s="1"/>
      <c r="L48" s="1"/>
      <c r="M48" s="1"/>
      <c r="O48"/>
      <c r="P48"/>
      <c r="Q48"/>
    </row>
    <row r="49" spans="1:17" x14ac:dyDescent="0.25">
      <c r="A49" s="1"/>
      <c r="B49" s="1"/>
      <c r="C49" s="48"/>
      <c r="D49" s="3"/>
      <c r="E49" s="3"/>
      <c r="F49" s="25"/>
      <c r="G49" s="25"/>
      <c r="H49" s="75"/>
      <c r="I49" s="77"/>
      <c r="K49" s="1"/>
      <c r="L49" s="1"/>
      <c r="M49" s="1"/>
      <c r="O49"/>
      <c r="P49"/>
      <c r="Q49"/>
    </row>
    <row r="50" spans="1:17" x14ac:dyDescent="0.25">
      <c r="A50" s="1"/>
      <c r="B50" s="1"/>
      <c r="C50" s="48"/>
      <c r="D50" s="3" t="s">
        <v>191</v>
      </c>
      <c r="E50" s="3"/>
      <c r="F50" s="25">
        <f>SUM(F11:F48)</f>
        <v>26857904.640739974</v>
      </c>
      <c r="G50" s="25">
        <f>SUM(G11:G48)</f>
        <v>906292.42643841519</v>
      </c>
      <c r="H50" s="75"/>
      <c r="I50" s="77"/>
      <c r="K50" s="1"/>
      <c r="L50" s="1"/>
      <c r="M50" s="1"/>
      <c r="O50"/>
      <c r="P50"/>
      <c r="Q50"/>
    </row>
    <row r="51" spans="1:17" x14ac:dyDescent="0.25">
      <c r="A51" s="1"/>
      <c r="B51" s="1"/>
      <c r="C51" s="48"/>
      <c r="D51" s="3"/>
      <c r="E51" s="3"/>
      <c r="F51" s="25"/>
      <c r="G51" s="25"/>
      <c r="H51" s="75"/>
      <c r="I51" s="77"/>
      <c r="K51" s="1"/>
      <c r="L51" s="1"/>
      <c r="M51" s="1"/>
      <c r="O51"/>
      <c r="P51"/>
      <c r="Q51"/>
    </row>
    <row r="52" spans="1:17" x14ac:dyDescent="0.25">
      <c r="A52" s="1"/>
      <c r="B52" s="1"/>
      <c r="C52" s="48"/>
      <c r="D52" s="3" t="s">
        <v>192</v>
      </c>
      <c r="E52" s="3"/>
      <c r="F52" s="334">
        <v>0</v>
      </c>
      <c r="G52" s="334">
        <v>0</v>
      </c>
      <c r="H52" s="75"/>
      <c r="I52" s="77"/>
      <c r="K52" s="1"/>
      <c r="L52" s="1"/>
      <c r="M52" s="1"/>
      <c r="O52"/>
      <c r="P52"/>
      <c r="Q52"/>
    </row>
    <row r="53" spans="1:17" x14ac:dyDescent="0.25">
      <c r="A53" s="1"/>
      <c r="B53" s="1"/>
      <c r="C53" s="48"/>
      <c r="D53" s="3"/>
      <c r="E53" s="3"/>
      <c r="G53" s="25"/>
      <c r="H53" s="75"/>
      <c r="I53" s="77"/>
      <c r="J53" s="19"/>
      <c r="K53" s="1"/>
      <c r="L53" s="1"/>
      <c r="M53" s="1"/>
      <c r="O53"/>
      <c r="P53"/>
      <c r="Q53"/>
    </row>
    <row r="54" spans="1:17" x14ac:dyDescent="0.25">
      <c r="A54" s="1"/>
      <c r="B54" s="1"/>
      <c r="C54" s="66"/>
      <c r="D54" s="151" t="s">
        <v>37</v>
      </c>
      <c r="E54" s="152"/>
      <c r="F54" s="203">
        <f>SUM(F50:F52)</f>
        <v>26857904.640739974</v>
      </c>
      <c r="G54" s="203">
        <f>SUM(G50:G52)</f>
        <v>906292.42643841519</v>
      </c>
      <c r="H54" s="76"/>
      <c r="I54" s="78"/>
      <c r="K54" s="1"/>
      <c r="L54" s="1"/>
      <c r="M54" s="1"/>
      <c r="O54"/>
      <c r="P54"/>
      <c r="Q54"/>
    </row>
    <row r="55" spans="1:17" x14ac:dyDescent="0.25">
      <c r="A55" s="1"/>
      <c r="B55" s="1"/>
      <c r="C55" s="1"/>
      <c r="D55" s="3"/>
      <c r="E55" s="3"/>
      <c r="G55" s="25"/>
      <c r="H55" s="3"/>
      <c r="I55" s="107"/>
      <c r="J55" s="3"/>
      <c r="K55" s="3"/>
      <c r="L55" s="3"/>
    </row>
    <row r="56" spans="1:17" x14ac:dyDescent="0.25">
      <c r="A56" s="3" t="s">
        <v>84</v>
      </c>
      <c r="B56" s="3"/>
      <c r="C56" s="1"/>
      <c r="D56" s="108"/>
      <c r="F56" s="204"/>
      <c r="G56" s="204"/>
      <c r="I56"/>
      <c r="K56" s="1"/>
      <c r="L56" s="1"/>
      <c r="M56" s="1"/>
      <c r="O56"/>
      <c r="P56"/>
      <c r="Q56"/>
    </row>
    <row r="57" spans="1:17" s="128" customFormat="1" ht="15" x14ac:dyDescent="0.25">
      <c r="F57" s="205"/>
      <c r="G57" s="205"/>
      <c r="I57" s="153"/>
    </row>
    <row r="58" spans="1:17" s="128" customFormat="1" ht="15" x14ac:dyDescent="0.25">
      <c r="E58" s="128" t="s">
        <v>162</v>
      </c>
      <c r="F58" s="205">
        <f>'[4]Water + Joint'!$F$42</f>
        <v>26857904.640739974</v>
      </c>
      <c r="G58" s="205">
        <f>'[4]Water + Joint'!$J$44</f>
        <v>906292.42643841496</v>
      </c>
      <c r="I58" s="153"/>
    </row>
    <row r="59" spans="1:17" s="128" customFormat="1" ht="15" x14ac:dyDescent="0.25">
      <c r="F59" s="205"/>
      <c r="G59" s="205"/>
      <c r="I59" s="153"/>
    </row>
    <row r="60" spans="1:17" s="128" customFormat="1" ht="15" x14ac:dyDescent="0.25">
      <c r="F60" s="205" t="str">
        <f>IF(F54=F58,"OK","Out of Balance")</f>
        <v>OK</v>
      </c>
      <c r="G60" s="205" t="str">
        <f>IF(G54=G58,"OK","Out of Balance")</f>
        <v>OK</v>
      </c>
      <c r="I60" s="153"/>
    </row>
    <row r="61" spans="1:17" s="128" customFormat="1" ht="15" x14ac:dyDescent="0.25">
      <c r="F61" s="205"/>
      <c r="G61" s="205"/>
      <c r="I61" s="153"/>
    </row>
    <row r="62" spans="1:17" s="128" customFormat="1" ht="15" x14ac:dyDescent="0.25">
      <c r="F62" s="205"/>
      <c r="G62" s="205"/>
      <c r="I62" s="153"/>
    </row>
    <row r="63" spans="1:17" s="128" customFormat="1" ht="15" x14ac:dyDescent="0.25">
      <c r="F63" s="205"/>
      <c r="G63" s="205"/>
      <c r="I63" s="153"/>
    </row>
    <row r="64" spans="1:17" s="128" customFormat="1" ht="15" x14ac:dyDescent="0.25">
      <c r="F64" s="205"/>
      <c r="G64" s="205"/>
      <c r="I64" s="153"/>
    </row>
    <row r="65" spans="5:9" s="128" customFormat="1" ht="15" x14ac:dyDescent="0.25">
      <c r="E65" s="154"/>
      <c r="F65" s="205"/>
      <c r="G65" s="207"/>
      <c r="I65" s="153"/>
    </row>
    <row r="66" spans="5:9" s="128" customFormat="1" ht="15" x14ac:dyDescent="0.25">
      <c r="F66" s="205"/>
      <c r="G66" s="205"/>
      <c r="I66" s="153"/>
    </row>
    <row r="67" spans="5:9" s="128" customFormat="1" ht="15" x14ac:dyDescent="0.25">
      <c r="E67" s="154"/>
      <c r="F67" s="205"/>
      <c r="G67" s="206"/>
      <c r="I67" s="153"/>
    </row>
    <row r="68" spans="5:9" s="128" customFormat="1" ht="15" x14ac:dyDescent="0.25">
      <c r="F68" s="205"/>
      <c r="G68" s="205"/>
      <c r="I68" s="153"/>
    </row>
    <row r="69" spans="5:9" s="128" customFormat="1" ht="15" x14ac:dyDescent="0.25">
      <c r="F69" s="205"/>
      <c r="G69" s="205"/>
      <c r="I69" s="153"/>
    </row>
    <row r="70" spans="5:9" s="128" customFormat="1" ht="15" x14ac:dyDescent="0.25">
      <c r="F70" s="205"/>
      <c r="G70" s="205"/>
      <c r="I70" s="153"/>
    </row>
  </sheetData>
  <mergeCells count="3">
    <mergeCell ref="C5:H5"/>
    <mergeCell ref="C4:H4"/>
    <mergeCell ref="C3:H3"/>
  </mergeCells>
  <pageMargins left="0.7" right="0.7" top="0.75" bottom="0.75" header="0.3" footer="0.3"/>
  <pageSetup scale="73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1754-97A0-4BA6-8C8F-D93977D985D4}">
  <sheetPr>
    <pageSetUpPr fitToPage="1"/>
  </sheetPr>
  <dimension ref="A1:Q70"/>
  <sheetViews>
    <sheetView showGridLines="0" topLeftCell="A41" workbookViewId="0">
      <selection activeCell="G48" sqref="G48"/>
    </sheetView>
  </sheetViews>
  <sheetFormatPr defaultRowHeight="15.75" x14ac:dyDescent="0.25"/>
  <cols>
    <col min="1" max="1" width="3.5546875" customWidth="1"/>
    <col min="2" max="2" width="2" customWidth="1"/>
    <col min="3" max="3" width="2.5546875" customWidth="1"/>
    <col min="4" max="4" width="1.77734375" customWidth="1"/>
    <col min="5" max="5" width="27.44140625" style="1" customWidth="1"/>
    <col min="6" max="6" width="11.109375" style="84" bestFit="1" customWidth="1"/>
    <col min="7" max="7" width="10.21875" style="202" bestFit="1" customWidth="1"/>
    <col min="8" max="8" width="2.5546875" customWidth="1"/>
    <col min="9" max="9" width="2.6640625" style="106" customWidth="1"/>
    <col min="10" max="10" width="10.6640625" customWidth="1"/>
    <col min="11" max="11" width="1.88671875" customWidth="1"/>
    <col min="12" max="12" width="2.44140625" customWidth="1"/>
    <col min="14" max="17" width="8.88671875" style="1"/>
  </cols>
  <sheetData>
    <row r="1" spans="1:17" x14ac:dyDescent="0.25">
      <c r="A1" s="1"/>
      <c r="B1" s="1"/>
      <c r="C1" s="1"/>
      <c r="D1" s="3"/>
      <c r="E1" s="3"/>
      <c r="G1" s="84"/>
      <c r="H1" s="72"/>
      <c r="I1" s="18"/>
      <c r="J1" s="3"/>
      <c r="K1" s="3"/>
      <c r="L1" s="3"/>
    </row>
    <row r="2" spans="1:17" x14ac:dyDescent="0.25">
      <c r="A2" s="1"/>
      <c r="B2" s="1"/>
      <c r="C2" s="65"/>
      <c r="D2" s="67"/>
      <c r="E2" s="67"/>
      <c r="F2" s="197"/>
      <c r="G2" s="197"/>
      <c r="H2" s="73"/>
      <c r="I2" s="77"/>
      <c r="K2" s="1"/>
      <c r="L2" s="1"/>
      <c r="M2" s="1"/>
      <c r="O2"/>
      <c r="P2"/>
      <c r="Q2"/>
    </row>
    <row r="3" spans="1:17" ht="18.75" x14ac:dyDescent="0.3">
      <c r="A3" s="1"/>
      <c r="B3" s="1"/>
      <c r="C3" s="439" t="s">
        <v>197</v>
      </c>
      <c r="D3" s="440"/>
      <c r="E3" s="440"/>
      <c r="F3" s="440"/>
      <c r="G3" s="440"/>
      <c r="H3" s="441"/>
      <c r="I3" s="77"/>
      <c r="K3" s="1"/>
      <c r="L3" s="1"/>
      <c r="M3" s="1"/>
      <c r="O3"/>
      <c r="P3"/>
      <c r="Q3"/>
    </row>
    <row r="4" spans="1:17" ht="18.75" x14ac:dyDescent="0.3">
      <c r="A4" s="1"/>
      <c r="B4" s="1"/>
      <c r="C4" s="436" t="s">
        <v>159</v>
      </c>
      <c r="D4" s="437"/>
      <c r="E4" s="437"/>
      <c r="F4" s="437"/>
      <c r="G4" s="437"/>
      <c r="H4" s="438"/>
      <c r="I4" s="77"/>
      <c r="K4" s="1"/>
      <c r="L4" s="1"/>
      <c r="M4" s="1"/>
      <c r="O4"/>
      <c r="P4"/>
      <c r="Q4"/>
    </row>
    <row r="5" spans="1:17" x14ac:dyDescent="0.25">
      <c r="A5" s="1"/>
      <c r="B5" s="1"/>
      <c r="C5" s="433" t="s">
        <v>149</v>
      </c>
      <c r="D5" s="434"/>
      <c r="E5" s="434"/>
      <c r="F5" s="434"/>
      <c r="G5" s="434"/>
      <c r="H5" s="435"/>
      <c r="I5" s="77"/>
      <c r="K5" s="1"/>
      <c r="L5" s="1"/>
      <c r="M5" s="1"/>
      <c r="O5"/>
      <c r="P5"/>
      <c r="Q5"/>
    </row>
    <row r="6" spans="1:17" x14ac:dyDescent="0.25">
      <c r="A6" s="1"/>
      <c r="B6" s="1"/>
      <c r="C6" s="48"/>
      <c r="D6" s="3"/>
      <c r="E6" s="3"/>
      <c r="G6" s="84"/>
      <c r="H6" s="74"/>
      <c r="I6" s="77"/>
      <c r="K6" s="1"/>
      <c r="L6" s="1"/>
      <c r="M6" s="1"/>
      <c r="O6"/>
      <c r="P6"/>
      <c r="Q6"/>
    </row>
    <row r="7" spans="1:17" x14ac:dyDescent="0.25">
      <c r="A7" s="1"/>
      <c r="B7" s="1"/>
      <c r="C7" s="48"/>
      <c r="D7" s="68"/>
      <c r="E7" s="68"/>
      <c r="F7" s="198" t="s">
        <v>20</v>
      </c>
      <c r="G7" s="199" t="s">
        <v>160</v>
      </c>
      <c r="H7" s="75"/>
      <c r="I7" s="77"/>
      <c r="K7" s="1"/>
      <c r="L7" s="1"/>
      <c r="M7" s="1"/>
      <c r="O7"/>
      <c r="P7"/>
      <c r="Q7"/>
    </row>
    <row r="8" spans="1:17" ht="18" x14ac:dyDescent="0.4">
      <c r="A8" s="1"/>
      <c r="B8" s="1"/>
      <c r="C8" s="48"/>
      <c r="D8" s="69"/>
      <c r="E8" s="71" t="s">
        <v>74</v>
      </c>
      <c r="F8" s="200" t="s">
        <v>85</v>
      </c>
      <c r="G8" s="200" t="s">
        <v>161</v>
      </c>
      <c r="H8" s="75"/>
      <c r="I8" s="77"/>
      <c r="K8" s="1"/>
      <c r="L8" s="1"/>
      <c r="M8" s="1"/>
      <c r="O8"/>
      <c r="P8"/>
      <c r="Q8"/>
    </row>
    <row r="9" spans="1:17" x14ac:dyDescent="0.25">
      <c r="A9" s="1"/>
      <c r="B9" s="1"/>
      <c r="C9" s="48"/>
      <c r="D9" s="3"/>
      <c r="E9" s="3"/>
      <c r="F9" s="25"/>
      <c r="G9" s="25"/>
      <c r="H9" s="75"/>
      <c r="I9" s="77"/>
      <c r="K9" s="1"/>
      <c r="L9" s="1"/>
      <c r="M9" s="1"/>
      <c r="O9"/>
      <c r="P9"/>
      <c r="Q9"/>
    </row>
    <row r="10" spans="1:17" x14ac:dyDescent="0.25">
      <c r="A10" s="1"/>
      <c r="B10" s="1"/>
      <c r="C10" s="48"/>
      <c r="D10" s="70" t="s">
        <v>98</v>
      </c>
      <c r="E10" s="3"/>
      <c r="F10" s="25"/>
      <c r="G10" s="25"/>
      <c r="H10" s="75"/>
      <c r="I10" s="77"/>
      <c r="K10" s="1"/>
      <c r="L10" s="1"/>
      <c r="M10" s="1"/>
      <c r="O10"/>
      <c r="P10"/>
      <c r="Q10"/>
    </row>
    <row r="11" spans="1:17" x14ac:dyDescent="0.25">
      <c r="A11" s="1">
        <v>1</v>
      </c>
      <c r="B11" s="1"/>
      <c r="C11" s="48"/>
      <c r="D11" s="70"/>
      <c r="E11" s="3" t="s">
        <v>75</v>
      </c>
      <c r="F11" s="25">
        <f>'[4]Water + Joint'!F4</f>
        <v>0</v>
      </c>
      <c r="G11" s="25">
        <f>'[4]Water + Joint'!IJ4</f>
        <v>0</v>
      </c>
      <c r="H11" s="75"/>
      <c r="I11" s="77"/>
      <c r="K11" s="1"/>
      <c r="L11" s="1"/>
      <c r="M11" s="1"/>
      <c r="O11"/>
      <c r="P11"/>
      <c r="Q11"/>
    </row>
    <row r="12" spans="1:17" x14ac:dyDescent="0.25">
      <c r="A12" s="1">
        <v>2</v>
      </c>
      <c r="B12" s="1"/>
      <c r="C12" s="48"/>
      <c r="D12" s="3"/>
      <c r="E12" s="3" t="s">
        <v>99</v>
      </c>
      <c r="F12" s="25">
        <f>'[4]Water + Joint'!F5</f>
        <v>0</v>
      </c>
      <c r="G12" s="25">
        <f>'[4]Water + Joint'!J5</f>
        <v>0</v>
      </c>
      <c r="H12" s="75"/>
      <c r="I12" s="77"/>
      <c r="K12" s="1"/>
      <c r="L12" s="1"/>
      <c r="M12" s="1"/>
      <c r="O12"/>
      <c r="P12"/>
      <c r="Q12"/>
    </row>
    <row r="13" spans="1:17" x14ac:dyDescent="0.25">
      <c r="A13" s="1">
        <v>3</v>
      </c>
      <c r="B13" s="1"/>
      <c r="C13" s="48"/>
      <c r="D13" s="3"/>
      <c r="E13" s="3" t="s">
        <v>132</v>
      </c>
      <c r="F13" s="25">
        <f>'[4]Water + Joint'!F6</f>
        <v>259378.88</v>
      </c>
      <c r="G13" s="25">
        <f>'[4]Water + Joint'!J6</f>
        <v>14447.77</v>
      </c>
      <c r="H13" s="75"/>
      <c r="I13" s="77"/>
      <c r="K13" s="1"/>
      <c r="L13" s="1"/>
      <c r="M13" s="1"/>
      <c r="O13"/>
      <c r="P13"/>
      <c r="Q13"/>
    </row>
    <row r="14" spans="1:17" x14ac:dyDescent="0.25">
      <c r="A14" s="1">
        <v>4</v>
      </c>
      <c r="B14" s="1"/>
      <c r="C14" s="48"/>
      <c r="D14" s="3"/>
      <c r="E14" s="3" t="s">
        <v>133</v>
      </c>
      <c r="F14" s="25">
        <f>'[4]Water + Joint'!F7</f>
        <v>0</v>
      </c>
      <c r="G14" s="25">
        <f>'[4]Water + Joint'!J7</f>
        <v>0</v>
      </c>
      <c r="H14" s="75"/>
      <c r="I14" s="77"/>
      <c r="K14" s="1"/>
      <c r="L14" s="1"/>
      <c r="M14" s="1"/>
      <c r="O14"/>
      <c r="P14"/>
      <c r="Q14"/>
    </row>
    <row r="15" spans="1:17" x14ac:dyDescent="0.25">
      <c r="A15" s="1">
        <v>5</v>
      </c>
      <c r="B15" s="1"/>
      <c r="C15" s="48"/>
      <c r="D15" s="3"/>
      <c r="E15" s="3" t="s">
        <v>134</v>
      </c>
      <c r="F15" s="25">
        <f>'[4]Water + Joint'!F8</f>
        <v>0</v>
      </c>
      <c r="G15" s="25">
        <f>'[4]Water + Joint'!J8</f>
        <v>0</v>
      </c>
      <c r="H15" s="75"/>
      <c r="I15" s="77"/>
      <c r="K15" s="1"/>
      <c r="L15" s="1"/>
      <c r="M15" s="1"/>
      <c r="O15"/>
      <c r="P15"/>
      <c r="Q15"/>
    </row>
    <row r="16" spans="1:17" x14ac:dyDescent="0.25">
      <c r="A16" s="1">
        <v>6</v>
      </c>
      <c r="B16" s="1"/>
      <c r="C16" s="48"/>
      <c r="D16" s="3"/>
      <c r="E16" s="3" t="s">
        <v>100</v>
      </c>
      <c r="F16" s="25">
        <f>'[4]Water + Joint'!F9</f>
        <v>0</v>
      </c>
      <c r="G16" s="25">
        <f>'[4]Water + Joint'!J9</f>
        <v>0</v>
      </c>
      <c r="H16" s="75"/>
      <c r="I16" s="77"/>
      <c r="K16" s="1"/>
      <c r="L16" s="1"/>
      <c r="M16" s="1"/>
      <c r="O16"/>
      <c r="P16"/>
      <c r="Q16"/>
    </row>
    <row r="17" spans="1:17" x14ac:dyDescent="0.25">
      <c r="A17" s="1">
        <v>7</v>
      </c>
      <c r="B17" s="1"/>
      <c r="C17" s="48"/>
      <c r="D17" s="3"/>
      <c r="E17" s="3" t="s">
        <v>135</v>
      </c>
      <c r="F17" s="25">
        <f>'[4]Water + Joint'!F10</f>
        <v>0</v>
      </c>
      <c r="G17" s="25">
        <f>'[4]Water + Joint'!J10</f>
        <v>0</v>
      </c>
      <c r="H17" s="75"/>
      <c r="I17" s="77"/>
      <c r="K17" s="1"/>
      <c r="L17" s="1"/>
      <c r="M17" s="1"/>
      <c r="O17"/>
      <c r="P17"/>
      <c r="Q17"/>
    </row>
    <row r="18" spans="1:17" x14ac:dyDescent="0.25">
      <c r="A18" s="1"/>
      <c r="B18" s="1"/>
      <c r="C18" s="48"/>
      <c r="D18" s="69"/>
      <c r="E18" s="69"/>
      <c r="F18" s="201"/>
      <c r="G18" s="201"/>
      <c r="H18" s="75"/>
      <c r="I18" s="77"/>
      <c r="K18" s="1"/>
      <c r="L18" s="1"/>
      <c r="M18" s="1"/>
      <c r="O18"/>
      <c r="P18"/>
      <c r="Q18"/>
    </row>
    <row r="19" spans="1:17" x14ac:dyDescent="0.25">
      <c r="A19" s="1"/>
      <c r="B19" s="1"/>
      <c r="C19" s="48"/>
      <c r="D19" s="70" t="s">
        <v>70</v>
      </c>
      <c r="E19" s="3"/>
      <c r="G19" s="84"/>
      <c r="H19" s="75"/>
      <c r="I19" s="77"/>
      <c r="K19" s="1"/>
      <c r="L19" s="1"/>
      <c r="M19" s="1"/>
      <c r="O19"/>
      <c r="P19"/>
      <c r="Q19"/>
    </row>
    <row r="20" spans="1:17" x14ac:dyDescent="0.25">
      <c r="A20" s="1">
        <v>8</v>
      </c>
      <c r="B20" s="1"/>
      <c r="C20" s="48"/>
      <c r="D20" s="70"/>
      <c r="E20" s="3" t="s">
        <v>75</v>
      </c>
      <c r="F20" s="25">
        <f>'[4]Water + Joint'!F13</f>
        <v>40654.6</v>
      </c>
      <c r="G20" s="25">
        <f>'[4]Water + Joint'!J13</f>
        <v>1231.9599999999998</v>
      </c>
      <c r="H20" s="75"/>
      <c r="I20" s="77"/>
      <c r="K20" s="1"/>
      <c r="L20" s="1"/>
      <c r="M20" s="1"/>
      <c r="O20"/>
      <c r="P20"/>
      <c r="Q20"/>
    </row>
    <row r="21" spans="1:17" x14ac:dyDescent="0.25">
      <c r="A21" s="1">
        <v>9</v>
      </c>
      <c r="B21" s="1"/>
      <c r="C21" s="48"/>
      <c r="D21" s="3"/>
      <c r="E21" s="3" t="s">
        <v>79</v>
      </c>
      <c r="F21" s="25">
        <f>'[4]Water + Joint'!F14</f>
        <v>127601.86</v>
      </c>
      <c r="G21" s="25">
        <f>'[4]Water + Joint'!J14</f>
        <v>8461.51</v>
      </c>
      <c r="H21" s="75"/>
      <c r="I21" s="77"/>
      <c r="K21" s="1"/>
      <c r="L21" s="1"/>
      <c r="M21" s="1"/>
      <c r="O21"/>
      <c r="P21"/>
      <c r="Q21"/>
    </row>
    <row r="22" spans="1:17" x14ac:dyDescent="0.25">
      <c r="A22" s="1">
        <v>10</v>
      </c>
      <c r="B22" s="1"/>
      <c r="C22" s="48"/>
      <c r="D22" s="3"/>
      <c r="E22" s="3" t="s">
        <v>136</v>
      </c>
      <c r="F22" s="25">
        <f>'[4]Water + Joint'!F15</f>
        <v>48409.39</v>
      </c>
      <c r="G22" s="25">
        <f>'[4]Water + Joint'!J15</f>
        <v>1953.0600000000002</v>
      </c>
      <c r="H22" s="75"/>
      <c r="I22" s="77"/>
      <c r="K22" s="1"/>
      <c r="L22" s="1"/>
      <c r="M22" s="1"/>
      <c r="O22"/>
      <c r="P22"/>
      <c r="Q22"/>
    </row>
    <row r="23" spans="1:17" x14ac:dyDescent="0.25">
      <c r="A23" s="1"/>
      <c r="B23" s="1"/>
      <c r="C23" s="48"/>
      <c r="D23" s="69"/>
      <c r="E23" s="69"/>
      <c r="G23" s="84"/>
      <c r="H23" s="75"/>
      <c r="I23" s="77"/>
      <c r="K23" s="1"/>
      <c r="L23" s="1"/>
      <c r="M23" s="1"/>
      <c r="O23"/>
      <c r="P23"/>
      <c r="Q23"/>
    </row>
    <row r="24" spans="1:17" x14ac:dyDescent="0.25">
      <c r="A24" s="1"/>
      <c r="B24" s="1"/>
      <c r="C24" s="48"/>
      <c r="D24" s="70" t="s">
        <v>73</v>
      </c>
      <c r="E24" s="3"/>
      <c r="G24" s="84"/>
      <c r="H24" s="75"/>
      <c r="I24" s="77"/>
      <c r="K24" s="1"/>
      <c r="L24" s="1"/>
      <c r="M24" s="1"/>
      <c r="O24"/>
      <c r="P24"/>
      <c r="Q24"/>
    </row>
    <row r="25" spans="1:17" x14ac:dyDescent="0.25">
      <c r="A25" s="1">
        <v>11</v>
      </c>
      <c r="B25" s="1"/>
      <c r="C25" s="48"/>
      <c r="D25" s="70"/>
      <c r="E25" s="1" t="s">
        <v>96</v>
      </c>
      <c r="F25" s="25">
        <f>'[4]Water + Joint'!F18</f>
        <v>13747793.23</v>
      </c>
      <c r="G25" s="25">
        <f>'[4]Water + Joint'!J18</f>
        <v>416565.21999999991</v>
      </c>
      <c r="H25" s="75"/>
      <c r="I25" s="77"/>
      <c r="K25" s="1"/>
      <c r="L25" s="1"/>
      <c r="M25" s="1"/>
      <c r="O25"/>
      <c r="P25"/>
      <c r="Q25"/>
    </row>
    <row r="26" spans="1:17" x14ac:dyDescent="0.25">
      <c r="A26" s="1">
        <v>12</v>
      </c>
      <c r="B26" s="1"/>
      <c r="C26" s="48"/>
      <c r="D26" s="70"/>
      <c r="E26" s="1" t="s">
        <v>97</v>
      </c>
      <c r="F26" s="25">
        <f>'[4]Water + Joint'!F19</f>
        <v>819119.37000000011</v>
      </c>
      <c r="G26" s="25">
        <f>'[4]Water + Joint'!J19</f>
        <v>37806.17</v>
      </c>
      <c r="H26" s="75"/>
      <c r="I26" s="77"/>
      <c r="K26" s="1"/>
      <c r="L26" s="1"/>
      <c r="M26" s="1"/>
      <c r="O26"/>
      <c r="P26"/>
      <c r="Q26"/>
    </row>
    <row r="27" spans="1:17" x14ac:dyDescent="0.25">
      <c r="A27" s="1"/>
      <c r="B27" s="1"/>
      <c r="C27" s="48"/>
      <c r="D27" s="70"/>
      <c r="G27" s="84"/>
      <c r="H27" s="75"/>
      <c r="I27" s="77"/>
      <c r="K27" s="1"/>
      <c r="L27" s="1"/>
      <c r="M27" s="1"/>
      <c r="O27"/>
      <c r="P27"/>
      <c r="Q27"/>
    </row>
    <row r="28" spans="1:17" x14ac:dyDescent="0.25">
      <c r="A28" s="1"/>
      <c r="B28" s="1"/>
      <c r="C28" s="48"/>
      <c r="D28" s="70" t="s">
        <v>71</v>
      </c>
      <c r="E28" s="3"/>
      <c r="G28" s="84"/>
      <c r="H28" s="75"/>
      <c r="I28" s="77"/>
      <c r="K28" s="1"/>
      <c r="L28" s="1"/>
      <c r="M28" s="1"/>
      <c r="O28"/>
      <c r="P28"/>
      <c r="Q28"/>
    </row>
    <row r="29" spans="1:17" x14ac:dyDescent="0.25">
      <c r="A29" s="1">
        <v>13</v>
      </c>
      <c r="B29" s="1"/>
      <c r="C29" s="48"/>
      <c r="D29" s="70"/>
      <c r="E29" s="3" t="s">
        <v>75</v>
      </c>
      <c r="F29" s="25">
        <f>'[4]Water + Joint'!F22</f>
        <v>66278.69</v>
      </c>
      <c r="G29" s="25">
        <f>'[4]Water + Joint'!J22</f>
        <v>2008.44</v>
      </c>
      <c r="H29" s="75"/>
      <c r="I29" s="77"/>
      <c r="K29" s="1"/>
      <c r="L29" s="1"/>
      <c r="M29" s="1"/>
      <c r="O29"/>
      <c r="P29"/>
      <c r="Q29"/>
    </row>
    <row r="30" spans="1:17" x14ac:dyDescent="0.25">
      <c r="A30" s="1">
        <v>14</v>
      </c>
      <c r="B30" s="1"/>
      <c r="C30" s="48"/>
      <c r="D30" s="70"/>
      <c r="E30" s="3" t="s">
        <v>83</v>
      </c>
      <c r="F30" s="25">
        <f>'[4]Water + Joint'!F23</f>
        <v>1567689.23</v>
      </c>
      <c r="G30" s="25">
        <f>'[4]Water + Joint'!J23</f>
        <v>126788.32999999999</v>
      </c>
      <c r="H30" s="75"/>
      <c r="I30" s="77"/>
      <c r="K30" s="1"/>
      <c r="L30" s="1"/>
      <c r="M30" s="1"/>
      <c r="O30"/>
      <c r="P30"/>
      <c r="Q30"/>
    </row>
    <row r="31" spans="1:17" x14ac:dyDescent="0.25">
      <c r="A31" s="1">
        <v>15</v>
      </c>
      <c r="B31" s="1"/>
      <c r="C31" s="48"/>
      <c r="D31" s="70"/>
      <c r="E31" s="3" t="s">
        <v>142</v>
      </c>
      <c r="F31" s="25">
        <f>'[4]Water + Joint'!F24</f>
        <v>0</v>
      </c>
      <c r="G31" s="25">
        <f>'[4]Water + Joint'!J24</f>
        <v>0</v>
      </c>
      <c r="H31" s="75"/>
      <c r="I31" s="77"/>
      <c r="K31" s="1"/>
      <c r="L31" s="1"/>
      <c r="M31" s="1"/>
      <c r="O31"/>
      <c r="P31"/>
      <c r="Q31"/>
    </row>
    <row r="32" spans="1:17" x14ac:dyDescent="0.25">
      <c r="A32" s="1">
        <v>16</v>
      </c>
      <c r="B32" s="1"/>
      <c r="C32" s="48"/>
      <c r="D32" s="70"/>
      <c r="E32" s="3" t="s">
        <v>143</v>
      </c>
      <c r="F32" s="25">
        <f>'[4]Water + Joint'!F25</f>
        <v>7779859.1700000009</v>
      </c>
      <c r="G32" s="25">
        <f>'[4]Water + Joint'!J25</f>
        <v>105693.79000000001</v>
      </c>
      <c r="H32" s="75"/>
      <c r="I32" s="77"/>
      <c r="K32" s="1"/>
      <c r="L32" s="1"/>
      <c r="M32" s="1"/>
      <c r="O32"/>
      <c r="P32"/>
      <c r="Q32"/>
    </row>
    <row r="33" spans="1:17" x14ac:dyDescent="0.25">
      <c r="A33" s="1">
        <v>17</v>
      </c>
      <c r="B33" s="1"/>
      <c r="C33" s="48"/>
      <c r="D33" s="70"/>
      <c r="E33" s="3" t="s">
        <v>144</v>
      </c>
      <c r="F33" s="25">
        <f>'[4]Water + Joint'!F26</f>
        <v>679260.61</v>
      </c>
      <c r="G33" s="25">
        <f>'[4]Water + Joint'!J26</f>
        <v>40423.699999999997</v>
      </c>
      <c r="H33" s="75"/>
      <c r="I33" s="77"/>
      <c r="K33" s="1"/>
      <c r="L33" s="1"/>
      <c r="M33" s="1"/>
      <c r="O33"/>
      <c r="P33"/>
      <c r="Q33"/>
    </row>
    <row r="34" spans="1:17" x14ac:dyDescent="0.25">
      <c r="A34" s="1">
        <v>18</v>
      </c>
      <c r="B34" s="1"/>
      <c r="C34" s="48"/>
      <c r="D34" s="70"/>
      <c r="E34" s="3" t="s">
        <v>137</v>
      </c>
      <c r="F34" s="25">
        <f>'[4]Water + Joint'!F27</f>
        <v>0</v>
      </c>
      <c r="G34" s="25">
        <f>'[4]Water + Joint'!J27</f>
        <v>0</v>
      </c>
      <c r="H34" s="75"/>
      <c r="I34" s="77"/>
      <c r="K34" s="1"/>
      <c r="L34" s="1"/>
      <c r="M34" s="1"/>
      <c r="O34"/>
      <c r="P34"/>
      <c r="Q34"/>
    </row>
    <row r="35" spans="1:17" x14ac:dyDescent="0.25">
      <c r="A35" s="1">
        <v>19</v>
      </c>
      <c r="B35" s="1"/>
      <c r="C35" s="48"/>
      <c r="D35" s="70"/>
      <c r="E35" s="3" t="s">
        <v>82</v>
      </c>
      <c r="F35" s="25">
        <f>'[4]Water + Joint'!F28</f>
        <v>13270</v>
      </c>
      <c r="G35" s="25">
        <f>'[4]Water + Joint'!J28</f>
        <v>0</v>
      </c>
      <c r="H35" s="75"/>
      <c r="I35" s="77"/>
      <c r="K35" s="1"/>
      <c r="L35" s="1"/>
      <c r="M35" s="1"/>
      <c r="O35"/>
      <c r="P35"/>
      <c r="Q35"/>
    </row>
    <row r="36" spans="1:17" x14ac:dyDescent="0.25">
      <c r="A36" s="1">
        <v>20</v>
      </c>
      <c r="B36" s="1"/>
      <c r="C36" s="48"/>
      <c r="D36" s="70"/>
      <c r="E36" s="3" t="s">
        <v>138</v>
      </c>
      <c r="F36" s="25">
        <f>'[4]Water + Joint'!F29</f>
        <v>988798.08986457111</v>
      </c>
      <c r="G36" s="25">
        <f>'[4]Water + Joint'!J29</f>
        <v>92253.409397480602</v>
      </c>
      <c r="H36" s="75"/>
      <c r="I36" s="77"/>
      <c r="K36" s="1"/>
      <c r="L36" s="1"/>
      <c r="M36" s="1"/>
      <c r="O36"/>
      <c r="P36"/>
      <c r="Q36"/>
    </row>
    <row r="37" spans="1:17" x14ac:dyDescent="0.25">
      <c r="A37" s="1">
        <v>21</v>
      </c>
      <c r="B37" s="1"/>
      <c r="C37" s="48"/>
      <c r="D37" s="70"/>
      <c r="E37" s="3" t="s">
        <v>81</v>
      </c>
      <c r="F37" s="25">
        <f>'[4]Water + Joint'!F30</f>
        <v>0</v>
      </c>
      <c r="G37" s="25">
        <f>'[4]Water + Joint'!J30</f>
        <v>0</v>
      </c>
      <c r="H37" s="75"/>
      <c r="I37" s="77"/>
      <c r="K37" s="1"/>
      <c r="L37" s="1"/>
      <c r="M37" s="1"/>
      <c r="O37"/>
      <c r="P37"/>
      <c r="Q37"/>
    </row>
    <row r="38" spans="1:17" x14ac:dyDescent="0.25">
      <c r="A38" s="1">
        <v>22</v>
      </c>
      <c r="B38" s="1"/>
      <c r="C38" s="48"/>
      <c r="D38" s="70"/>
      <c r="E38" s="3" t="s">
        <v>80</v>
      </c>
      <c r="F38" s="25">
        <f>'[4]Water + Joint'!F31</f>
        <v>17082.633159359961</v>
      </c>
      <c r="G38" s="25">
        <f>'[4]Water + Joint'!J31</f>
        <v>566.31137243805006</v>
      </c>
      <c r="H38" s="75"/>
      <c r="I38" s="77"/>
      <c r="K38" s="1"/>
      <c r="L38" s="1"/>
      <c r="M38" s="1"/>
      <c r="O38"/>
      <c r="P38"/>
      <c r="Q38"/>
    </row>
    <row r="39" spans="1:17" x14ac:dyDescent="0.25">
      <c r="A39" s="1"/>
      <c r="B39" s="1"/>
      <c r="C39" s="48"/>
      <c r="D39" s="70"/>
      <c r="E39" s="3"/>
      <c r="F39" s="25"/>
      <c r="G39" s="25"/>
      <c r="H39" s="75"/>
      <c r="I39" s="77"/>
      <c r="K39" s="1"/>
      <c r="L39" s="1"/>
      <c r="M39" s="1"/>
      <c r="O39"/>
      <c r="P39"/>
      <c r="Q39"/>
    </row>
    <row r="40" spans="1:17" x14ac:dyDescent="0.25">
      <c r="A40" s="1"/>
      <c r="B40" s="1"/>
      <c r="C40" s="48"/>
      <c r="D40" s="70" t="s">
        <v>69</v>
      </c>
      <c r="G40" s="84"/>
      <c r="H40" s="75"/>
      <c r="I40" s="77"/>
      <c r="K40" s="1"/>
      <c r="L40" s="1"/>
      <c r="M40" s="1"/>
      <c r="O40"/>
      <c r="P40"/>
      <c r="Q40"/>
    </row>
    <row r="41" spans="1:17" x14ac:dyDescent="0.25">
      <c r="A41" s="1">
        <v>23</v>
      </c>
      <c r="B41" s="1"/>
      <c r="C41" s="48"/>
      <c r="D41" s="70"/>
      <c r="E41" s="3" t="s">
        <v>75</v>
      </c>
      <c r="F41" s="25">
        <f>'[4]Water + Joint'!F34</f>
        <v>326460.06676044653</v>
      </c>
      <c r="G41" s="25">
        <f>'[4]Water + Joint'!J34</f>
        <v>11966.607216762497</v>
      </c>
      <c r="H41" s="75"/>
      <c r="I41" s="77"/>
      <c r="K41" s="1"/>
      <c r="L41" s="1"/>
      <c r="M41" s="1"/>
      <c r="O41"/>
      <c r="P41"/>
      <c r="Q41"/>
    </row>
    <row r="42" spans="1:17" x14ac:dyDescent="0.25">
      <c r="A42" s="1">
        <v>24</v>
      </c>
      <c r="B42" s="1"/>
      <c r="C42" s="48"/>
      <c r="D42" s="3"/>
      <c r="E42" s="3" t="s">
        <v>76</v>
      </c>
      <c r="F42" s="25">
        <f>'[4]Water + Joint'!F35</f>
        <v>1188.6802646874862</v>
      </c>
      <c r="G42" s="25">
        <f>'[4]Water + Joint'!J35</f>
        <v>183.82538631746789</v>
      </c>
      <c r="H42" s="75"/>
      <c r="I42" s="77"/>
      <c r="K42" s="1"/>
      <c r="L42" s="1"/>
      <c r="M42" s="1"/>
      <c r="O42"/>
      <c r="P42"/>
      <c r="Q42"/>
    </row>
    <row r="43" spans="1:17" x14ac:dyDescent="0.25">
      <c r="A43" s="1">
        <v>25</v>
      </c>
      <c r="B43" s="1"/>
      <c r="C43" s="48"/>
      <c r="D43" s="3"/>
      <c r="E43" s="1" t="s">
        <v>72</v>
      </c>
      <c r="F43" s="25">
        <f>'[4]Water + Joint'!F36</f>
        <v>27450.737052180011</v>
      </c>
      <c r="G43" s="25">
        <f>'[4]Water + Joint'!J36</f>
        <v>9045.5815726165602</v>
      </c>
      <c r="H43" s="75"/>
      <c r="I43" s="77"/>
      <c r="K43" s="1"/>
      <c r="L43" s="1"/>
      <c r="M43" s="1"/>
      <c r="O43"/>
      <c r="P43"/>
      <c r="Q43"/>
    </row>
    <row r="44" spans="1:17" x14ac:dyDescent="0.25">
      <c r="A44" s="1">
        <v>26</v>
      </c>
      <c r="B44" s="1"/>
      <c r="C44" s="48"/>
      <c r="D44" s="3"/>
      <c r="E44" s="1" t="s">
        <v>139</v>
      </c>
      <c r="F44" s="25">
        <f>'[4]Water + Joint'!F37</f>
        <v>0</v>
      </c>
      <c r="G44" s="25">
        <f>'[4]Water + Joint'!J37</f>
        <v>0</v>
      </c>
      <c r="H44" s="75"/>
      <c r="I44" s="77"/>
      <c r="K44" s="1"/>
      <c r="L44" s="1"/>
      <c r="M44" s="1"/>
      <c r="O44"/>
      <c r="P44"/>
      <c r="Q44"/>
    </row>
    <row r="45" spans="1:17" x14ac:dyDescent="0.25">
      <c r="A45" s="1">
        <v>27</v>
      </c>
      <c r="B45" s="1"/>
      <c r="C45" s="48"/>
      <c r="D45" s="3"/>
      <c r="E45" s="3" t="s">
        <v>78</v>
      </c>
      <c r="F45" s="25">
        <f>'[4]Water + Joint'!F38</f>
        <v>29749.266619975682</v>
      </c>
      <c r="G45" s="25">
        <f>'[4]Water + Joint'!J38</f>
        <v>3860.5048376094769</v>
      </c>
      <c r="H45" s="75"/>
      <c r="I45" s="77"/>
      <c r="K45" s="1"/>
      <c r="L45" s="1"/>
      <c r="M45" s="1"/>
      <c r="O45"/>
      <c r="P45"/>
      <c r="Q45"/>
    </row>
    <row r="46" spans="1:17" x14ac:dyDescent="0.25">
      <c r="A46" s="1">
        <v>28</v>
      </c>
      <c r="B46" s="1"/>
      <c r="C46" s="48"/>
      <c r="D46" s="3"/>
      <c r="E46" s="3" t="s">
        <v>140</v>
      </c>
      <c r="F46" s="25">
        <f>'[4]Water + Joint'!F39</f>
        <v>0</v>
      </c>
      <c r="G46" s="25">
        <f>'[4]Water + Joint'!J39</f>
        <v>0</v>
      </c>
      <c r="H46" s="75"/>
      <c r="I46" s="77"/>
      <c r="K46" s="1"/>
      <c r="L46" s="1"/>
      <c r="M46" s="1"/>
      <c r="O46"/>
      <c r="P46"/>
      <c r="Q46"/>
    </row>
    <row r="47" spans="1:17" x14ac:dyDescent="0.25">
      <c r="A47" s="1">
        <v>29</v>
      </c>
      <c r="B47" s="1"/>
      <c r="C47" s="48"/>
      <c r="D47" s="3"/>
      <c r="E47" s="3" t="s">
        <v>77</v>
      </c>
      <c r="F47" s="25">
        <f>'[4]Water + Joint'!F40</f>
        <v>179867.14505019563</v>
      </c>
      <c r="G47" s="25">
        <f>'[4]Water + Joint'!J40</f>
        <v>23428.072003341196</v>
      </c>
      <c r="H47" s="75"/>
      <c r="I47" s="77"/>
      <c r="K47" s="1"/>
      <c r="L47" s="1"/>
      <c r="M47" s="1"/>
      <c r="O47"/>
      <c r="P47"/>
      <c r="Q47"/>
    </row>
    <row r="48" spans="1:17" x14ac:dyDescent="0.25">
      <c r="A48" s="1">
        <v>30</v>
      </c>
      <c r="B48" s="1"/>
      <c r="C48" s="48"/>
      <c r="D48" s="3"/>
      <c r="E48" s="3" t="s">
        <v>141</v>
      </c>
      <c r="F48" s="334">
        <f>'[4]Water + Joint'!F41</f>
        <v>137992.99196855354</v>
      </c>
      <c r="G48" s="334">
        <f>'[4]Water + Joint'!J41</f>
        <v>9608.1646518494708</v>
      </c>
      <c r="H48" s="75"/>
      <c r="I48" s="77"/>
      <c r="K48" s="1"/>
      <c r="L48" s="1"/>
      <c r="M48" s="1"/>
      <c r="O48"/>
      <c r="P48"/>
      <c r="Q48"/>
    </row>
    <row r="49" spans="1:17" x14ac:dyDescent="0.25">
      <c r="A49" s="1"/>
      <c r="B49" s="1"/>
      <c r="C49" s="48"/>
      <c r="D49" s="3"/>
      <c r="E49" s="3"/>
      <c r="F49" s="25"/>
      <c r="G49" s="25"/>
      <c r="H49" s="75"/>
      <c r="I49" s="77"/>
      <c r="K49" s="1"/>
      <c r="L49" s="1"/>
      <c r="M49" s="1"/>
      <c r="O49"/>
      <c r="P49"/>
      <c r="Q49"/>
    </row>
    <row r="50" spans="1:17" x14ac:dyDescent="0.25">
      <c r="A50" s="1"/>
      <c r="B50" s="1"/>
      <c r="C50" s="48"/>
      <c r="D50" s="3" t="s">
        <v>191</v>
      </c>
      <c r="E50" s="3"/>
      <c r="F50" s="25">
        <f>SUM(F11:F48)</f>
        <v>26857904.640739974</v>
      </c>
      <c r="G50" s="25">
        <f>SUM(G11:G48)</f>
        <v>906292.42643841519</v>
      </c>
      <c r="H50" s="75"/>
      <c r="I50" s="77"/>
      <c r="K50" s="1"/>
      <c r="L50" s="1"/>
      <c r="M50" s="1"/>
      <c r="O50"/>
      <c r="P50"/>
      <c r="Q50"/>
    </row>
    <row r="51" spans="1:17" x14ac:dyDescent="0.25">
      <c r="A51" s="1"/>
      <c r="B51" s="1"/>
      <c r="C51" s="48"/>
      <c r="D51" s="3"/>
      <c r="E51" s="3"/>
      <c r="F51" s="25"/>
      <c r="G51" s="25"/>
      <c r="H51" s="75"/>
      <c r="I51" s="77"/>
      <c r="K51" s="1"/>
      <c r="L51" s="1"/>
      <c r="M51" s="1"/>
      <c r="O51"/>
      <c r="P51"/>
      <c r="Q51"/>
    </row>
    <row r="52" spans="1:17" x14ac:dyDescent="0.25">
      <c r="A52" s="1"/>
      <c r="B52" s="1"/>
      <c r="C52" s="48"/>
      <c r="D52" s="3" t="s">
        <v>192</v>
      </c>
      <c r="E52" s="3"/>
      <c r="F52" s="334">
        <f>'[4]New Project'!$G$10</f>
        <v>52052602</v>
      </c>
      <c r="G52" s="334">
        <f>'[4]New Project'!$G$12</f>
        <v>1500166.5053171716</v>
      </c>
      <c r="H52" s="75"/>
      <c r="I52" s="77"/>
      <c r="K52" s="1"/>
      <c r="L52" s="1"/>
      <c r="M52" s="1"/>
      <c r="O52"/>
      <c r="P52"/>
      <c r="Q52"/>
    </row>
    <row r="53" spans="1:17" x14ac:dyDescent="0.25">
      <c r="A53" s="1"/>
      <c r="B53" s="1"/>
      <c r="C53" s="48"/>
      <c r="D53" s="3"/>
      <c r="E53" s="3"/>
      <c r="G53" s="25"/>
      <c r="H53" s="75"/>
      <c r="I53" s="77"/>
      <c r="J53" s="19"/>
      <c r="K53" s="1"/>
      <c r="L53" s="1"/>
      <c r="M53" s="1"/>
      <c r="O53"/>
      <c r="P53"/>
      <c r="Q53"/>
    </row>
    <row r="54" spans="1:17" x14ac:dyDescent="0.25">
      <c r="A54" s="1"/>
      <c r="B54" s="1"/>
      <c r="C54" s="66"/>
      <c r="D54" s="151" t="s">
        <v>37</v>
      </c>
      <c r="E54" s="152"/>
      <c r="F54" s="203">
        <f>SUM(F50:F52)</f>
        <v>78910506.640739977</v>
      </c>
      <c r="G54" s="203">
        <f>SUM(G50:G52)</f>
        <v>2406458.9317555865</v>
      </c>
      <c r="H54" s="76"/>
      <c r="I54" s="78"/>
      <c r="K54" s="1"/>
      <c r="L54" s="1"/>
      <c r="M54" s="1"/>
      <c r="O54"/>
      <c r="P54"/>
      <c r="Q54"/>
    </row>
    <row r="55" spans="1:17" x14ac:dyDescent="0.25">
      <c r="A55" s="1"/>
      <c r="B55" s="1"/>
      <c r="C55" s="1"/>
      <c r="D55" s="3"/>
      <c r="E55" s="3"/>
      <c r="G55" s="25"/>
      <c r="H55" s="3"/>
      <c r="I55" s="107"/>
      <c r="J55" s="3"/>
      <c r="K55" s="3"/>
      <c r="L55" s="3"/>
    </row>
    <row r="56" spans="1:17" x14ac:dyDescent="0.25">
      <c r="A56" s="3" t="s">
        <v>84</v>
      </c>
      <c r="B56" s="3"/>
      <c r="C56" s="1"/>
      <c r="D56" s="108"/>
      <c r="F56" s="204"/>
      <c r="G56" s="204"/>
      <c r="I56"/>
      <c r="K56" s="1"/>
      <c r="L56" s="1"/>
      <c r="M56" s="1"/>
      <c r="O56"/>
      <c r="P56"/>
      <c r="Q56"/>
    </row>
    <row r="57" spans="1:17" s="128" customFormat="1" ht="15" x14ac:dyDescent="0.25">
      <c r="F57" s="205"/>
      <c r="G57" s="205"/>
      <c r="I57" s="153"/>
    </row>
    <row r="58" spans="1:17" s="128" customFormat="1" ht="15" x14ac:dyDescent="0.25">
      <c r="E58" s="128" t="s">
        <v>162</v>
      </c>
      <c r="F58" s="205">
        <f>'[4]Water + Joint'!$F$42+'[4]New Project'!$G$10</f>
        <v>78910506.640739977</v>
      </c>
      <c r="G58" s="205">
        <f>'[4]Water + Joint'!$J$44+'[4]New Project'!$G$12</f>
        <v>2406458.9317555865</v>
      </c>
      <c r="I58" s="153"/>
    </row>
    <row r="59" spans="1:17" s="128" customFormat="1" ht="15" x14ac:dyDescent="0.25">
      <c r="F59" s="205"/>
      <c r="G59" s="205"/>
      <c r="I59" s="153"/>
    </row>
    <row r="60" spans="1:17" s="128" customFormat="1" ht="15" x14ac:dyDescent="0.25">
      <c r="F60" s="205" t="str">
        <f>IF(F54=F58,"OK","Out of Balance")</f>
        <v>OK</v>
      </c>
      <c r="G60" s="205" t="str">
        <f>IF(G54=G58,"OK","Out of Balance")</f>
        <v>OK</v>
      </c>
      <c r="I60" s="153"/>
    </row>
    <row r="61" spans="1:17" s="128" customFormat="1" ht="15" x14ac:dyDescent="0.25">
      <c r="F61" s="205"/>
      <c r="G61" s="205"/>
      <c r="I61" s="153"/>
    </row>
    <row r="62" spans="1:17" s="128" customFormat="1" ht="15" x14ac:dyDescent="0.25">
      <c r="F62" s="205"/>
      <c r="G62" s="205"/>
      <c r="I62" s="153"/>
    </row>
    <row r="63" spans="1:17" s="128" customFormat="1" ht="15" x14ac:dyDescent="0.25">
      <c r="F63" s="205"/>
      <c r="G63" s="205"/>
      <c r="I63" s="153"/>
    </row>
    <row r="64" spans="1:17" s="128" customFormat="1" ht="15" x14ac:dyDescent="0.25">
      <c r="F64" s="205"/>
      <c r="G64" s="205"/>
      <c r="I64" s="153"/>
    </row>
    <row r="65" spans="5:9" s="128" customFormat="1" ht="15" x14ac:dyDescent="0.25">
      <c r="E65" s="154"/>
      <c r="F65" s="205"/>
      <c r="G65" s="207"/>
      <c r="I65" s="153"/>
    </row>
    <row r="66" spans="5:9" s="128" customFormat="1" ht="15" x14ac:dyDescent="0.25">
      <c r="F66" s="205"/>
      <c r="G66" s="205"/>
      <c r="I66" s="153"/>
    </row>
    <row r="67" spans="5:9" s="128" customFormat="1" ht="15" x14ac:dyDescent="0.25">
      <c r="E67" s="154"/>
      <c r="F67" s="205"/>
      <c r="G67" s="206"/>
      <c r="I67" s="153"/>
    </row>
    <row r="68" spans="5:9" s="128" customFormat="1" ht="15" x14ac:dyDescent="0.25">
      <c r="F68" s="205"/>
      <c r="G68" s="205"/>
      <c r="I68" s="153"/>
    </row>
    <row r="69" spans="5:9" s="128" customFormat="1" ht="15" x14ac:dyDescent="0.25">
      <c r="F69" s="205"/>
      <c r="G69" s="205"/>
      <c r="I69" s="153"/>
    </row>
    <row r="70" spans="5:9" s="128" customFormat="1" ht="15" x14ac:dyDescent="0.25">
      <c r="F70" s="205"/>
      <c r="G70" s="205"/>
      <c r="I70" s="153"/>
    </row>
  </sheetData>
  <mergeCells count="3">
    <mergeCell ref="C3:H3"/>
    <mergeCell ref="C4:H4"/>
    <mergeCell ref="C5:H5"/>
  </mergeCells>
  <pageMargins left="0.7" right="0.7" top="0.75" bottom="0.75" header="0.3" footer="0.3"/>
  <pageSetup scale="73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AA34"/>
  <sheetViews>
    <sheetView showGridLines="0" topLeftCell="N16" workbookViewId="0">
      <selection activeCell="V31" sqref="A1:V31"/>
    </sheetView>
  </sheetViews>
  <sheetFormatPr defaultRowHeight="15" x14ac:dyDescent="0.25"/>
  <cols>
    <col min="1" max="1" width="1.77734375" style="166" customWidth="1"/>
    <col min="2" max="2" width="33.109375" style="166" bestFit="1" customWidth="1"/>
    <col min="3" max="13" width="10.44140625" style="257" customWidth="1"/>
    <col min="14" max="15" width="0.77734375" style="166" customWidth="1"/>
    <col min="16" max="16" width="2.33203125" style="166" customWidth="1"/>
    <col min="17" max="21" width="12.109375" style="259" customWidth="1"/>
    <col min="22" max="22" width="2.5546875" style="259" customWidth="1"/>
    <col min="23" max="23" width="2.5546875" style="166" customWidth="1"/>
    <col min="24" max="24" width="9.6640625" style="216" customWidth="1"/>
    <col min="25" max="27" width="8.88671875" style="216"/>
    <col min="28" max="16384" width="8.88671875" style="166"/>
  </cols>
  <sheetData>
    <row r="1" spans="2:27" x14ac:dyDescent="0.25"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2"/>
      <c r="O1" s="212"/>
      <c r="P1" s="212"/>
      <c r="Q1" s="214"/>
      <c r="R1" s="214"/>
      <c r="S1" s="214"/>
      <c r="T1" s="214"/>
      <c r="U1" s="214"/>
      <c r="V1" s="214"/>
      <c r="W1" s="212"/>
      <c r="X1" s="215"/>
    </row>
    <row r="2" spans="2:27" x14ac:dyDescent="0.25"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  <c r="O2" s="212"/>
      <c r="P2" s="212"/>
      <c r="Q2" s="214"/>
      <c r="R2" s="214"/>
      <c r="S2" s="214"/>
      <c r="T2" s="214"/>
      <c r="U2" s="214"/>
      <c r="V2" s="214"/>
      <c r="W2" s="212"/>
      <c r="X2" s="215"/>
    </row>
    <row r="3" spans="2:27" ht="18.75" x14ac:dyDescent="0.3">
      <c r="B3" s="442" t="s">
        <v>198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220"/>
      <c r="N3" s="221"/>
      <c r="O3" s="212"/>
      <c r="P3" s="212"/>
      <c r="Q3" s="214"/>
      <c r="R3" s="214"/>
      <c r="S3" s="214"/>
      <c r="T3" s="214"/>
      <c r="U3" s="214"/>
      <c r="V3" s="214"/>
      <c r="W3" s="212"/>
      <c r="X3" s="215"/>
    </row>
    <row r="4" spans="2:27" ht="18.75" x14ac:dyDescent="0.3">
      <c r="B4" s="444" t="s">
        <v>63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222"/>
      <c r="N4" s="221"/>
      <c r="O4" s="212"/>
      <c r="P4" s="212"/>
      <c r="Q4" s="214"/>
      <c r="R4" s="214"/>
      <c r="S4" s="214"/>
      <c r="T4" s="214"/>
      <c r="U4" s="214"/>
      <c r="V4" s="214"/>
      <c r="W4" s="212"/>
      <c r="X4" s="215"/>
    </row>
    <row r="5" spans="2:27" ht="15.75" x14ac:dyDescent="0.25">
      <c r="B5" s="446" t="s">
        <v>149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220"/>
      <c r="N5" s="221"/>
      <c r="O5" s="212"/>
      <c r="P5" s="212"/>
      <c r="Q5" s="214"/>
      <c r="R5" s="214"/>
      <c r="S5" s="214"/>
      <c r="T5" s="214"/>
      <c r="U5" s="214"/>
      <c r="V5" s="214"/>
      <c r="W5" s="212"/>
      <c r="X5" s="215"/>
    </row>
    <row r="6" spans="2:27" ht="15.75" x14ac:dyDescent="0.25">
      <c r="B6" s="448" t="s">
        <v>107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213"/>
      <c r="N6" s="221"/>
      <c r="O6" s="212"/>
      <c r="P6" s="212"/>
      <c r="Q6" s="214"/>
      <c r="R6" s="214"/>
      <c r="S6" s="214"/>
      <c r="T6" s="214"/>
      <c r="U6" s="214"/>
      <c r="V6" s="214"/>
      <c r="W6" s="212"/>
      <c r="X6" s="215"/>
    </row>
    <row r="7" spans="2:27" x14ac:dyDescent="0.25">
      <c r="B7" s="344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13"/>
      <c r="N7" s="221"/>
      <c r="O7" s="212"/>
      <c r="P7" s="212"/>
      <c r="Q7" s="214"/>
      <c r="R7" s="214"/>
      <c r="S7" s="214"/>
      <c r="T7" s="214"/>
      <c r="U7" s="214"/>
      <c r="V7" s="214"/>
      <c r="W7" s="212"/>
      <c r="X7" s="215"/>
    </row>
    <row r="8" spans="2:27" x14ac:dyDescent="0.25">
      <c r="B8" s="224"/>
      <c r="C8" s="225"/>
      <c r="D8" s="218"/>
      <c r="E8" s="225"/>
      <c r="F8" s="226"/>
      <c r="G8" s="225"/>
      <c r="H8" s="226"/>
      <c r="I8" s="225"/>
      <c r="J8" s="226"/>
      <c r="K8" s="225"/>
      <c r="L8" s="226"/>
      <c r="M8" s="218"/>
      <c r="N8" s="219"/>
      <c r="O8" s="212"/>
      <c r="P8" s="212"/>
      <c r="Q8" s="305"/>
      <c r="R8" s="306"/>
      <c r="S8" s="306"/>
      <c r="T8" s="306"/>
      <c r="U8" s="307"/>
      <c r="V8" s="214"/>
      <c r="W8" s="212"/>
      <c r="X8" s="320"/>
      <c r="Y8" s="321"/>
      <c r="Z8" s="321"/>
      <c r="AA8" s="322"/>
    </row>
    <row r="9" spans="2:27" ht="17.25" x14ac:dyDescent="0.25">
      <c r="B9" s="227"/>
      <c r="C9" s="450" t="s">
        <v>108</v>
      </c>
      <c r="D9" s="451"/>
      <c r="E9" s="450" t="s">
        <v>109</v>
      </c>
      <c r="F9" s="451"/>
      <c r="G9" s="450" t="s">
        <v>110</v>
      </c>
      <c r="H9" s="451"/>
      <c r="I9" s="450" t="s">
        <v>111</v>
      </c>
      <c r="J9" s="451"/>
      <c r="K9" s="450" t="s">
        <v>112</v>
      </c>
      <c r="L9" s="451"/>
      <c r="M9" s="213"/>
      <c r="N9" s="221"/>
      <c r="O9" s="212"/>
      <c r="P9" s="212"/>
      <c r="Q9" s="308" t="s">
        <v>166</v>
      </c>
      <c r="R9" s="214"/>
      <c r="S9" s="214"/>
      <c r="T9" s="214"/>
      <c r="U9" s="309"/>
      <c r="V9" s="214"/>
      <c r="W9" s="212"/>
      <c r="X9" s="323"/>
      <c r="AA9" s="324"/>
    </row>
    <row r="10" spans="2:27" ht="17.25" x14ac:dyDescent="0.25">
      <c r="B10" s="227"/>
      <c r="C10" s="228"/>
      <c r="D10" s="229" t="s">
        <v>64</v>
      </c>
      <c r="E10" s="230"/>
      <c r="F10" s="229" t="s">
        <v>64</v>
      </c>
      <c r="G10" s="230"/>
      <c r="H10" s="229" t="s">
        <v>64</v>
      </c>
      <c r="I10" s="230"/>
      <c r="J10" s="229" t="s">
        <v>64</v>
      </c>
      <c r="K10" s="230"/>
      <c r="L10" s="229" t="s">
        <v>64</v>
      </c>
      <c r="M10" s="213"/>
      <c r="N10" s="221"/>
      <c r="O10" s="212"/>
      <c r="P10" s="212"/>
      <c r="Q10" s="308" t="s">
        <v>167</v>
      </c>
      <c r="R10" s="214"/>
      <c r="S10" s="214"/>
      <c r="T10" s="214"/>
      <c r="U10" s="309"/>
      <c r="V10" s="214"/>
      <c r="W10" s="212"/>
      <c r="X10" s="325" t="s">
        <v>168</v>
      </c>
      <c r="Y10" s="231" t="s">
        <v>168</v>
      </c>
      <c r="Z10" s="231" t="s">
        <v>168</v>
      </c>
      <c r="AA10" s="326" t="s">
        <v>168</v>
      </c>
    </row>
    <row r="11" spans="2:27" ht="17.25" x14ac:dyDescent="0.25">
      <c r="B11" s="227"/>
      <c r="C11" s="228" t="s">
        <v>65</v>
      </c>
      <c r="D11" s="232" t="s">
        <v>66</v>
      </c>
      <c r="E11" s="228" t="s">
        <v>65</v>
      </c>
      <c r="F11" s="232" t="s">
        <v>66</v>
      </c>
      <c r="G11" s="228" t="s">
        <v>65</v>
      </c>
      <c r="H11" s="232" t="s">
        <v>66</v>
      </c>
      <c r="I11" s="228" t="s">
        <v>65</v>
      </c>
      <c r="J11" s="232" t="s">
        <v>66</v>
      </c>
      <c r="K11" s="228" t="s">
        <v>65</v>
      </c>
      <c r="L11" s="232" t="s">
        <v>66</v>
      </c>
      <c r="M11" s="228" t="s">
        <v>37</v>
      </c>
      <c r="N11" s="221"/>
      <c r="O11" s="212"/>
      <c r="P11" s="212"/>
      <c r="Q11" s="310" t="s">
        <v>169</v>
      </c>
      <c r="R11" s="264" t="s">
        <v>151</v>
      </c>
      <c r="S11" s="264" t="s">
        <v>170</v>
      </c>
      <c r="T11" s="264" t="s">
        <v>171</v>
      </c>
      <c r="U11" s="311" t="s">
        <v>172</v>
      </c>
      <c r="V11" s="351"/>
      <c r="W11" s="212"/>
      <c r="X11" s="327" t="s">
        <v>151</v>
      </c>
      <c r="Y11" s="265" t="s">
        <v>170</v>
      </c>
      <c r="Z11" s="265" t="s">
        <v>171</v>
      </c>
      <c r="AA11" s="328" t="s">
        <v>172</v>
      </c>
    </row>
    <row r="12" spans="2:27" x14ac:dyDescent="0.25">
      <c r="B12" s="345" t="str">
        <f>'[5]Debt Service Schedule'!C12</f>
        <v>Wastewater Revolving Loan Program Fund A</v>
      </c>
      <c r="C12" s="233">
        <f>'[5]Debt Service Schedule'!D12</f>
        <v>386740</v>
      </c>
      <c r="D12" s="233">
        <f>'[5]Debt Service Schedule'!E12</f>
        <v>18394</v>
      </c>
      <c r="E12" s="233">
        <f>'[5]Debt Service Schedule'!F12</f>
        <v>390617</v>
      </c>
      <c r="F12" s="233">
        <f>'[5]Debt Service Schedule'!G12</f>
        <v>10754</v>
      </c>
      <c r="G12" s="233">
        <f>'[5]Debt Service Schedule'!H12</f>
        <v>394532</v>
      </c>
      <c r="H12" s="233">
        <f>'[5]Debt Service Schedule'!I12</f>
        <v>6877</v>
      </c>
      <c r="I12" s="233">
        <f>'[5]Debt Service Schedule'!J12</f>
        <v>0</v>
      </c>
      <c r="J12" s="233">
        <f>'[5]Debt Service Schedule'!K12</f>
        <v>0</v>
      </c>
      <c r="K12" s="263">
        <f>'[5]Debt Service Schedule'!L12</f>
        <v>0</v>
      </c>
      <c r="L12" s="263">
        <f>'[5]Debt Service Schedule'!M12</f>
        <v>0</v>
      </c>
      <c r="M12" s="234">
        <f>SUM(C12:L12)</f>
        <v>1207914</v>
      </c>
      <c r="N12" s="221"/>
      <c r="O12" s="212"/>
      <c r="P12" s="212"/>
      <c r="Q12" s="312">
        <f>M12/5</f>
        <v>241582.8</v>
      </c>
      <c r="R12" s="214">
        <f>$Q12*X12</f>
        <v>0</v>
      </c>
      <c r="S12" s="214">
        <f>$Q12*Y12</f>
        <v>241582.8</v>
      </c>
      <c r="T12" s="214">
        <f>$Q12*Z12</f>
        <v>0</v>
      </c>
      <c r="U12" s="309">
        <f>$Q12*AA12</f>
        <v>0</v>
      </c>
      <c r="V12" s="214"/>
      <c r="W12" s="212"/>
      <c r="X12" s="329">
        <f>'[5]Debt Service Schedule'!W12</f>
        <v>0</v>
      </c>
      <c r="Y12" s="235">
        <f>'[5]Debt Service Schedule'!X12</f>
        <v>1</v>
      </c>
      <c r="Z12" s="235">
        <f>'[5]Debt Service Schedule'!Y12</f>
        <v>0</v>
      </c>
      <c r="AA12" s="330">
        <f>'[5]Debt Service Schedule'!Z12</f>
        <v>0</v>
      </c>
    </row>
    <row r="13" spans="2:27" x14ac:dyDescent="0.25">
      <c r="B13" s="345" t="str">
        <f>'[5]Debt Service Schedule'!C13</f>
        <v xml:space="preserve">KIA Big Woods </v>
      </c>
      <c r="C13" s="233">
        <f>'[5]Debt Service Schedule'!D13</f>
        <v>19739</v>
      </c>
      <c r="D13" s="233">
        <f>'[5]Debt Service Schedule'!E13</f>
        <v>1776</v>
      </c>
      <c r="E13" s="233">
        <f>'[5]Debt Service Schedule'!F13</f>
        <v>19937</v>
      </c>
      <c r="F13" s="233">
        <f>'[5]Debt Service Schedule'!G13</f>
        <v>1540</v>
      </c>
      <c r="G13" s="233">
        <f>'[5]Debt Service Schedule'!H13</f>
        <v>20137</v>
      </c>
      <c r="H13" s="233">
        <f>'[5]Debt Service Schedule'!I13</f>
        <v>1300</v>
      </c>
      <c r="I13" s="233">
        <f>'[5]Debt Service Schedule'!J13</f>
        <v>20339</v>
      </c>
      <c r="J13" s="233">
        <f>'[5]Debt Service Schedule'!K13</f>
        <v>1057</v>
      </c>
      <c r="K13" s="263">
        <f>'[5]Debt Service Schedule'!L13</f>
        <v>20534</v>
      </c>
      <c r="L13" s="263">
        <f>'[5]Debt Service Schedule'!M13</f>
        <v>812</v>
      </c>
      <c r="M13" s="234">
        <f t="shared" ref="M13:M22" si="0">SUM(C13:L13)</f>
        <v>107171</v>
      </c>
      <c r="N13" s="221"/>
      <c r="O13" s="212"/>
      <c r="P13" s="212"/>
      <c r="Q13" s="312">
        <f t="shared" ref="Q13:Q19" si="1">M13/5</f>
        <v>21434.2</v>
      </c>
      <c r="R13" s="214">
        <f t="shared" ref="R13:R18" si="2">$Q13*X13</f>
        <v>0</v>
      </c>
      <c r="S13" s="214">
        <f t="shared" ref="S13:S22" si="3">$Q13*Y13</f>
        <v>21434.2</v>
      </c>
      <c r="T13" s="214">
        <f t="shared" ref="T13:T22" si="4">$Q13*Z13</f>
        <v>0</v>
      </c>
      <c r="U13" s="309">
        <f t="shared" ref="U13:U22" si="5">$Q13*AA13</f>
        <v>0</v>
      </c>
      <c r="V13" s="214"/>
      <c r="W13" s="212"/>
      <c r="X13" s="329">
        <f>'[5]Debt Service Schedule'!W13</f>
        <v>0</v>
      </c>
      <c r="Y13" s="235">
        <f>'[5]Debt Service Schedule'!X13</f>
        <v>1</v>
      </c>
      <c r="Z13" s="235">
        <f>'[5]Debt Service Schedule'!Y13</f>
        <v>0</v>
      </c>
      <c r="AA13" s="330">
        <f>'[5]Debt Service Schedule'!Z13</f>
        <v>0</v>
      </c>
    </row>
    <row r="14" spans="2:27" x14ac:dyDescent="0.25">
      <c r="B14" s="345" t="str">
        <f>'[5]Debt Service Schedule'!C14</f>
        <v xml:space="preserve">KIA Phase IV </v>
      </c>
      <c r="C14" s="233">
        <f>'[5]Debt Service Schedule'!D14</f>
        <v>31539</v>
      </c>
      <c r="D14" s="233">
        <f>'[5]Debt Service Schedule'!E14</f>
        <v>3246</v>
      </c>
      <c r="E14" s="233">
        <f>'[5]Debt Service Schedule'!F14</f>
        <v>31856</v>
      </c>
      <c r="F14" s="233">
        <f>'[5]Debt Service Schedule'!G14</f>
        <v>2867</v>
      </c>
      <c r="G14" s="233">
        <f>'[5]Debt Service Schedule'!H14</f>
        <v>32175</v>
      </c>
      <c r="H14" s="233">
        <f>'[5]Debt Service Schedule'!I14</f>
        <v>2482</v>
      </c>
      <c r="I14" s="233">
        <f>'[5]Debt Service Schedule'!J14</f>
        <v>32498</v>
      </c>
      <c r="J14" s="233">
        <f>'[5]Debt Service Schedule'!K14</f>
        <v>2096</v>
      </c>
      <c r="K14" s="263">
        <f>'[5]Debt Service Schedule'!L14</f>
        <v>32823</v>
      </c>
      <c r="L14" s="263">
        <f>'[5]Debt Service Schedule'!M14</f>
        <v>1705</v>
      </c>
      <c r="M14" s="234">
        <f t="shared" si="0"/>
        <v>173287</v>
      </c>
      <c r="N14" s="221"/>
      <c r="O14" s="212"/>
      <c r="P14" s="212"/>
      <c r="Q14" s="312">
        <f t="shared" si="1"/>
        <v>34657.4</v>
      </c>
      <c r="R14" s="214">
        <f t="shared" si="2"/>
        <v>0</v>
      </c>
      <c r="S14" s="214">
        <f t="shared" si="3"/>
        <v>34657.4</v>
      </c>
      <c r="T14" s="214">
        <f t="shared" si="4"/>
        <v>0</v>
      </c>
      <c r="U14" s="309">
        <f t="shared" si="5"/>
        <v>0</v>
      </c>
      <c r="V14" s="214"/>
      <c r="W14" s="212"/>
      <c r="X14" s="329">
        <f>'[5]Debt Service Schedule'!W14</f>
        <v>0</v>
      </c>
      <c r="Y14" s="235">
        <f>'[5]Debt Service Schedule'!X14</f>
        <v>1</v>
      </c>
      <c r="Z14" s="235">
        <f>'[5]Debt Service Schedule'!Y14</f>
        <v>0</v>
      </c>
      <c r="AA14" s="330">
        <f>'[5]Debt Service Schedule'!Z14</f>
        <v>0</v>
      </c>
    </row>
    <row r="15" spans="2:27" x14ac:dyDescent="0.25">
      <c r="B15" s="345" t="str">
        <f>'[5]Debt Service Schedule'!C15</f>
        <v xml:space="preserve">KIA Wastewater Treatment Plant </v>
      </c>
      <c r="C15" s="233">
        <f>'[5]Debt Service Schedule'!D15</f>
        <v>95456</v>
      </c>
      <c r="D15" s="233">
        <f>'[5]Debt Service Schedule'!E15</f>
        <v>11700</v>
      </c>
      <c r="E15" s="233">
        <f>'[5]Debt Service Schedule'!F15</f>
        <v>96413</v>
      </c>
      <c r="F15" s="233">
        <f>'[5]Debt Service Schedule'!G15</f>
        <v>10551</v>
      </c>
      <c r="G15" s="233">
        <f>'[5]Debt Service Schedule'!H15</f>
        <v>97379</v>
      </c>
      <c r="H15" s="233">
        <f>'[5]Debt Service Schedule'!I15</f>
        <v>9391</v>
      </c>
      <c r="I15" s="233">
        <f>'[5]Debt Service Schedule'!J15</f>
        <v>98355</v>
      </c>
      <c r="J15" s="233">
        <f>'[5]Debt Service Schedule'!K15</f>
        <v>8220</v>
      </c>
      <c r="K15" s="263">
        <f>'[5]Debt Service Schedule'!L15</f>
        <v>99342</v>
      </c>
      <c r="L15" s="263">
        <f>'[5]Debt Service Schedule'!M15</f>
        <v>7037</v>
      </c>
      <c r="M15" s="234">
        <f t="shared" si="0"/>
        <v>533844</v>
      </c>
      <c r="N15" s="221"/>
      <c r="O15" s="212"/>
      <c r="P15" s="212"/>
      <c r="Q15" s="312">
        <f t="shared" si="1"/>
        <v>106768.8</v>
      </c>
      <c r="R15" s="214">
        <f t="shared" si="2"/>
        <v>0</v>
      </c>
      <c r="S15" s="214">
        <f t="shared" si="3"/>
        <v>106768.8</v>
      </c>
      <c r="T15" s="214">
        <f t="shared" si="4"/>
        <v>0</v>
      </c>
      <c r="U15" s="309">
        <f t="shared" si="5"/>
        <v>0</v>
      </c>
      <c r="V15" s="214"/>
      <c r="W15" s="212"/>
      <c r="X15" s="329">
        <f>'[5]Debt Service Schedule'!W15</f>
        <v>0</v>
      </c>
      <c r="Y15" s="235">
        <f>'[5]Debt Service Schedule'!X15</f>
        <v>1</v>
      </c>
      <c r="Z15" s="235">
        <f>'[5]Debt Service Schedule'!Y15</f>
        <v>0</v>
      </c>
      <c r="AA15" s="330">
        <f>'[5]Debt Service Schedule'!Z15</f>
        <v>0</v>
      </c>
    </row>
    <row r="16" spans="2:27" x14ac:dyDescent="0.25">
      <c r="B16" s="345" t="str">
        <f>'[5]Debt Service Schedule'!C16</f>
        <v xml:space="preserve">KIA KY 801 and 158 Sewer Extension </v>
      </c>
      <c r="C16" s="233">
        <f>'[5]Debt Service Schedule'!D16</f>
        <v>87677</v>
      </c>
      <c r="D16" s="233">
        <f>'[5]Debt Service Schedule'!E16</f>
        <v>10039</v>
      </c>
      <c r="E16" s="233">
        <f>'[5]Debt Service Schedule'!F16</f>
        <v>88336</v>
      </c>
      <c r="F16" s="233">
        <f>'[5]Debt Service Schedule'!G16</f>
        <v>9379</v>
      </c>
      <c r="G16" s="233">
        <f>'[5]Debt Service Schedule'!H16</f>
        <v>89001</v>
      </c>
      <c r="H16" s="233">
        <f>'[5]Debt Service Schedule'!I16</f>
        <v>8714</v>
      </c>
      <c r="I16" s="233">
        <f>'[5]Debt Service Schedule'!J16</f>
        <v>89671</v>
      </c>
      <c r="J16" s="233">
        <f>'[5]Debt Service Schedule'!K16</f>
        <v>8044</v>
      </c>
      <c r="K16" s="263">
        <f>'[5]Debt Service Schedule'!L16</f>
        <v>90346</v>
      </c>
      <c r="L16" s="263">
        <f>'[5]Debt Service Schedule'!M16</f>
        <v>7369</v>
      </c>
      <c r="M16" s="234">
        <f t="shared" si="0"/>
        <v>488576</v>
      </c>
      <c r="N16" s="221"/>
      <c r="O16" s="212"/>
      <c r="P16" s="212"/>
      <c r="Q16" s="312">
        <f t="shared" si="1"/>
        <v>97715.199999999997</v>
      </c>
      <c r="R16" s="214">
        <f t="shared" si="2"/>
        <v>0</v>
      </c>
      <c r="S16" s="214">
        <f t="shared" si="3"/>
        <v>97715.199999999997</v>
      </c>
      <c r="T16" s="214">
        <f t="shared" si="4"/>
        <v>0</v>
      </c>
      <c r="U16" s="309">
        <f t="shared" si="5"/>
        <v>0</v>
      </c>
      <c r="V16" s="214"/>
      <c r="W16" s="212"/>
      <c r="X16" s="329">
        <f>'[5]Debt Service Schedule'!W16</f>
        <v>0</v>
      </c>
      <c r="Y16" s="235">
        <f>'[5]Debt Service Schedule'!X16</f>
        <v>1</v>
      </c>
      <c r="Z16" s="235">
        <f>'[5]Debt Service Schedule'!Y16</f>
        <v>0</v>
      </c>
      <c r="AA16" s="330">
        <f>'[5]Debt Service Schedule'!Z16</f>
        <v>0</v>
      </c>
    </row>
    <row r="17" spans="2:27" x14ac:dyDescent="0.25">
      <c r="B17" s="345" t="str">
        <f>'[5]Debt Service Schedule'!C17</f>
        <v xml:space="preserve">KIA A19-032 US60 and KY 801 SSO </v>
      </c>
      <c r="C17" s="233">
        <f>'[5]Debt Service Schedule'!D17</f>
        <v>172292</v>
      </c>
      <c r="D17" s="233">
        <f>'[5]Debt Service Schedule'!E17</f>
        <v>116066</v>
      </c>
      <c r="E17" s="233">
        <f>'[5]Debt Service Schedule'!F17</f>
        <v>177090</v>
      </c>
      <c r="F17" s="233">
        <f>'[5]Debt Service Schedule'!G17</f>
        <v>111268</v>
      </c>
      <c r="G17" s="233">
        <f>'[5]Debt Service Schedule'!H17</f>
        <v>182022</v>
      </c>
      <c r="H17" s="233">
        <f>'[5]Debt Service Schedule'!I17</f>
        <v>106336</v>
      </c>
      <c r="I17" s="233">
        <f>'[5]Debt Service Schedule'!J17</f>
        <v>187091</v>
      </c>
      <c r="J17" s="233">
        <f>'[5]Debt Service Schedule'!K17</f>
        <v>101267</v>
      </c>
      <c r="K17" s="263">
        <f>'[5]Debt Service Schedule'!L17</f>
        <v>192301</v>
      </c>
      <c r="L17" s="263">
        <f>'[5]Debt Service Schedule'!M17</f>
        <v>96056</v>
      </c>
      <c r="M17" s="234">
        <f t="shared" si="0"/>
        <v>1441789</v>
      </c>
      <c r="N17" s="221"/>
      <c r="O17" s="212"/>
      <c r="P17" s="212"/>
      <c r="Q17" s="312">
        <f t="shared" si="1"/>
        <v>288357.8</v>
      </c>
      <c r="R17" s="214">
        <f t="shared" si="2"/>
        <v>0</v>
      </c>
      <c r="S17" s="214">
        <f t="shared" si="3"/>
        <v>288357.8</v>
      </c>
      <c r="T17" s="214">
        <f t="shared" si="4"/>
        <v>0</v>
      </c>
      <c r="U17" s="309">
        <f t="shared" si="5"/>
        <v>0</v>
      </c>
      <c r="V17" s="214"/>
      <c r="W17" s="212"/>
      <c r="X17" s="329">
        <f>'[5]Debt Service Schedule'!W17</f>
        <v>0</v>
      </c>
      <c r="Y17" s="235">
        <f>'[5]Debt Service Schedule'!X17</f>
        <v>1</v>
      </c>
      <c r="Z17" s="235">
        <f>'[5]Debt Service Schedule'!Y17</f>
        <v>0</v>
      </c>
      <c r="AA17" s="330">
        <f>'[5]Debt Service Schedule'!Z17</f>
        <v>0</v>
      </c>
    </row>
    <row r="18" spans="2:27" x14ac:dyDescent="0.25">
      <c r="B18" s="345" t="str">
        <f>'[5]Debt Service Schedule'!C18</f>
        <v>KIA A20-020</v>
      </c>
      <c r="C18" s="233">
        <f>'[5]Debt Service Schedule'!D18</f>
        <v>28630</v>
      </c>
      <c r="D18" s="233">
        <f>'[5]Debt Service Schedule'!E18</f>
        <v>9577</v>
      </c>
      <c r="E18" s="233">
        <f>'[5]Debt Service Schedule'!F18</f>
        <v>29062</v>
      </c>
      <c r="F18" s="233">
        <f>'[5]Debt Service Schedule'!G18</f>
        <v>9145</v>
      </c>
      <c r="G18" s="233">
        <f>'[5]Debt Service Schedule'!H18</f>
        <v>29501</v>
      </c>
      <c r="H18" s="233">
        <f>'[5]Debt Service Schedule'!I18</f>
        <v>8706</v>
      </c>
      <c r="I18" s="233">
        <f>'[5]Debt Service Schedule'!J18</f>
        <v>29947</v>
      </c>
      <c r="J18" s="233">
        <f>'[5]Debt Service Schedule'!K18</f>
        <v>8260</v>
      </c>
      <c r="K18" s="263">
        <f>'[5]Debt Service Schedule'!L18</f>
        <v>30399</v>
      </c>
      <c r="L18" s="263">
        <f>'[5]Debt Service Schedule'!M18</f>
        <v>7808</v>
      </c>
      <c r="M18" s="234">
        <f t="shared" si="0"/>
        <v>191035</v>
      </c>
      <c r="N18" s="221"/>
      <c r="O18" s="212"/>
      <c r="P18" s="212"/>
      <c r="Q18" s="312">
        <f t="shared" si="1"/>
        <v>38207</v>
      </c>
      <c r="R18" s="214">
        <f t="shared" si="2"/>
        <v>0</v>
      </c>
      <c r="S18" s="214">
        <f t="shared" si="3"/>
        <v>38207</v>
      </c>
      <c r="T18" s="214">
        <f t="shared" si="4"/>
        <v>0</v>
      </c>
      <c r="U18" s="309">
        <f t="shared" si="5"/>
        <v>0</v>
      </c>
      <c r="V18" s="214"/>
      <c r="W18" s="212"/>
      <c r="X18" s="329">
        <f>'[5]Debt Service Schedule'!W18</f>
        <v>0</v>
      </c>
      <c r="Y18" s="235">
        <f>'[5]Debt Service Schedule'!X18</f>
        <v>1</v>
      </c>
      <c r="Z18" s="235">
        <f>'[5]Debt Service Schedule'!Y18</f>
        <v>0</v>
      </c>
      <c r="AA18" s="330">
        <f>'[5]Debt Service Schedule'!Z18</f>
        <v>0</v>
      </c>
    </row>
    <row r="19" spans="2:27" x14ac:dyDescent="0.25">
      <c r="B19" s="345" t="str">
        <f>'[5]Debt Service Schedule'!C19</f>
        <v>KIA New Regional Water Treatment Plant</v>
      </c>
      <c r="C19" s="233">
        <f>'[5]Debt Service Schedule'!D19</f>
        <v>0</v>
      </c>
      <c r="D19" s="233">
        <f>'[5]Debt Service Schedule'!E19</f>
        <v>0</v>
      </c>
      <c r="E19" s="233">
        <f>'[5]Debt Service Schedule'!F19</f>
        <v>0</v>
      </c>
      <c r="F19" s="233">
        <f>'[5]Debt Service Schedule'!G19</f>
        <v>0</v>
      </c>
      <c r="G19" s="233">
        <v>0</v>
      </c>
      <c r="H19" s="233">
        <v>0</v>
      </c>
      <c r="I19" s="233">
        <v>0</v>
      </c>
      <c r="J19" s="233">
        <v>0</v>
      </c>
      <c r="K19" s="263">
        <v>0</v>
      </c>
      <c r="L19" s="263">
        <v>0</v>
      </c>
      <c r="M19" s="234">
        <f t="shared" si="0"/>
        <v>0</v>
      </c>
      <c r="N19" s="221"/>
      <c r="O19" s="212"/>
      <c r="P19" s="212"/>
      <c r="Q19" s="312">
        <f t="shared" si="1"/>
        <v>0</v>
      </c>
      <c r="R19" s="214">
        <f>$Q19*X19</f>
        <v>0</v>
      </c>
      <c r="S19" s="214">
        <f t="shared" si="3"/>
        <v>0</v>
      </c>
      <c r="T19" s="214">
        <f t="shared" si="4"/>
        <v>0</v>
      </c>
      <c r="U19" s="309">
        <f t="shared" si="5"/>
        <v>0</v>
      </c>
      <c r="V19" s="214"/>
      <c r="W19" s="212"/>
      <c r="X19" s="329">
        <f>'[5]Debt Service Schedule'!W19</f>
        <v>1</v>
      </c>
      <c r="Y19" s="235">
        <f>'[5]Debt Service Schedule'!X19</f>
        <v>0</v>
      </c>
      <c r="Z19" s="235">
        <f>'[5]Debt Service Schedule'!Y19</f>
        <v>0</v>
      </c>
      <c r="AA19" s="330">
        <f>'[5]Debt Service Schedule'!Z19</f>
        <v>0</v>
      </c>
    </row>
    <row r="20" spans="2:27" x14ac:dyDescent="0.25">
      <c r="B20" s="345" t="str">
        <f>'[5]Debt Service Schedule'!C20</f>
        <v>Cave Run Lake</v>
      </c>
      <c r="C20" s="233">
        <f>'[5]Debt Service Schedule'!D20</f>
        <v>160000</v>
      </c>
      <c r="D20" s="233">
        <f>'[5]Debt Service Schedule'!E20</f>
        <v>123313</v>
      </c>
      <c r="E20" s="233">
        <f>'[5]Debt Service Schedule'!F20</f>
        <v>165000</v>
      </c>
      <c r="F20" s="233">
        <f>'[5]Debt Service Schedule'!G20</f>
        <v>115188</v>
      </c>
      <c r="G20" s="233">
        <f>'[5]Debt Service Schedule'!H20</f>
        <v>175000</v>
      </c>
      <c r="H20" s="233">
        <f>'[5]Debt Service Schedule'!I20</f>
        <v>106688</v>
      </c>
      <c r="I20" s="233">
        <f>'[5]Debt Service Schedule'!J20</f>
        <v>185000</v>
      </c>
      <c r="J20" s="233">
        <f>'[5]Debt Service Schedule'!K20</f>
        <v>97688</v>
      </c>
      <c r="K20" s="263">
        <f>'[5]Debt Service Schedule'!L20</f>
        <v>195000</v>
      </c>
      <c r="L20" s="263">
        <f>'[5]Debt Service Schedule'!M20</f>
        <v>88188</v>
      </c>
      <c r="M20" s="234">
        <f t="shared" si="0"/>
        <v>1411065</v>
      </c>
      <c r="N20" s="221"/>
      <c r="O20" s="212"/>
      <c r="P20" s="212"/>
      <c r="Q20" s="312">
        <f>M20/5</f>
        <v>282213</v>
      </c>
      <c r="R20" s="214">
        <f>$Q20*X20</f>
        <v>205150.42156634905</v>
      </c>
      <c r="S20" s="214">
        <f t="shared" si="3"/>
        <v>77062.578433650939</v>
      </c>
      <c r="T20" s="214">
        <f t="shared" si="4"/>
        <v>0</v>
      </c>
      <c r="U20" s="309">
        <f t="shared" si="5"/>
        <v>0</v>
      </c>
      <c r="V20" s="214"/>
      <c r="W20" s="212"/>
      <c r="X20" s="329">
        <f>'[5]Debt Service Schedule'!W20</f>
        <v>0.72693469672321631</v>
      </c>
      <c r="Y20" s="235">
        <f>'[5]Debt Service Schedule'!X20</f>
        <v>0.27306530327678363</v>
      </c>
      <c r="Z20" s="235">
        <f>'[5]Debt Service Schedule'!Y20</f>
        <v>0</v>
      </c>
      <c r="AA20" s="330">
        <f>'[5]Debt Service Schedule'!Z20</f>
        <v>0</v>
      </c>
    </row>
    <row r="21" spans="2:27" x14ac:dyDescent="0.25">
      <c r="B21" s="345" t="str">
        <f>'[5]Debt Service Schedule'!C21</f>
        <v>Kentucky Utility Refunding Bonds 2022 Series A</v>
      </c>
      <c r="C21" s="233">
        <f>'[5]Debt Service Schedule'!D21</f>
        <v>0</v>
      </c>
      <c r="D21" s="233">
        <f>'[5]Debt Service Schedule'!E21</f>
        <v>115368</v>
      </c>
      <c r="E21" s="233">
        <f>'[5]Debt Service Schedule'!F21</f>
        <v>50402.64</v>
      </c>
      <c r="F21" s="233">
        <f>'[5]Debt Service Schedule'!G21</f>
        <v>64965.36</v>
      </c>
      <c r="G21" s="233">
        <f>'[5]Debt Service Schedule'!H21</f>
        <v>49103.33</v>
      </c>
      <c r="H21" s="233">
        <f>'[5]Debt Service Schedule'!I21</f>
        <v>66264.67</v>
      </c>
      <c r="I21" s="233">
        <f>'[5]Debt Service Schedule'!J21</f>
        <v>47778.04</v>
      </c>
      <c r="J21" s="233">
        <f>'[5]Debt Service Schedule'!K21</f>
        <v>67589.960000000006</v>
      </c>
      <c r="K21" s="263">
        <f>'[5]Debt Service Schedule'!L21</f>
        <v>46426.239999999998</v>
      </c>
      <c r="L21" s="263">
        <f>'[5]Debt Service Schedule'!M21</f>
        <v>68941.759999999995</v>
      </c>
      <c r="M21" s="234">
        <f t="shared" si="0"/>
        <v>576840</v>
      </c>
      <c r="N21" s="221"/>
      <c r="O21" s="212"/>
      <c r="P21" s="212"/>
      <c r="Q21" s="312">
        <f t="shared" ref="Q21:Q22" si="6">M21/5</f>
        <v>115368</v>
      </c>
      <c r="R21" s="214">
        <f>$Q21*X21</f>
        <v>115368</v>
      </c>
      <c r="S21" s="214">
        <f t="shared" si="3"/>
        <v>0</v>
      </c>
      <c r="T21" s="214">
        <f t="shared" si="4"/>
        <v>0</v>
      </c>
      <c r="U21" s="309">
        <f t="shared" si="5"/>
        <v>0</v>
      </c>
      <c r="V21" s="214"/>
      <c r="W21" s="212"/>
      <c r="X21" s="329">
        <f>'[5]Debt Service Schedule'!W21</f>
        <v>1</v>
      </c>
      <c r="Y21" s="235">
        <f>'[5]Debt Service Schedule'!X21</f>
        <v>0</v>
      </c>
      <c r="Z21" s="235">
        <f>'[5]Debt Service Schedule'!Y21</f>
        <v>0</v>
      </c>
      <c r="AA21" s="330">
        <f>'[5]Debt Service Schedule'!Z21</f>
        <v>0</v>
      </c>
    </row>
    <row r="22" spans="2:27" x14ac:dyDescent="0.25">
      <c r="B22" s="346" t="str">
        <f>'[5]Debt Service Schedule'!C22</f>
        <v>Vehicle Leases</v>
      </c>
      <c r="C22" s="261">
        <f>'[5]Debt Service Schedule'!D22</f>
        <v>174975.35</v>
      </c>
      <c r="D22" s="261">
        <f>'[5]Debt Service Schedule'!E22</f>
        <v>34221.71</v>
      </c>
      <c r="E22" s="261">
        <f>'[5]Debt Service Schedule'!F22</f>
        <v>113651.62</v>
      </c>
      <c r="F22" s="261">
        <f>'[5]Debt Service Schedule'!G22</f>
        <v>23606.47</v>
      </c>
      <c r="G22" s="261">
        <f>'[5]Debt Service Schedule'!H22</f>
        <v>89917.09</v>
      </c>
      <c r="H22" s="261">
        <f>'[5]Debt Service Schedule'!I22</f>
        <v>19297.87</v>
      </c>
      <c r="I22" s="261">
        <f>'[5]Debt Service Schedule'!J22</f>
        <v>67709.13</v>
      </c>
      <c r="J22" s="261">
        <f>'[5]Debt Service Schedule'!K22</f>
        <v>15981.52</v>
      </c>
      <c r="K22" s="262">
        <f>'[5]Debt Service Schedule'!L22</f>
        <v>40283.54</v>
      </c>
      <c r="L22" s="262">
        <f>'[5]Debt Service Schedule'!M22</f>
        <v>10226.08</v>
      </c>
      <c r="M22" s="304">
        <f t="shared" si="0"/>
        <v>589870.38</v>
      </c>
      <c r="N22" s="236"/>
      <c r="O22" s="212"/>
      <c r="P22" s="212"/>
      <c r="Q22" s="313">
        <f t="shared" si="6"/>
        <v>117974.076</v>
      </c>
      <c r="R22" s="237">
        <f>$Q22*X22</f>
        <v>35664.643999999993</v>
      </c>
      <c r="S22" s="237">
        <f t="shared" si="3"/>
        <v>33998.415999999997</v>
      </c>
      <c r="T22" s="237">
        <f t="shared" si="4"/>
        <v>24155.507999999998</v>
      </c>
      <c r="U22" s="314">
        <f t="shared" si="5"/>
        <v>24155.507999999998</v>
      </c>
      <c r="V22" s="214"/>
      <c r="W22" s="212"/>
      <c r="X22" s="329">
        <f>'[5]Debt Service Schedule'!W22</f>
        <v>0.30230916154833876</v>
      </c>
      <c r="Y22" s="235">
        <f>'[5]Debt Service Schedule'!X22</f>
        <v>0.28818548237665365</v>
      </c>
      <c r="Z22" s="235">
        <f>'[5]Debt Service Schedule'!Y22</f>
        <v>0.20475267803750374</v>
      </c>
      <c r="AA22" s="330">
        <f>'[5]Debt Service Schedule'!Z22</f>
        <v>0.20475267803750374</v>
      </c>
    </row>
    <row r="23" spans="2:27" x14ac:dyDescent="0.25">
      <c r="B23" s="347" t="s">
        <v>37</v>
      </c>
      <c r="C23" s="239">
        <f t="shared" ref="C23:M23" si="7">SUM(C12:C22)</f>
        <v>1157048.3500000001</v>
      </c>
      <c r="D23" s="240">
        <f t="shared" si="7"/>
        <v>443700.71</v>
      </c>
      <c r="E23" s="239">
        <f t="shared" si="7"/>
        <v>1162365.2599999998</v>
      </c>
      <c r="F23" s="240">
        <f t="shared" si="7"/>
        <v>359263.82999999996</v>
      </c>
      <c r="G23" s="239">
        <f t="shared" si="7"/>
        <v>1158767.4200000002</v>
      </c>
      <c r="H23" s="240">
        <f t="shared" si="7"/>
        <v>336056.54</v>
      </c>
      <c r="I23" s="239">
        <f t="shared" si="7"/>
        <v>758388.17</v>
      </c>
      <c r="J23" s="240">
        <f t="shared" si="7"/>
        <v>310203.48000000004</v>
      </c>
      <c r="K23" s="239">
        <f t="shared" si="7"/>
        <v>747454.78</v>
      </c>
      <c r="L23" s="240">
        <f t="shared" si="7"/>
        <v>288142.84000000003</v>
      </c>
      <c r="M23" s="241">
        <f t="shared" si="7"/>
        <v>6721391.3799999999</v>
      </c>
      <c r="N23" s="221"/>
      <c r="O23" s="212"/>
      <c r="P23" s="212"/>
      <c r="Q23" s="315">
        <f>SUM(Q12:Q22)</f>
        <v>1344278.2760000001</v>
      </c>
      <c r="R23" s="242">
        <f>SUM(R12:R22)</f>
        <v>356183.06556634902</v>
      </c>
      <c r="S23" s="242">
        <f>SUM(S12:S22)</f>
        <v>939784.19443365082</v>
      </c>
      <c r="T23" s="242">
        <f>SUM(T12:T22)</f>
        <v>24155.507999999998</v>
      </c>
      <c r="U23" s="316">
        <f>SUM(U12:U22)</f>
        <v>24155.507999999998</v>
      </c>
      <c r="V23" s="242"/>
      <c r="W23" s="212"/>
      <c r="X23" s="323"/>
      <c r="AA23" s="324"/>
    </row>
    <row r="24" spans="2:27" x14ac:dyDescent="0.25">
      <c r="B24" s="243"/>
      <c r="C24" s="244"/>
      <c r="D24" s="245"/>
      <c r="E24" s="244"/>
      <c r="F24" s="246"/>
      <c r="G24" s="244"/>
      <c r="H24" s="246"/>
      <c r="I24" s="244"/>
      <c r="J24" s="247"/>
      <c r="K24" s="244"/>
      <c r="L24" s="246"/>
      <c r="M24" s="245"/>
      <c r="N24" s="236"/>
      <c r="O24" s="212"/>
      <c r="P24" s="212"/>
      <c r="Q24" s="313"/>
      <c r="R24" s="237"/>
      <c r="S24" s="237"/>
      <c r="T24" s="237"/>
      <c r="U24" s="314"/>
      <c r="V24" s="214"/>
      <c r="W24" s="212"/>
      <c r="X24" s="331"/>
      <c r="Y24" s="332"/>
      <c r="Z24" s="332"/>
      <c r="AA24" s="333"/>
    </row>
    <row r="25" spans="2:27" x14ac:dyDescent="0.25">
      <c r="B25" s="248"/>
      <c r="C25" s="220"/>
      <c r="D25" s="220"/>
      <c r="E25" s="220"/>
      <c r="F25" s="220"/>
      <c r="G25" s="220"/>
      <c r="H25" s="220"/>
      <c r="I25" s="220"/>
      <c r="J25" s="249"/>
      <c r="K25" s="249"/>
      <c r="L25" s="249"/>
      <c r="M25" s="220"/>
      <c r="N25" s="221"/>
      <c r="O25" s="212"/>
      <c r="P25" s="212"/>
      <c r="Q25" s="305"/>
      <c r="R25" s="335"/>
      <c r="S25" s="306"/>
      <c r="T25" s="306"/>
      <c r="U25" s="307"/>
      <c r="V25" s="214"/>
      <c r="W25" s="212"/>
      <c r="X25" s="215"/>
    </row>
    <row r="26" spans="2:27" x14ac:dyDescent="0.25">
      <c r="B26" s="250"/>
      <c r="C26" s="251"/>
      <c r="D26" s="220"/>
      <c r="E26" s="251"/>
      <c r="F26" s="251"/>
      <c r="G26" s="251"/>
      <c r="H26" s="251"/>
      <c r="I26" s="220" t="s">
        <v>67</v>
      </c>
      <c r="J26" s="213"/>
      <c r="K26" s="220"/>
      <c r="L26" s="251"/>
      <c r="M26" s="251">
        <f>M23/5</f>
        <v>1344278.2760000001</v>
      </c>
      <c r="N26" s="221"/>
      <c r="O26" s="212"/>
      <c r="P26" s="212"/>
      <c r="Q26" s="317">
        <f>Q23</f>
        <v>1344278.2760000001</v>
      </c>
      <c r="R26" s="336">
        <f>R23</f>
        <v>356183.06556634902</v>
      </c>
      <c r="S26" s="318">
        <f>S23</f>
        <v>939784.19443365082</v>
      </c>
      <c r="T26" s="318">
        <f>T23</f>
        <v>24155.507999999998</v>
      </c>
      <c r="U26" s="319">
        <f>U23</f>
        <v>24155.507999999998</v>
      </c>
      <c r="V26" s="318"/>
      <c r="W26" s="212"/>
      <c r="X26" s="215"/>
    </row>
    <row r="27" spans="2:27" x14ac:dyDescent="0.25">
      <c r="B27" s="252"/>
      <c r="C27" s="220"/>
      <c r="D27" s="213"/>
      <c r="E27" s="220"/>
      <c r="F27" s="220"/>
      <c r="G27" s="220"/>
      <c r="H27" s="220"/>
      <c r="I27" s="220"/>
      <c r="J27" s="213"/>
      <c r="K27" s="213"/>
      <c r="L27" s="220"/>
      <c r="M27" s="253"/>
      <c r="N27" s="221"/>
      <c r="O27" s="212"/>
      <c r="P27" s="212"/>
      <c r="Q27" s="317"/>
      <c r="R27" s="336"/>
      <c r="S27" s="318"/>
      <c r="T27" s="318"/>
      <c r="U27" s="319"/>
      <c r="V27" s="318"/>
      <c r="W27" s="212"/>
      <c r="X27" s="215"/>
    </row>
    <row r="28" spans="2:27" x14ac:dyDescent="0.25">
      <c r="B28" s="250"/>
      <c r="C28" s="220"/>
      <c r="D28" s="220"/>
      <c r="E28" s="220"/>
      <c r="F28" s="220"/>
      <c r="G28" s="220"/>
      <c r="H28" s="220"/>
      <c r="I28" s="220" t="s">
        <v>68</v>
      </c>
      <c r="J28" s="213"/>
      <c r="K28" s="220"/>
      <c r="L28" s="220"/>
      <c r="M28" s="251">
        <f>M26*$B$34</f>
        <v>268855.65520000004</v>
      </c>
      <c r="N28" s="221"/>
      <c r="O28" s="212"/>
      <c r="P28" s="212"/>
      <c r="Q28" s="317">
        <f>Q23*$B$34</f>
        <v>268855.65520000004</v>
      </c>
      <c r="R28" s="336">
        <f>R23*$B$34</f>
        <v>71236.613113269806</v>
      </c>
      <c r="S28" s="318">
        <f>S23*$B$34</f>
        <v>187956.83888673017</v>
      </c>
      <c r="T28" s="318">
        <f>T23*$B$34</f>
        <v>4831.1016</v>
      </c>
      <c r="U28" s="319">
        <f>U23*$B$34</f>
        <v>4831.1016</v>
      </c>
      <c r="V28" s="318"/>
      <c r="W28" s="212"/>
      <c r="X28" s="254"/>
    </row>
    <row r="29" spans="2:27" x14ac:dyDescent="0.25">
      <c r="B29" s="250"/>
      <c r="C29" s="220"/>
      <c r="D29" s="220"/>
      <c r="E29" s="220"/>
      <c r="F29" s="220"/>
      <c r="G29" s="220"/>
      <c r="H29" s="220"/>
      <c r="I29" s="220"/>
      <c r="J29" s="213"/>
      <c r="K29" s="220"/>
      <c r="L29" s="220"/>
      <c r="M29" s="251"/>
      <c r="N29" s="221"/>
      <c r="O29" s="212"/>
      <c r="P29" s="212"/>
      <c r="Q29" s="317"/>
      <c r="R29" s="336"/>
      <c r="S29" s="318"/>
      <c r="T29" s="318"/>
      <c r="U29" s="319"/>
      <c r="V29" s="318"/>
      <c r="W29" s="212"/>
      <c r="X29" s="254"/>
    </row>
    <row r="30" spans="2:27" x14ac:dyDescent="0.25">
      <c r="B30" s="255"/>
      <c r="C30" s="256"/>
      <c r="D30" s="256"/>
      <c r="E30" s="256"/>
      <c r="F30" s="256"/>
      <c r="G30" s="256"/>
      <c r="H30" s="256"/>
      <c r="I30" s="338" t="s">
        <v>193</v>
      </c>
      <c r="J30" s="256"/>
      <c r="K30" s="256"/>
      <c r="L30" s="256"/>
      <c r="M30" s="339">
        <f>M26+M28</f>
        <v>1613133.9312</v>
      </c>
      <c r="N30" s="236"/>
      <c r="O30" s="212"/>
      <c r="P30" s="212"/>
      <c r="Q30" s="349">
        <f t="shared" ref="Q30:U30" si="8">Q26+Q28</f>
        <v>1613133.9312</v>
      </c>
      <c r="R30" s="350">
        <f t="shared" si="8"/>
        <v>427419.67867961881</v>
      </c>
      <c r="S30" s="339">
        <f t="shared" si="8"/>
        <v>1127741.0333203811</v>
      </c>
      <c r="T30" s="339">
        <f t="shared" si="8"/>
        <v>28986.609599999996</v>
      </c>
      <c r="U30" s="348">
        <f t="shared" si="8"/>
        <v>28986.609599999996</v>
      </c>
      <c r="V30" s="352"/>
      <c r="W30" s="212"/>
      <c r="X30" s="215"/>
    </row>
    <row r="32" spans="2:27" x14ac:dyDescent="0.25">
      <c r="I32" s="257" t="s">
        <v>162</v>
      </c>
      <c r="M32" s="337">
        <f>'[5]Debt Service Schedule'!$N$30</f>
        <v>1613133.9312</v>
      </c>
      <c r="Q32" s="337">
        <f>'[5]Debt Service Schedule'!$N$30</f>
        <v>1613133.9312</v>
      </c>
    </row>
    <row r="33" spans="2:17" x14ac:dyDescent="0.25">
      <c r="B33" s="166" t="s">
        <v>173</v>
      </c>
      <c r="M33" s="258" t="str">
        <f>IF(M32=M30,"OK","Out of Balance")</f>
        <v>OK</v>
      </c>
      <c r="Q33" s="258" t="str">
        <f>IF(Q32=Q30,"OK","Out of Balance")</f>
        <v>OK</v>
      </c>
    </row>
    <row r="34" spans="2:17" x14ac:dyDescent="0.25">
      <c r="B34" s="260">
        <v>0.2</v>
      </c>
    </row>
  </sheetData>
  <mergeCells count="9">
    <mergeCell ref="B3:L3"/>
    <mergeCell ref="B4:L4"/>
    <mergeCell ref="B5:L5"/>
    <mergeCell ref="B6:L6"/>
    <mergeCell ref="C9:D9"/>
    <mergeCell ref="E9:F9"/>
    <mergeCell ref="G9:H9"/>
    <mergeCell ref="I9:J9"/>
    <mergeCell ref="K9:L9"/>
  </mergeCells>
  <pageMargins left="0.7" right="0.7" top="0.75" bottom="0.75" header="0.3" footer="0.3"/>
  <pageSetup scale="91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92F-232F-42BA-BABC-F0743E3DFE04}">
  <sheetPr>
    <pageSetUpPr fitToPage="1"/>
  </sheetPr>
  <dimension ref="B1:AA37"/>
  <sheetViews>
    <sheetView showGridLines="0" topLeftCell="N16" workbookViewId="0">
      <selection activeCell="V31" sqref="A1:V31"/>
    </sheetView>
  </sheetViews>
  <sheetFormatPr defaultRowHeight="15" x14ac:dyDescent="0.25"/>
  <cols>
    <col min="1" max="1" width="1.77734375" style="166" customWidth="1"/>
    <col min="2" max="2" width="33.109375" style="166" bestFit="1" customWidth="1"/>
    <col min="3" max="6" width="10.44140625" style="257" hidden="1" customWidth="1"/>
    <col min="7" max="13" width="10.44140625" style="257" customWidth="1"/>
    <col min="14" max="15" width="0.77734375" style="166" customWidth="1"/>
    <col min="16" max="16" width="2.33203125" style="166" customWidth="1"/>
    <col min="17" max="21" width="12.109375" style="259" customWidth="1"/>
    <col min="22" max="22" width="2.5546875" style="259" customWidth="1"/>
    <col min="23" max="23" width="2.5546875" style="166" customWidth="1"/>
    <col min="24" max="24" width="9.6640625" style="216" customWidth="1"/>
    <col min="25" max="27" width="8.88671875" style="216"/>
    <col min="28" max="16384" width="8.88671875" style="166"/>
  </cols>
  <sheetData>
    <row r="1" spans="2:27" x14ac:dyDescent="0.25"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2"/>
      <c r="O1" s="212"/>
      <c r="P1" s="212"/>
      <c r="Q1" s="214"/>
      <c r="R1" s="214"/>
      <c r="S1" s="214"/>
      <c r="T1" s="214"/>
      <c r="U1" s="214"/>
      <c r="V1" s="214"/>
      <c r="W1" s="212"/>
      <c r="X1" s="215"/>
    </row>
    <row r="2" spans="2:27" x14ac:dyDescent="0.25"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  <c r="O2" s="212"/>
      <c r="P2" s="212"/>
      <c r="Q2" s="214"/>
      <c r="R2" s="214"/>
      <c r="S2" s="214"/>
      <c r="T2" s="214"/>
      <c r="U2" s="214"/>
      <c r="V2" s="214"/>
      <c r="W2" s="212"/>
      <c r="X2" s="215"/>
    </row>
    <row r="3" spans="2:27" ht="18.75" x14ac:dyDescent="0.3">
      <c r="B3" s="442" t="s">
        <v>204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220"/>
      <c r="N3" s="221"/>
      <c r="O3" s="212"/>
      <c r="P3" s="212"/>
      <c r="Q3" s="214"/>
      <c r="R3" s="214"/>
      <c r="S3" s="214"/>
      <c r="T3" s="214"/>
      <c r="U3" s="214"/>
      <c r="V3" s="214"/>
      <c r="W3" s="212"/>
      <c r="X3" s="215"/>
    </row>
    <row r="4" spans="2:27" ht="18.75" x14ac:dyDescent="0.3">
      <c r="B4" s="444" t="s">
        <v>63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222"/>
      <c r="N4" s="221"/>
      <c r="O4" s="212"/>
      <c r="P4" s="212"/>
      <c r="Q4" s="214"/>
      <c r="R4" s="214"/>
      <c r="S4" s="214"/>
      <c r="T4" s="214"/>
      <c r="U4" s="214"/>
      <c r="V4" s="214"/>
      <c r="W4" s="212"/>
      <c r="X4" s="215"/>
    </row>
    <row r="5" spans="2:27" ht="15.75" x14ac:dyDescent="0.25">
      <c r="B5" s="446" t="s">
        <v>149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220"/>
      <c r="N5" s="221"/>
      <c r="O5" s="212"/>
      <c r="P5" s="212"/>
      <c r="Q5" s="214"/>
      <c r="R5" s="214"/>
      <c r="S5" s="214"/>
      <c r="T5" s="214"/>
      <c r="U5" s="214"/>
      <c r="V5" s="214"/>
      <c r="W5" s="212"/>
      <c r="X5" s="215"/>
    </row>
    <row r="6" spans="2:27" ht="15.75" x14ac:dyDescent="0.25">
      <c r="B6" s="448" t="s">
        <v>107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213"/>
      <c r="N6" s="221"/>
      <c r="O6" s="212"/>
      <c r="P6" s="212"/>
      <c r="Q6" s="214"/>
      <c r="R6" s="214"/>
      <c r="S6" s="214"/>
      <c r="T6" s="214"/>
      <c r="U6" s="214"/>
      <c r="V6" s="214"/>
      <c r="W6" s="212"/>
      <c r="X6" s="215"/>
    </row>
    <row r="7" spans="2:27" x14ac:dyDescent="0.25">
      <c r="B7" s="22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21"/>
      <c r="O7" s="212"/>
      <c r="P7" s="212"/>
      <c r="Q7" s="214"/>
      <c r="R7" s="214"/>
      <c r="S7" s="214"/>
      <c r="T7" s="214"/>
      <c r="U7" s="214"/>
      <c r="V7" s="214"/>
      <c r="W7" s="212"/>
      <c r="X7" s="215"/>
    </row>
    <row r="8" spans="2:27" x14ac:dyDescent="0.25">
      <c r="B8" s="224"/>
      <c r="C8" s="225"/>
      <c r="D8" s="218"/>
      <c r="E8" s="225"/>
      <c r="F8" s="226"/>
      <c r="G8" s="225"/>
      <c r="H8" s="226"/>
      <c r="I8" s="225"/>
      <c r="J8" s="226"/>
      <c r="K8" s="225"/>
      <c r="L8" s="226"/>
      <c r="M8" s="218"/>
      <c r="N8" s="219"/>
      <c r="O8" s="212"/>
      <c r="P8" s="212"/>
      <c r="Q8" s="305"/>
      <c r="R8" s="306"/>
      <c r="S8" s="306"/>
      <c r="T8" s="306"/>
      <c r="U8" s="307"/>
      <c r="V8" s="214"/>
      <c r="W8" s="212"/>
      <c r="X8" s="320"/>
      <c r="Y8" s="321"/>
      <c r="Z8" s="321"/>
      <c r="AA8" s="322"/>
    </row>
    <row r="9" spans="2:27" ht="17.25" x14ac:dyDescent="0.25">
      <c r="B9" s="227"/>
      <c r="C9" s="450" t="s">
        <v>108</v>
      </c>
      <c r="D9" s="451"/>
      <c r="E9" s="450" t="s">
        <v>109</v>
      </c>
      <c r="F9" s="451"/>
      <c r="G9" s="450" t="s">
        <v>110</v>
      </c>
      <c r="H9" s="451"/>
      <c r="I9" s="450" t="s">
        <v>111</v>
      </c>
      <c r="J9" s="451"/>
      <c r="K9" s="450" t="s">
        <v>112</v>
      </c>
      <c r="L9" s="451"/>
      <c r="M9" s="213"/>
      <c r="N9" s="221"/>
      <c r="O9" s="212"/>
      <c r="P9" s="212"/>
      <c r="Q9" s="308" t="s">
        <v>166</v>
      </c>
      <c r="R9" s="214"/>
      <c r="S9" s="214"/>
      <c r="T9" s="214"/>
      <c r="U9" s="309"/>
      <c r="V9" s="214"/>
      <c r="W9" s="212"/>
      <c r="X9" s="323"/>
      <c r="AA9" s="324"/>
    </row>
    <row r="10" spans="2:27" ht="17.25" x14ac:dyDescent="0.25">
      <c r="B10" s="227"/>
      <c r="C10" s="228"/>
      <c r="D10" s="229" t="s">
        <v>64</v>
      </c>
      <c r="E10" s="230"/>
      <c r="F10" s="229" t="s">
        <v>64</v>
      </c>
      <c r="G10" s="230"/>
      <c r="H10" s="229" t="s">
        <v>64</v>
      </c>
      <c r="I10" s="230"/>
      <c r="J10" s="229" t="s">
        <v>64</v>
      </c>
      <c r="K10" s="230"/>
      <c r="L10" s="229" t="s">
        <v>64</v>
      </c>
      <c r="M10" s="213"/>
      <c r="N10" s="221"/>
      <c r="O10" s="212"/>
      <c r="P10" s="212"/>
      <c r="Q10" s="308" t="s">
        <v>167</v>
      </c>
      <c r="R10" s="214"/>
      <c r="S10" s="214"/>
      <c r="T10" s="214"/>
      <c r="U10" s="309"/>
      <c r="V10" s="214"/>
      <c r="W10" s="212"/>
      <c r="X10" s="325" t="s">
        <v>168</v>
      </c>
      <c r="Y10" s="231" t="s">
        <v>168</v>
      </c>
      <c r="Z10" s="231" t="s">
        <v>168</v>
      </c>
      <c r="AA10" s="326" t="s">
        <v>168</v>
      </c>
    </row>
    <row r="11" spans="2:27" ht="17.25" x14ac:dyDescent="0.25">
      <c r="B11" s="227"/>
      <c r="C11" s="228" t="s">
        <v>65</v>
      </c>
      <c r="D11" s="232" t="s">
        <v>66</v>
      </c>
      <c r="E11" s="228" t="s">
        <v>65</v>
      </c>
      <c r="F11" s="232" t="s">
        <v>66</v>
      </c>
      <c r="G11" s="228" t="s">
        <v>65</v>
      </c>
      <c r="H11" s="232" t="s">
        <v>66</v>
      </c>
      <c r="I11" s="228" t="s">
        <v>65</v>
      </c>
      <c r="J11" s="232" t="s">
        <v>66</v>
      </c>
      <c r="K11" s="228" t="s">
        <v>65</v>
      </c>
      <c r="L11" s="232" t="s">
        <v>66</v>
      </c>
      <c r="M11" s="228" t="s">
        <v>37</v>
      </c>
      <c r="N11" s="221"/>
      <c r="O11" s="212"/>
      <c r="P11" s="212"/>
      <c r="Q11" s="310" t="s">
        <v>169</v>
      </c>
      <c r="R11" s="264" t="s">
        <v>151</v>
      </c>
      <c r="S11" s="264" t="s">
        <v>170</v>
      </c>
      <c r="T11" s="264" t="s">
        <v>171</v>
      </c>
      <c r="U11" s="311" t="s">
        <v>172</v>
      </c>
      <c r="V11" s="351"/>
      <c r="W11" s="212"/>
      <c r="X11" s="327" t="s">
        <v>151</v>
      </c>
      <c r="Y11" s="265" t="s">
        <v>170</v>
      </c>
      <c r="Z11" s="265" t="s">
        <v>171</v>
      </c>
      <c r="AA11" s="328" t="s">
        <v>172</v>
      </c>
    </row>
    <row r="12" spans="2:27" x14ac:dyDescent="0.25">
      <c r="B12" s="302" t="str">
        <f>'[5]Debt Service Schedule'!C12</f>
        <v>Wastewater Revolving Loan Program Fund A</v>
      </c>
      <c r="C12" s="233"/>
      <c r="D12" s="233"/>
      <c r="E12" s="233"/>
      <c r="F12" s="233"/>
      <c r="G12" s="233">
        <f>'[5]Debt Service Schedule'!H12</f>
        <v>394532</v>
      </c>
      <c r="H12" s="233">
        <f>'[5]Debt Service Schedule'!I12</f>
        <v>6877</v>
      </c>
      <c r="I12" s="233">
        <f>'[5]Debt Service Schedule'!J12</f>
        <v>0</v>
      </c>
      <c r="J12" s="233">
        <f>'[5]Debt Service Schedule'!K12</f>
        <v>0</v>
      </c>
      <c r="K12" s="263">
        <f>'[5]Debt Service Schedule'!L12</f>
        <v>0</v>
      </c>
      <c r="L12" s="263">
        <f>'[5]Debt Service Schedule'!M12</f>
        <v>0</v>
      </c>
      <c r="M12" s="234">
        <f>SUM(C12:L12)</f>
        <v>401409</v>
      </c>
      <c r="N12" s="221"/>
      <c r="O12" s="212"/>
      <c r="P12" s="212"/>
      <c r="Q12" s="312">
        <f>M12/3</f>
        <v>133803</v>
      </c>
      <c r="R12" s="214">
        <f>$Q12*X12</f>
        <v>0</v>
      </c>
      <c r="S12" s="214">
        <f>$Q12*Y12</f>
        <v>133803</v>
      </c>
      <c r="T12" s="214">
        <f>$Q12*Z12</f>
        <v>0</v>
      </c>
      <c r="U12" s="309">
        <f>$Q12*AA12</f>
        <v>0</v>
      </c>
      <c r="V12" s="214"/>
      <c r="W12" s="212"/>
      <c r="X12" s="329">
        <f>'[5]Debt Service Schedule'!W12</f>
        <v>0</v>
      </c>
      <c r="Y12" s="235">
        <f>'[5]Debt Service Schedule'!X12</f>
        <v>1</v>
      </c>
      <c r="Z12" s="235">
        <f>'[5]Debt Service Schedule'!Y12</f>
        <v>0</v>
      </c>
      <c r="AA12" s="330">
        <f>'[5]Debt Service Schedule'!Z12</f>
        <v>0</v>
      </c>
    </row>
    <row r="13" spans="2:27" x14ac:dyDescent="0.25">
      <c r="B13" s="302" t="str">
        <f>'[5]Debt Service Schedule'!C13</f>
        <v xml:space="preserve">KIA Big Woods </v>
      </c>
      <c r="C13" s="233"/>
      <c r="D13" s="233"/>
      <c r="E13" s="233"/>
      <c r="F13" s="233"/>
      <c r="G13" s="233">
        <f>'[5]Debt Service Schedule'!H13</f>
        <v>20137</v>
      </c>
      <c r="H13" s="233">
        <f>'[5]Debt Service Schedule'!I13</f>
        <v>1300</v>
      </c>
      <c r="I13" s="233">
        <f>'[5]Debt Service Schedule'!J13</f>
        <v>20339</v>
      </c>
      <c r="J13" s="233">
        <f>'[5]Debt Service Schedule'!K13</f>
        <v>1057</v>
      </c>
      <c r="K13" s="263">
        <f>'[5]Debt Service Schedule'!L13</f>
        <v>20534</v>
      </c>
      <c r="L13" s="263">
        <f>'[5]Debt Service Schedule'!M13</f>
        <v>812</v>
      </c>
      <c r="M13" s="234">
        <f t="shared" ref="M13:M22" si="0">SUM(C13:L13)</f>
        <v>64179</v>
      </c>
      <c r="N13" s="221"/>
      <c r="O13" s="212"/>
      <c r="P13" s="212"/>
      <c r="Q13" s="312">
        <f>M13/3</f>
        <v>21393</v>
      </c>
      <c r="R13" s="214">
        <f t="shared" ref="R13:R22" si="1">$Q13*X13</f>
        <v>0</v>
      </c>
      <c r="S13" s="214">
        <f t="shared" ref="S13:S22" si="2">$Q13*Y13</f>
        <v>21393</v>
      </c>
      <c r="T13" s="214">
        <f t="shared" ref="T13:T22" si="3">$Q13*Z13</f>
        <v>0</v>
      </c>
      <c r="U13" s="309">
        <f t="shared" ref="U13:U22" si="4">$Q13*AA13</f>
        <v>0</v>
      </c>
      <c r="V13" s="214"/>
      <c r="W13" s="212"/>
      <c r="X13" s="329">
        <f>'[5]Debt Service Schedule'!W13</f>
        <v>0</v>
      </c>
      <c r="Y13" s="235">
        <f>'[5]Debt Service Schedule'!X13</f>
        <v>1</v>
      </c>
      <c r="Z13" s="235">
        <f>'[5]Debt Service Schedule'!Y13</f>
        <v>0</v>
      </c>
      <c r="AA13" s="330">
        <f>'[5]Debt Service Schedule'!Z13</f>
        <v>0</v>
      </c>
    </row>
    <row r="14" spans="2:27" x14ac:dyDescent="0.25">
      <c r="B14" s="302" t="str">
        <f>'[5]Debt Service Schedule'!C14</f>
        <v xml:space="preserve">KIA Phase IV </v>
      </c>
      <c r="C14" s="233"/>
      <c r="D14" s="233"/>
      <c r="E14" s="233"/>
      <c r="F14" s="233"/>
      <c r="G14" s="233">
        <f>'[5]Debt Service Schedule'!H14</f>
        <v>32175</v>
      </c>
      <c r="H14" s="233">
        <f>'[5]Debt Service Schedule'!I14</f>
        <v>2482</v>
      </c>
      <c r="I14" s="233">
        <f>'[5]Debt Service Schedule'!J14</f>
        <v>32498</v>
      </c>
      <c r="J14" s="233">
        <f>'[5]Debt Service Schedule'!K14</f>
        <v>2096</v>
      </c>
      <c r="K14" s="263">
        <f>'[5]Debt Service Schedule'!L14</f>
        <v>32823</v>
      </c>
      <c r="L14" s="263">
        <f>'[5]Debt Service Schedule'!M14</f>
        <v>1705</v>
      </c>
      <c r="M14" s="234">
        <f t="shared" si="0"/>
        <v>103779</v>
      </c>
      <c r="N14" s="221"/>
      <c r="O14" s="212"/>
      <c r="P14" s="212"/>
      <c r="Q14" s="312">
        <f t="shared" ref="Q14:Q22" si="5">M14/3</f>
        <v>34593</v>
      </c>
      <c r="R14" s="214">
        <f t="shared" si="1"/>
        <v>0</v>
      </c>
      <c r="S14" s="214">
        <f t="shared" si="2"/>
        <v>34593</v>
      </c>
      <c r="T14" s="214">
        <f t="shared" si="3"/>
        <v>0</v>
      </c>
      <c r="U14" s="309">
        <f t="shared" si="4"/>
        <v>0</v>
      </c>
      <c r="V14" s="214"/>
      <c r="W14" s="212"/>
      <c r="X14" s="329">
        <f>'[5]Debt Service Schedule'!W14</f>
        <v>0</v>
      </c>
      <c r="Y14" s="235">
        <f>'[5]Debt Service Schedule'!X14</f>
        <v>1</v>
      </c>
      <c r="Z14" s="235">
        <f>'[5]Debt Service Schedule'!Y14</f>
        <v>0</v>
      </c>
      <c r="AA14" s="330">
        <f>'[5]Debt Service Schedule'!Z14</f>
        <v>0</v>
      </c>
    </row>
    <row r="15" spans="2:27" x14ac:dyDescent="0.25">
      <c r="B15" s="302" t="str">
        <f>'[5]Debt Service Schedule'!C15</f>
        <v xml:space="preserve">KIA Wastewater Treatment Plant </v>
      </c>
      <c r="C15" s="233"/>
      <c r="D15" s="233"/>
      <c r="E15" s="233"/>
      <c r="F15" s="233"/>
      <c r="G15" s="233">
        <f>'[5]Debt Service Schedule'!H15</f>
        <v>97379</v>
      </c>
      <c r="H15" s="233">
        <f>'[5]Debt Service Schedule'!I15</f>
        <v>9391</v>
      </c>
      <c r="I15" s="233">
        <f>'[5]Debt Service Schedule'!J15</f>
        <v>98355</v>
      </c>
      <c r="J15" s="233">
        <f>'[5]Debt Service Schedule'!K15</f>
        <v>8220</v>
      </c>
      <c r="K15" s="263">
        <f>'[5]Debt Service Schedule'!L15</f>
        <v>99342</v>
      </c>
      <c r="L15" s="263">
        <f>'[5]Debt Service Schedule'!M15</f>
        <v>7037</v>
      </c>
      <c r="M15" s="234">
        <f t="shared" si="0"/>
        <v>319724</v>
      </c>
      <c r="N15" s="221"/>
      <c r="O15" s="212"/>
      <c r="P15" s="212"/>
      <c r="Q15" s="312">
        <f t="shared" si="5"/>
        <v>106574.66666666667</v>
      </c>
      <c r="R15" s="214">
        <f t="shared" si="1"/>
        <v>0</v>
      </c>
      <c r="S15" s="214">
        <f t="shared" si="2"/>
        <v>106574.66666666667</v>
      </c>
      <c r="T15" s="214">
        <f t="shared" si="3"/>
        <v>0</v>
      </c>
      <c r="U15" s="309">
        <f t="shared" si="4"/>
        <v>0</v>
      </c>
      <c r="V15" s="214"/>
      <c r="W15" s="212"/>
      <c r="X15" s="329">
        <f>'[5]Debt Service Schedule'!W15</f>
        <v>0</v>
      </c>
      <c r="Y15" s="235">
        <f>'[5]Debt Service Schedule'!X15</f>
        <v>1</v>
      </c>
      <c r="Z15" s="235">
        <f>'[5]Debt Service Schedule'!Y15</f>
        <v>0</v>
      </c>
      <c r="AA15" s="330">
        <f>'[5]Debt Service Schedule'!Z15</f>
        <v>0</v>
      </c>
    </row>
    <row r="16" spans="2:27" x14ac:dyDescent="0.25">
      <c r="B16" s="302" t="str">
        <f>'[5]Debt Service Schedule'!C16</f>
        <v xml:space="preserve">KIA KY 801 and 158 Sewer Extension </v>
      </c>
      <c r="C16" s="233"/>
      <c r="D16" s="233"/>
      <c r="E16" s="233"/>
      <c r="F16" s="233"/>
      <c r="G16" s="233">
        <f>'[5]Debt Service Schedule'!H16</f>
        <v>89001</v>
      </c>
      <c r="H16" s="233">
        <f>'[5]Debt Service Schedule'!I16</f>
        <v>8714</v>
      </c>
      <c r="I16" s="233">
        <f>'[5]Debt Service Schedule'!J16</f>
        <v>89671</v>
      </c>
      <c r="J16" s="233">
        <f>'[5]Debt Service Schedule'!K16</f>
        <v>8044</v>
      </c>
      <c r="K16" s="263">
        <f>'[5]Debt Service Schedule'!L16</f>
        <v>90346</v>
      </c>
      <c r="L16" s="263">
        <f>'[5]Debt Service Schedule'!M16</f>
        <v>7369</v>
      </c>
      <c r="M16" s="234">
        <f t="shared" si="0"/>
        <v>293145</v>
      </c>
      <c r="N16" s="221"/>
      <c r="O16" s="212"/>
      <c r="P16" s="212"/>
      <c r="Q16" s="312">
        <f t="shared" si="5"/>
        <v>97715</v>
      </c>
      <c r="R16" s="214">
        <f t="shared" si="1"/>
        <v>0</v>
      </c>
      <c r="S16" s="214">
        <f t="shared" si="2"/>
        <v>97715</v>
      </c>
      <c r="T16" s="214">
        <f t="shared" si="3"/>
        <v>0</v>
      </c>
      <c r="U16" s="309">
        <f t="shared" si="4"/>
        <v>0</v>
      </c>
      <c r="V16" s="214"/>
      <c r="W16" s="212"/>
      <c r="X16" s="329">
        <f>'[5]Debt Service Schedule'!W16</f>
        <v>0</v>
      </c>
      <c r="Y16" s="235">
        <f>'[5]Debt Service Schedule'!X16</f>
        <v>1</v>
      </c>
      <c r="Z16" s="235">
        <f>'[5]Debt Service Schedule'!Y16</f>
        <v>0</v>
      </c>
      <c r="AA16" s="330">
        <f>'[5]Debt Service Schedule'!Z16</f>
        <v>0</v>
      </c>
    </row>
    <row r="17" spans="2:27" x14ac:dyDescent="0.25">
      <c r="B17" s="302" t="str">
        <f>'[5]Debt Service Schedule'!C17</f>
        <v xml:space="preserve">KIA A19-032 US60 and KY 801 SSO </v>
      </c>
      <c r="C17" s="233"/>
      <c r="D17" s="233"/>
      <c r="E17" s="233"/>
      <c r="F17" s="233"/>
      <c r="G17" s="233">
        <f>'[5]Debt Service Schedule'!H17</f>
        <v>182022</v>
      </c>
      <c r="H17" s="233">
        <f>'[5]Debt Service Schedule'!I17</f>
        <v>106336</v>
      </c>
      <c r="I17" s="233">
        <f>'[5]Debt Service Schedule'!J17</f>
        <v>187091</v>
      </c>
      <c r="J17" s="233">
        <f>'[5]Debt Service Schedule'!K17</f>
        <v>101267</v>
      </c>
      <c r="K17" s="263">
        <f>'[5]Debt Service Schedule'!L17</f>
        <v>192301</v>
      </c>
      <c r="L17" s="263">
        <f>'[5]Debt Service Schedule'!M17</f>
        <v>96056</v>
      </c>
      <c r="M17" s="234">
        <f t="shared" si="0"/>
        <v>865073</v>
      </c>
      <c r="N17" s="221"/>
      <c r="O17" s="212"/>
      <c r="P17" s="212"/>
      <c r="Q17" s="312">
        <f t="shared" si="5"/>
        <v>288357.66666666669</v>
      </c>
      <c r="R17" s="214">
        <f t="shared" si="1"/>
        <v>0</v>
      </c>
      <c r="S17" s="214">
        <f t="shared" si="2"/>
        <v>288357.66666666669</v>
      </c>
      <c r="T17" s="214">
        <f t="shared" si="3"/>
        <v>0</v>
      </c>
      <c r="U17" s="309">
        <f t="shared" si="4"/>
        <v>0</v>
      </c>
      <c r="V17" s="214"/>
      <c r="W17" s="212"/>
      <c r="X17" s="329">
        <f>'[5]Debt Service Schedule'!W17</f>
        <v>0</v>
      </c>
      <c r="Y17" s="235">
        <f>'[5]Debt Service Schedule'!X17</f>
        <v>1</v>
      </c>
      <c r="Z17" s="235">
        <f>'[5]Debt Service Schedule'!Y17</f>
        <v>0</v>
      </c>
      <c r="AA17" s="330">
        <f>'[5]Debt Service Schedule'!Z17</f>
        <v>0</v>
      </c>
    </row>
    <row r="18" spans="2:27" x14ac:dyDescent="0.25">
      <c r="B18" s="302" t="str">
        <f>'[5]Debt Service Schedule'!C18</f>
        <v>KIA A20-020</v>
      </c>
      <c r="C18" s="233"/>
      <c r="D18" s="233"/>
      <c r="E18" s="233"/>
      <c r="F18" s="233"/>
      <c r="G18" s="233">
        <f>'[5]Debt Service Schedule'!H18</f>
        <v>29501</v>
      </c>
      <c r="H18" s="233">
        <f>'[5]Debt Service Schedule'!I18</f>
        <v>8706</v>
      </c>
      <c r="I18" s="233">
        <f>'[5]Debt Service Schedule'!J18</f>
        <v>29947</v>
      </c>
      <c r="J18" s="233">
        <f>'[5]Debt Service Schedule'!K18</f>
        <v>8260</v>
      </c>
      <c r="K18" s="263">
        <f>'[5]Debt Service Schedule'!L18</f>
        <v>30399</v>
      </c>
      <c r="L18" s="263">
        <f>'[5]Debt Service Schedule'!M18</f>
        <v>7808</v>
      </c>
      <c r="M18" s="234">
        <f t="shared" si="0"/>
        <v>114621</v>
      </c>
      <c r="N18" s="221"/>
      <c r="O18" s="212"/>
      <c r="P18" s="212"/>
      <c r="Q18" s="312">
        <f t="shared" si="5"/>
        <v>38207</v>
      </c>
      <c r="R18" s="214">
        <f t="shared" si="1"/>
        <v>0</v>
      </c>
      <c r="S18" s="214">
        <f t="shared" si="2"/>
        <v>38207</v>
      </c>
      <c r="T18" s="214">
        <f t="shared" si="3"/>
        <v>0</v>
      </c>
      <c r="U18" s="309">
        <f t="shared" si="4"/>
        <v>0</v>
      </c>
      <c r="V18" s="214"/>
      <c r="W18" s="212"/>
      <c r="X18" s="329">
        <f>'[5]Debt Service Schedule'!W18</f>
        <v>0</v>
      </c>
      <c r="Y18" s="235">
        <f>'[5]Debt Service Schedule'!X18</f>
        <v>1</v>
      </c>
      <c r="Z18" s="235">
        <f>'[5]Debt Service Schedule'!Y18</f>
        <v>0</v>
      </c>
      <c r="AA18" s="330">
        <f>'[5]Debt Service Schedule'!Z18</f>
        <v>0</v>
      </c>
    </row>
    <row r="19" spans="2:27" x14ac:dyDescent="0.25">
      <c r="B19" s="302" t="str">
        <f>'[5]Debt Service Schedule'!C19</f>
        <v>KIA New Regional Water Treatment Plant</v>
      </c>
      <c r="C19" s="233"/>
      <c r="D19" s="233"/>
      <c r="E19" s="233"/>
      <c r="F19" s="233"/>
      <c r="G19" s="233">
        <f>'[5]Regional WTP Estimated DS'!$D$11</f>
        <v>1393989.37</v>
      </c>
      <c r="H19" s="233">
        <f>'[5]Regional WTP Estimated DS'!$C$11</f>
        <v>224990</v>
      </c>
      <c r="I19" s="233">
        <f>'[5]Regional WTP Estimated DS'!$D$12</f>
        <v>1400959.3168500001</v>
      </c>
      <c r="J19" s="233">
        <f>'[5]Regional WTP Estimated DS'!$C$12</f>
        <v>218020.05315000002</v>
      </c>
      <c r="K19" s="233">
        <f>'[5]Regional WTP Estimated DS'!$D$13</f>
        <v>1407964.11343425</v>
      </c>
      <c r="L19" s="233">
        <f>'[5]Regional WTP Estimated DS'!$C$13</f>
        <v>211015.25656575002</v>
      </c>
      <c r="M19" s="234">
        <f t="shared" si="0"/>
        <v>4856938.1099999994</v>
      </c>
      <c r="N19" s="221"/>
      <c r="O19" s="212"/>
      <c r="P19" s="212"/>
      <c r="Q19" s="312">
        <f t="shared" si="5"/>
        <v>1618979.3699999999</v>
      </c>
      <c r="R19" s="214">
        <f t="shared" si="1"/>
        <v>1618979.3699999999</v>
      </c>
      <c r="S19" s="214">
        <f t="shared" si="2"/>
        <v>0</v>
      </c>
      <c r="T19" s="214">
        <f t="shared" si="3"/>
        <v>0</v>
      </c>
      <c r="U19" s="309">
        <f t="shared" si="4"/>
        <v>0</v>
      </c>
      <c r="V19" s="214"/>
      <c r="W19" s="212"/>
      <c r="X19" s="329">
        <f>'[5]Debt Service Schedule'!W19</f>
        <v>1</v>
      </c>
      <c r="Y19" s="235">
        <f>'[5]Debt Service Schedule'!X19</f>
        <v>0</v>
      </c>
      <c r="Z19" s="235">
        <f>'[5]Debt Service Schedule'!Y19</f>
        <v>0</v>
      </c>
      <c r="AA19" s="330">
        <f>'[5]Debt Service Schedule'!Z19</f>
        <v>0</v>
      </c>
    </row>
    <row r="20" spans="2:27" x14ac:dyDescent="0.25">
      <c r="B20" s="302" t="str">
        <f>'[5]Debt Service Schedule'!C20</f>
        <v>Cave Run Lake</v>
      </c>
      <c r="C20" s="233"/>
      <c r="D20" s="233"/>
      <c r="E20" s="233"/>
      <c r="F20" s="233"/>
      <c r="G20" s="233">
        <f>'[5]Debt Service Schedule'!H20</f>
        <v>175000</v>
      </c>
      <c r="H20" s="233">
        <f>'[5]Debt Service Schedule'!I20</f>
        <v>106688</v>
      </c>
      <c r="I20" s="233">
        <f>'[5]Debt Service Schedule'!J20</f>
        <v>185000</v>
      </c>
      <c r="J20" s="233">
        <f>'[5]Debt Service Schedule'!K20</f>
        <v>97688</v>
      </c>
      <c r="K20" s="263">
        <f>'[5]Debt Service Schedule'!L20</f>
        <v>195000</v>
      </c>
      <c r="L20" s="263">
        <f>'[5]Debt Service Schedule'!M20</f>
        <v>88188</v>
      </c>
      <c r="M20" s="234">
        <f t="shared" si="0"/>
        <v>847564</v>
      </c>
      <c r="N20" s="221"/>
      <c r="O20" s="212"/>
      <c r="P20" s="212"/>
      <c r="Q20" s="312">
        <f t="shared" si="5"/>
        <v>282521.33333333331</v>
      </c>
      <c r="R20" s="214">
        <f t="shared" si="1"/>
        <v>205374.55976450536</v>
      </c>
      <c r="S20" s="214">
        <f t="shared" si="2"/>
        <v>77146.773568827935</v>
      </c>
      <c r="T20" s="214">
        <f t="shared" si="3"/>
        <v>0</v>
      </c>
      <c r="U20" s="309">
        <f t="shared" si="4"/>
        <v>0</v>
      </c>
      <c r="V20" s="214"/>
      <c r="W20" s="212"/>
      <c r="X20" s="329">
        <f>'[5]Debt Service Schedule'!W20</f>
        <v>0.72693469672321631</v>
      </c>
      <c r="Y20" s="235">
        <f>'[5]Debt Service Schedule'!X20</f>
        <v>0.27306530327678363</v>
      </c>
      <c r="Z20" s="235">
        <f>'[5]Debt Service Schedule'!Y20</f>
        <v>0</v>
      </c>
      <c r="AA20" s="330">
        <f>'[5]Debt Service Schedule'!Z20</f>
        <v>0</v>
      </c>
    </row>
    <row r="21" spans="2:27" x14ac:dyDescent="0.25">
      <c r="B21" s="302" t="str">
        <f>'[5]Debt Service Schedule'!C21</f>
        <v>Kentucky Utility Refunding Bonds 2022 Series A</v>
      </c>
      <c r="C21" s="233"/>
      <c r="D21" s="233"/>
      <c r="E21" s="233"/>
      <c r="F21" s="233"/>
      <c r="G21" s="233">
        <f>'[5]Debt Service Schedule'!H21</f>
        <v>49103.33</v>
      </c>
      <c r="H21" s="233">
        <f>'[5]Debt Service Schedule'!I21</f>
        <v>66264.67</v>
      </c>
      <c r="I21" s="233">
        <f>'[5]Debt Service Schedule'!J21</f>
        <v>47778.04</v>
      </c>
      <c r="J21" s="233">
        <f>'[5]Debt Service Schedule'!K21</f>
        <v>67589.960000000006</v>
      </c>
      <c r="K21" s="263">
        <f>'[5]Debt Service Schedule'!L21</f>
        <v>46426.239999999998</v>
      </c>
      <c r="L21" s="263">
        <f>'[5]Debt Service Schedule'!M21</f>
        <v>68941.759999999995</v>
      </c>
      <c r="M21" s="234">
        <f t="shared" si="0"/>
        <v>346104</v>
      </c>
      <c r="N21" s="221"/>
      <c r="O21" s="212"/>
      <c r="P21" s="212"/>
      <c r="Q21" s="312">
        <f t="shared" si="5"/>
        <v>115368</v>
      </c>
      <c r="R21" s="214">
        <f t="shared" si="1"/>
        <v>115368</v>
      </c>
      <c r="S21" s="214">
        <f t="shared" si="2"/>
        <v>0</v>
      </c>
      <c r="T21" s="214">
        <f t="shared" si="3"/>
        <v>0</v>
      </c>
      <c r="U21" s="309">
        <f t="shared" si="4"/>
        <v>0</v>
      </c>
      <c r="V21" s="214"/>
      <c r="W21" s="212"/>
      <c r="X21" s="329">
        <f>'[5]Debt Service Schedule'!W21</f>
        <v>1</v>
      </c>
      <c r="Y21" s="235">
        <f>'[5]Debt Service Schedule'!X21</f>
        <v>0</v>
      </c>
      <c r="Z21" s="235">
        <f>'[5]Debt Service Schedule'!Y21</f>
        <v>0</v>
      </c>
      <c r="AA21" s="330">
        <f>'[5]Debt Service Schedule'!Z21</f>
        <v>0</v>
      </c>
    </row>
    <row r="22" spans="2:27" x14ac:dyDescent="0.25">
      <c r="B22" s="303" t="str">
        <f>'[5]Debt Service Schedule'!C22</f>
        <v>Vehicle Leases</v>
      </c>
      <c r="C22" s="261"/>
      <c r="D22" s="261"/>
      <c r="E22" s="261"/>
      <c r="F22" s="261"/>
      <c r="G22" s="261">
        <f>'[5]Debt Service Schedule'!H22</f>
        <v>89917.09</v>
      </c>
      <c r="H22" s="261">
        <f>'[5]Debt Service Schedule'!I22</f>
        <v>19297.87</v>
      </c>
      <c r="I22" s="261">
        <f>'[5]Debt Service Schedule'!J22</f>
        <v>67709.13</v>
      </c>
      <c r="J22" s="261">
        <f>'[5]Debt Service Schedule'!K22</f>
        <v>15981.52</v>
      </c>
      <c r="K22" s="262">
        <f>'[5]Debt Service Schedule'!L22</f>
        <v>40283.54</v>
      </c>
      <c r="L22" s="262">
        <f>'[5]Debt Service Schedule'!M22</f>
        <v>10226.08</v>
      </c>
      <c r="M22" s="304">
        <f t="shared" si="0"/>
        <v>243415.22999999998</v>
      </c>
      <c r="N22" s="236"/>
      <c r="O22" s="212"/>
      <c r="P22" s="212"/>
      <c r="Q22" s="313">
        <f t="shared" si="5"/>
        <v>81138.409999999989</v>
      </c>
      <c r="R22" s="237">
        <f t="shared" si="1"/>
        <v>24528.884696465342</v>
      </c>
      <c r="S22" s="237">
        <f t="shared" si="2"/>
        <v>23382.911825124695</v>
      </c>
      <c r="T22" s="237">
        <f t="shared" si="3"/>
        <v>16613.306739204971</v>
      </c>
      <c r="U22" s="314">
        <f t="shared" si="4"/>
        <v>16613.306739204971</v>
      </c>
      <c r="V22" s="214"/>
      <c r="W22" s="212"/>
      <c r="X22" s="329">
        <f>'[5]Debt Service Schedule'!W22</f>
        <v>0.30230916154833876</v>
      </c>
      <c r="Y22" s="235">
        <f>'[5]Debt Service Schedule'!X22</f>
        <v>0.28818548237665365</v>
      </c>
      <c r="Z22" s="235">
        <f>'[5]Debt Service Schedule'!Y22</f>
        <v>0.20475267803750374</v>
      </c>
      <c r="AA22" s="330">
        <f>'[5]Debt Service Schedule'!Z22</f>
        <v>0.20475267803750374</v>
      </c>
    </row>
    <row r="23" spans="2:27" x14ac:dyDescent="0.25">
      <c r="B23" s="238" t="s">
        <v>37</v>
      </c>
      <c r="C23" s="239"/>
      <c r="D23" s="240"/>
      <c r="E23" s="239"/>
      <c r="F23" s="240"/>
      <c r="G23" s="239">
        <f t="shared" ref="G23:M23" si="6">SUM(G12:G22)</f>
        <v>2552756.79</v>
      </c>
      <c r="H23" s="240">
        <f t="shared" si="6"/>
        <v>561046.54</v>
      </c>
      <c r="I23" s="239">
        <f t="shared" si="6"/>
        <v>2159347.48685</v>
      </c>
      <c r="J23" s="240">
        <f t="shared" si="6"/>
        <v>528223.53315000003</v>
      </c>
      <c r="K23" s="239">
        <f t="shared" si="6"/>
        <v>2155418.8934342503</v>
      </c>
      <c r="L23" s="240">
        <f t="shared" si="6"/>
        <v>499158.09656575002</v>
      </c>
      <c r="M23" s="241">
        <f t="shared" si="6"/>
        <v>8455951.3399999999</v>
      </c>
      <c r="N23" s="221"/>
      <c r="O23" s="212"/>
      <c r="P23" s="212"/>
      <c r="Q23" s="315">
        <f>SUM(Q12:Q22)</f>
        <v>2818650.4466666668</v>
      </c>
      <c r="R23" s="242">
        <f>SUM(R12:R22)</f>
        <v>1964250.8144609707</v>
      </c>
      <c r="S23" s="242">
        <f>SUM(S12:S22)</f>
        <v>821173.0187272859</v>
      </c>
      <c r="T23" s="242">
        <f>SUM(T12:T22)</f>
        <v>16613.306739204971</v>
      </c>
      <c r="U23" s="316">
        <f>SUM(U12:U22)</f>
        <v>16613.306739204971</v>
      </c>
      <c r="V23" s="242"/>
      <c r="W23" s="212"/>
      <c r="X23" s="323"/>
      <c r="AA23" s="324"/>
    </row>
    <row r="24" spans="2:27" x14ac:dyDescent="0.25">
      <c r="B24" s="243"/>
      <c r="C24" s="244"/>
      <c r="D24" s="245"/>
      <c r="E24" s="244"/>
      <c r="F24" s="246"/>
      <c r="G24" s="244"/>
      <c r="H24" s="246"/>
      <c r="I24" s="244"/>
      <c r="J24" s="247"/>
      <c r="K24" s="244"/>
      <c r="L24" s="246"/>
      <c r="M24" s="245"/>
      <c r="N24" s="236"/>
      <c r="O24" s="212"/>
      <c r="P24" s="212"/>
      <c r="Q24" s="313"/>
      <c r="R24" s="237"/>
      <c r="S24" s="237"/>
      <c r="T24" s="237"/>
      <c r="U24" s="314"/>
      <c r="V24" s="214"/>
      <c r="W24" s="212"/>
      <c r="X24" s="331"/>
      <c r="Y24" s="332"/>
      <c r="Z24" s="332"/>
      <c r="AA24" s="333"/>
    </row>
    <row r="25" spans="2:27" x14ac:dyDescent="0.25">
      <c r="B25" s="248"/>
      <c r="C25" s="220"/>
      <c r="D25" s="220"/>
      <c r="E25" s="220"/>
      <c r="F25" s="220"/>
      <c r="G25" s="220"/>
      <c r="H25" s="220"/>
      <c r="I25" s="220"/>
      <c r="J25" s="249"/>
      <c r="K25" s="249"/>
      <c r="L25" s="249"/>
      <c r="M25" s="220"/>
      <c r="N25" s="221"/>
      <c r="O25" s="212"/>
      <c r="P25" s="212"/>
      <c r="Q25" s="305"/>
      <c r="R25" s="335"/>
      <c r="S25" s="306"/>
      <c r="T25" s="306"/>
      <c r="U25" s="307"/>
      <c r="V25" s="214"/>
      <c r="W25" s="212"/>
      <c r="X25" s="215"/>
    </row>
    <row r="26" spans="2:27" x14ac:dyDescent="0.25">
      <c r="B26" s="250"/>
      <c r="C26" s="251"/>
      <c r="D26" s="220"/>
      <c r="E26" s="251"/>
      <c r="F26" s="251"/>
      <c r="G26" s="251"/>
      <c r="H26" s="251"/>
      <c r="I26" s="220" t="s">
        <v>67</v>
      </c>
      <c r="J26" s="213"/>
      <c r="K26" s="220"/>
      <c r="L26" s="251"/>
      <c r="M26" s="251">
        <f>M23/3</f>
        <v>2818650.4466666668</v>
      </c>
      <c r="N26" s="221"/>
      <c r="O26" s="212"/>
      <c r="P26" s="212"/>
      <c r="Q26" s="317">
        <f>Q23</f>
        <v>2818650.4466666668</v>
      </c>
      <c r="R26" s="336">
        <f>R23</f>
        <v>1964250.8144609707</v>
      </c>
      <c r="S26" s="318">
        <f>S23</f>
        <v>821173.0187272859</v>
      </c>
      <c r="T26" s="318">
        <f>T23</f>
        <v>16613.306739204971</v>
      </c>
      <c r="U26" s="319">
        <f>U23</f>
        <v>16613.306739204971</v>
      </c>
      <c r="V26" s="318"/>
      <c r="W26" s="212"/>
      <c r="X26" s="215"/>
    </row>
    <row r="27" spans="2:27" x14ac:dyDescent="0.25">
      <c r="B27" s="252"/>
      <c r="C27" s="220"/>
      <c r="D27" s="213"/>
      <c r="E27" s="220"/>
      <c r="F27" s="220"/>
      <c r="G27" s="220"/>
      <c r="H27" s="220"/>
      <c r="I27" s="220"/>
      <c r="J27" s="213"/>
      <c r="K27" s="213"/>
      <c r="L27" s="220"/>
      <c r="M27" s="253"/>
      <c r="N27" s="221"/>
      <c r="O27" s="212"/>
      <c r="P27" s="212"/>
      <c r="Q27" s="317"/>
      <c r="R27" s="336"/>
      <c r="S27" s="318"/>
      <c r="T27" s="318"/>
      <c r="U27" s="319"/>
      <c r="V27" s="318"/>
      <c r="W27" s="212"/>
      <c r="X27" s="215"/>
    </row>
    <row r="28" spans="2:27" x14ac:dyDescent="0.25">
      <c r="B28" s="250"/>
      <c r="C28" s="220"/>
      <c r="D28" s="220"/>
      <c r="E28" s="220"/>
      <c r="F28" s="220"/>
      <c r="G28" s="220"/>
      <c r="H28" s="220"/>
      <c r="I28" s="220" t="s">
        <v>68</v>
      </c>
      <c r="J28" s="213"/>
      <c r="K28" s="220"/>
      <c r="L28" s="220"/>
      <c r="M28" s="251">
        <f>M26*$B$34</f>
        <v>563730.08933333342</v>
      </c>
      <c r="N28" s="221"/>
      <c r="O28" s="212"/>
      <c r="P28" s="212"/>
      <c r="Q28" s="317">
        <f>Q23*$B$34</f>
        <v>563730.08933333342</v>
      </c>
      <c r="R28" s="336">
        <f>R23*$B$34</f>
        <v>392850.16289219417</v>
      </c>
      <c r="S28" s="318">
        <f>S23*$B$34</f>
        <v>164234.60374545719</v>
      </c>
      <c r="T28" s="318">
        <f>T23*$B$34</f>
        <v>3322.6613478409945</v>
      </c>
      <c r="U28" s="319">
        <f>U23*$B$34</f>
        <v>3322.6613478409945</v>
      </c>
      <c r="V28" s="318"/>
      <c r="W28" s="212"/>
      <c r="X28" s="254"/>
    </row>
    <row r="29" spans="2:27" x14ac:dyDescent="0.25">
      <c r="B29" s="250"/>
      <c r="C29" s="220"/>
      <c r="D29" s="220"/>
      <c r="E29" s="220"/>
      <c r="F29" s="220"/>
      <c r="G29" s="220"/>
      <c r="H29" s="220"/>
      <c r="I29" s="220"/>
      <c r="J29" s="213"/>
      <c r="K29" s="220"/>
      <c r="L29" s="220"/>
      <c r="M29" s="251"/>
      <c r="N29" s="221"/>
      <c r="O29" s="212"/>
      <c r="P29" s="212"/>
      <c r="Q29" s="317"/>
      <c r="R29" s="336"/>
      <c r="S29" s="318"/>
      <c r="T29" s="318"/>
      <c r="U29" s="319"/>
      <c r="V29" s="318"/>
      <c r="W29" s="212"/>
      <c r="X29" s="254"/>
    </row>
    <row r="30" spans="2:27" x14ac:dyDescent="0.25">
      <c r="B30" s="255"/>
      <c r="C30" s="256"/>
      <c r="D30" s="256"/>
      <c r="E30" s="256"/>
      <c r="F30" s="256"/>
      <c r="G30" s="256"/>
      <c r="H30" s="256"/>
      <c r="I30" s="338" t="s">
        <v>193</v>
      </c>
      <c r="J30" s="256"/>
      <c r="K30" s="256"/>
      <c r="L30" s="256"/>
      <c r="M30" s="339">
        <f>M26+M28</f>
        <v>3382380.5360000003</v>
      </c>
      <c r="N30" s="236"/>
      <c r="O30" s="212"/>
      <c r="P30" s="212"/>
      <c r="Q30" s="349">
        <f t="shared" ref="Q30:U30" si="7">Q26+Q28</f>
        <v>3382380.5360000003</v>
      </c>
      <c r="R30" s="353">
        <f t="shared" si="7"/>
        <v>2357100.9773531649</v>
      </c>
      <c r="S30" s="339">
        <f t="shared" si="7"/>
        <v>985407.62247274304</v>
      </c>
      <c r="T30" s="339">
        <f t="shared" si="7"/>
        <v>19935.968087045963</v>
      </c>
      <c r="U30" s="348">
        <f t="shared" si="7"/>
        <v>19935.968087045963</v>
      </c>
      <c r="V30" s="352"/>
      <c r="W30" s="212"/>
      <c r="X30" s="215"/>
    </row>
    <row r="32" spans="2:27" x14ac:dyDescent="0.25">
      <c r="I32" s="257" t="s">
        <v>162</v>
      </c>
      <c r="M32" s="337" cm="1">
        <f t="array" ref="M32">SUM(('[5]Debt Service Schedule'!$H$23:$M$23)/3)+SUM(('[5]Regional WTP Estimated DS'!$C$11:$D$13)/3)</f>
        <v>2818650.4466666668</v>
      </c>
      <c r="Q32" s="337"/>
    </row>
    <row r="33" spans="2:17" x14ac:dyDescent="0.25">
      <c r="B33" s="166" t="s">
        <v>173</v>
      </c>
      <c r="M33" s="258" t="str">
        <f>IF(M32=M26,"OK","Out of Balance")</f>
        <v>OK</v>
      </c>
      <c r="Q33" s="258" t="str">
        <f>IF(M32=Q26,"OK","Out of Balance")</f>
        <v>OK</v>
      </c>
    </row>
    <row r="34" spans="2:17" x14ac:dyDescent="0.25">
      <c r="B34" s="260">
        <v>0.2</v>
      </c>
    </row>
    <row r="35" spans="2:17" x14ac:dyDescent="0.25">
      <c r="M35" s="340"/>
    </row>
    <row r="36" spans="2:17" x14ac:dyDescent="0.25">
      <c r="M36" s="340"/>
    </row>
    <row r="37" spans="2:17" x14ac:dyDescent="0.25">
      <c r="M37" s="341"/>
    </row>
  </sheetData>
  <mergeCells count="9">
    <mergeCell ref="B3:L3"/>
    <mergeCell ref="B4:L4"/>
    <mergeCell ref="B5:L5"/>
    <mergeCell ref="B6:L6"/>
    <mergeCell ref="C9:D9"/>
    <mergeCell ref="E9:F9"/>
    <mergeCell ref="G9:H9"/>
    <mergeCell ref="I9:J9"/>
    <mergeCell ref="K9:L9"/>
  </mergeCells>
  <pageMargins left="0.7" right="0.7" top="0.75" bottom="0.75" header="0.3" footer="0.3"/>
  <pageSetup scale="91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G43"/>
  <sheetViews>
    <sheetView showGridLines="0" workbookViewId="0">
      <selection activeCell="D38" sqref="D38"/>
    </sheetView>
  </sheetViews>
  <sheetFormatPr defaultColWidth="8.88671875" defaultRowHeight="15" x14ac:dyDescent="0.25"/>
  <cols>
    <col min="1" max="1" width="0.77734375" style="392" customWidth="1"/>
    <col min="2" max="2" width="2.5546875" style="392" customWidth="1"/>
    <col min="3" max="3" width="25.5546875" style="393" customWidth="1"/>
    <col min="4" max="4" width="9" style="394" bestFit="1" customWidth="1"/>
    <col min="5" max="5" width="9.6640625" style="394" customWidth="1"/>
    <col min="6" max="7" width="9.6640625" style="393" customWidth="1"/>
    <col min="8" max="8" width="2.5546875" style="392" customWidth="1"/>
    <col min="9" max="9" width="0.77734375" style="392" customWidth="1"/>
    <col min="10" max="10" width="9.6640625" style="395" customWidth="1"/>
    <col min="11" max="189" width="9.6640625" style="392" customWidth="1"/>
    <col min="190" max="16384" width="8.88671875" style="396"/>
  </cols>
  <sheetData>
    <row r="2" spans="2:10" ht="18" hidden="1" customHeight="1" x14ac:dyDescent="0.3">
      <c r="B2" s="456"/>
      <c r="C2" s="457"/>
      <c r="D2" s="457"/>
      <c r="E2" s="457"/>
      <c r="F2" s="457"/>
      <c r="G2" s="457"/>
      <c r="H2" s="458"/>
    </row>
    <row r="3" spans="2:10" ht="18" hidden="1" customHeight="1" x14ac:dyDescent="0.3">
      <c r="B3" s="465" t="s">
        <v>186</v>
      </c>
      <c r="C3" s="466"/>
      <c r="D3" s="466"/>
      <c r="E3" s="466"/>
      <c r="F3" s="466"/>
      <c r="G3" s="466"/>
      <c r="H3" s="467"/>
    </row>
    <row r="4" spans="2:10" ht="20.25" hidden="1" x14ac:dyDescent="0.3">
      <c r="B4" s="459" t="s">
        <v>187</v>
      </c>
      <c r="C4" s="460"/>
      <c r="D4" s="460"/>
      <c r="E4" s="460"/>
      <c r="F4" s="460"/>
      <c r="G4" s="460"/>
      <c r="H4" s="461"/>
    </row>
    <row r="5" spans="2:10" ht="18" hidden="1" customHeight="1" x14ac:dyDescent="0.25">
      <c r="B5" s="462" t="s">
        <v>149</v>
      </c>
      <c r="C5" s="463"/>
      <c r="D5" s="463"/>
      <c r="E5" s="463"/>
      <c r="F5" s="463"/>
      <c r="G5" s="463"/>
      <c r="H5" s="464"/>
    </row>
    <row r="6" spans="2:10" ht="6" hidden="1" customHeight="1" x14ac:dyDescent="0.25">
      <c r="B6" s="397"/>
      <c r="H6" s="398"/>
    </row>
    <row r="7" spans="2:10" ht="7.9" customHeight="1" x14ac:dyDescent="0.25">
      <c r="B7" s="399"/>
      <c r="C7" s="400"/>
      <c r="D7" s="401"/>
      <c r="E7" s="401"/>
      <c r="F7" s="400"/>
      <c r="G7" s="400"/>
      <c r="H7" s="402"/>
    </row>
    <row r="8" spans="2:10" ht="15.75" x14ac:dyDescent="0.25">
      <c r="B8" s="452" t="s">
        <v>174</v>
      </c>
      <c r="C8" s="453"/>
      <c r="D8" s="453"/>
      <c r="E8" s="453"/>
      <c r="F8" s="453"/>
      <c r="G8" s="453"/>
      <c r="H8" s="454"/>
    </row>
    <row r="9" spans="2:10" ht="8.1" customHeight="1" x14ac:dyDescent="0.35">
      <c r="B9" s="403"/>
      <c r="C9" s="404"/>
      <c r="D9" s="404"/>
      <c r="E9" s="404"/>
      <c r="F9" s="404"/>
      <c r="G9" s="404"/>
      <c r="H9" s="405"/>
    </row>
    <row r="10" spans="2:10" ht="20.25" x14ac:dyDescent="0.4">
      <c r="B10" s="397"/>
      <c r="C10" s="406" t="s">
        <v>123</v>
      </c>
      <c r="D10" s="407" t="s">
        <v>29</v>
      </c>
      <c r="E10" s="407" t="s">
        <v>1</v>
      </c>
      <c r="F10" s="455" t="s">
        <v>34</v>
      </c>
      <c r="G10" s="455"/>
      <c r="H10" s="405"/>
      <c r="J10" s="408"/>
    </row>
    <row r="11" spans="2:10" ht="19.5" x14ac:dyDescent="0.35">
      <c r="B11" s="397"/>
      <c r="C11" s="393" t="s">
        <v>175</v>
      </c>
      <c r="D11" s="409">
        <v>25.84</v>
      </c>
      <c r="E11" s="410">
        <f>ROUND(D11*(1+'SAO 1'!$F$39),2)</f>
        <v>25.84</v>
      </c>
      <c r="F11" s="409">
        <f t="shared" ref="F11:F17" si="0">E11-D11</f>
        <v>0</v>
      </c>
      <c r="G11" s="411">
        <f t="shared" ref="G11:G17" si="1">F11/D11</f>
        <v>0</v>
      </c>
      <c r="H11" s="405"/>
      <c r="J11" s="412"/>
    </row>
    <row r="12" spans="2:10" ht="19.5" x14ac:dyDescent="0.35">
      <c r="B12" s="413"/>
      <c r="C12" s="409" t="s">
        <v>176</v>
      </c>
      <c r="D12" s="409">
        <v>10.45</v>
      </c>
      <c r="E12" s="410">
        <f>ROUND(D12*(1+'SAO 1'!$F$39),2)</f>
        <v>10.45</v>
      </c>
      <c r="F12" s="409">
        <f t="shared" si="0"/>
        <v>0</v>
      </c>
      <c r="G12" s="411">
        <f t="shared" si="1"/>
        <v>0</v>
      </c>
      <c r="H12" s="405"/>
      <c r="J12" s="414"/>
    </row>
    <row r="13" spans="2:10" ht="19.5" x14ac:dyDescent="0.35">
      <c r="B13" s="413"/>
      <c r="C13" s="409" t="s">
        <v>176</v>
      </c>
      <c r="D13" s="409">
        <v>9.1</v>
      </c>
      <c r="E13" s="410">
        <f>ROUND(D13*(1+'SAO 1'!$F$39),2)</f>
        <v>9.1</v>
      </c>
      <c r="F13" s="409">
        <f t="shared" si="0"/>
        <v>0</v>
      </c>
      <c r="G13" s="411">
        <f t="shared" si="1"/>
        <v>0</v>
      </c>
      <c r="H13" s="405"/>
      <c r="J13" s="414"/>
    </row>
    <row r="14" spans="2:10" ht="19.5" x14ac:dyDescent="0.35">
      <c r="B14" s="413"/>
      <c r="C14" s="409" t="s">
        <v>177</v>
      </c>
      <c r="D14" s="409">
        <v>7.81</v>
      </c>
      <c r="E14" s="410">
        <f>ROUND(D14*(1+'SAO 1'!$F$39),2)</f>
        <v>7.81</v>
      </c>
      <c r="F14" s="409">
        <f t="shared" si="0"/>
        <v>0</v>
      </c>
      <c r="G14" s="411">
        <f t="shared" si="1"/>
        <v>0</v>
      </c>
      <c r="H14" s="405"/>
      <c r="J14" s="414"/>
    </row>
    <row r="15" spans="2:10" ht="19.5" x14ac:dyDescent="0.35">
      <c r="B15" s="413"/>
      <c r="C15" s="409" t="s">
        <v>177</v>
      </c>
      <c r="D15" s="409">
        <v>6.52</v>
      </c>
      <c r="E15" s="410">
        <f>ROUND(D15*(1+'SAO 1'!$F$39),2)</f>
        <v>6.52</v>
      </c>
      <c r="F15" s="409">
        <f t="shared" si="0"/>
        <v>0</v>
      </c>
      <c r="G15" s="411">
        <f t="shared" si="1"/>
        <v>0</v>
      </c>
      <c r="H15" s="405"/>
      <c r="J15" s="414"/>
    </row>
    <row r="16" spans="2:10" ht="19.5" x14ac:dyDescent="0.35">
      <c r="B16" s="413"/>
      <c r="C16" s="409" t="s">
        <v>178</v>
      </c>
      <c r="D16" s="409">
        <v>5.23</v>
      </c>
      <c r="E16" s="410">
        <f>ROUND(D16*(1+'SAO 1'!$F$39),2)</f>
        <v>5.23</v>
      </c>
      <c r="F16" s="409">
        <f t="shared" si="0"/>
        <v>0</v>
      </c>
      <c r="G16" s="411">
        <f t="shared" si="1"/>
        <v>0</v>
      </c>
      <c r="H16" s="405"/>
      <c r="J16" s="414"/>
    </row>
    <row r="17" spans="2:12" ht="19.5" x14ac:dyDescent="0.35">
      <c r="B17" s="415"/>
      <c r="C17" s="416" t="s">
        <v>179</v>
      </c>
      <c r="D17" s="416">
        <v>4.46</v>
      </c>
      <c r="E17" s="417">
        <f>ROUND(D17*(1+'SAO 1'!$F$39),2)</f>
        <v>4.46</v>
      </c>
      <c r="F17" s="416">
        <f t="shared" si="0"/>
        <v>0</v>
      </c>
      <c r="G17" s="418">
        <f t="shared" si="1"/>
        <v>0</v>
      </c>
      <c r="H17" s="419"/>
      <c r="J17" s="414"/>
    </row>
    <row r="18" spans="2:12" ht="7.9" customHeight="1" x14ac:dyDescent="0.35">
      <c r="B18" s="413"/>
      <c r="C18" s="409"/>
      <c r="D18" s="409"/>
      <c r="E18" s="410"/>
      <c r="F18" s="409"/>
      <c r="G18" s="411"/>
      <c r="H18" s="405"/>
      <c r="J18" s="414"/>
    </row>
    <row r="19" spans="2:12" ht="15.75" x14ac:dyDescent="0.25">
      <c r="B19" s="452" t="s">
        <v>180</v>
      </c>
      <c r="C19" s="453"/>
      <c r="D19" s="453"/>
      <c r="E19" s="453"/>
      <c r="F19" s="453"/>
      <c r="G19" s="453"/>
      <c r="H19" s="454"/>
      <c r="J19" s="414"/>
    </row>
    <row r="20" spans="2:12" ht="7.9" customHeight="1" x14ac:dyDescent="0.35">
      <c r="B20" s="403"/>
      <c r="C20" s="404"/>
      <c r="D20" s="404"/>
      <c r="E20" s="404"/>
      <c r="F20" s="404"/>
      <c r="G20" s="404"/>
      <c r="H20" s="405"/>
      <c r="J20" s="414"/>
    </row>
    <row r="21" spans="2:12" ht="20.25" x14ac:dyDescent="0.4">
      <c r="B21" s="397"/>
      <c r="C21" s="406" t="s">
        <v>123</v>
      </c>
      <c r="D21" s="407" t="s">
        <v>29</v>
      </c>
      <c r="E21" s="407" t="s">
        <v>1</v>
      </c>
      <c r="F21" s="455" t="s">
        <v>34</v>
      </c>
      <c r="G21" s="455"/>
      <c r="H21" s="405"/>
      <c r="J21" s="414"/>
    </row>
    <row r="22" spans="2:12" ht="19.5" x14ac:dyDescent="0.35">
      <c r="B22" s="397"/>
      <c r="C22" s="393" t="s">
        <v>175</v>
      </c>
      <c r="D22" s="409">
        <v>31.03</v>
      </c>
      <c r="E22" s="410">
        <f>ROUND(D22*(1+'SAO 1'!$F$39),2)</f>
        <v>31.03</v>
      </c>
      <c r="F22" s="409">
        <f t="shared" ref="F22:F28" si="2">E22-D22</f>
        <v>0</v>
      </c>
      <c r="G22" s="411">
        <f t="shared" ref="G22:G28" si="3">F22/D22</f>
        <v>0</v>
      </c>
      <c r="H22" s="405"/>
      <c r="J22" s="414"/>
    </row>
    <row r="23" spans="2:12" ht="19.5" x14ac:dyDescent="0.35">
      <c r="B23" s="413"/>
      <c r="C23" s="409" t="s">
        <v>176</v>
      </c>
      <c r="D23" s="409">
        <v>12.53</v>
      </c>
      <c r="E23" s="410">
        <f>ROUND(D23*(1+'SAO 1'!$F$39),2)</f>
        <v>12.53</v>
      </c>
      <c r="F23" s="409">
        <f t="shared" si="2"/>
        <v>0</v>
      </c>
      <c r="G23" s="411">
        <f t="shared" si="3"/>
        <v>0</v>
      </c>
      <c r="H23" s="405"/>
      <c r="J23" s="414"/>
    </row>
    <row r="24" spans="2:12" ht="19.5" x14ac:dyDescent="0.35">
      <c r="B24" s="413"/>
      <c r="C24" s="409" t="s">
        <v>176</v>
      </c>
      <c r="D24" s="409">
        <v>10.94</v>
      </c>
      <c r="E24" s="410">
        <f>ROUND(D24*(1+'SAO 1'!$F$39),2)</f>
        <v>10.94</v>
      </c>
      <c r="F24" s="409">
        <f t="shared" si="2"/>
        <v>0</v>
      </c>
      <c r="G24" s="411">
        <f t="shared" si="3"/>
        <v>0</v>
      </c>
      <c r="H24" s="405"/>
      <c r="J24" s="414"/>
    </row>
    <row r="25" spans="2:12" ht="19.5" x14ac:dyDescent="0.35">
      <c r="B25" s="413"/>
      <c r="C25" s="409" t="s">
        <v>177</v>
      </c>
      <c r="D25" s="409">
        <v>9.43</v>
      </c>
      <c r="E25" s="410">
        <f>ROUND(D25*(1+'SAO 1'!$F$39),2)</f>
        <v>9.43</v>
      </c>
      <c r="F25" s="409">
        <f t="shared" si="2"/>
        <v>0</v>
      </c>
      <c r="G25" s="411">
        <f t="shared" si="3"/>
        <v>0</v>
      </c>
      <c r="H25" s="405"/>
      <c r="K25" s="420"/>
      <c r="L25" s="420"/>
    </row>
    <row r="26" spans="2:12" ht="19.5" x14ac:dyDescent="0.35">
      <c r="B26" s="413"/>
      <c r="C26" s="409" t="s">
        <v>177</v>
      </c>
      <c r="D26" s="409">
        <v>7.84</v>
      </c>
      <c r="E26" s="410">
        <f>ROUND(D26*(1+'SAO 1'!$F$39),2)</f>
        <v>7.84</v>
      </c>
      <c r="F26" s="409">
        <f t="shared" si="2"/>
        <v>0</v>
      </c>
      <c r="G26" s="411">
        <f t="shared" si="3"/>
        <v>0</v>
      </c>
      <c r="H26" s="405"/>
    </row>
    <row r="27" spans="2:12" ht="19.5" x14ac:dyDescent="0.35">
      <c r="B27" s="413"/>
      <c r="C27" s="409" t="s">
        <v>178</v>
      </c>
      <c r="D27" s="409">
        <v>6.25</v>
      </c>
      <c r="E27" s="410">
        <f>ROUND(D27*(1+'SAO 1'!$F$39),2)</f>
        <v>6.25</v>
      </c>
      <c r="F27" s="409">
        <f t="shared" si="2"/>
        <v>0</v>
      </c>
      <c r="G27" s="411">
        <f t="shared" si="3"/>
        <v>0</v>
      </c>
      <c r="H27" s="405"/>
    </row>
    <row r="28" spans="2:12" ht="19.5" x14ac:dyDescent="0.35">
      <c r="B28" s="415"/>
      <c r="C28" s="416" t="s">
        <v>179</v>
      </c>
      <c r="D28" s="416">
        <v>5.38</v>
      </c>
      <c r="E28" s="417">
        <f>ROUND(D28*(1+'SAO 1'!$F$39),2)</f>
        <v>5.38</v>
      </c>
      <c r="F28" s="416">
        <f t="shared" si="2"/>
        <v>0</v>
      </c>
      <c r="G28" s="418">
        <f t="shared" si="3"/>
        <v>0</v>
      </c>
      <c r="H28" s="419"/>
    </row>
    <row r="29" spans="2:12" ht="7.9" customHeight="1" x14ac:dyDescent="0.35">
      <c r="B29" s="421"/>
      <c r="C29" s="409"/>
      <c r="D29" s="409"/>
      <c r="E29" s="410"/>
      <c r="F29" s="409"/>
      <c r="G29" s="411"/>
      <c r="H29" s="422"/>
    </row>
    <row r="30" spans="2:12" ht="18" customHeight="1" x14ac:dyDescent="0.25">
      <c r="B30" s="452" t="s">
        <v>181</v>
      </c>
      <c r="C30" s="453"/>
      <c r="D30" s="453"/>
      <c r="E30" s="453"/>
      <c r="F30" s="453"/>
      <c r="G30" s="453"/>
      <c r="H30" s="454"/>
    </row>
    <row r="31" spans="2:12" ht="7.9" customHeight="1" x14ac:dyDescent="0.35">
      <c r="B31" s="403"/>
      <c r="C31" s="404"/>
      <c r="D31" s="404"/>
      <c r="E31" s="404"/>
      <c r="F31" s="404"/>
      <c r="G31" s="404"/>
      <c r="H31" s="405"/>
    </row>
    <row r="32" spans="2:12" ht="20.25" x14ac:dyDescent="0.4">
      <c r="B32" s="397"/>
      <c r="C32" s="406" t="s">
        <v>123</v>
      </c>
      <c r="D32" s="407" t="s">
        <v>29</v>
      </c>
      <c r="E32" s="407" t="s">
        <v>1</v>
      </c>
      <c r="F32" s="455" t="s">
        <v>34</v>
      </c>
      <c r="G32" s="455"/>
      <c r="H32" s="405"/>
    </row>
    <row r="33" spans="2:8" ht="19.5" x14ac:dyDescent="0.35">
      <c r="B33" s="397"/>
      <c r="C33" s="393" t="s">
        <v>182</v>
      </c>
      <c r="D33" s="409">
        <v>24629.55</v>
      </c>
      <c r="E33" s="410">
        <v>0</v>
      </c>
      <c r="F33" s="409">
        <f>E33-D33</f>
        <v>-24629.55</v>
      </c>
      <c r="G33" s="411">
        <f>F33/D33</f>
        <v>-1</v>
      </c>
      <c r="H33" s="405"/>
    </row>
    <row r="34" spans="2:8" ht="19.5" x14ac:dyDescent="0.35">
      <c r="B34" s="413"/>
      <c r="C34" s="409" t="s">
        <v>183</v>
      </c>
      <c r="D34" s="409">
        <v>70</v>
      </c>
      <c r="E34" s="410">
        <v>0</v>
      </c>
      <c r="F34" s="409">
        <f>E34-D34</f>
        <v>-70</v>
      </c>
      <c r="G34" s="411">
        <f>F34/D34</f>
        <v>-1</v>
      </c>
      <c r="H34" s="405"/>
    </row>
    <row r="35" spans="2:8" ht="18" customHeight="1" x14ac:dyDescent="0.35">
      <c r="B35" s="415"/>
      <c r="C35" s="416" t="s">
        <v>184</v>
      </c>
      <c r="D35" s="423">
        <f>[6]Analysis!$B$8</f>
        <v>1.6259999999999999</v>
      </c>
      <c r="E35" s="424">
        <f>'[3]Rate Computation 1'!$H$48</f>
        <v>2.2839999999999998</v>
      </c>
      <c r="F35" s="423">
        <f>E35-D35</f>
        <v>0.65799999999999992</v>
      </c>
      <c r="G35" s="418">
        <f>F35/D35</f>
        <v>0.40467404674046736</v>
      </c>
      <c r="H35" s="419"/>
    </row>
    <row r="36" spans="2:8" ht="7.9" customHeight="1" x14ac:dyDescent="0.35">
      <c r="B36" s="413"/>
      <c r="C36" s="409"/>
      <c r="D36" s="409"/>
      <c r="E36" s="410"/>
      <c r="F36" s="409"/>
      <c r="G36" s="411"/>
      <c r="H36" s="405"/>
    </row>
    <row r="37" spans="2:8" ht="18" customHeight="1" x14ac:dyDescent="0.25">
      <c r="B37" s="452" t="s">
        <v>185</v>
      </c>
      <c r="C37" s="453"/>
      <c r="D37" s="453"/>
      <c r="E37" s="453"/>
      <c r="F37" s="453"/>
      <c r="G37" s="453"/>
      <c r="H37" s="454"/>
    </row>
    <row r="38" spans="2:8" ht="9" customHeight="1" x14ac:dyDescent="0.35">
      <c r="B38" s="403"/>
      <c r="C38" s="404"/>
      <c r="D38" s="404"/>
      <c r="E38" s="404"/>
      <c r="F38" s="404"/>
      <c r="G38" s="404"/>
      <c r="H38" s="405"/>
    </row>
    <row r="39" spans="2:8" ht="18" customHeight="1" x14ac:dyDescent="0.4">
      <c r="B39" s="397"/>
      <c r="C39" s="406" t="s">
        <v>123</v>
      </c>
      <c r="D39" s="407" t="s">
        <v>29</v>
      </c>
      <c r="E39" s="407" t="s">
        <v>1</v>
      </c>
      <c r="F39" s="455" t="s">
        <v>34</v>
      </c>
      <c r="G39" s="455"/>
      <c r="H39" s="405"/>
    </row>
    <row r="40" spans="2:8" ht="18" customHeight="1" x14ac:dyDescent="0.35">
      <c r="B40" s="397"/>
      <c r="C40" s="393" t="s">
        <v>182</v>
      </c>
      <c r="D40" s="409">
        <v>18789.7</v>
      </c>
      <c r="E40" s="410">
        <v>0</v>
      </c>
      <c r="F40" s="409">
        <f>E40-D40</f>
        <v>-18789.7</v>
      </c>
      <c r="G40" s="411">
        <f>F40/D40</f>
        <v>-1</v>
      </c>
      <c r="H40" s="405"/>
    </row>
    <row r="41" spans="2:8" ht="19.5" x14ac:dyDescent="0.35">
      <c r="B41" s="413"/>
      <c r="C41" s="409" t="s">
        <v>183</v>
      </c>
      <c r="D41" s="409">
        <v>10</v>
      </c>
      <c r="E41" s="410">
        <v>0</v>
      </c>
      <c r="F41" s="409">
        <f>E41-D41</f>
        <v>-10</v>
      </c>
      <c r="G41" s="411">
        <f>F41/D41</f>
        <v>-1</v>
      </c>
      <c r="H41" s="405"/>
    </row>
    <row r="42" spans="2:8" ht="19.5" x14ac:dyDescent="0.35">
      <c r="B42" s="413"/>
      <c r="C42" s="409" t="s">
        <v>184</v>
      </c>
      <c r="D42" s="425">
        <f>[6]Analysis!$B$8</f>
        <v>1.6259999999999999</v>
      </c>
      <c r="E42" s="424">
        <f>'[3]Rate Computation 1'!$H$48</f>
        <v>2.2839999999999998</v>
      </c>
      <c r="F42" s="425">
        <f>E42-D42</f>
        <v>0.65799999999999992</v>
      </c>
      <c r="G42" s="411">
        <f>F42/D42</f>
        <v>0.40467404674046736</v>
      </c>
      <c r="H42" s="405"/>
    </row>
    <row r="43" spans="2:8" ht="19.5" x14ac:dyDescent="0.35">
      <c r="B43" s="426"/>
      <c r="C43" s="427"/>
      <c r="D43" s="427"/>
      <c r="E43" s="428"/>
      <c r="F43" s="427"/>
      <c r="G43" s="429"/>
      <c r="H43" s="430"/>
    </row>
  </sheetData>
  <mergeCells count="12">
    <mergeCell ref="B37:H37"/>
    <mergeCell ref="F39:G39"/>
    <mergeCell ref="B2:H2"/>
    <mergeCell ref="B4:H4"/>
    <mergeCell ref="B5:H5"/>
    <mergeCell ref="B8:H8"/>
    <mergeCell ref="B3:H3"/>
    <mergeCell ref="F10:G10"/>
    <mergeCell ref="B19:H19"/>
    <mergeCell ref="F21:G21"/>
    <mergeCell ref="B30:H30"/>
    <mergeCell ref="F32:G32"/>
  </mergeCells>
  <printOptions horizontalCentered="1"/>
  <pageMargins left="0.55000000000000004" right="0.55000000000000004" top="1.6" bottom="0.5" header="0" footer="0"/>
  <pageSetup scale="93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D638-A32F-41F2-B5D9-097ED986BD3E}">
  <sheetPr>
    <pageSetUpPr fitToPage="1"/>
  </sheetPr>
  <dimension ref="A2:GG43"/>
  <sheetViews>
    <sheetView showGridLines="0" workbookViewId="0">
      <selection activeCell="E14" sqref="E14"/>
    </sheetView>
  </sheetViews>
  <sheetFormatPr defaultColWidth="8.88671875" defaultRowHeight="15" x14ac:dyDescent="0.25"/>
  <cols>
    <col min="1" max="1" width="0.77734375" style="392" customWidth="1"/>
    <col min="2" max="2" width="2.5546875" style="392" customWidth="1"/>
    <col min="3" max="3" width="25.5546875" style="393" customWidth="1"/>
    <col min="4" max="4" width="9" style="394" bestFit="1" customWidth="1"/>
    <col min="5" max="5" width="9.6640625" style="394" customWidth="1"/>
    <col min="6" max="7" width="9.6640625" style="393" customWidth="1"/>
    <col min="8" max="8" width="2.5546875" style="392" customWidth="1"/>
    <col min="9" max="9" width="0.77734375" style="392" customWidth="1"/>
    <col min="10" max="10" width="9.6640625" style="395" customWidth="1"/>
    <col min="11" max="189" width="9.6640625" style="392" customWidth="1"/>
    <col min="190" max="16384" width="8.88671875" style="396"/>
  </cols>
  <sheetData>
    <row r="2" spans="2:10" ht="18" hidden="1" customHeight="1" x14ac:dyDescent="0.3">
      <c r="B2" s="456"/>
      <c r="C2" s="457"/>
      <c r="D2" s="457"/>
      <c r="E2" s="457"/>
      <c r="F2" s="457"/>
      <c r="G2" s="457"/>
      <c r="H2" s="458"/>
    </row>
    <row r="3" spans="2:10" ht="18" hidden="1" customHeight="1" x14ac:dyDescent="0.3">
      <c r="B3" s="465" t="s">
        <v>186</v>
      </c>
      <c r="C3" s="466"/>
      <c r="D3" s="466"/>
      <c r="E3" s="466"/>
      <c r="F3" s="466"/>
      <c r="G3" s="466"/>
      <c r="H3" s="467"/>
    </row>
    <row r="4" spans="2:10" ht="20.25" hidden="1" x14ac:dyDescent="0.3">
      <c r="B4" s="459" t="s">
        <v>187</v>
      </c>
      <c r="C4" s="460"/>
      <c r="D4" s="460"/>
      <c r="E4" s="460"/>
      <c r="F4" s="460"/>
      <c r="G4" s="460"/>
      <c r="H4" s="461"/>
    </row>
    <row r="5" spans="2:10" ht="18" hidden="1" customHeight="1" x14ac:dyDescent="0.25">
      <c r="B5" s="462" t="s">
        <v>149</v>
      </c>
      <c r="C5" s="463"/>
      <c r="D5" s="463"/>
      <c r="E5" s="463"/>
      <c r="F5" s="463"/>
      <c r="G5" s="463"/>
      <c r="H5" s="464"/>
    </row>
    <row r="6" spans="2:10" ht="6" hidden="1" customHeight="1" x14ac:dyDescent="0.25">
      <c r="B6" s="397"/>
      <c r="H6" s="398"/>
    </row>
    <row r="7" spans="2:10" ht="7.9" customHeight="1" x14ac:dyDescent="0.25">
      <c r="B7" s="399"/>
      <c r="C7" s="400"/>
      <c r="D7" s="401"/>
      <c r="E7" s="401"/>
      <c r="F7" s="400"/>
      <c r="G7" s="400"/>
      <c r="H7" s="402"/>
    </row>
    <row r="8" spans="2:10" ht="15.75" x14ac:dyDescent="0.25">
      <c r="B8" s="452" t="s">
        <v>174</v>
      </c>
      <c r="C8" s="453"/>
      <c r="D8" s="453"/>
      <c r="E8" s="453"/>
      <c r="F8" s="453"/>
      <c r="G8" s="453"/>
      <c r="H8" s="454"/>
    </row>
    <row r="9" spans="2:10" ht="8.1" customHeight="1" x14ac:dyDescent="0.35">
      <c r="B9" s="403"/>
      <c r="C9" s="404"/>
      <c r="D9" s="404"/>
      <c r="E9" s="404"/>
      <c r="F9" s="404"/>
      <c r="G9" s="404"/>
      <c r="H9" s="405"/>
    </row>
    <row r="10" spans="2:10" ht="20.25" x14ac:dyDescent="0.4">
      <c r="B10" s="397"/>
      <c r="C10" s="406" t="s">
        <v>123</v>
      </c>
      <c r="D10" s="407" t="s">
        <v>29</v>
      </c>
      <c r="E10" s="407" t="s">
        <v>1</v>
      </c>
      <c r="F10" s="455" t="s">
        <v>34</v>
      </c>
      <c r="G10" s="455"/>
      <c r="H10" s="405"/>
      <c r="J10" s="408"/>
    </row>
    <row r="11" spans="2:10" ht="19.5" x14ac:dyDescent="0.35">
      <c r="B11" s="397"/>
      <c r="C11" s="393" t="s">
        <v>175</v>
      </c>
      <c r="D11" s="409">
        <v>25.84</v>
      </c>
      <c r="E11" s="410">
        <f>ROUND(D11*1,2)</f>
        <v>25.84</v>
      </c>
      <c r="F11" s="409">
        <f>E11-D11</f>
        <v>0</v>
      </c>
      <c r="G11" s="411">
        <f>F11/D11</f>
        <v>0</v>
      </c>
      <c r="H11" s="405"/>
      <c r="J11" s="412"/>
    </row>
    <row r="12" spans="2:10" ht="19.5" x14ac:dyDescent="0.35">
      <c r="B12" s="413"/>
      <c r="C12" s="409" t="s">
        <v>176</v>
      </c>
      <c r="D12" s="409">
        <v>10.45</v>
      </c>
      <c r="E12" s="410">
        <f>ROUND(D12*1.0468,2)</f>
        <v>10.94</v>
      </c>
      <c r="F12" s="409">
        <f t="shared" ref="F12:F17" si="0">E12-D12</f>
        <v>0.49000000000000021</v>
      </c>
      <c r="G12" s="411">
        <f t="shared" ref="G12:G17" si="1">F12/D12</f>
        <v>4.6889952153110072E-2</v>
      </c>
      <c r="H12" s="405"/>
      <c r="J12" s="414"/>
    </row>
    <row r="13" spans="2:10" ht="19.5" x14ac:dyDescent="0.35">
      <c r="B13" s="413"/>
      <c r="C13" s="409" t="s">
        <v>176</v>
      </c>
      <c r="D13" s="409">
        <v>9.1</v>
      </c>
      <c r="E13" s="410">
        <f t="shared" ref="E13:E17" si="2">ROUND(D13*1.0468,2)</f>
        <v>9.5299999999999994</v>
      </c>
      <c r="F13" s="409">
        <f t="shared" si="0"/>
        <v>0.42999999999999972</v>
      </c>
      <c r="G13" s="411">
        <f t="shared" si="1"/>
        <v>4.7252747252747224E-2</v>
      </c>
      <c r="H13" s="405"/>
      <c r="J13" s="414"/>
    </row>
    <row r="14" spans="2:10" ht="19.5" x14ac:dyDescent="0.35">
      <c r="B14" s="413"/>
      <c r="C14" s="409" t="s">
        <v>177</v>
      </c>
      <c r="D14" s="409">
        <v>7.81</v>
      </c>
      <c r="E14" s="410">
        <f t="shared" si="2"/>
        <v>8.18</v>
      </c>
      <c r="F14" s="409">
        <f t="shared" si="0"/>
        <v>0.37000000000000011</v>
      </c>
      <c r="G14" s="411">
        <f t="shared" si="1"/>
        <v>4.7375160051216406E-2</v>
      </c>
      <c r="H14" s="405"/>
      <c r="J14" s="414"/>
    </row>
    <row r="15" spans="2:10" ht="19.5" x14ac:dyDescent="0.35">
      <c r="B15" s="413"/>
      <c r="C15" s="409" t="s">
        <v>177</v>
      </c>
      <c r="D15" s="409">
        <v>6.52</v>
      </c>
      <c r="E15" s="410">
        <f t="shared" si="2"/>
        <v>6.83</v>
      </c>
      <c r="F15" s="409">
        <f t="shared" si="0"/>
        <v>0.3100000000000005</v>
      </c>
      <c r="G15" s="411">
        <f t="shared" si="1"/>
        <v>4.754601226993873E-2</v>
      </c>
      <c r="H15" s="405"/>
      <c r="J15" s="414"/>
    </row>
    <row r="16" spans="2:10" ht="19.5" x14ac:dyDescent="0.35">
      <c r="B16" s="413"/>
      <c r="C16" s="409" t="s">
        <v>178</v>
      </c>
      <c r="D16" s="409">
        <v>5.23</v>
      </c>
      <c r="E16" s="410">
        <f t="shared" si="2"/>
        <v>5.47</v>
      </c>
      <c r="F16" s="409">
        <f t="shared" si="0"/>
        <v>0.23999999999999932</v>
      </c>
      <c r="G16" s="411">
        <f t="shared" si="1"/>
        <v>4.5889101338431992E-2</v>
      </c>
      <c r="H16" s="405"/>
      <c r="J16" s="414"/>
    </row>
    <row r="17" spans="2:12" ht="19.5" x14ac:dyDescent="0.35">
      <c r="B17" s="415"/>
      <c r="C17" s="416" t="s">
        <v>179</v>
      </c>
      <c r="D17" s="416">
        <v>4.46</v>
      </c>
      <c r="E17" s="417">
        <f t="shared" si="2"/>
        <v>4.67</v>
      </c>
      <c r="F17" s="416">
        <f t="shared" si="0"/>
        <v>0.20999999999999996</v>
      </c>
      <c r="G17" s="418">
        <f t="shared" si="1"/>
        <v>4.7085201793721963E-2</v>
      </c>
      <c r="H17" s="419"/>
      <c r="J17" s="414"/>
    </row>
    <row r="18" spans="2:12" ht="7.9" customHeight="1" x14ac:dyDescent="0.35">
      <c r="B18" s="413"/>
      <c r="C18" s="409"/>
      <c r="D18" s="409"/>
      <c r="E18" s="410"/>
      <c r="F18" s="409"/>
      <c r="G18" s="411"/>
      <c r="H18" s="405"/>
      <c r="J18" s="414"/>
    </row>
    <row r="19" spans="2:12" ht="15.75" x14ac:dyDescent="0.25">
      <c r="B19" s="452" t="s">
        <v>180</v>
      </c>
      <c r="C19" s="453"/>
      <c r="D19" s="453"/>
      <c r="E19" s="453"/>
      <c r="F19" s="453"/>
      <c r="G19" s="453"/>
      <c r="H19" s="454"/>
      <c r="J19" s="414"/>
    </row>
    <row r="20" spans="2:12" ht="7.9" customHeight="1" x14ac:dyDescent="0.35">
      <c r="B20" s="403"/>
      <c r="C20" s="404"/>
      <c r="D20" s="404"/>
      <c r="E20" s="404"/>
      <c r="F20" s="404"/>
      <c r="G20" s="404"/>
      <c r="H20" s="405"/>
      <c r="J20" s="414"/>
    </row>
    <row r="21" spans="2:12" ht="20.25" x14ac:dyDescent="0.4">
      <c r="B21" s="397"/>
      <c r="C21" s="406" t="s">
        <v>123</v>
      </c>
      <c r="D21" s="407" t="s">
        <v>29</v>
      </c>
      <c r="E21" s="407" t="s">
        <v>1</v>
      </c>
      <c r="F21" s="455" t="s">
        <v>34</v>
      </c>
      <c r="G21" s="455"/>
      <c r="H21" s="405"/>
      <c r="J21" s="414"/>
    </row>
    <row r="22" spans="2:12" ht="19.5" x14ac:dyDescent="0.35">
      <c r="B22" s="397"/>
      <c r="C22" s="393" t="s">
        <v>175</v>
      </c>
      <c r="D22" s="409">
        <v>31.03</v>
      </c>
      <c r="E22" s="410">
        <f>ROUND(D22*1,2)</f>
        <v>31.03</v>
      </c>
      <c r="F22" s="409">
        <f>E22-D22</f>
        <v>0</v>
      </c>
      <c r="G22" s="411">
        <f>F22/D22</f>
        <v>0</v>
      </c>
      <c r="H22" s="405"/>
      <c r="J22" s="414"/>
    </row>
    <row r="23" spans="2:12" ht="19.5" x14ac:dyDescent="0.35">
      <c r="B23" s="413"/>
      <c r="C23" s="409" t="s">
        <v>176</v>
      </c>
      <c r="D23" s="409">
        <v>12.53</v>
      </c>
      <c r="E23" s="410">
        <f>ROUND(D23*1.0468,2)</f>
        <v>13.12</v>
      </c>
      <c r="F23" s="409">
        <f t="shared" ref="F23:F28" si="3">E23-D23</f>
        <v>0.58999999999999986</v>
      </c>
      <c r="G23" s="411">
        <f t="shared" ref="G23:G28" si="4">F23/D23</f>
        <v>4.7086991221069421E-2</v>
      </c>
      <c r="H23" s="405"/>
      <c r="J23" s="414"/>
    </row>
    <row r="24" spans="2:12" ht="19.5" x14ac:dyDescent="0.35">
      <c r="B24" s="413"/>
      <c r="C24" s="409" t="s">
        <v>176</v>
      </c>
      <c r="D24" s="409">
        <v>10.94</v>
      </c>
      <c r="E24" s="410">
        <f t="shared" ref="E24:E28" si="5">ROUND(D24*1.0468,2)</f>
        <v>11.45</v>
      </c>
      <c r="F24" s="409">
        <f t="shared" si="3"/>
        <v>0.50999999999999979</v>
      </c>
      <c r="G24" s="411">
        <f t="shared" si="4"/>
        <v>4.6617915904935997E-2</v>
      </c>
      <c r="H24" s="405"/>
      <c r="J24" s="414"/>
    </row>
    <row r="25" spans="2:12" ht="19.5" x14ac:dyDescent="0.35">
      <c r="B25" s="413"/>
      <c r="C25" s="409" t="s">
        <v>177</v>
      </c>
      <c r="D25" s="409">
        <v>9.43</v>
      </c>
      <c r="E25" s="410">
        <f t="shared" si="5"/>
        <v>9.8699999999999992</v>
      </c>
      <c r="F25" s="409">
        <f t="shared" si="3"/>
        <v>0.4399999999999995</v>
      </c>
      <c r="G25" s="411">
        <f t="shared" si="4"/>
        <v>4.6659597030752863E-2</v>
      </c>
      <c r="H25" s="405"/>
      <c r="K25" s="420"/>
      <c r="L25" s="420"/>
    </row>
    <row r="26" spans="2:12" ht="19.5" x14ac:dyDescent="0.35">
      <c r="B26" s="413"/>
      <c r="C26" s="409" t="s">
        <v>177</v>
      </c>
      <c r="D26" s="409">
        <v>7.84</v>
      </c>
      <c r="E26" s="410">
        <f t="shared" si="5"/>
        <v>8.2100000000000009</v>
      </c>
      <c r="F26" s="409">
        <f t="shared" si="3"/>
        <v>0.37000000000000099</v>
      </c>
      <c r="G26" s="411">
        <f t="shared" si="4"/>
        <v>4.7193877551020537E-2</v>
      </c>
      <c r="H26" s="405"/>
    </row>
    <row r="27" spans="2:12" ht="19.5" x14ac:dyDescent="0.35">
      <c r="B27" s="413"/>
      <c r="C27" s="409" t="s">
        <v>178</v>
      </c>
      <c r="D27" s="409">
        <v>6.25</v>
      </c>
      <c r="E27" s="410">
        <f t="shared" si="5"/>
        <v>6.54</v>
      </c>
      <c r="F27" s="409">
        <f t="shared" si="3"/>
        <v>0.29000000000000004</v>
      </c>
      <c r="G27" s="411">
        <f t="shared" si="4"/>
        <v>4.6400000000000004E-2</v>
      </c>
      <c r="H27" s="405"/>
    </row>
    <row r="28" spans="2:12" ht="19.5" x14ac:dyDescent="0.35">
      <c r="B28" s="415"/>
      <c r="C28" s="416" t="s">
        <v>179</v>
      </c>
      <c r="D28" s="416">
        <v>5.38</v>
      </c>
      <c r="E28" s="417">
        <f t="shared" si="5"/>
        <v>5.63</v>
      </c>
      <c r="F28" s="416">
        <f t="shared" si="3"/>
        <v>0.25</v>
      </c>
      <c r="G28" s="418">
        <f t="shared" si="4"/>
        <v>4.6468401486988851E-2</v>
      </c>
      <c r="H28" s="419"/>
    </row>
    <row r="29" spans="2:12" ht="7.9" customHeight="1" x14ac:dyDescent="0.35">
      <c r="B29" s="421"/>
      <c r="C29" s="409"/>
      <c r="D29" s="409"/>
      <c r="E29" s="410"/>
      <c r="F29" s="409"/>
      <c r="G29" s="411"/>
      <c r="H29" s="422"/>
    </row>
    <row r="30" spans="2:12" ht="18" customHeight="1" x14ac:dyDescent="0.25">
      <c r="B30" s="452" t="s">
        <v>181</v>
      </c>
      <c r="C30" s="453"/>
      <c r="D30" s="453"/>
      <c r="E30" s="453"/>
      <c r="F30" s="453"/>
      <c r="G30" s="453"/>
      <c r="H30" s="454"/>
    </row>
    <row r="31" spans="2:12" ht="7.9" customHeight="1" x14ac:dyDescent="0.35">
      <c r="B31" s="403"/>
      <c r="C31" s="404"/>
      <c r="D31" s="404"/>
      <c r="E31" s="404"/>
      <c r="F31" s="404"/>
      <c r="G31" s="404"/>
      <c r="H31" s="405"/>
    </row>
    <row r="32" spans="2:12" ht="20.25" x14ac:dyDescent="0.4">
      <c r="B32" s="397"/>
      <c r="C32" s="406" t="s">
        <v>123</v>
      </c>
      <c r="D32" s="407" t="s">
        <v>29</v>
      </c>
      <c r="E32" s="407" t="s">
        <v>1</v>
      </c>
      <c r="F32" s="455" t="s">
        <v>34</v>
      </c>
      <c r="G32" s="455"/>
      <c r="H32" s="405"/>
    </row>
    <row r="33" spans="2:8" ht="19.5" x14ac:dyDescent="0.35">
      <c r="B33" s="397"/>
      <c r="C33" s="393" t="s">
        <v>182</v>
      </c>
      <c r="D33" s="409">
        <v>24629.55</v>
      </c>
      <c r="E33" s="410">
        <v>0</v>
      </c>
      <c r="F33" s="409">
        <v>-24629.55</v>
      </c>
      <c r="G33" s="411">
        <v>-1</v>
      </c>
      <c r="H33" s="405"/>
    </row>
    <row r="34" spans="2:8" ht="19.5" x14ac:dyDescent="0.35">
      <c r="B34" s="413"/>
      <c r="C34" s="409" t="s">
        <v>183</v>
      </c>
      <c r="D34" s="409">
        <v>70</v>
      </c>
      <c r="E34" s="410">
        <v>0</v>
      </c>
      <c r="F34" s="409">
        <v>-70</v>
      </c>
      <c r="G34" s="411">
        <v>-1</v>
      </c>
      <c r="H34" s="405"/>
    </row>
    <row r="35" spans="2:8" ht="18" customHeight="1" x14ac:dyDescent="0.35">
      <c r="B35" s="415"/>
      <c r="C35" s="416" t="s">
        <v>184</v>
      </c>
      <c r="D35" s="423">
        <v>1.6259999999999999</v>
      </c>
      <c r="E35" s="424">
        <v>2.2839999999999998</v>
      </c>
      <c r="F35" s="423">
        <v>0.65799999999999992</v>
      </c>
      <c r="G35" s="418">
        <v>0.40467404674046736</v>
      </c>
      <c r="H35" s="419"/>
    </row>
    <row r="36" spans="2:8" ht="7.9" customHeight="1" x14ac:dyDescent="0.35">
      <c r="B36" s="413"/>
      <c r="C36" s="409"/>
      <c r="D36" s="409"/>
      <c r="E36" s="410"/>
      <c r="F36" s="409"/>
      <c r="G36" s="411"/>
      <c r="H36" s="405"/>
    </row>
    <row r="37" spans="2:8" ht="18" customHeight="1" x14ac:dyDescent="0.25">
      <c r="B37" s="452" t="s">
        <v>185</v>
      </c>
      <c r="C37" s="453"/>
      <c r="D37" s="453"/>
      <c r="E37" s="453"/>
      <c r="F37" s="453"/>
      <c r="G37" s="453"/>
      <c r="H37" s="454"/>
    </row>
    <row r="38" spans="2:8" ht="9" customHeight="1" x14ac:dyDescent="0.35">
      <c r="B38" s="403"/>
      <c r="C38" s="404"/>
      <c r="D38" s="404"/>
      <c r="E38" s="404"/>
      <c r="F38" s="404"/>
      <c r="G38" s="404"/>
      <c r="H38" s="405"/>
    </row>
    <row r="39" spans="2:8" ht="18" customHeight="1" x14ac:dyDescent="0.4">
      <c r="B39" s="397"/>
      <c r="C39" s="406" t="s">
        <v>123</v>
      </c>
      <c r="D39" s="407" t="s">
        <v>29</v>
      </c>
      <c r="E39" s="407" t="s">
        <v>1</v>
      </c>
      <c r="F39" s="455" t="s">
        <v>34</v>
      </c>
      <c r="G39" s="455"/>
      <c r="H39" s="405"/>
    </row>
    <row r="40" spans="2:8" ht="18" customHeight="1" x14ac:dyDescent="0.35">
      <c r="B40" s="397"/>
      <c r="C40" s="393" t="s">
        <v>182</v>
      </c>
      <c r="D40" s="409">
        <v>18789.7</v>
      </c>
      <c r="E40" s="410">
        <v>0</v>
      </c>
      <c r="F40" s="409">
        <v>-18789.7</v>
      </c>
      <c r="G40" s="411">
        <v>-1</v>
      </c>
      <c r="H40" s="405"/>
    </row>
    <row r="41" spans="2:8" ht="19.5" x14ac:dyDescent="0.35">
      <c r="B41" s="413"/>
      <c r="C41" s="409" t="s">
        <v>183</v>
      </c>
      <c r="D41" s="409">
        <v>10</v>
      </c>
      <c r="E41" s="410">
        <v>0</v>
      </c>
      <c r="F41" s="409">
        <v>-10</v>
      </c>
      <c r="G41" s="411">
        <v>-1</v>
      </c>
      <c r="H41" s="405"/>
    </row>
    <row r="42" spans="2:8" ht="19.5" x14ac:dyDescent="0.35">
      <c r="B42" s="413"/>
      <c r="C42" s="409" t="s">
        <v>184</v>
      </c>
      <c r="D42" s="425">
        <v>1.6259999999999999</v>
      </c>
      <c r="E42" s="424">
        <v>2.2839999999999998</v>
      </c>
      <c r="F42" s="425">
        <v>0.65799999999999992</v>
      </c>
      <c r="G42" s="411">
        <v>0.40467404674046736</v>
      </c>
      <c r="H42" s="405"/>
    </row>
    <row r="43" spans="2:8" ht="19.5" x14ac:dyDescent="0.35">
      <c r="B43" s="426"/>
      <c r="C43" s="427"/>
      <c r="D43" s="427"/>
      <c r="E43" s="428"/>
      <c r="F43" s="427"/>
      <c r="G43" s="429"/>
      <c r="H43" s="430"/>
    </row>
  </sheetData>
  <mergeCells count="12">
    <mergeCell ref="F39:G39"/>
    <mergeCell ref="B2:H2"/>
    <mergeCell ref="B3:H3"/>
    <mergeCell ref="B4:H4"/>
    <mergeCell ref="B5:H5"/>
    <mergeCell ref="B8:H8"/>
    <mergeCell ref="F10:G10"/>
    <mergeCell ref="B19:H19"/>
    <mergeCell ref="F21:G21"/>
    <mergeCell ref="B30:H30"/>
    <mergeCell ref="F32:G32"/>
    <mergeCell ref="B37:H37"/>
  </mergeCells>
  <printOptions horizontalCentered="1"/>
  <pageMargins left="0.55000000000000004" right="0.55000000000000004" top="1.6" bottom="0.5" header="0" footer="0"/>
  <pageSetup scale="93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0EB4-7962-4532-B1F1-24E0079D3C93}">
  <sheetPr>
    <pageSetUpPr fitToPage="1"/>
  </sheetPr>
  <dimension ref="A2:GG43"/>
  <sheetViews>
    <sheetView showGridLines="0" workbookViewId="0">
      <selection activeCell="D11" sqref="D11"/>
    </sheetView>
  </sheetViews>
  <sheetFormatPr defaultColWidth="8.88671875" defaultRowHeight="15" x14ac:dyDescent="0.25"/>
  <cols>
    <col min="1" max="1" width="2.77734375" style="24" customWidth="1"/>
    <col min="2" max="2" width="2.5546875" style="24" customWidth="1"/>
    <col min="3" max="3" width="25.5546875" style="47" customWidth="1"/>
    <col min="4" max="4" width="9" style="28" bestFit="1" customWidth="1"/>
    <col min="5" max="5" width="9.6640625" style="28" customWidth="1"/>
    <col min="6" max="7" width="9.6640625" style="47" customWidth="1"/>
    <col min="8" max="8" width="2.5546875" style="24" customWidth="1"/>
    <col min="9" max="9" width="2" style="24" customWidth="1"/>
    <col min="10" max="10" width="9.6640625" style="109" customWidth="1"/>
    <col min="11" max="189" width="9.6640625" style="24" customWidth="1"/>
    <col min="190" max="16384" width="8.88671875" style="17"/>
  </cols>
  <sheetData>
    <row r="2" spans="2:10" ht="18" customHeight="1" x14ac:dyDescent="0.3">
      <c r="B2" s="469"/>
      <c r="C2" s="470"/>
      <c r="D2" s="470"/>
      <c r="E2" s="470"/>
      <c r="F2" s="470"/>
      <c r="G2" s="470"/>
      <c r="H2" s="471"/>
    </row>
    <row r="3" spans="2:10" ht="18" customHeight="1" x14ac:dyDescent="0.3">
      <c r="B3" s="472" t="s">
        <v>195</v>
      </c>
      <c r="C3" s="473"/>
      <c r="D3" s="473"/>
      <c r="E3" s="473"/>
      <c r="F3" s="473"/>
      <c r="G3" s="473"/>
      <c r="H3" s="474"/>
    </row>
    <row r="4" spans="2:10" ht="21" x14ac:dyDescent="0.35">
      <c r="B4" s="475" t="s">
        <v>194</v>
      </c>
      <c r="C4" s="476"/>
      <c r="D4" s="476"/>
      <c r="E4" s="476"/>
      <c r="F4" s="476"/>
      <c r="G4" s="476"/>
      <c r="H4" s="477"/>
    </row>
    <row r="5" spans="2:10" ht="18" customHeight="1" x14ac:dyDescent="0.25">
      <c r="B5" s="478" t="s">
        <v>149</v>
      </c>
      <c r="C5" s="479"/>
      <c r="D5" s="479"/>
      <c r="E5" s="479"/>
      <c r="F5" s="479"/>
      <c r="G5" s="479"/>
      <c r="H5" s="480"/>
    </row>
    <row r="6" spans="2:10" ht="6" customHeight="1" x14ac:dyDescent="0.25">
      <c r="B6" s="111"/>
      <c r="H6" s="112"/>
    </row>
    <row r="7" spans="2:10" ht="7.9" customHeight="1" x14ac:dyDescent="0.25">
      <c r="B7" s="274"/>
      <c r="C7" s="281"/>
      <c r="D7" s="282"/>
      <c r="E7" s="282"/>
      <c r="F7" s="281"/>
      <c r="G7" s="281"/>
      <c r="H7" s="275"/>
    </row>
    <row r="8" spans="2:10" ht="18.75" x14ac:dyDescent="0.3">
      <c r="B8" s="481" t="s">
        <v>174</v>
      </c>
      <c r="C8" s="482"/>
      <c r="D8" s="482"/>
      <c r="E8" s="482"/>
      <c r="F8" s="482"/>
      <c r="G8" s="482"/>
      <c r="H8" s="483"/>
    </row>
    <row r="9" spans="2:10" ht="8.1" customHeight="1" x14ac:dyDescent="0.3">
      <c r="B9" s="124"/>
      <c r="C9" s="125"/>
      <c r="D9" s="125"/>
      <c r="E9" s="125"/>
      <c r="F9" s="125"/>
      <c r="G9" s="125"/>
      <c r="H9" s="126"/>
    </row>
    <row r="10" spans="2:10" ht="20.25" x14ac:dyDescent="0.4">
      <c r="B10" s="111"/>
      <c r="C10" s="27" t="s">
        <v>123</v>
      </c>
      <c r="D10" s="268" t="s">
        <v>29</v>
      </c>
      <c r="E10" s="268" t="s">
        <v>1</v>
      </c>
      <c r="F10" s="468" t="s">
        <v>34</v>
      </c>
      <c r="G10" s="468"/>
      <c r="H10" s="126"/>
      <c r="J10" s="140"/>
    </row>
    <row r="11" spans="2:10" ht="18.75" x14ac:dyDescent="0.3">
      <c r="B11" s="111"/>
      <c r="C11" s="47" t="s">
        <v>175</v>
      </c>
      <c r="D11" s="113">
        <f>'Alternative Rates 1'!E11</f>
        <v>25.84</v>
      </c>
      <c r="E11" s="29">
        <f>ROUND(D11*(1+'SAO 2'!$F$39),2)</f>
        <v>28.78</v>
      </c>
      <c r="F11" s="113">
        <f t="shared" ref="F11:F17" si="0">E11-D11</f>
        <v>2.9400000000000013</v>
      </c>
      <c r="G11" s="114">
        <f t="shared" ref="G11:G17" si="1">F11/D11</f>
        <v>0.11377708978328178</v>
      </c>
      <c r="H11" s="126"/>
      <c r="J11" s="139"/>
    </row>
    <row r="12" spans="2:10" ht="18.75" x14ac:dyDescent="0.3">
      <c r="B12" s="127"/>
      <c r="C12" s="113" t="s">
        <v>176</v>
      </c>
      <c r="D12" s="113">
        <f>'Alternative Rates 1'!E12</f>
        <v>10.94</v>
      </c>
      <c r="E12" s="29">
        <f>ROUND(D12*(1+'SAO 2'!$F$39),2)</f>
        <v>12.18</v>
      </c>
      <c r="F12" s="113">
        <f t="shared" si="0"/>
        <v>1.2400000000000002</v>
      </c>
      <c r="G12" s="114">
        <f t="shared" si="1"/>
        <v>0.11334552102376602</v>
      </c>
      <c r="H12" s="126"/>
      <c r="J12" s="138"/>
    </row>
    <row r="13" spans="2:10" ht="18.75" x14ac:dyDescent="0.3">
      <c r="B13" s="127"/>
      <c r="C13" s="113" t="s">
        <v>176</v>
      </c>
      <c r="D13" s="113">
        <f>'Alternative Rates 1'!E13</f>
        <v>9.5299999999999994</v>
      </c>
      <c r="E13" s="29">
        <f>ROUND(D13*(1+'SAO 2'!$F$39),2)</f>
        <v>10.61</v>
      </c>
      <c r="F13" s="113">
        <f t="shared" si="0"/>
        <v>1.08</v>
      </c>
      <c r="G13" s="114">
        <f t="shared" si="1"/>
        <v>0.11332633788037777</v>
      </c>
      <c r="H13" s="126"/>
      <c r="J13" s="138"/>
    </row>
    <row r="14" spans="2:10" ht="18.75" x14ac:dyDescent="0.3">
      <c r="B14" s="127"/>
      <c r="C14" s="113" t="s">
        <v>177</v>
      </c>
      <c r="D14" s="113">
        <f>'Alternative Rates 1'!E14</f>
        <v>8.18</v>
      </c>
      <c r="E14" s="29">
        <f>ROUND(D14*(1+'SAO 2'!$F$39),2)</f>
        <v>9.11</v>
      </c>
      <c r="F14" s="113">
        <f t="shared" si="0"/>
        <v>0.92999999999999972</v>
      </c>
      <c r="G14" s="114">
        <f t="shared" si="1"/>
        <v>0.11369193154034227</v>
      </c>
      <c r="H14" s="126"/>
      <c r="J14" s="138"/>
    </row>
    <row r="15" spans="2:10" ht="18.75" x14ac:dyDescent="0.3">
      <c r="B15" s="127"/>
      <c r="C15" s="113" t="s">
        <v>177</v>
      </c>
      <c r="D15" s="113">
        <f>'Alternative Rates 1'!E15</f>
        <v>6.83</v>
      </c>
      <c r="E15" s="29">
        <f>ROUND(D15*(1+'SAO 2'!$F$39),2)</f>
        <v>7.61</v>
      </c>
      <c r="F15" s="113">
        <f t="shared" si="0"/>
        <v>0.78000000000000025</v>
      </c>
      <c r="G15" s="114">
        <f t="shared" si="1"/>
        <v>0.1142020497803807</v>
      </c>
      <c r="H15" s="126"/>
      <c r="J15" s="138"/>
    </row>
    <row r="16" spans="2:10" ht="18.75" x14ac:dyDescent="0.3">
      <c r="B16" s="127"/>
      <c r="C16" s="113" t="s">
        <v>178</v>
      </c>
      <c r="D16" s="113">
        <f>'Alternative Rates 1'!E16</f>
        <v>5.47</v>
      </c>
      <c r="E16" s="29">
        <f>ROUND(D16*(1+'SAO 2'!$F$39),2)</f>
        <v>6.09</v>
      </c>
      <c r="F16" s="113">
        <f t="shared" si="0"/>
        <v>0.62000000000000011</v>
      </c>
      <c r="G16" s="114">
        <f t="shared" si="1"/>
        <v>0.11334552102376602</v>
      </c>
      <c r="H16" s="126"/>
      <c r="J16" s="138"/>
    </row>
    <row r="17" spans="2:12" ht="18.75" x14ac:dyDescent="0.3">
      <c r="B17" s="269"/>
      <c r="C17" s="115" t="s">
        <v>179</v>
      </c>
      <c r="D17" s="115">
        <f>'Alternative Rates 1'!E17</f>
        <v>4.67</v>
      </c>
      <c r="E17" s="270">
        <f>ROUND(D17*(1+'SAO 2'!$F$39),2)</f>
        <v>5.2</v>
      </c>
      <c r="F17" s="115">
        <f t="shared" si="0"/>
        <v>0.53000000000000025</v>
      </c>
      <c r="G17" s="116">
        <f t="shared" si="1"/>
        <v>0.11349036402569598</v>
      </c>
      <c r="H17" s="271"/>
      <c r="J17" s="138"/>
    </row>
    <row r="18" spans="2:12" ht="7.9" customHeight="1" x14ac:dyDescent="0.3">
      <c r="B18" s="127"/>
      <c r="C18" s="113"/>
      <c r="D18" s="113"/>
      <c r="E18" s="29"/>
      <c r="F18" s="113"/>
      <c r="G18" s="114"/>
      <c r="H18" s="126"/>
      <c r="J18" s="138"/>
    </row>
    <row r="19" spans="2:12" ht="18.75" x14ac:dyDescent="0.3">
      <c r="B19" s="481" t="s">
        <v>180</v>
      </c>
      <c r="C19" s="482"/>
      <c r="D19" s="482"/>
      <c r="E19" s="482"/>
      <c r="F19" s="482"/>
      <c r="G19" s="482"/>
      <c r="H19" s="483"/>
      <c r="J19" s="138"/>
    </row>
    <row r="20" spans="2:12" ht="7.9" customHeight="1" x14ac:dyDescent="0.3">
      <c r="B20" s="124"/>
      <c r="C20" s="125"/>
      <c r="D20" s="125"/>
      <c r="E20" s="125"/>
      <c r="F20" s="125"/>
      <c r="G20" s="125"/>
      <c r="H20" s="126"/>
      <c r="J20" s="138"/>
    </row>
    <row r="21" spans="2:12" ht="20.25" x14ac:dyDescent="0.4">
      <c r="B21" s="111"/>
      <c r="C21" s="27" t="s">
        <v>123</v>
      </c>
      <c r="D21" s="268" t="s">
        <v>29</v>
      </c>
      <c r="E21" s="268" t="s">
        <v>1</v>
      </c>
      <c r="F21" s="468" t="s">
        <v>34</v>
      </c>
      <c r="G21" s="468"/>
      <c r="H21" s="126"/>
      <c r="J21" s="138"/>
    </row>
    <row r="22" spans="2:12" ht="18.75" x14ac:dyDescent="0.3">
      <c r="B22" s="111"/>
      <c r="C22" s="47" t="s">
        <v>175</v>
      </c>
      <c r="D22" s="113">
        <f>'Alternative Rates 1'!E22</f>
        <v>31.03</v>
      </c>
      <c r="E22" s="29">
        <f>ROUND(D22*(1+'SAO 2'!$F$39),2)</f>
        <v>34.56</v>
      </c>
      <c r="F22" s="113">
        <f t="shared" ref="F22:F28" si="2">E22-D22</f>
        <v>3.5300000000000011</v>
      </c>
      <c r="G22" s="114">
        <f t="shared" ref="G22:G28" si="3">F22/D22</f>
        <v>0.11376087657106029</v>
      </c>
      <c r="H22" s="126"/>
      <c r="J22" s="138"/>
    </row>
    <row r="23" spans="2:12" ht="18.75" x14ac:dyDescent="0.3">
      <c r="B23" s="127"/>
      <c r="C23" s="113" t="s">
        <v>176</v>
      </c>
      <c r="D23" s="113">
        <f>'Alternative Rates 1'!E23</f>
        <v>13.12</v>
      </c>
      <c r="E23" s="29">
        <f>ROUND(D23*(1+'SAO 2'!$F$39),2)</f>
        <v>14.61</v>
      </c>
      <c r="F23" s="113">
        <f t="shared" si="2"/>
        <v>1.4900000000000002</v>
      </c>
      <c r="G23" s="114">
        <f t="shared" si="3"/>
        <v>0.11356707317073172</v>
      </c>
      <c r="H23" s="126"/>
      <c r="J23" s="138"/>
    </row>
    <row r="24" spans="2:12" ht="18.75" x14ac:dyDescent="0.3">
      <c r="B24" s="127"/>
      <c r="C24" s="113" t="s">
        <v>176</v>
      </c>
      <c r="D24" s="113">
        <f>'Alternative Rates 1'!E24</f>
        <v>11.45</v>
      </c>
      <c r="E24" s="29">
        <f>ROUND(D24*(1+'SAO 2'!$F$39),2)</f>
        <v>12.75</v>
      </c>
      <c r="F24" s="113">
        <f t="shared" si="2"/>
        <v>1.3000000000000007</v>
      </c>
      <c r="G24" s="114">
        <f t="shared" si="3"/>
        <v>0.1135371179039302</v>
      </c>
      <c r="H24" s="126"/>
      <c r="J24" s="138"/>
    </row>
    <row r="25" spans="2:12" ht="18.75" x14ac:dyDescent="0.3">
      <c r="B25" s="127"/>
      <c r="C25" s="113" t="s">
        <v>177</v>
      </c>
      <c r="D25" s="113">
        <f>'Alternative Rates 1'!E25</f>
        <v>9.8699999999999992</v>
      </c>
      <c r="E25" s="29">
        <f>ROUND(D25*(1+'SAO 2'!$F$39),2)</f>
        <v>10.99</v>
      </c>
      <c r="F25" s="113">
        <f t="shared" si="2"/>
        <v>1.120000000000001</v>
      </c>
      <c r="G25" s="114">
        <f t="shared" si="3"/>
        <v>0.11347517730496465</v>
      </c>
      <c r="H25" s="126"/>
      <c r="K25" s="110"/>
      <c r="L25" s="110"/>
    </row>
    <row r="26" spans="2:12" ht="18.75" x14ac:dyDescent="0.3">
      <c r="B26" s="127"/>
      <c r="C26" s="113" t="s">
        <v>177</v>
      </c>
      <c r="D26" s="113">
        <f>'Alternative Rates 1'!E26</f>
        <v>8.2100000000000009</v>
      </c>
      <c r="E26" s="29">
        <f>ROUND(D26*(1+'SAO 2'!$F$39),2)</f>
        <v>9.14</v>
      </c>
      <c r="F26" s="113">
        <f t="shared" si="2"/>
        <v>0.92999999999999972</v>
      </c>
      <c r="G26" s="114">
        <f t="shared" si="3"/>
        <v>0.11327649208282578</v>
      </c>
      <c r="H26" s="126"/>
    </row>
    <row r="27" spans="2:12" ht="18.75" x14ac:dyDescent="0.3">
      <c r="B27" s="127"/>
      <c r="C27" s="113" t="s">
        <v>178</v>
      </c>
      <c r="D27" s="113">
        <f>'Alternative Rates 1'!E27</f>
        <v>6.54</v>
      </c>
      <c r="E27" s="29">
        <f>ROUND(D27*(1+'SAO 2'!$F$39),2)</f>
        <v>7.28</v>
      </c>
      <c r="F27" s="113">
        <f t="shared" si="2"/>
        <v>0.74000000000000021</v>
      </c>
      <c r="G27" s="114">
        <f t="shared" si="3"/>
        <v>0.11314984709480126</v>
      </c>
      <c r="H27" s="126"/>
    </row>
    <row r="28" spans="2:12" ht="18.75" x14ac:dyDescent="0.3">
      <c r="B28" s="269"/>
      <c r="C28" s="115" t="s">
        <v>179</v>
      </c>
      <c r="D28" s="115">
        <f>'Alternative Rates 1'!E28</f>
        <v>5.63</v>
      </c>
      <c r="E28" s="270">
        <f>ROUND(D28*(1+'SAO 2'!$F$39),2)</f>
        <v>6.27</v>
      </c>
      <c r="F28" s="115">
        <f t="shared" si="2"/>
        <v>0.63999999999999968</v>
      </c>
      <c r="G28" s="116">
        <f t="shared" si="3"/>
        <v>0.11367673179396087</v>
      </c>
      <c r="H28" s="271"/>
    </row>
    <row r="29" spans="2:12" ht="7.9" customHeight="1" x14ac:dyDescent="0.3">
      <c r="B29" s="276"/>
      <c r="C29" s="113"/>
      <c r="D29" s="113"/>
      <c r="E29" s="29"/>
      <c r="F29" s="113"/>
      <c r="G29" s="114"/>
      <c r="H29" s="267"/>
    </row>
    <row r="30" spans="2:12" ht="18" customHeight="1" x14ac:dyDescent="0.3">
      <c r="B30" s="481" t="s">
        <v>181</v>
      </c>
      <c r="C30" s="482"/>
      <c r="D30" s="482"/>
      <c r="E30" s="482"/>
      <c r="F30" s="482"/>
      <c r="G30" s="482"/>
      <c r="H30" s="483"/>
    </row>
    <row r="31" spans="2:12" ht="7.9" customHeight="1" x14ac:dyDescent="0.3">
      <c r="B31" s="124"/>
      <c r="C31" s="125"/>
      <c r="D31" s="125"/>
      <c r="E31" s="125"/>
      <c r="F31" s="125"/>
      <c r="G31" s="125"/>
      <c r="H31" s="126"/>
    </row>
    <row r="32" spans="2:12" ht="20.25" x14ac:dyDescent="0.4">
      <c r="B32" s="111"/>
      <c r="C32" s="27" t="s">
        <v>123</v>
      </c>
      <c r="D32" s="268" t="s">
        <v>29</v>
      </c>
      <c r="E32" s="268" t="s">
        <v>1</v>
      </c>
      <c r="F32" s="468" t="s">
        <v>34</v>
      </c>
      <c r="G32" s="468"/>
      <c r="H32" s="126"/>
    </row>
    <row r="33" spans="2:8" ht="18.75" x14ac:dyDescent="0.3">
      <c r="B33" s="111"/>
      <c r="C33" s="47" t="s">
        <v>182</v>
      </c>
      <c r="D33" s="113">
        <f>'Rates 1'!E33</f>
        <v>0</v>
      </c>
      <c r="E33" s="29">
        <v>0</v>
      </c>
      <c r="F33" s="113">
        <f>E33-D33</f>
        <v>0</v>
      </c>
      <c r="G33" s="114">
        <f>IF(D33&gt;0,F33/D33,0)</f>
        <v>0</v>
      </c>
      <c r="H33" s="126"/>
    </row>
    <row r="34" spans="2:8" ht="18.75" x14ac:dyDescent="0.3">
      <c r="B34" s="127"/>
      <c r="C34" s="113" t="s">
        <v>183</v>
      </c>
      <c r="D34" s="113">
        <f>'Rates 1'!E34</f>
        <v>0</v>
      </c>
      <c r="E34" s="29">
        <v>0</v>
      </c>
      <c r="F34" s="113">
        <f>E34-D34</f>
        <v>0</v>
      </c>
      <c r="G34" s="114">
        <f>IF(D34&gt;0,F34/D34,0)</f>
        <v>0</v>
      </c>
      <c r="H34" s="126"/>
    </row>
    <row r="35" spans="2:8" ht="18" customHeight="1" x14ac:dyDescent="0.3">
      <c r="B35" s="269"/>
      <c r="C35" s="115" t="s">
        <v>184</v>
      </c>
      <c r="D35" s="277">
        <f>'Rates 1'!E35</f>
        <v>2.2839999999999998</v>
      </c>
      <c r="E35" s="301">
        <v>4.74</v>
      </c>
      <c r="F35" s="277">
        <f>E35-D35</f>
        <v>2.4560000000000004</v>
      </c>
      <c r="G35" s="116">
        <f>F35/D35</f>
        <v>1.0753064798598952</v>
      </c>
      <c r="H35" s="271"/>
    </row>
    <row r="36" spans="2:8" ht="7.9" customHeight="1" x14ac:dyDescent="0.3">
      <c r="B36" s="127"/>
      <c r="C36" s="113"/>
      <c r="D36" s="113"/>
      <c r="E36" s="29"/>
      <c r="F36" s="113"/>
      <c r="G36" s="114"/>
      <c r="H36" s="126"/>
    </row>
    <row r="37" spans="2:8" ht="18" customHeight="1" x14ac:dyDescent="0.3">
      <c r="B37" s="481" t="s">
        <v>185</v>
      </c>
      <c r="C37" s="482"/>
      <c r="D37" s="482"/>
      <c r="E37" s="482"/>
      <c r="F37" s="482"/>
      <c r="G37" s="482"/>
      <c r="H37" s="483"/>
    </row>
    <row r="38" spans="2:8" ht="9" customHeight="1" x14ac:dyDescent="0.3">
      <c r="B38" s="124"/>
      <c r="C38" s="125"/>
      <c r="D38" s="125"/>
      <c r="E38" s="125"/>
      <c r="F38" s="125"/>
      <c r="G38" s="125"/>
      <c r="H38" s="126"/>
    </row>
    <row r="39" spans="2:8" ht="18" customHeight="1" x14ac:dyDescent="0.4">
      <c r="B39" s="111"/>
      <c r="C39" s="27" t="s">
        <v>123</v>
      </c>
      <c r="D39" s="268" t="s">
        <v>29</v>
      </c>
      <c r="E39" s="268" t="s">
        <v>1</v>
      </c>
      <c r="F39" s="468" t="s">
        <v>34</v>
      </c>
      <c r="G39" s="468"/>
      <c r="H39" s="126"/>
    </row>
    <row r="40" spans="2:8" ht="18" customHeight="1" x14ac:dyDescent="0.3">
      <c r="B40" s="111"/>
      <c r="C40" s="47" t="s">
        <v>182</v>
      </c>
      <c r="D40" s="113">
        <f>'Rates 1'!E40</f>
        <v>0</v>
      </c>
      <c r="E40" s="29">
        <v>0</v>
      </c>
      <c r="F40" s="113">
        <f>E40-D40</f>
        <v>0</v>
      </c>
      <c r="G40" s="114">
        <f>IF(D40&gt;0,F40/D40,0)</f>
        <v>0</v>
      </c>
      <c r="H40" s="126"/>
    </row>
    <row r="41" spans="2:8" ht="18.75" x14ac:dyDescent="0.3">
      <c r="B41" s="127"/>
      <c r="C41" s="113" t="s">
        <v>183</v>
      </c>
      <c r="D41" s="113">
        <f>'Rates 1'!E41</f>
        <v>0</v>
      </c>
      <c r="E41" s="29">
        <v>0</v>
      </c>
      <c r="F41" s="113">
        <f>E41-D41</f>
        <v>0</v>
      </c>
      <c r="G41" s="114">
        <f>IF(D41&gt;0,F41/D41,0)</f>
        <v>0</v>
      </c>
      <c r="H41" s="126"/>
    </row>
    <row r="42" spans="2:8" ht="18.75" x14ac:dyDescent="0.3">
      <c r="B42" s="127"/>
      <c r="C42" s="113" t="s">
        <v>184</v>
      </c>
      <c r="D42" s="277">
        <f>'Rates 1'!E42</f>
        <v>2.2839999999999998</v>
      </c>
      <c r="E42" s="301">
        <v>4.74</v>
      </c>
      <c r="F42" s="273">
        <f>E42-D42</f>
        <v>2.4560000000000004</v>
      </c>
      <c r="G42" s="114">
        <f>F42/D42</f>
        <v>1.0753064798598952</v>
      </c>
      <c r="H42" s="126"/>
    </row>
    <row r="43" spans="2:8" ht="18.75" x14ac:dyDescent="0.3">
      <c r="B43" s="278"/>
      <c r="C43" s="272"/>
      <c r="D43" s="272"/>
      <c r="E43" s="279"/>
      <c r="F43" s="272"/>
      <c r="G43" s="280"/>
      <c r="H43" s="266"/>
    </row>
  </sheetData>
  <mergeCells count="12">
    <mergeCell ref="F39:G39"/>
    <mergeCell ref="B2:H2"/>
    <mergeCell ref="B3:H3"/>
    <mergeCell ref="B4:H4"/>
    <mergeCell ref="B5:H5"/>
    <mergeCell ref="B8:H8"/>
    <mergeCell ref="F10:G10"/>
    <mergeCell ref="B19:H19"/>
    <mergeCell ref="F21:G21"/>
    <mergeCell ref="B30:H30"/>
    <mergeCell ref="F32:G32"/>
    <mergeCell ref="B37:H37"/>
  </mergeCells>
  <printOptions horizontalCentered="1"/>
  <pageMargins left="0.55000000000000004" right="0.55000000000000004" top="1.6" bottom="0.5" header="0" footer="0"/>
  <pageSetup scale="93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50"/>
  <sheetViews>
    <sheetView showGridLines="0" topLeftCell="A21" workbookViewId="0">
      <selection activeCell="I50" sqref="A1:I50"/>
    </sheetView>
  </sheetViews>
  <sheetFormatPr defaultColWidth="8.88671875" defaultRowHeight="15" x14ac:dyDescent="0.25"/>
  <cols>
    <col min="1" max="1" width="3" style="7" customWidth="1"/>
    <col min="2" max="2" width="1.77734375" style="7" customWidth="1"/>
    <col min="3" max="7" width="9.77734375" style="7" customWidth="1"/>
    <col min="8" max="8" width="1.77734375" style="7" customWidth="1"/>
    <col min="9" max="9" width="2.88671875" style="7" customWidth="1"/>
    <col min="10" max="16384" width="8.88671875" style="7"/>
  </cols>
  <sheetData>
    <row r="2" spans="2:10" x14ac:dyDescent="0.25">
      <c r="B2" s="8"/>
      <c r="C2" s="9"/>
      <c r="D2" s="9"/>
      <c r="E2" s="9"/>
      <c r="F2" s="9"/>
      <c r="G2" s="9"/>
      <c r="H2" s="10"/>
    </row>
    <row r="3" spans="2:10" ht="18.75" x14ac:dyDescent="0.3">
      <c r="B3" s="484" t="s">
        <v>188</v>
      </c>
      <c r="C3" s="485"/>
      <c r="D3" s="485"/>
      <c r="E3" s="485"/>
      <c r="F3" s="485"/>
      <c r="G3" s="485"/>
      <c r="H3" s="486"/>
    </row>
    <row r="4" spans="2:10" ht="18.75" x14ac:dyDescent="0.3">
      <c r="B4" s="487" t="s">
        <v>189</v>
      </c>
      <c r="C4" s="488"/>
      <c r="D4" s="488"/>
      <c r="E4" s="488"/>
      <c r="F4" s="488"/>
      <c r="G4" s="488"/>
      <c r="H4" s="489"/>
    </row>
    <row r="5" spans="2:10" ht="15.75" x14ac:dyDescent="0.25">
      <c r="B5" s="433" t="s">
        <v>149</v>
      </c>
      <c r="C5" s="434"/>
      <c r="D5" s="434"/>
      <c r="E5" s="434"/>
      <c r="F5" s="434"/>
      <c r="G5" s="434"/>
      <c r="H5" s="435"/>
    </row>
    <row r="6" spans="2:10" ht="6" customHeight="1" x14ac:dyDescent="0.25">
      <c r="B6" s="34"/>
      <c r="C6" s="35"/>
      <c r="D6" s="35"/>
      <c r="E6" s="35"/>
      <c r="F6" s="35"/>
      <c r="G6" s="35"/>
      <c r="H6" s="36"/>
    </row>
    <row r="7" spans="2:10" ht="15.75" x14ac:dyDescent="0.25">
      <c r="B7" s="490" t="s">
        <v>174</v>
      </c>
      <c r="C7" s="491"/>
      <c r="D7" s="491"/>
      <c r="E7" s="491"/>
      <c r="F7" s="491"/>
      <c r="G7" s="491"/>
      <c r="H7" s="492"/>
      <c r="I7" s="11"/>
    </row>
    <row r="8" spans="2:10" ht="6" customHeight="1" x14ac:dyDescent="0.25">
      <c r="B8" s="11"/>
      <c r="C8" s="12"/>
      <c r="D8" s="34"/>
      <c r="E8" s="35"/>
      <c r="F8" s="35"/>
      <c r="G8" s="35"/>
      <c r="H8" s="36"/>
      <c r="I8" s="33"/>
      <c r="J8" s="33"/>
    </row>
    <row r="9" spans="2:10" ht="17.25" x14ac:dyDescent="0.4">
      <c r="B9" s="11"/>
      <c r="C9" s="32" t="s">
        <v>3</v>
      </c>
      <c r="D9" s="37" t="s">
        <v>12</v>
      </c>
      <c r="E9" s="16" t="s">
        <v>1</v>
      </c>
      <c r="F9" s="16"/>
      <c r="G9" s="16"/>
      <c r="H9" s="32"/>
    </row>
    <row r="10" spans="2:10" ht="17.25" x14ac:dyDescent="0.4">
      <c r="B10" s="11"/>
      <c r="C10" s="32" t="s">
        <v>125</v>
      </c>
      <c r="D10" s="37" t="s">
        <v>35</v>
      </c>
      <c r="E10" s="16" t="s">
        <v>35</v>
      </c>
      <c r="F10" s="16" t="s">
        <v>13</v>
      </c>
      <c r="G10" s="16" t="s">
        <v>36</v>
      </c>
      <c r="H10" s="32"/>
    </row>
    <row r="11" spans="2:10" x14ac:dyDescent="0.25">
      <c r="B11" s="11"/>
      <c r="C11" s="17">
        <v>0</v>
      </c>
      <c r="D11" s="26">
        <f>'Rates 1'!$D$11</f>
        <v>25.84</v>
      </c>
      <c r="E11" s="26">
        <f>'Rates 1'!$E$11</f>
        <v>25.84</v>
      </c>
      <c r="F11" s="45">
        <f>E11-D11</f>
        <v>0</v>
      </c>
      <c r="G11" s="61">
        <f>F11/D11</f>
        <v>0</v>
      </c>
      <c r="H11" s="40"/>
    </row>
    <row r="12" spans="2:10" x14ac:dyDescent="0.25">
      <c r="B12" s="11"/>
      <c r="C12" s="6">
        <v>2000</v>
      </c>
      <c r="D12" s="26">
        <f>'Rates 1'!$D$11</f>
        <v>25.84</v>
      </c>
      <c r="E12" s="26">
        <f>'Rates 1'!$E$11</f>
        <v>25.84</v>
      </c>
      <c r="F12" s="17">
        <f t="shared" ref="F12:F19" si="0">E12-D12</f>
        <v>0</v>
      </c>
      <c r="G12" s="61">
        <f t="shared" ref="G12:G26" si="1">F12/D12</f>
        <v>0</v>
      </c>
      <c r="H12" s="40"/>
    </row>
    <row r="13" spans="2:10" x14ac:dyDescent="0.25">
      <c r="B13" s="11"/>
      <c r="C13" s="41">
        <v>4000</v>
      </c>
      <c r="D13" s="159">
        <f>'Rates 1'!$D$11+('Rates 1'!$D$12*(C13-2000)/1000)</f>
        <v>46.739999999999995</v>
      </c>
      <c r="E13" s="159">
        <f>'Rates 1'!$E$11+('Rates 1'!$E$12*(C13-2000)/1000)</f>
        <v>46.739999999999995</v>
      </c>
      <c r="F13" s="42">
        <f t="shared" si="0"/>
        <v>0</v>
      </c>
      <c r="G13" s="62">
        <f t="shared" si="1"/>
        <v>0</v>
      </c>
      <c r="H13" s="43"/>
    </row>
    <row r="14" spans="2:10" x14ac:dyDescent="0.25">
      <c r="B14" s="11"/>
      <c r="C14" s="6">
        <v>6000</v>
      </c>
      <c r="D14" s="283">
        <f>'Rates 1'!$D$11+('Rates 1'!$D$12*(C14-2000)/1000)</f>
        <v>67.64</v>
      </c>
      <c r="E14" s="283">
        <f>'Rates 1'!$E$11+('Rates 1'!$E$12*(C14-2000)/1000)</f>
        <v>67.64</v>
      </c>
      <c r="F14" s="17">
        <f t="shared" si="0"/>
        <v>0</v>
      </c>
      <c r="G14" s="61">
        <f t="shared" si="1"/>
        <v>0</v>
      </c>
      <c r="H14" s="40"/>
    </row>
    <row r="15" spans="2:10" x14ac:dyDescent="0.25">
      <c r="B15" s="11"/>
      <c r="C15" s="6">
        <v>8000</v>
      </c>
      <c r="D15" s="283">
        <f>'Rates 1'!$D$11+('Rates 1'!$D$12*4)+('Rates 1'!$D$13*($C15-6000)/1000)</f>
        <v>85.84</v>
      </c>
      <c r="E15" s="283">
        <f>'Rates 1'!$E$11+('Rates 1'!$E$12*4)+('Rates 1'!$E$13*($C15-6000)/1000)</f>
        <v>85.84</v>
      </c>
      <c r="F15" s="17">
        <f t="shared" si="0"/>
        <v>0</v>
      </c>
      <c r="G15" s="61">
        <f t="shared" si="1"/>
        <v>0</v>
      </c>
      <c r="H15" s="40"/>
    </row>
    <row r="16" spans="2:10" x14ac:dyDescent="0.25">
      <c r="B16" s="11"/>
      <c r="C16" s="6">
        <v>10000</v>
      </c>
      <c r="D16" s="283">
        <f>'Rates 1'!$D$11+('Rates 1'!$D$12*4)+('Rates 1'!$D$13*($C16-6000)/1000)</f>
        <v>104.03999999999999</v>
      </c>
      <c r="E16" s="283">
        <f>'Rates 1'!$E$11+('Rates 1'!$E$12*4)+('Rates 1'!$E$13*($C16-6000)/1000)</f>
        <v>104.03999999999999</v>
      </c>
      <c r="F16" s="17">
        <f t="shared" si="0"/>
        <v>0</v>
      </c>
      <c r="G16" s="61">
        <f t="shared" si="1"/>
        <v>0</v>
      </c>
      <c r="H16" s="40"/>
    </row>
    <row r="17" spans="2:14" x14ac:dyDescent="0.25">
      <c r="B17" s="11"/>
      <c r="C17" s="6">
        <v>15000</v>
      </c>
      <c r="D17" s="283">
        <f>'Rates 1'!$D$11+('Rates 1'!$D$12*4)+('Rates 1'!$D$13*4)+('Rates 1'!$D$14*($C17-10000)/1000)</f>
        <v>143.08999999999997</v>
      </c>
      <c r="E17" s="283">
        <f>'Rates 1'!$E$11+('Rates 1'!$E$12*4)+('Rates 1'!$E$13*4)+('Rates 1'!$E$14*($C17-10000)/1000)</f>
        <v>143.08999999999997</v>
      </c>
      <c r="F17" s="17">
        <f t="shared" si="0"/>
        <v>0</v>
      </c>
      <c r="G17" s="61">
        <f t="shared" si="1"/>
        <v>0</v>
      </c>
      <c r="H17" s="40"/>
    </row>
    <row r="18" spans="2:14" x14ac:dyDescent="0.25">
      <c r="B18" s="11"/>
      <c r="C18" s="6">
        <v>20000</v>
      </c>
      <c r="D18" s="283">
        <f>'Rates 1'!$D$11+('Rates 1'!$D$12*4)+('Rates 1'!$D$13*4)+('Rates 1'!$D$14*($C18-10000)/1000)</f>
        <v>182.14</v>
      </c>
      <c r="E18" s="283">
        <f>'Rates 1'!$E$11+('Rates 1'!$E$12*4)+('Rates 1'!$E$13*4)+('Rates 1'!$E$14*($C18-10000)/1000)</f>
        <v>182.14</v>
      </c>
      <c r="F18" s="17">
        <f t="shared" si="0"/>
        <v>0</v>
      </c>
      <c r="G18" s="61">
        <f t="shared" si="1"/>
        <v>0</v>
      </c>
      <c r="H18" s="40"/>
    </row>
    <row r="19" spans="2:14" x14ac:dyDescent="0.25">
      <c r="B19" s="11"/>
      <c r="C19" s="6">
        <v>25000</v>
      </c>
      <c r="D19" s="283">
        <f>'Rates 1'!$D$11+('Rates 1'!$D$12*4)+('Rates 1'!$D$13*4)+('Rates 1'!$D$14*($C19-10000)/1000)</f>
        <v>221.19</v>
      </c>
      <c r="E19" s="283">
        <f>'Rates 1'!$E$11+('Rates 1'!$E$12*4)+('Rates 1'!$E$13*4)+('Rates 1'!$E$14*($C19-10000)/1000)</f>
        <v>221.19</v>
      </c>
      <c r="F19" s="17">
        <f t="shared" si="0"/>
        <v>0</v>
      </c>
      <c r="G19" s="61">
        <f t="shared" si="1"/>
        <v>0</v>
      </c>
      <c r="H19" s="40"/>
    </row>
    <row r="20" spans="2:14" x14ac:dyDescent="0.25">
      <c r="B20" s="11"/>
      <c r="C20" s="6">
        <v>30000</v>
      </c>
      <c r="D20" s="283">
        <f>'Rates 1'!$D$11+('Rates 1'!$D$12*4)+('Rates 1'!$D$13*4)+('Rates 1'!$D$14*($C20-10000)/1000)</f>
        <v>260.24</v>
      </c>
      <c r="E20" s="283">
        <f>'Rates 1'!$E$11+('Rates 1'!$E$12*4)+('Rates 1'!$E$13*4)+('Rates 1'!$E$14*($C20-10000)/1000)</f>
        <v>260.24</v>
      </c>
      <c r="F20" s="17">
        <f t="shared" ref="F20:F26" si="2">E20-D20</f>
        <v>0</v>
      </c>
      <c r="G20" s="61">
        <f t="shared" si="1"/>
        <v>0</v>
      </c>
      <c r="H20" s="40"/>
      <c r="N20" s="6"/>
    </row>
    <row r="21" spans="2:14" x14ac:dyDescent="0.25">
      <c r="B21" s="11"/>
      <c r="C21" s="6">
        <v>40000</v>
      </c>
      <c r="D21" s="283">
        <f>'Rates 1'!$D$11+('Rates 1'!$D$12*4)+('Rates 1'!$D$13*4)+('Rates 1'!$D$14*20)+('Rates 1'!$D$15*($C21-30000)/1000)</f>
        <v>325.44</v>
      </c>
      <c r="E21" s="283">
        <f>'Rates 1'!$E$11+('Rates 1'!$E$12*4)+('Rates 1'!$E$13*4)+('Rates 1'!$E$14*20)+('Rates 1'!$E$15*($C21-30000)/1000)</f>
        <v>325.44</v>
      </c>
      <c r="F21" s="17">
        <f t="shared" si="2"/>
        <v>0</v>
      </c>
      <c r="G21" s="61">
        <f t="shared" si="1"/>
        <v>0</v>
      </c>
      <c r="H21" s="40"/>
    </row>
    <row r="22" spans="2:14" x14ac:dyDescent="0.25">
      <c r="B22" s="11"/>
      <c r="C22" s="6">
        <v>50000</v>
      </c>
      <c r="D22" s="283">
        <f>'Rates 1'!$D$11+('Rates 1'!$D$12*4)+('Rates 1'!$D$13*4)+('Rates 1'!$D$14*20)+('Rates 1'!$D$15*($C22-30000)/1000)</f>
        <v>390.64</v>
      </c>
      <c r="E22" s="283">
        <f>'Rates 1'!$E$11+('Rates 1'!$E$12*4)+('Rates 1'!$E$13*4)+('Rates 1'!$E$14*20)+('Rates 1'!$E$15*($C22-30000)/1000)</f>
        <v>390.64</v>
      </c>
      <c r="F22" s="17">
        <f t="shared" si="2"/>
        <v>0</v>
      </c>
      <c r="G22" s="61">
        <f t="shared" si="1"/>
        <v>0</v>
      </c>
      <c r="H22" s="40"/>
    </row>
    <row r="23" spans="2:14" x14ac:dyDescent="0.25">
      <c r="B23" s="11"/>
      <c r="C23" s="6">
        <v>75000</v>
      </c>
      <c r="D23" s="283">
        <f>'Rates 1'!$D$11+('Rates 1'!$D$12*4)+('Rates 1'!$D$13*4)+('Rates 1'!$D$14*20)+('Rates 1'!$D$15*20)+('Rates 1'!$D$16*($C23-50000)/1000)</f>
        <v>521.39</v>
      </c>
      <c r="E23" s="283">
        <f>'Rates 1'!$E$11+('Rates 1'!$E$12*4)+('Rates 1'!$E$13*4)+('Rates 1'!$E$14*20)+('Rates 1'!$E$15*20)+('Rates 1'!$E$16*($C23-50000)/1000)</f>
        <v>521.39</v>
      </c>
      <c r="F23" s="17">
        <f t="shared" si="2"/>
        <v>0</v>
      </c>
      <c r="G23" s="61">
        <f t="shared" si="1"/>
        <v>0</v>
      </c>
      <c r="H23" s="40"/>
    </row>
    <row r="24" spans="2:14" x14ac:dyDescent="0.25">
      <c r="B24" s="11"/>
      <c r="C24" s="6">
        <v>100000</v>
      </c>
      <c r="D24" s="283">
        <f>'Rates 1'!$D$11+('Rates 1'!$D$12*4)+('Rates 1'!$D$13*4)+('Rates 1'!$D$14*20)+('Rates 1'!$D$15*20)+('Rates 1'!$D$16*($C24-50000)/1000)</f>
        <v>652.1400000000001</v>
      </c>
      <c r="E24" s="283">
        <f>'Rates 1'!$E$11+('Rates 1'!$E$12*4)+('Rates 1'!$E$13*4)+('Rates 1'!$E$14*20)+('Rates 1'!$E$15*20)+('Rates 1'!$E$16*($C24-50000)/1000)</f>
        <v>652.1400000000001</v>
      </c>
      <c r="F24" s="17">
        <f t="shared" si="2"/>
        <v>0</v>
      </c>
      <c r="G24" s="61">
        <f t="shared" si="1"/>
        <v>0</v>
      </c>
      <c r="H24" s="40"/>
    </row>
    <row r="25" spans="2:14" x14ac:dyDescent="0.25">
      <c r="B25" s="11"/>
      <c r="C25" s="6">
        <v>200000</v>
      </c>
      <c r="D25" s="283">
        <f>'Rates 1'!$D$11+('Rates 1'!$D$12*4)+('Rates 1'!$D$13*4)+('Rates 1'!$D$14*20)+('Rates 1'!$D$15*20)+('Rates 1'!$D$16*($C25-50000)/1000)</f>
        <v>1175.1400000000001</v>
      </c>
      <c r="E25" s="283">
        <f>'Rates 1'!$E$11+('Rates 1'!$E$12*4)+('Rates 1'!$E$13*4)+('Rates 1'!$E$14*20)+('Rates 1'!$E$15*20)+('Rates 1'!$E$16*($C25-50000)/1000)</f>
        <v>1175.1400000000001</v>
      </c>
      <c r="F25" s="17">
        <f t="shared" si="2"/>
        <v>0</v>
      </c>
      <c r="G25" s="61">
        <f t="shared" si="1"/>
        <v>0</v>
      </c>
      <c r="H25" s="40"/>
    </row>
    <row r="26" spans="2:14" x14ac:dyDescent="0.25">
      <c r="B26" s="11"/>
      <c r="C26" s="6">
        <v>500000</v>
      </c>
      <c r="D26" s="283">
        <f>'Rates 1'!$D$11+('Rates 1'!$D$12*4)+('Rates 1'!$D$13*4)+('Rates 1'!$D$14*20)+('Rates 1'!$D$15*20)+('Rates 1'!$D$16*250)+('Rates 1'!$D$17*($C26-300000)/1000)</f>
        <v>2590.14</v>
      </c>
      <c r="E26" s="283">
        <f>'Rates 1'!$E$11+('Rates 1'!$E$12*4)+('Rates 1'!$E$13*4)+('Rates 1'!$E$14*20)+('Rates 1'!$E$15*20)+('Rates 1'!$E$16*250)+('Rates 1'!$E$17*($C26-300000)/1000)</f>
        <v>2590.14</v>
      </c>
      <c r="F26" s="17">
        <f t="shared" si="2"/>
        <v>0</v>
      </c>
      <c r="G26" s="61">
        <f t="shared" si="1"/>
        <v>0</v>
      </c>
      <c r="H26" s="40"/>
    </row>
    <row r="27" spans="2:14" ht="6" customHeight="1" x14ac:dyDescent="0.25">
      <c r="B27" s="13"/>
      <c r="C27" s="4"/>
      <c r="D27" s="39"/>
      <c r="E27" s="38"/>
      <c r="F27" s="38"/>
      <c r="G27" s="5"/>
      <c r="H27" s="14"/>
    </row>
    <row r="28" spans="2:14" ht="15.75" x14ac:dyDescent="0.25">
      <c r="B28" s="490" t="s">
        <v>180</v>
      </c>
      <c r="C28" s="491"/>
      <c r="D28" s="491"/>
      <c r="E28" s="491"/>
      <c r="F28" s="491"/>
      <c r="G28" s="491"/>
      <c r="H28" s="492"/>
    </row>
    <row r="29" spans="2:14" ht="6" customHeight="1" x14ac:dyDescent="0.25">
      <c r="B29" s="11"/>
      <c r="C29" s="12"/>
      <c r="D29" s="34"/>
      <c r="E29" s="35"/>
      <c r="F29" s="35"/>
      <c r="G29" s="35"/>
      <c r="H29" s="36"/>
    </row>
    <row r="30" spans="2:14" ht="17.25" x14ac:dyDescent="0.4">
      <c r="B30" s="11"/>
      <c r="C30" s="32" t="s">
        <v>3</v>
      </c>
      <c r="D30" s="37" t="s">
        <v>12</v>
      </c>
      <c r="E30" s="16" t="s">
        <v>1</v>
      </c>
      <c r="F30" s="16"/>
      <c r="G30" s="16"/>
      <c r="H30" s="32"/>
    </row>
    <row r="31" spans="2:14" ht="17.25" x14ac:dyDescent="0.4">
      <c r="B31" s="11"/>
      <c r="C31" s="32" t="s">
        <v>125</v>
      </c>
      <c r="D31" s="37" t="s">
        <v>35</v>
      </c>
      <c r="E31" s="16" t="s">
        <v>35</v>
      </c>
      <c r="F31" s="16" t="s">
        <v>13</v>
      </c>
      <c r="G31" s="16" t="s">
        <v>36</v>
      </c>
      <c r="H31" s="32"/>
    </row>
    <row r="32" spans="2:14" x14ac:dyDescent="0.25">
      <c r="B32" s="11"/>
      <c r="C32" s="17">
        <v>0</v>
      </c>
      <c r="D32" s="26">
        <f>'Rates 1'!$D$22</f>
        <v>31.03</v>
      </c>
      <c r="E32" s="26">
        <f>'Rates 1'!$E$22</f>
        <v>31.03</v>
      </c>
      <c r="F32" s="45">
        <f>E32-D32</f>
        <v>0</v>
      </c>
      <c r="G32" s="61">
        <f>F32/D32</f>
        <v>0</v>
      </c>
      <c r="H32" s="40"/>
    </row>
    <row r="33" spans="2:8" x14ac:dyDescent="0.25">
      <c r="B33" s="11"/>
      <c r="C33" s="6">
        <v>2000</v>
      </c>
      <c r="D33" s="26">
        <f>'Rates 1'!$D$22</f>
        <v>31.03</v>
      </c>
      <c r="E33" s="26">
        <f>'Rates 1'!$E$22</f>
        <v>31.03</v>
      </c>
      <c r="F33" s="17">
        <f t="shared" ref="F33:F47" si="3">E33-D33</f>
        <v>0</v>
      </c>
      <c r="G33" s="61">
        <f t="shared" ref="G33:G47" si="4">F33/D33</f>
        <v>0</v>
      </c>
      <c r="H33" s="40"/>
    </row>
    <row r="34" spans="2:8" x14ac:dyDescent="0.25">
      <c r="B34" s="11"/>
      <c r="C34" s="41">
        <v>4000</v>
      </c>
      <c r="D34" s="159">
        <f>'Rates 1'!$D$22+('Rates 1'!$D$23*(C34-2000)/1000)</f>
        <v>56.09</v>
      </c>
      <c r="E34" s="159">
        <f>'Rates 1'!$E$22+('Rates 1'!$E$23*(C34-2000)/1000)</f>
        <v>56.09</v>
      </c>
      <c r="F34" s="42">
        <f t="shared" si="3"/>
        <v>0</v>
      </c>
      <c r="G34" s="62">
        <f t="shared" si="4"/>
        <v>0</v>
      </c>
      <c r="H34" s="43"/>
    </row>
    <row r="35" spans="2:8" x14ac:dyDescent="0.25">
      <c r="B35" s="11"/>
      <c r="C35" s="6">
        <v>6000</v>
      </c>
      <c r="D35" s="283">
        <f>'Rates 1'!$D$22+('Rates 1'!$D$23*(C35-2000)/1000)</f>
        <v>81.150000000000006</v>
      </c>
      <c r="E35" s="283">
        <f>'Rates 1'!$E$22+('Rates 1'!$E$23*(C35-2000)/1000)</f>
        <v>81.150000000000006</v>
      </c>
      <c r="F35" s="17">
        <f t="shared" si="3"/>
        <v>0</v>
      </c>
      <c r="G35" s="61">
        <f t="shared" si="4"/>
        <v>0</v>
      </c>
      <c r="H35" s="40"/>
    </row>
    <row r="36" spans="2:8" x14ac:dyDescent="0.25">
      <c r="B36" s="11"/>
      <c r="C36" s="6">
        <v>8000</v>
      </c>
      <c r="D36" s="283">
        <f>'Rates 1'!$D$22+('Rates 1'!$D$23*4)+('Rates 1'!$D$24*($C36-6000)/1000)</f>
        <v>103.03</v>
      </c>
      <c r="E36" s="283">
        <f>'Rates 1'!$E$22+('Rates 1'!$E$23*4)+('Rates 1'!$E$24*($C36-6000)/1000)</f>
        <v>103.03</v>
      </c>
      <c r="F36" s="17">
        <f t="shared" si="3"/>
        <v>0</v>
      </c>
      <c r="G36" s="61">
        <f t="shared" si="4"/>
        <v>0</v>
      </c>
      <c r="H36" s="40"/>
    </row>
    <row r="37" spans="2:8" x14ac:dyDescent="0.25">
      <c r="B37" s="11"/>
      <c r="C37" s="6">
        <v>10000</v>
      </c>
      <c r="D37" s="283">
        <f>'Rates 1'!$D$22+('Rates 1'!$D$23*4)+('Rates 1'!$D$24*($C37-6000)/1000)</f>
        <v>124.91</v>
      </c>
      <c r="E37" s="283">
        <f>'Rates 1'!$E$22+('Rates 1'!$E$23*4)+('Rates 1'!$E$24*($C37-6000)/1000)</f>
        <v>124.91</v>
      </c>
      <c r="F37" s="17">
        <f t="shared" si="3"/>
        <v>0</v>
      </c>
      <c r="G37" s="61">
        <f t="shared" si="4"/>
        <v>0</v>
      </c>
      <c r="H37" s="40"/>
    </row>
    <row r="38" spans="2:8" x14ac:dyDescent="0.25">
      <c r="B38" s="11"/>
      <c r="C38" s="6">
        <v>15000</v>
      </c>
      <c r="D38" s="283">
        <f>'Rates 1'!$D$22+('Rates 1'!$D$23*4)+('Rates 1'!$D$24*4)+('Rates 1'!$D$25*($C38-10000)/1000)</f>
        <v>172.06</v>
      </c>
      <c r="E38" s="283">
        <f>'Rates 1'!$E$22+('Rates 1'!$E$23*4)+('Rates 1'!$E$24*4)+('Rates 1'!$E$25*($C38-10000)/1000)</f>
        <v>172.06</v>
      </c>
      <c r="F38" s="17">
        <f t="shared" si="3"/>
        <v>0</v>
      </c>
      <c r="G38" s="61">
        <f t="shared" si="4"/>
        <v>0</v>
      </c>
      <c r="H38" s="40"/>
    </row>
    <row r="39" spans="2:8" x14ac:dyDescent="0.25">
      <c r="B39" s="11"/>
      <c r="C39" s="6">
        <v>20000</v>
      </c>
      <c r="D39" s="283">
        <f>'Rates 1'!$D$22+('Rates 1'!$D$23*4)+('Rates 1'!$D$24*4)+('Rates 1'!$D$25*($C39-10000)/1000)</f>
        <v>219.20999999999998</v>
      </c>
      <c r="E39" s="283">
        <f>'Rates 1'!$E$22+('Rates 1'!$E$23*4)+('Rates 1'!$E$24*4)+('Rates 1'!$E$25*($C39-10000)/1000)</f>
        <v>219.20999999999998</v>
      </c>
      <c r="F39" s="17">
        <f t="shared" si="3"/>
        <v>0</v>
      </c>
      <c r="G39" s="61">
        <f t="shared" si="4"/>
        <v>0</v>
      </c>
      <c r="H39" s="40"/>
    </row>
    <row r="40" spans="2:8" x14ac:dyDescent="0.25">
      <c r="B40" s="11"/>
      <c r="C40" s="6">
        <v>25000</v>
      </c>
      <c r="D40" s="283">
        <f>'Rates 1'!$D$22+('Rates 1'!$D$23*4)+('Rates 1'!$D$24*4)+('Rates 1'!$D$25*($C40-10000)/1000)</f>
        <v>266.36</v>
      </c>
      <c r="E40" s="283">
        <f>'Rates 1'!$E$22+('Rates 1'!$E$23*4)+('Rates 1'!$E$24*4)+('Rates 1'!$E$25*($C40-10000)/1000)</f>
        <v>266.36</v>
      </c>
      <c r="F40" s="17">
        <f t="shared" si="3"/>
        <v>0</v>
      </c>
      <c r="G40" s="61">
        <f t="shared" si="4"/>
        <v>0</v>
      </c>
      <c r="H40" s="40"/>
    </row>
    <row r="41" spans="2:8" x14ac:dyDescent="0.25">
      <c r="B41" s="11"/>
      <c r="C41" s="6">
        <v>30000</v>
      </c>
      <c r="D41" s="283">
        <f>'Rates 1'!$D$22+('Rates 1'!$D$23*4)+('Rates 1'!$D$244)+('Rates 1'!$D$25*($C41-10000)/1000)</f>
        <v>269.75</v>
      </c>
      <c r="E41" s="283">
        <f>'Rates 1'!$E$22+('Rates 1'!$E$23*4)+('Rates 1'!$E$244)+('Rates 1'!$E$25*($C41-10000)/1000)</f>
        <v>269.75</v>
      </c>
      <c r="F41" s="17">
        <f t="shared" si="3"/>
        <v>0</v>
      </c>
      <c r="G41" s="61">
        <f t="shared" si="4"/>
        <v>0</v>
      </c>
      <c r="H41" s="40"/>
    </row>
    <row r="42" spans="2:8" x14ac:dyDescent="0.25">
      <c r="B42" s="11"/>
      <c r="C42" s="6">
        <v>40000</v>
      </c>
      <c r="D42" s="283">
        <f>'Rates 1'!$D$22+('Rates 1'!$D$23*4)+('Rates 1'!$D$24*4)+('Rates 1'!$D$25*20)+('Rates 1'!$D$26*($C42-30000)/1000)</f>
        <v>391.90999999999997</v>
      </c>
      <c r="E42" s="283">
        <f>'Rates 1'!$E$22+('Rates 1'!$E$23*4)+('Rates 1'!$E$24*4)+('Rates 1'!$E$25*20)+('Rates 1'!$E$26*($C42-30000)/1000)</f>
        <v>391.90999999999997</v>
      </c>
      <c r="F42" s="17">
        <f t="shared" si="3"/>
        <v>0</v>
      </c>
      <c r="G42" s="61">
        <f t="shared" si="4"/>
        <v>0</v>
      </c>
      <c r="H42" s="40"/>
    </row>
    <row r="43" spans="2:8" x14ac:dyDescent="0.25">
      <c r="B43" s="11"/>
      <c r="C43" s="6">
        <v>50000</v>
      </c>
      <c r="D43" s="283">
        <f>'Rates 1'!$D$22+('Rates 1'!$D$23*4)+('Rates 1'!$D$24*4)+('Rates 1'!$D$25*20)+('Rates 1'!$D$26*($C43-30000)/1000)</f>
        <v>470.31</v>
      </c>
      <c r="E43" s="283">
        <f>'Rates 1'!$E$22+('Rates 1'!$E$23*4)+('Rates 1'!$E$24*4)+('Rates 1'!$E$25*20)+('Rates 1'!$E$26*($C43-30000)/1000)</f>
        <v>470.31</v>
      </c>
      <c r="F43" s="17">
        <f t="shared" si="3"/>
        <v>0</v>
      </c>
      <c r="G43" s="61">
        <f t="shared" si="4"/>
        <v>0</v>
      </c>
      <c r="H43" s="40"/>
    </row>
    <row r="44" spans="2:8" x14ac:dyDescent="0.25">
      <c r="B44" s="11"/>
      <c r="C44" s="6">
        <v>75000</v>
      </c>
      <c r="D44" s="283">
        <f>'Rates 1'!$D$22+('Rates 1'!$D$23*4)+('Rates 1'!$D$24*4)+('Rates 1'!$D$25*20)+('Rates 1'!$D$26*20)+('Rates 1'!$D$27*($C44-50000)/1000)</f>
        <v>626.55999999999995</v>
      </c>
      <c r="E44" s="283">
        <f>'Rates 1'!$E$22+('Rates 1'!$E$23*4)+('Rates 1'!$E$24*4)+('Rates 1'!$E$25*20)+('Rates 1'!$E$26*20)+('Rates 1'!$E$27*($C44-50000)/1000)</f>
        <v>626.55999999999995</v>
      </c>
      <c r="F44" s="17">
        <f t="shared" si="3"/>
        <v>0</v>
      </c>
      <c r="G44" s="61">
        <f t="shared" si="4"/>
        <v>0</v>
      </c>
      <c r="H44" s="40"/>
    </row>
    <row r="45" spans="2:8" x14ac:dyDescent="0.25">
      <c r="B45" s="11"/>
      <c r="C45" s="6">
        <v>100000</v>
      </c>
      <c r="D45" s="283">
        <f>'Rates 1'!$D$22+('Rates 1'!$D$23*4)+('Rates 1'!$D$24*4)+('Rates 1'!$D$25*20)+('Rates 1'!$D$26*20)+('Rates 1'!$D$27*($C45-50000)/1000)</f>
        <v>782.81</v>
      </c>
      <c r="E45" s="283">
        <f>'Rates 1'!$E$22+('Rates 1'!$E$23*4)+('Rates 1'!$E$24*4)+('Rates 1'!$E$25*20)+('Rates 1'!$E$26*20)+('Rates 1'!$E$27*($C45-50000)/1000)</f>
        <v>782.81</v>
      </c>
      <c r="F45" s="17">
        <f t="shared" si="3"/>
        <v>0</v>
      </c>
      <c r="G45" s="61">
        <f t="shared" si="4"/>
        <v>0</v>
      </c>
      <c r="H45" s="40"/>
    </row>
    <row r="46" spans="2:8" x14ac:dyDescent="0.25">
      <c r="B46" s="11"/>
      <c r="C46" s="6">
        <v>200000</v>
      </c>
      <c r="D46" s="283">
        <f>'Rates 1'!$D$22+('Rates 1'!$D$23*4)+('Rates 1'!$D$24*4)+('Rates 1'!$D$25*20)+('Rates 1'!$D$26*20)+('Rates 1'!$D$27*($C46-50000)/1000)</f>
        <v>1407.81</v>
      </c>
      <c r="E46" s="283">
        <f>'Rates 1'!$E$22+('Rates 1'!$E$23*4)+('Rates 1'!$E$24*4)+('Rates 1'!$E$25*20)+('Rates 1'!$E$26*20)+('Rates 1'!$E$27*($C46-50000)/1000)</f>
        <v>1407.81</v>
      </c>
      <c r="F46" s="17">
        <f t="shared" si="3"/>
        <v>0</v>
      </c>
      <c r="G46" s="61">
        <f t="shared" si="4"/>
        <v>0</v>
      </c>
      <c r="H46" s="40"/>
    </row>
    <row r="47" spans="2:8" x14ac:dyDescent="0.25">
      <c r="B47" s="11"/>
      <c r="C47" s="6">
        <v>500000</v>
      </c>
      <c r="D47" s="283">
        <f>'Rates 1'!$D$22+('Rates 1'!$D$23*4)+('Rates 1'!$D$24*4)+('Rates 1'!$D$25*20)+('Rates 1'!$D$26*20)+('Rates 1'!$D$27*250)+('Rates 1'!$D$28*($C47-300000)/1000)</f>
        <v>3108.81</v>
      </c>
      <c r="E47" s="283">
        <f>'Rates 1'!$E$22+('Rates 1'!$E$23*4)+('Rates 1'!E$24*4)+('Rates 1'!$E$25*20)+('Rates 1'!$E$26*20)+('Rates 1'!$E$27*250)+('Rates 1'!$E$28*($C47-300000)/1000)</f>
        <v>3108.81</v>
      </c>
      <c r="F47" s="17">
        <f t="shared" si="3"/>
        <v>0</v>
      </c>
      <c r="G47" s="61">
        <f t="shared" si="4"/>
        <v>0</v>
      </c>
      <c r="H47" s="40"/>
    </row>
    <row r="48" spans="2:8" ht="6" customHeight="1" x14ac:dyDescent="0.25">
      <c r="B48" s="13"/>
      <c r="C48" s="4"/>
      <c r="D48" s="39"/>
      <c r="E48" s="38"/>
      <c r="F48" s="38"/>
      <c r="G48" s="5"/>
      <c r="H48" s="14"/>
    </row>
    <row r="50" spans="3:3" x14ac:dyDescent="0.25">
      <c r="C50" s="46" t="s">
        <v>38</v>
      </c>
    </row>
  </sheetData>
  <mergeCells count="5">
    <mergeCell ref="B3:H3"/>
    <mergeCell ref="B4:H4"/>
    <mergeCell ref="B5:H5"/>
    <mergeCell ref="B7:H7"/>
    <mergeCell ref="B28:H28"/>
  </mergeCells>
  <printOptions horizontalCentered="1"/>
  <pageMargins left="0.7" right="0.7" top="1.1000000000000001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624D-9F75-4F2A-9D82-DF5DE7D094BB}">
  <sheetPr>
    <pageSetUpPr fitToPage="1"/>
  </sheetPr>
  <dimension ref="B2:N50"/>
  <sheetViews>
    <sheetView showGridLines="0" tabSelected="1" workbookViewId="0">
      <selection activeCell="E11" sqref="E11:F26"/>
    </sheetView>
  </sheetViews>
  <sheetFormatPr defaultColWidth="8.88671875" defaultRowHeight="15" x14ac:dyDescent="0.25"/>
  <cols>
    <col min="1" max="1" width="3" style="7" customWidth="1"/>
    <col min="2" max="2" width="1.77734375" style="7" customWidth="1"/>
    <col min="3" max="7" width="9.77734375" style="7" customWidth="1"/>
    <col min="8" max="8" width="1.77734375" style="7" customWidth="1"/>
    <col min="9" max="9" width="2.88671875" style="7" customWidth="1"/>
    <col min="10" max="16384" width="8.88671875" style="7"/>
  </cols>
  <sheetData>
    <row r="2" spans="2:10" x14ac:dyDescent="0.25">
      <c r="B2" s="8"/>
      <c r="C2" s="9"/>
      <c r="D2" s="9"/>
      <c r="E2" s="9"/>
      <c r="F2" s="9"/>
      <c r="G2" s="9"/>
      <c r="H2" s="10"/>
    </row>
    <row r="3" spans="2:10" ht="18.75" x14ac:dyDescent="0.3">
      <c r="B3" s="484" t="s">
        <v>188</v>
      </c>
      <c r="C3" s="485"/>
      <c r="D3" s="485"/>
      <c r="E3" s="485"/>
      <c r="F3" s="485"/>
      <c r="G3" s="485"/>
      <c r="H3" s="486"/>
    </row>
    <row r="4" spans="2:10" ht="18.75" x14ac:dyDescent="0.3">
      <c r="B4" s="487" t="s">
        <v>189</v>
      </c>
      <c r="C4" s="488"/>
      <c r="D4" s="488"/>
      <c r="E4" s="488"/>
      <c r="F4" s="488"/>
      <c r="G4" s="488"/>
      <c r="H4" s="489"/>
    </row>
    <row r="5" spans="2:10" ht="15.75" x14ac:dyDescent="0.25">
      <c r="B5" s="433" t="s">
        <v>149</v>
      </c>
      <c r="C5" s="434"/>
      <c r="D5" s="434"/>
      <c r="E5" s="434"/>
      <c r="F5" s="434"/>
      <c r="G5" s="434"/>
      <c r="H5" s="435"/>
    </row>
    <row r="6" spans="2:10" ht="6" customHeight="1" x14ac:dyDescent="0.25">
      <c r="B6" s="34"/>
      <c r="C6" s="35"/>
      <c r="D6" s="35"/>
      <c r="E6" s="35"/>
      <c r="F6" s="35"/>
      <c r="G6" s="35"/>
      <c r="H6" s="36"/>
    </row>
    <row r="7" spans="2:10" ht="15.75" x14ac:dyDescent="0.25">
      <c r="B7" s="490" t="s">
        <v>174</v>
      </c>
      <c r="C7" s="491"/>
      <c r="D7" s="491"/>
      <c r="E7" s="491"/>
      <c r="F7" s="491"/>
      <c r="G7" s="491"/>
      <c r="H7" s="492"/>
      <c r="I7" s="11"/>
    </row>
    <row r="8" spans="2:10" ht="6" customHeight="1" x14ac:dyDescent="0.25">
      <c r="B8" s="11"/>
      <c r="C8" s="12"/>
      <c r="D8" s="34"/>
      <c r="E8" s="35"/>
      <c r="F8" s="35"/>
      <c r="G8" s="35"/>
      <c r="H8" s="36"/>
      <c r="I8" s="33"/>
      <c r="J8" s="33"/>
    </row>
    <row r="9" spans="2:10" ht="17.25" x14ac:dyDescent="0.4">
      <c r="B9" s="11"/>
      <c r="C9" s="32" t="s">
        <v>3</v>
      </c>
      <c r="D9" s="37" t="s">
        <v>12</v>
      </c>
      <c r="E9" s="16" t="s">
        <v>1</v>
      </c>
      <c r="F9" s="16"/>
      <c r="G9" s="16"/>
      <c r="H9" s="32"/>
    </row>
    <row r="10" spans="2:10" ht="17.25" x14ac:dyDescent="0.4">
      <c r="B10" s="11"/>
      <c r="C10" s="32" t="s">
        <v>125</v>
      </c>
      <c r="D10" s="37" t="s">
        <v>35</v>
      </c>
      <c r="E10" s="16" t="s">
        <v>35</v>
      </c>
      <c r="F10" s="16" t="s">
        <v>13</v>
      </c>
      <c r="G10" s="16" t="s">
        <v>36</v>
      </c>
      <c r="H10" s="32"/>
    </row>
    <row r="11" spans="2:10" x14ac:dyDescent="0.25">
      <c r="B11" s="11"/>
      <c r="C11" s="17">
        <v>0</v>
      </c>
      <c r="D11" s="26">
        <f>'Rates 1'!$D$11</f>
        <v>25.84</v>
      </c>
      <c r="E11" s="26">
        <f>'Alternative Rates 1'!$E$11</f>
        <v>25.84</v>
      </c>
      <c r="F11" s="45">
        <f>E11-D11</f>
        <v>0</v>
      </c>
      <c r="G11" s="61">
        <f>F11/D11</f>
        <v>0</v>
      </c>
      <c r="H11" s="40"/>
    </row>
    <row r="12" spans="2:10" x14ac:dyDescent="0.25">
      <c r="B12" s="11"/>
      <c r="C12" s="6">
        <v>2000</v>
      </c>
      <c r="D12" s="26">
        <f>'Rates 1'!$D$11</f>
        <v>25.84</v>
      </c>
      <c r="E12" s="26">
        <f>'Alternative Rates 1'!$E$11</f>
        <v>25.84</v>
      </c>
      <c r="F12" s="17">
        <f t="shared" ref="F12:F26" si="0">E12-D12</f>
        <v>0</v>
      </c>
      <c r="G12" s="61">
        <f t="shared" ref="G12:G26" si="1">F12/D12</f>
        <v>0</v>
      </c>
      <c r="H12" s="40"/>
    </row>
    <row r="13" spans="2:10" x14ac:dyDescent="0.25">
      <c r="B13" s="11"/>
      <c r="C13" s="41">
        <v>4000</v>
      </c>
      <c r="D13" s="159">
        <f>'Rates 1'!$D$11+('Rates 1'!$D$12*(C13-2000)/1000)</f>
        <v>46.739999999999995</v>
      </c>
      <c r="E13" s="159">
        <f>'Alternative Rates 1'!$E$11+('Alternative Rates 1'!$E$12*(C13-2000)/1000)</f>
        <v>47.72</v>
      </c>
      <c r="F13" s="42">
        <f t="shared" si="0"/>
        <v>0.98000000000000398</v>
      </c>
      <c r="G13" s="62">
        <f t="shared" si="1"/>
        <v>2.0967051775781002E-2</v>
      </c>
      <c r="H13" s="43"/>
    </row>
    <row r="14" spans="2:10" x14ac:dyDescent="0.25">
      <c r="B14" s="11"/>
      <c r="C14" s="6">
        <v>6000</v>
      </c>
      <c r="D14" s="283">
        <f>'Rates 1'!$D$11+('Rates 1'!$D$12*(C14-2000)/1000)</f>
        <v>67.64</v>
      </c>
      <c r="E14" s="283">
        <f>'Alternative Rates 1'!$E$11+('Alternative Rates 1'!$E$12*(C14-2000)/1000)</f>
        <v>69.599999999999994</v>
      </c>
      <c r="F14" s="17">
        <f t="shared" si="0"/>
        <v>1.9599999999999937</v>
      </c>
      <c r="G14" s="61">
        <f t="shared" si="1"/>
        <v>2.8976936723831958E-2</v>
      </c>
      <c r="H14" s="40"/>
    </row>
    <row r="15" spans="2:10" x14ac:dyDescent="0.25">
      <c r="B15" s="11"/>
      <c r="C15" s="6">
        <v>8000</v>
      </c>
      <c r="D15" s="283">
        <f>'Rates 1'!$D$11+('Rates 1'!$D$12*4)+('Rates 1'!$D$13*($C15-6000)/1000)</f>
        <v>85.84</v>
      </c>
      <c r="E15" s="283">
        <f>'Alternative Rates 1'!$E$11+('Alternative Rates 1'!$E$12*4)+('Alternative Rates 1'!$E$13*($C15-6000)/1000)</f>
        <v>88.66</v>
      </c>
      <c r="F15" s="17">
        <f t="shared" si="0"/>
        <v>2.8199999999999932</v>
      </c>
      <c r="G15" s="61">
        <f t="shared" si="1"/>
        <v>3.2851817334575872E-2</v>
      </c>
      <c r="H15" s="40"/>
    </row>
    <row r="16" spans="2:10" x14ac:dyDescent="0.25">
      <c r="B16" s="11"/>
      <c r="C16" s="6">
        <v>10000</v>
      </c>
      <c r="D16" s="283">
        <f>'Rates 1'!$D$11+('Rates 1'!$D$12*4)+('Rates 1'!$D$13*($C16-6000)/1000)</f>
        <v>104.03999999999999</v>
      </c>
      <c r="E16" s="283">
        <f>'Alternative Rates 1'!$E$11+('Alternative Rates 1'!$E$12*4)+('Alternative Rates 1'!$E$13*($C16-6000)/1000)</f>
        <v>107.72</v>
      </c>
      <c r="F16" s="17">
        <f t="shared" si="0"/>
        <v>3.6800000000000068</v>
      </c>
      <c r="G16" s="61">
        <f t="shared" si="1"/>
        <v>3.5371011149557929E-2</v>
      </c>
      <c r="H16" s="40"/>
    </row>
    <row r="17" spans="2:14" x14ac:dyDescent="0.25">
      <c r="B17" s="11"/>
      <c r="C17" s="6">
        <v>15000</v>
      </c>
      <c r="D17" s="283">
        <f>'Rates 1'!$D$11+('Rates 1'!$D$12*4)+('Rates 1'!$D$13*4)+('Rates 1'!$D$14*($C17-10000)/1000)</f>
        <v>143.08999999999997</v>
      </c>
      <c r="E17" s="283">
        <f>'Alternative Rates 1'!$E$11+('Alternative Rates 1'!$E$12*4)+('Alternative Rates 1'!$E$13*4)+('Alternative Rates 1'!$E$14*($C17-10000)/1000)</f>
        <v>148.62</v>
      </c>
      <c r="F17" s="17">
        <f t="shared" si="0"/>
        <v>5.5300000000000296</v>
      </c>
      <c r="G17" s="61">
        <f t="shared" si="1"/>
        <v>3.8647005381228811E-2</v>
      </c>
      <c r="H17" s="40"/>
    </row>
    <row r="18" spans="2:14" x14ac:dyDescent="0.25">
      <c r="B18" s="11"/>
      <c r="C18" s="6">
        <v>20000</v>
      </c>
      <c r="D18" s="283">
        <f>'Rates 1'!$D$11+('Rates 1'!$D$12*4)+('Rates 1'!$D$13*4)+('Rates 1'!$D$14*($C18-10000)/1000)</f>
        <v>182.14</v>
      </c>
      <c r="E18" s="283">
        <f>'Alternative Rates 1'!$E$11+('Alternative Rates 1'!$E$12*4)+('Alternative Rates 1'!$E$13*4)+('Alternative Rates 1'!$E$14*($C18-10000)/1000)</f>
        <v>189.51999999999998</v>
      </c>
      <c r="F18" s="17">
        <f t="shared" si="0"/>
        <v>7.3799999999999955</v>
      </c>
      <c r="G18" s="61">
        <f t="shared" si="1"/>
        <v>4.0518282639727662E-2</v>
      </c>
      <c r="H18" s="40"/>
    </row>
    <row r="19" spans="2:14" x14ac:dyDescent="0.25">
      <c r="B19" s="11"/>
      <c r="C19" s="6">
        <v>25000</v>
      </c>
      <c r="D19" s="283">
        <f>'Rates 1'!$D$11+('Rates 1'!$D$12*4)+('Rates 1'!$D$13*4)+('Rates 1'!$D$14*($C19-10000)/1000)</f>
        <v>221.19</v>
      </c>
      <c r="E19" s="283">
        <f>'Alternative Rates 1'!$E$11+('Alternative Rates 1'!$E$12*4)+('Alternative Rates 1'!$E$13*4)+('Alternative Rates 1'!$E$14*($C19-10000)/1000)</f>
        <v>230.42000000000002</v>
      </c>
      <c r="F19" s="17">
        <f t="shared" si="0"/>
        <v>9.2300000000000182</v>
      </c>
      <c r="G19" s="61">
        <f t="shared" si="1"/>
        <v>4.1728830417288386E-2</v>
      </c>
      <c r="H19" s="40"/>
    </row>
    <row r="20" spans="2:14" x14ac:dyDescent="0.25">
      <c r="B20" s="11"/>
      <c r="C20" s="6">
        <v>30000</v>
      </c>
      <c r="D20" s="283">
        <f>'Rates 1'!$D$11+('Rates 1'!$D$12*4)+('Rates 1'!$D$13*4)+('Rates 1'!$D$14*($C20-10000)/1000)</f>
        <v>260.24</v>
      </c>
      <c r="E20" s="283">
        <f>'Alternative Rates 1'!$E$11+('Alternative Rates 1'!$E$12*4)+('Alternative Rates 1'!$E$13*4)+('Alternative Rates 1'!$E$14*($C20-10000)/1000)</f>
        <v>271.32</v>
      </c>
      <c r="F20" s="17">
        <f t="shared" si="0"/>
        <v>11.079999999999984</v>
      </c>
      <c r="G20" s="61">
        <f t="shared" si="1"/>
        <v>4.2576083615124438E-2</v>
      </c>
      <c r="H20" s="40"/>
      <c r="N20" s="6"/>
    </row>
    <row r="21" spans="2:14" x14ac:dyDescent="0.25">
      <c r="B21" s="11"/>
      <c r="C21" s="6">
        <v>40000</v>
      </c>
      <c r="D21" s="283">
        <f>'Rates 1'!$D$11+('Rates 1'!$D$12*4)+('Rates 1'!$D$13*4)+('Rates 1'!$D$14*20)+('Rates 1'!$D$15*($C21-30000)/1000)</f>
        <v>325.44</v>
      </c>
      <c r="E21" s="283">
        <f>'Alternative Rates 1'!$E$11+('Alternative Rates 1'!$E$12*4)+('Alternative Rates 1'!$E$13*4)+('Alternative Rates 1'!$E$14*20)+('Alternative Rates 1'!$E$15*($C21-30000)/1000)</f>
        <v>339.62</v>
      </c>
      <c r="F21" s="17">
        <f t="shared" si="0"/>
        <v>14.180000000000007</v>
      </c>
      <c r="G21" s="61">
        <f t="shared" si="1"/>
        <v>4.3571779744346138E-2</v>
      </c>
      <c r="H21" s="40"/>
    </row>
    <row r="22" spans="2:14" x14ac:dyDescent="0.25">
      <c r="B22" s="11"/>
      <c r="C22" s="6">
        <v>50000</v>
      </c>
      <c r="D22" s="283">
        <f>'Rates 1'!$D$11+('Rates 1'!$D$12*4)+('Rates 1'!$D$13*4)+('Rates 1'!$D$14*20)+('Rates 1'!$D$15*($C22-30000)/1000)</f>
        <v>390.64</v>
      </c>
      <c r="E22" s="283">
        <f>'Alternative Rates 1'!$E$11+('Alternative Rates 1'!$E$12*4)+('Alternative Rates 1'!$E$13*4)+('Alternative Rates 1'!$E$14*20)+('Alternative Rates 1'!$E$15*($C22-30000)/1000)</f>
        <v>407.91999999999996</v>
      </c>
      <c r="F22" s="17">
        <f t="shared" si="0"/>
        <v>17.279999999999973</v>
      </c>
      <c r="G22" s="61">
        <f t="shared" si="1"/>
        <v>4.423510137210724E-2</v>
      </c>
      <c r="H22" s="40"/>
    </row>
    <row r="23" spans="2:14" x14ac:dyDescent="0.25">
      <c r="B23" s="11"/>
      <c r="C23" s="6">
        <v>75000</v>
      </c>
      <c r="D23" s="283">
        <f>'Rates 1'!$D$11+('Rates 1'!$D$12*4)+('Rates 1'!$D$13*4)+('Rates 1'!$D$14*20)+('Rates 1'!$D$15*20)+('Rates 1'!$D$16*($C23-50000)/1000)</f>
        <v>521.39</v>
      </c>
      <c r="E23" s="283">
        <f>'Alternative Rates 1'!$E$11+('Alternative Rates 1'!$E$12*4)+('Alternative Rates 1'!$E$13*4)+('Alternative Rates 1'!$E$14*20)+('Alternative Rates 1'!$E$15*20)+('Alternative Rates 1'!$E$16*($C23-50000)/1000)</f>
        <v>544.66999999999996</v>
      </c>
      <c r="F23" s="17">
        <f t="shared" si="0"/>
        <v>23.279999999999973</v>
      </c>
      <c r="G23" s="61">
        <f t="shared" si="1"/>
        <v>4.4649878210168921E-2</v>
      </c>
      <c r="H23" s="40"/>
    </row>
    <row r="24" spans="2:14" x14ac:dyDescent="0.25">
      <c r="B24" s="11"/>
      <c r="C24" s="6">
        <v>100000</v>
      </c>
      <c r="D24" s="283">
        <f>'Rates 1'!$D$11+('Rates 1'!$D$12*4)+('Rates 1'!$D$13*4)+('Rates 1'!$D$14*20)+('Rates 1'!$D$15*20)+('Rates 1'!$D$16*($C24-50000)/1000)</f>
        <v>652.1400000000001</v>
      </c>
      <c r="E24" s="283">
        <f>'Alternative Rates 1'!$E$11+('Alternative Rates 1'!$E$12*4)+('Alternative Rates 1'!$E$13*4)+('Alternative Rates 1'!$E$14*20)+('Alternative Rates 1'!$E$15*20)+('Alternative Rates 1'!$E$16*($C24-50000)/1000)</f>
        <v>681.42</v>
      </c>
      <c r="F24" s="17">
        <f t="shared" si="0"/>
        <v>29.279999999999859</v>
      </c>
      <c r="G24" s="61">
        <f t="shared" si="1"/>
        <v>4.4898334713404875E-2</v>
      </c>
      <c r="H24" s="40"/>
    </row>
    <row r="25" spans="2:14" x14ac:dyDescent="0.25">
      <c r="B25" s="11"/>
      <c r="C25" s="6">
        <v>200000</v>
      </c>
      <c r="D25" s="283">
        <f>'Rates 1'!$D$11+('Rates 1'!$D$12*4)+('Rates 1'!$D$13*4)+('Rates 1'!$D$14*20)+('Rates 1'!$D$15*20)+('Rates 1'!$D$16*($C25-50000)/1000)</f>
        <v>1175.1400000000001</v>
      </c>
      <c r="E25" s="283">
        <f>'Alternative Rates 1'!$E$11+('Alternative Rates 1'!$E$12*4)+('Alternative Rates 1'!$E$13*4)+('Alternative Rates 1'!$E$14*20)+('Alternative Rates 1'!$E$15*20)+('Alternative Rates 1'!$E$16*($C25-50000)/1000)</f>
        <v>1228.42</v>
      </c>
      <c r="F25" s="17">
        <f t="shared" si="0"/>
        <v>53.279999999999973</v>
      </c>
      <c r="G25" s="61">
        <f t="shared" si="1"/>
        <v>4.5339278724237084E-2</v>
      </c>
      <c r="H25" s="40"/>
    </row>
    <row r="26" spans="2:14" x14ac:dyDescent="0.25">
      <c r="B26" s="11"/>
      <c r="C26" s="6">
        <v>500000</v>
      </c>
      <c r="D26" s="283">
        <f>'Rates 1'!$D$11+('Rates 1'!$D$12*4)+('Rates 1'!$D$13*4)+('Rates 1'!$D$14*20)+('Rates 1'!$D$15*20)+('Rates 1'!$D$16*250)+('Rates 1'!$D$17*($C26-300000)/1000)</f>
        <v>2590.14</v>
      </c>
      <c r="E26" s="283">
        <f>'Alternative Rates 1'!$E$11+('Alternative Rates 1'!$E$12*4)+('Alternative Rates 1'!$E$13*4)+('Alternative Rates 1'!$E$14*20)+('Alternative Rates 1'!$E$15*20)+('Alternative Rates 1'!$E$16*250)+('Alternative Rates 1'!$E$17*($C26-300000)/1000)</f>
        <v>2709.42</v>
      </c>
      <c r="F26" s="17">
        <f t="shared" si="0"/>
        <v>119.2800000000002</v>
      </c>
      <c r="G26" s="61">
        <f t="shared" si="1"/>
        <v>4.6051564780282224E-2</v>
      </c>
      <c r="H26" s="40"/>
    </row>
    <row r="27" spans="2:14" ht="6" customHeight="1" x14ac:dyDescent="0.25">
      <c r="B27" s="13"/>
      <c r="C27" s="4"/>
      <c r="D27" s="39"/>
      <c r="E27" s="38"/>
      <c r="F27" s="38"/>
      <c r="G27" s="5"/>
      <c r="H27" s="14"/>
    </row>
    <row r="28" spans="2:14" ht="15.75" x14ac:dyDescent="0.25">
      <c r="B28" s="490" t="s">
        <v>180</v>
      </c>
      <c r="C28" s="491"/>
      <c r="D28" s="491"/>
      <c r="E28" s="491"/>
      <c r="F28" s="491"/>
      <c r="G28" s="491"/>
      <c r="H28" s="492"/>
    </row>
    <row r="29" spans="2:14" ht="6" customHeight="1" x14ac:dyDescent="0.25">
      <c r="B29" s="11"/>
      <c r="C29" s="12"/>
      <c r="D29" s="34"/>
      <c r="E29" s="35"/>
      <c r="F29" s="35"/>
      <c r="G29" s="35"/>
      <c r="H29" s="36"/>
    </row>
    <row r="30" spans="2:14" ht="17.25" x14ac:dyDescent="0.4">
      <c r="B30" s="11"/>
      <c r="C30" s="32" t="s">
        <v>3</v>
      </c>
      <c r="D30" s="37" t="s">
        <v>12</v>
      </c>
      <c r="E30" s="16" t="s">
        <v>1</v>
      </c>
      <c r="F30" s="16"/>
      <c r="G30" s="16"/>
      <c r="H30" s="32"/>
    </row>
    <row r="31" spans="2:14" ht="17.25" x14ac:dyDescent="0.4">
      <c r="B31" s="11"/>
      <c r="C31" s="32" t="s">
        <v>125</v>
      </c>
      <c r="D31" s="37" t="s">
        <v>35</v>
      </c>
      <c r="E31" s="16" t="s">
        <v>35</v>
      </c>
      <c r="F31" s="16" t="s">
        <v>13</v>
      </c>
      <c r="G31" s="16" t="s">
        <v>36</v>
      </c>
      <c r="H31" s="32"/>
    </row>
    <row r="32" spans="2:14" x14ac:dyDescent="0.25">
      <c r="B32" s="11"/>
      <c r="C32" s="17">
        <v>0</v>
      </c>
      <c r="D32" s="26">
        <f>'Rates 1'!$D$22</f>
        <v>31.03</v>
      </c>
      <c r="E32" s="26">
        <f>'Alternative Rates 1'!$E$22</f>
        <v>31.03</v>
      </c>
      <c r="F32" s="45">
        <f>E32-D32</f>
        <v>0</v>
      </c>
      <c r="G32" s="61">
        <f>F32/D32</f>
        <v>0</v>
      </c>
      <c r="H32" s="40"/>
    </row>
    <row r="33" spans="2:8" x14ac:dyDescent="0.25">
      <c r="B33" s="11"/>
      <c r="C33" s="6">
        <v>2000</v>
      </c>
      <c r="D33" s="26">
        <f>'Rates 1'!$D$22</f>
        <v>31.03</v>
      </c>
      <c r="E33" s="26">
        <f>'Alternative Rates 1'!$E$22</f>
        <v>31.03</v>
      </c>
      <c r="F33" s="17">
        <f t="shared" ref="F33:F47" si="2">E33-D33</f>
        <v>0</v>
      </c>
      <c r="G33" s="61">
        <f t="shared" ref="G33:G47" si="3">F33/D33</f>
        <v>0</v>
      </c>
      <c r="H33" s="40"/>
    </row>
    <row r="34" spans="2:8" x14ac:dyDescent="0.25">
      <c r="B34" s="11"/>
      <c r="C34" s="41">
        <v>4000</v>
      </c>
      <c r="D34" s="159">
        <f>'Rates 1'!$D$22+('Rates 1'!$D$23*(C34-2000)/1000)</f>
        <v>56.09</v>
      </c>
      <c r="E34" s="159">
        <f>'Alternative Rates 1'!$E$22+('Alternative Rates 1'!$E$23*(C34-2000)/1000)</f>
        <v>57.269999999999996</v>
      </c>
      <c r="F34" s="42">
        <f t="shared" si="2"/>
        <v>1.1799999999999926</v>
      </c>
      <c r="G34" s="62">
        <f t="shared" si="3"/>
        <v>2.1037618113745632E-2</v>
      </c>
      <c r="H34" s="43"/>
    </row>
    <row r="35" spans="2:8" x14ac:dyDescent="0.25">
      <c r="B35" s="11"/>
      <c r="C35" s="6">
        <v>6000</v>
      </c>
      <c r="D35" s="283">
        <f>'Rates 1'!$D$22+('Rates 1'!$D$23*(C35-2000)/1000)</f>
        <v>81.150000000000006</v>
      </c>
      <c r="E35" s="283">
        <f>'Alternative Rates 1'!$E$22+('Alternative Rates 1'!$E$23*(C35-2000)/1000)</f>
        <v>83.509999999999991</v>
      </c>
      <c r="F35" s="17">
        <f t="shared" si="2"/>
        <v>2.3599999999999852</v>
      </c>
      <c r="G35" s="61">
        <f t="shared" si="3"/>
        <v>2.9081947011706532E-2</v>
      </c>
      <c r="H35" s="40"/>
    </row>
    <row r="36" spans="2:8" x14ac:dyDescent="0.25">
      <c r="B36" s="11"/>
      <c r="C36" s="6">
        <v>8000</v>
      </c>
      <c r="D36" s="283">
        <f>'Rates 1'!$D$22+('Rates 1'!$D$23*4)+('Rates 1'!$D$24*($C36-6000)/1000)</f>
        <v>103.03</v>
      </c>
      <c r="E36" s="283">
        <f>'Alternative Rates 1'!$E$22+('Alternative Rates 1'!$E$23*4)+('Alternative Rates 1'!$E$24*($C36-6000)/1000)</f>
        <v>106.41</v>
      </c>
      <c r="F36" s="17">
        <f t="shared" si="2"/>
        <v>3.3799999999999955</v>
      </c>
      <c r="G36" s="61">
        <f t="shared" si="3"/>
        <v>3.2805978841114192E-2</v>
      </c>
      <c r="H36" s="40"/>
    </row>
    <row r="37" spans="2:8" x14ac:dyDescent="0.25">
      <c r="B37" s="11"/>
      <c r="C37" s="6">
        <v>10000</v>
      </c>
      <c r="D37" s="283">
        <f>'Rates 1'!$D$22+('Rates 1'!$D$23*4)+('Rates 1'!$D$24*($C37-6000)/1000)</f>
        <v>124.91</v>
      </c>
      <c r="E37" s="283">
        <f>'Alternative Rates 1'!$E$22+('Alternative Rates 1'!$E$23*4)+('Alternative Rates 1'!$E$24*($C37-6000)/1000)</f>
        <v>129.31</v>
      </c>
      <c r="F37" s="17">
        <f t="shared" si="2"/>
        <v>4.4000000000000057</v>
      </c>
      <c r="G37" s="61">
        <f t="shared" si="3"/>
        <v>3.5225362260827842E-2</v>
      </c>
      <c r="H37" s="40"/>
    </row>
    <row r="38" spans="2:8" x14ac:dyDescent="0.25">
      <c r="B38" s="11"/>
      <c r="C38" s="6">
        <v>15000</v>
      </c>
      <c r="D38" s="283">
        <f>'Rates 1'!$D$22+('Rates 1'!$D$23*4)+('Rates 1'!$D$24*4)+('Rates 1'!$D$25*($C38-10000)/1000)</f>
        <v>172.06</v>
      </c>
      <c r="E38" s="283">
        <f>'Alternative Rates 1'!$E$22+('Alternative Rates 1'!$E$23*4)+('Alternative Rates 1'!$E$24*4)+('Alternative Rates 1'!$E$25*($C38-10000)/1000)</f>
        <v>178.66</v>
      </c>
      <c r="F38" s="17">
        <f t="shared" si="2"/>
        <v>6.5999999999999943</v>
      </c>
      <c r="G38" s="61">
        <f t="shared" si="3"/>
        <v>3.8358712077182347E-2</v>
      </c>
      <c r="H38" s="40"/>
    </row>
    <row r="39" spans="2:8" x14ac:dyDescent="0.25">
      <c r="B39" s="11"/>
      <c r="C39" s="6">
        <v>20000</v>
      </c>
      <c r="D39" s="283">
        <f>'Rates 1'!$D$22+('Rates 1'!$D$23*4)+('Rates 1'!$D$24*4)+('Rates 1'!$D$25*($C39-10000)/1000)</f>
        <v>219.20999999999998</v>
      </c>
      <c r="E39" s="283">
        <f>'Alternative Rates 1'!$E$22+('Alternative Rates 1'!$E$23*4)+('Alternative Rates 1'!$E$24*4)+('Alternative Rates 1'!$E$25*($C39-10000)/1000)</f>
        <v>228.01</v>
      </c>
      <c r="F39" s="17">
        <f t="shared" si="2"/>
        <v>8.8000000000000114</v>
      </c>
      <c r="G39" s="61">
        <f t="shared" si="3"/>
        <v>4.0144154007572701E-2</v>
      </c>
      <c r="H39" s="40"/>
    </row>
    <row r="40" spans="2:8" x14ac:dyDescent="0.25">
      <c r="B40" s="11"/>
      <c r="C40" s="6">
        <v>25000</v>
      </c>
      <c r="D40" s="283">
        <f>'Rates 1'!$D$22+('Rates 1'!$D$23*4)+('Rates 1'!$D$24*4)+('Rates 1'!$D$25*($C40-10000)/1000)</f>
        <v>266.36</v>
      </c>
      <c r="E40" s="283">
        <f>'Alternative Rates 1'!$E$22+('Alternative Rates 1'!$E$23*4)+('Alternative Rates 1'!$E$24*4)+('Alternative Rates 1'!$E$25*($C40-10000)/1000)</f>
        <v>277.36</v>
      </c>
      <c r="F40" s="17">
        <f t="shared" si="2"/>
        <v>11</v>
      </c>
      <c r="G40" s="61">
        <f t="shared" si="3"/>
        <v>4.1297492115933324E-2</v>
      </c>
      <c r="H40" s="40"/>
    </row>
    <row r="41" spans="2:8" x14ac:dyDescent="0.25">
      <c r="B41" s="11"/>
      <c r="C41" s="6">
        <v>30000</v>
      </c>
      <c r="D41" s="283">
        <f>'Rates 1'!$D$22+('Rates 1'!$D$23*4)+('Rates 1'!$D$244)+('Rates 1'!$D$25*($C41-10000)/1000)</f>
        <v>269.75</v>
      </c>
      <c r="E41" s="283">
        <f>'Alternative Rates 1'!$E$22+('Alternative Rates 1'!$E$23*4)+('Alternative Rates 1'!$E$244)+('Alternative Rates 1'!$E$25*($C41-10000)/1000)</f>
        <v>280.90999999999997</v>
      </c>
      <c r="F41" s="17">
        <f t="shared" si="2"/>
        <v>11.159999999999968</v>
      </c>
      <c r="G41" s="61">
        <f t="shared" si="3"/>
        <v>4.137164040778487E-2</v>
      </c>
      <c r="H41" s="40"/>
    </row>
    <row r="42" spans="2:8" x14ac:dyDescent="0.25">
      <c r="B42" s="11"/>
      <c r="C42" s="6">
        <v>40000</v>
      </c>
      <c r="D42" s="283">
        <f>'Rates 1'!$D$22+('Rates 1'!$D$23*4)+('Rates 1'!$D$24*4)+('Rates 1'!$D$25*20)+('Rates 1'!$D$26*($C42-30000)/1000)</f>
        <v>391.90999999999997</v>
      </c>
      <c r="E42" s="283">
        <f>'Alternative Rates 1'!$E$22+('Alternative Rates 1'!$E$23*4)+('Alternative Rates 1'!$E$24*4)+('Alternative Rates 1'!$E$25*20)+('Alternative Rates 1'!$E$26*($C42-30000)/1000)</f>
        <v>408.81</v>
      </c>
      <c r="F42" s="17">
        <f t="shared" si="2"/>
        <v>16.900000000000034</v>
      </c>
      <c r="G42" s="61">
        <f t="shared" si="3"/>
        <v>4.3122145390523427E-2</v>
      </c>
      <c r="H42" s="40"/>
    </row>
    <row r="43" spans="2:8" x14ac:dyDescent="0.25">
      <c r="B43" s="11"/>
      <c r="C43" s="6">
        <v>50000</v>
      </c>
      <c r="D43" s="283">
        <f>'Rates 1'!$D$22+('Rates 1'!$D$23*4)+('Rates 1'!$D$24*4)+('Rates 1'!$D$25*20)+('Rates 1'!$D$26*($C43-30000)/1000)</f>
        <v>470.31</v>
      </c>
      <c r="E43" s="283">
        <f>'Alternative Rates 1'!$E$22+('Alternative Rates 1'!$E$23*4)+('Alternative Rates 1'!$E$24*4)+('Alternative Rates 1'!$E$25*20)+('Alternative Rates 1'!$E$26*($C43-30000)/1000)</f>
        <v>490.90999999999997</v>
      </c>
      <c r="F43" s="17">
        <f t="shared" si="2"/>
        <v>20.599999999999966</v>
      </c>
      <c r="G43" s="61">
        <f t="shared" si="3"/>
        <v>4.3800897280517032E-2</v>
      </c>
      <c r="H43" s="40"/>
    </row>
    <row r="44" spans="2:8" x14ac:dyDescent="0.25">
      <c r="B44" s="11"/>
      <c r="C44" s="6">
        <v>75000</v>
      </c>
      <c r="D44" s="283">
        <f>'Rates 1'!$D$22+('Rates 1'!$D$23*4)+('Rates 1'!$D$24*4)+('Rates 1'!$D$25*20)+('Rates 1'!$D$26*20)+('Rates 1'!$D$27*($C44-50000)/1000)</f>
        <v>626.55999999999995</v>
      </c>
      <c r="E44" s="283">
        <f>'Alternative Rates 1'!$E$22+('Alternative Rates 1'!$E$23*4)+('Alternative Rates 1'!$E$24*4)+('Alternative Rates 1'!$E$25*20)+('Alternative Rates 1'!$E$26*20)+('Alternative Rates 1'!$E$27*($C44-50000)/1000)</f>
        <v>654.41</v>
      </c>
      <c r="F44" s="17">
        <f t="shared" si="2"/>
        <v>27.850000000000023</v>
      </c>
      <c r="G44" s="61">
        <f t="shared" si="3"/>
        <v>4.4449055158324861E-2</v>
      </c>
      <c r="H44" s="40"/>
    </row>
    <row r="45" spans="2:8" x14ac:dyDescent="0.25">
      <c r="B45" s="11"/>
      <c r="C45" s="6">
        <v>100000</v>
      </c>
      <c r="D45" s="283">
        <f>'Rates 1'!$D$22+('Rates 1'!$D$23*4)+('Rates 1'!$D$24*4)+('Rates 1'!$D$25*20)+('Rates 1'!$D$26*20)+('Rates 1'!$D$27*($C45-50000)/1000)</f>
        <v>782.81</v>
      </c>
      <c r="E45" s="283">
        <f>'Alternative Rates 1'!$E$22+('Alternative Rates 1'!$E$23*4)+('Alternative Rates 1'!$E$24*4)+('Alternative Rates 1'!$E$25*20)+('Alternative Rates 1'!$E$26*20)+('Alternative Rates 1'!$E$27*($C45-50000)/1000)</f>
        <v>817.91</v>
      </c>
      <c r="F45" s="17">
        <f t="shared" si="2"/>
        <v>35.100000000000023</v>
      </c>
      <c r="G45" s="61">
        <f t="shared" si="3"/>
        <v>4.4838466549993003E-2</v>
      </c>
      <c r="H45" s="40"/>
    </row>
    <row r="46" spans="2:8" x14ac:dyDescent="0.25">
      <c r="B46" s="11"/>
      <c r="C46" s="6">
        <v>200000</v>
      </c>
      <c r="D46" s="283">
        <f>'Rates 1'!$D$22+('Rates 1'!$D$23*4)+('Rates 1'!$D$24*4)+('Rates 1'!$D$25*20)+('Rates 1'!$D$26*20)+('Rates 1'!$D$27*($C46-50000)/1000)</f>
        <v>1407.81</v>
      </c>
      <c r="E46" s="283">
        <f>'Alternative Rates 1'!$E$22+('Alternative Rates 1'!$E$23*4)+('Alternative Rates 1'!$E$24*4)+('Alternative Rates 1'!$E$25*20)+('Alternative Rates 1'!$E$26*20)+('Alternative Rates 1'!$E$27*($C46-50000)/1000)</f>
        <v>1471.9099999999999</v>
      </c>
      <c r="F46" s="17">
        <f t="shared" si="2"/>
        <v>64.099999999999909</v>
      </c>
      <c r="G46" s="61">
        <f t="shared" si="3"/>
        <v>4.5531712375959758E-2</v>
      </c>
      <c r="H46" s="40"/>
    </row>
    <row r="47" spans="2:8" x14ac:dyDescent="0.25">
      <c r="B47" s="11"/>
      <c r="C47" s="6">
        <v>500000</v>
      </c>
      <c r="D47" s="283">
        <f>'Rates 1'!$D$22+('Rates 1'!$D$23*4)+('Rates 1'!$D$24*4)+('Rates 1'!$D$25*20)+('Rates 1'!$D$26*20)+('Rates 1'!$D$27*250)+('Rates 1'!$D$28*($C47-300000)/1000)</f>
        <v>3108.81</v>
      </c>
      <c r="E47" s="283">
        <f>'Alternative Rates 1'!$E$22+('Alternative Rates 1'!$E$23*4)+('Rates 1'!E$24*4)+('Alternative Rates 1'!$E$25*20)+('Alternative Rates 1'!$E$26*20)+('Alternative Rates 1'!$E$27*250)+('Alternative Rates 1'!$E$28*($C47-300000)/1000)</f>
        <v>3249.87</v>
      </c>
      <c r="F47" s="17">
        <f t="shared" si="2"/>
        <v>141.05999999999995</v>
      </c>
      <c r="G47" s="61">
        <f t="shared" si="3"/>
        <v>4.5374275044148711E-2</v>
      </c>
      <c r="H47" s="40"/>
    </row>
    <row r="48" spans="2:8" ht="6" customHeight="1" x14ac:dyDescent="0.25">
      <c r="B48" s="13"/>
      <c r="C48" s="4"/>
      <c r="D48" s="39"/>
      <c r="E48" s="38"/>
      <c r="F48" s="38"/>
      <c r="G48" s="5"/>
      <c r="H48" s="14"/>
    </row>
    <row r="50" spans="3:3" x14ac:dyDescent="0.25">
      <c r="C50" s="46" t="s">
        <v>38</v>
      </c>
    </row>
  </sheetData>
  <mergeCells count="5">
    <mergeCell ref="B3:H3"/>
    <mergeCell ref="B4:H4"/>
    <mergeCell ref="B5:H5"/>
    <mergeCell ref="B7:H7"/>
    <mergeCell ref="B28:H28"/>
  </mergeCells>
  <printOptions horizontalCentered="1"/>
  <pageMargins left="0.7" right="0.7" top="1.1000000000000001" bottom="0.75" header="0.3" footer="0.3"/>
  <pageSetup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FF9B-F094-4DDD-8F5E-DACC24E17037}">
  <sheetPr>
    <pageSetUpPr fitToPage="1"/>
  </sheetPr>
  <dimension ref="B1:N49"/>
  <sheetViews>
    <sheetView showGridLines="0" topLeftCell="A20" workbookViewId="0">
      <selection activeCell="I49" sqref="A1:I49"/>
    </sheetView>
  </sheetViews>
  <sheetFormatPr defaultColWidth="8.88671875" defaultRowHeight="15" x14ac:dyDescent="0.25"/>
  <cols>
    <col min="1" max="1" width="3" style="7" customWidth="1"/>
    <col min="2" max="2" width="1.77734375" style="7" customWidth="1"/>
    <col min="3" max="7" width="9.77734375" style="7" customWidth="1"/>
    <col min="8" max="8" width="1.77734375" style="7" customWidth="1"/>
    <col min="9" max="9" width="2.88671875" style="7" customWidth="1"/>
    <col min="10" max="16384" width="8.88671875" style="7"/>
  </cols>
  <sheetData>
    <row r="1" spans="2:10" x14ac:dyDescent="0.25">
      <c r="B1" s="8"/>
      <c r="C1" s="9"/>
      <c r="D1" s="9"/>
      <c r="E1" s="9"/>
      <c r="F1" s="9"/>
      <c r="G1" s="9"/>
      <c r="H1" s="10"/>
    </row>
    <row r="2" spans="2:10" ht="18.75" x14ac:dyDescent="0.3">
      <c r="B2" s="484" t="s">
        <v>205</v>
      </c>
      <c r="C2" s="485"/>
      <c r="D2" s="485"/>
      <c r="E2" s="485"/>
      <c r="F2" s="485"/>
      <c r="G2" s="485"/>
      <c r="H2" s="486"/>
    </row>
    <row r="3" spans="2:10" ht="18.75" x14ac:dyDescent="0.3">
      <c r="B3" s="487" t="s">
        <v>199</v>
      </c>
      <c r="C3" s="488"/>
      <c r="D3" s="488"/>
      <c r="E3" s="488"/>
      <c r="F3" s="488"/>
      <c r="G3" s="488"/>
      <c r="H3" s="489"/>
    </row>
    <row r="4" spans="2:10" ht="15.75" x14ac:dyDescent="0.25">
      <c r="B4" s="433" t="s">
        <v>149</v>
      </c>
      <c r="C4" s="434"/>
      <c r="D4" s="434"/>
      <c r="E4" s="434"/>
      <c r="F4" s="434"/>
      <c r="G4" s="434"/>
      <c r="H4" s="435"/>
    </row>
    <row r="5" spans="2:10" ht="6" customHeight="1" x14ac:dyDescent="0.25">
      <c r="B5" s="34"/>
      <c r="C5" s="35"/>
      <c r="D5" s="35"/>
      <c r="E5" s="35"/>
      <c r="F5" s="35"/>
      <c r="G5" s="35"/>
      <c r="H5" s="36"/>
    </row>
    <row r="6" spans="2:10" ht="15.75" x14ac:dyDescent="0.25">
      <c r="B6" s="490" t="s">
        <v>174</v>
      </c>
      <c r="C6" s="491"/>
      <c r="D6" s="491"/>
      <c r="E6" s="491"/>
      <c r="F6" s="491"/>
      <c r="G6" s="491"/>
      <c r="H6" s="492"/>
      <c r="I6" s="11"/>
    </row>
    <row r="7" spans="2:10" ht="6" customHeight="1" x14ac:dyDescent="0.25">
      <c r="B7" s="11"/>
      <c r="C7" s="12"/>
      <c r="D7" s="34"/>
      <c r="E7" s="35"/>
      <c r="F7" s="35"/>
      <c r="G7" s="35"/>
      <c r="H7" s="36"/>
      <c r="I7" s="33"/>
      <c r="J7" s="33"/>
    </row>
    <row r="8" spans="2:10" ht="17.25" x14ac:dyDescent="0.4">
      <c r="B8" s="11"/>
      <c r="C8" s="32" t="s">
        <v>3</v>
      </c>
      <c r="D8" s="37" t="s">
        <v>12</v>
      </c>
      <c r="E8" s="16" t="s">
        <v>1</v>
      </c>
      <c r="F8" s="16"/>
      <c r="G8" s="16"/>
      <c r="H8" s="32"/>
    </row>
    <row r="9" spans="2:10" ht="17.25" x14ac:dyDescent="0.4">
      <c r="B9" s="11"/>
      <c r="C9" s="32" t="s">
        <v>125</v>
      </c>
      <c r="D9" s="37" t="s">
        <v>35</v>
      </c>
      <c r="E9" s="16" t="s">
        <v>35</v>
      </c>
      <c r="F9" s="16" t="s">
        <v>13</v>
      </c>
      <c r="G9" s="16" t="s">
        <v>36</v>
      </c>
      <c r="H9" s="32"/>
    </row>
    <row r="10" spans="2:10" x14ac:dyDescent="0.25">
      <c r="B10" s="11"/>
      <c r="C10" s="17">
        <v>0</v>
      </c>
      <c r="D10" s="26">
        <f>'Rates 2'!$D$11</f>
        <v>25.84</v>
      </c>
      <c r="E10" s="26">
        <f>'Rates 2'!$E$11</f>
        <v>28.78</v>
      </c>
      <c r="F10" s="45">
        <f>E10-D10</f>
        <v>2.9400000000000013</v>
      </c>
      <c r="G10" s="61">
        <f>F10/D10</f>
        <v>0.11377708978328178</v>
      </c>
      <c r="H10" s="40"/>
    </row>
    <row r="11" spans="2:10" x14ac:dyDescent="0.25">
      <c r="B11" s="11"/>
      <c r="C11" s="6">
        <v>2000</v>
      </c>
      <c r="D11" s="26">
        <f>'Rates 2'!$D$11</f>
        <v>25.84</v>
      </c>
      <c r="E11" s="26">
        <f>'Rates 2'!$E$11</f>
        <v>28.78</v>
      </c>
      <c r="F11" s="17">
        <f t="shared" ref="F11:F25" si="0">E11-D11</f>
        <v>2.9400000000000013</v>
      </c>
      <c r="G11" s="61">
        <f t="shared" ref="G11:G25" si="1">F11/D11</f>
        <v>0.11377708978328178</v>
      </c>
      <c r="H11" s="40"/>
    </row>
    <row r="12" spans="2:10" x14ac:dyDescent="0.25">
      <c r="B12" s="11"/>
      <c r="C12" s="41">
        <v>4000</v>
      </c>
      <c r="D12" s="159">
        <f>'Rates 2'!$D$11+('Rates 2'!$D$12*(C12-2000)/1000)</f>
        <v>47.72</v>
      </c>
      <c r="E12" s="159">
        <f>'Rates 2'!$E$11+('Rates 2'!$E$12*(C12-2000)/1000)</f>
        <v>53.14</v>
      </c>
      <c r="F12" s="42">
        <f t="shared" si="0"/>
        <v>5.4200000000000017</v>
      </c>
      <c r="G12" s="62">
        <f t="shared" si="1"/>
        <v>0.11357921207041077</v>
      </c>
      <c r="H12" s="43"/>
    </row>
    <row r="13" spans="2:10" x14ac:dyDescent="0.25">
      <c r="B13" s="11"/>
      <c r="C13" s="6">
        <v>6000</v>
      </c>
      <c r="D13" s="283">
        <f>'Rates 2'!$D$11+('Rates 2'!$D$12*(C13-2000)/1000)</f>
        <v>69.599999999999994</v>
      </c>
      <c r="E13" s="283">
        <f>'Rates 2'!$E$11+('Rates 2'!$E$12*(C13-2000)/1000)</f>
        <v>77.5</v>
      </c>
      <c r="F13" s="17">
        <f t="shared" si="0"/>
        <v>7.9000000000000057</v>
      </c>
      <c r="G13" s="61">
        <f t="shared" si="1"/>
        <v>0.11350574712643688</v>
      </c>
      <c r="H13" s="40"/>
    </row>
    <row r="14" spans="2:10" x14ac:dyDescent="0.25">
      <c r="B14" s="11"/>
      <c r="C14" s="6">
        <v>8000</v>
      </c>
      <c r="D14" s="283">
        <f>'Rates 2'!$D$11+('Rates 2'!$D$12*4)+('Rates 2'!$D$13*($C14-6000)/1000)</f>
        <v>88.66</v>
      </c>
      <c r="E14" s="283">
        <f>'Rates 2'!$E$11+('Rates 2'!$E$12*4)+('Rates 2'!$E$13*($C14-6000)/1000)</f>
        <v>98.72</v>
      </c>
      <c r="F14" s="17">
        <f t="shared" si="0"/>
        <v>10.060000000000002</v>
      </c>
      <c r="G14" s="61">
        <f t="shared" si="1"/>
        <v>0.11346717798330705</v>
      </c>
      <c r="H14" s="40"/>
    </row>
    <row r="15" spans="2:10" x14ac:dyDescent="0.25">
      <c r="B15" s="11"/>
      <c r="C15" s="6">
        <v>10000</v>
      </c>
      <c r="D15" s="283">
        <f>'Rates 2'!$D$11+('Rates 2'!$D$12*4)+('Rates 2'!$D$13*($C15-6000)/1000)</f>
        <v>107.72</v>
      </c>
      <c r="E15" s="283">
        <f>'Rates 2'!$E$11+('Rates 2'!$E$12*4)+('Rates 2'!$E$13*($C15-6000)/1000)</f>
        <v>119.94</v>
      </c>
      <c r="F15" s="17">
        <f t="shared" si="0"/>
        <v>12.219999999999999</v>
      </c>
      <c r="G15" s="61">
        <f t="shared" si="1"/>
        <v>0.11344225770516152</v>
      </c>
      <c r="H15" s="40"/>
    </row>
    <row r="16" spans="2:10" x14ac:dyDescent="0.25">
      <c r="B16" s="11"/>
      <c r="C16" s="6">
        <v>15000</v>
      </c>
      <c r="D16" s="283">
        <f>'Rates 2'!$D$11+('Rates 2'!$D$12*4)+('Rates 2'!$D$13*4)+('Rates 2'!$D$14*($C16-10000)/1000)</f>
        <v>148.62</v>
      </c>
      <c r="E16" s="283">
        <f>'Rates 2'!$E$11+('Rates 2'!$E$12*4)+('Rates 2'!$E$13*4)+('Rates 2'!$E$14*($C16-10000)/1000)</f>
        <v>165.49</v>
      </c>
      <c r="F16" s="17">
        <f t="shared" si="0"/>
        <v>16.870000000000005</v>
      </c>
      <c r="G16" s="61">
        <f t="shared" si="1"/>
        <v>0.11351096756829501</v>
      </c>
      <c r="H16" s="40"/>
    </row>
    <row r="17" spans="2:14" x14ac:dyDescent="0.25">
      <c r="B17" s="11"/>
      <c r="C17" s="6">
        <v>20000</v>
      </c>
      <c r="D17" s="283">
        <f>'Rates 2'!$D$11+('Rates 2'!$D$12*4)+('Rates 2'!$D$13*4)+('Rates 2'!$D$14*($C17-10000)/1000)</f>
        <v>189.51999999999998</v>
      </c>
      <c r="E17" s="283">
        <f>'Rates 2'!$E$11+('Rates 2'!$E$12*4)+('Rates 2'!$E$13*4)+('Rates 2'!$E$14*($C17-10000)/1000)</f>
        <v>211.04</v>
      </c>
      <c r="F17" s="17">
        <f t="shared" si="0"/>
        <v>21.52000000000001</v>
      </c>
      <c r="G17" s="61">
        <f t="shared" si="1"/>
        <v>0.11355002110595194</v>
      </c>
      <c r="H17" s="40"/>
    </row>
    <row r="18" spans="2:14" x14ac:dyDescent="0.25">
      <c r="B18" s="11"/>
      <c r="C18" s="6">
        <v>25000</v>
      </c>
      <c r="D18" s="283">
        <f>'Rates 2'!$D$11+('Rates 2'!$D$12*4)+('Rates 2'!$D$13*4)+('Rates 2'!$D$14*($C18-10000)/1000)</f>
        <v>230.42000000000002</v>
      </c>
      <c r="E18" s="283">
        <f>'Rates 2'!$E$11+('Rates 2'!$E$12*4)+('Rates 2'!$E$13*4)+('Rates 2'!$E$14*($C18-10000)/1000)</f>
        <v>256.59000000000003</v>
      </c>
      <c r="F18" s="17">
        <f t="shared" si="0"/>
        <v>26.170000000000016</v>
      </c>
      <c r="G18" s="61">
        <f t="shared" si="1"/>
        <v>0.113575210485201</v>
      </c>
      <c r="H18" s="40"/>
    </row>
    <row r="19" spans="2:14" x14ac:dyDescent="0.25">
      <c r="B19" s="11"/>
      <c r="C19" s="6">
        <v>30000</v>
      </c>
      <c r="D19" s="283">
        <f>'Rates 2'!$D$11+('Rates 2'!$D$12*4)+('Rates 2'!$D$13*4)+('Rates 2'!$D$14*($C19-10000)/1000)</f>
        <v>271.32</v>
      </c>
      <c r="E19" s="283">
        <f>'Rates 2'!$E$11+('Rates 2'!$E$12*4)+('Rates 2'!$E$13*4)+('Rates 2'!$E$14*($C19-10000)/1000)</f>
        <v>302.14</v>
      </c>
      <c r="F19" s="17">
        <f t="shared" si="0"/>
        <v>30.819999999999993</v>
      </c>
      <c r="G19" s="61">
        <f t="shared" si="1"/>
        <v>0.11359280554326992</v>
      </c>
      <c r="H19" s="40"/>
      <c r="N19" s="6"/>
    </row>
    <row r="20" spans="2:14" x14ac:dyDescent="0.25">
      <c r="B20" s="11"/>
      <c r="C20" s="6">
        <v>40000</v>
      </c>
      <c r="D20" s="283">
        <f>'Rates 2'!$D$11+('Rates 2'!$D$12*4)+('Rates 2'!$D$13*4)+('Rates 2'!$D$14*20)+('Rates 2'!$D$15*($C20-30000)/1000)</f>
        <v>339.62</v>
      </c>
      <c r="E20" s="283">
        <f>'Rates 2'!$E$11+('Rates 2'!$E$12*4)+('Rates 2'!$E$13*4)+('Rates 2'!$E$14*20)+('Rates 2'!$E$15*($C20-30000)/1000)</f>
        <v>378.24</v>
      </c>
      <c r="F20" s="17">
        <f t="shared" si="0"/>
        <v>38.620000000000005</v>
      </c>
      <c r="G20" s="61">
        <f t="shared" si="1"/>
        <v>0.11371532889700255</v>
      </c>
      <c r="H20" s="40"/>
    </row>
    <row r="21" spans="2:14" x14ac:dyDescent="0.25">
      <c r="B21" s="11"/>
      <c r="C21" s="6">
        <v>50000</v>
      </c>
      <c r="D21" s="283">
        <f>'Rates 2'!$D$11+('Rates 2'!$D$12*4)+('Rates 2'!$D$13*4)+('Rates 2'!$D$14*20)+('Rates 2'!$D$15*($C21-30000)/1000)</f>
        <v>407.91999999999996</v>
      </c>
      <c r="E21" s="283">
        <f>'Rates 2'!$E$11+('Rates 2'!$E$12*4)+('Rates 2'!$E$13*4)+('Rates 2'!$E$14*20)+('Rates 2'!$E$15*($C21-30000)/1000)</f>
        <v>454.34</v>
      </c>
      <c r="F21" s="17">
        <f t="shared" si="0"/>
        <v>46.420000000000016</v>
      </c>
      <c r="G21" s="61">
        <f t="shared" si="1"/>
        <v>0.11379682290645229</v>
      </c>
      <c r="H21" s="40"/>
    </row>
    <row r="22" spans="2:14" x14ac:dyDescent="0.25">
      <c r="B22" s="11"/>
      <c r="C22" s="6">
        <v>75000</v>
      </c>
      <c r="D22" s="283">
        <f>'Rates 2'!$D$11+('Rates 2'!$D$12*4)+('Rates 2'!$D$13*4)+('Rates 2'!$D$14*20)+('Rates 2'!$D$15*20)+('Rates 2'!$D$16*($C22-50000)/1000)</f>
        <v>544.66999999999996</v>
      </c>
      <c r="E22" s="283">
        <f>'Rates 2'!$E$11+('Rates 2'!$E$12*4)+('Rates 2'!$E$13*4)+('Rates 2'!$E$14*20)+('Rates 2'!$E$15*20)+('Rates 2'!$E$16*($C22-50000)/1000)</f>
        <v>606.59</v>
      </c>
      <c r="F22" s="17">
        <f t="shared" si="0"/>
        <v>61.920000000000073</v>
      </c>
      <c r="G22" s="61">
        <f t="shared" si="1"/>
        <v>0.11368351478877133</v>
      </c>
      <c r="H22" s="40"/>
    </row>
    <row r="23" spans="2:14" x14ac:dyDescent="0.25">
      <c r="B23" s="11"/>
      <c r="C23" s="6">
        <v>100000</v>
      </c>
      <c r="D23" s="283">
        <f>'Rates 2'!$D$11+('Rates 2'!$D$12*4)+('Rates 2'!$D$13*4)+('Rates 2'!$D$14*20)+('Rates 2'!$D$15*20)+('Rates 2'!$D$16*($C23-50000)/1000)</f>
        <v>681.42</v>
      </c>
      <c r="E23" s="283">
        <f>'Rates 2'!$E$11+('Rates 2'!$E$12*4)+('Rates 2'!$E$13*4)+('Rates 2'!$E$14*20)+('Rates 2'!$E$15*20)+('Rates 2'!$E$16*($C23-50000)/1000)</f>
        <v>758.84</v>
      </c>
      <c r="F23" s="17">
        <f t="shared" si="0"/>
        <v>77.420000000000073</v>
      </c>
      <c r="G23" s="61">
        <f t="shared" si="1"/>
        <v>0.11361568489331114</v>
      </c>
      <c r="H23" s="40"/>
    </row>
    <row r="24" spans="2:14" x14ac:dyDescent="0.25">
      <c r="B24" s="11"/>
      <c r="C24" s="6">
        <v>200000</v>
      </c>
      <c r="D24" s="283">
        <f>'Rates 2'!$D$11+('Rates 2'!$D$12*4)+('Rates 2'!$D$13*4)+('Rates 2'!$D$14*20)+('Rates 2'!$D$15*20)+('Rates 2'!$D$16*($C24-50000)/1000)</f>
        <v>1228.42</v>
      </c>
      <c r="E24" s="283">
        <f>'Rates 2'!$E$11+('Rates 2'!$E$12*4)+('Rates 2'!$E$13*4)+('Rates 2'!$E$14*20)+('Rates 2'!$E$15*20)+('Rates 2'!$E$16*($C24-50000)/1000)</f>
        <v>1367.8400000000001</v>
      </c>
      <c r="F24" s="17">
        <f t="shared" si="0"/>
        <v>139.42000000000007</v>
      </c>
      <c r="G24" s="61">
        <f t="shared" si="1"/>
        <v>0.11349538431481095</v>
      </c>
      <c r="H24" s="40"/>
    </row>
    <row r="25" spans="2:14" x14ac:dyDescent="0.25">
      <c r="B25" s="11"/>
      <c r="C25" s="6">
        <v>500000</v>
      </c>
      <c r="D25" s="283">
        <f>'Rates 2'!$D$11+('Rates 2'!$D$12*4)+('Rates 2'!$D$13*4)+('Rates 2'!$D$14*20)+('Rates 2'!$D$15*20)+('Rates 2'!$D$16*250)+('Rates 2'!$D$17*($C25-300000)/1000)</f>
        <v>2709.42</v>
      </c>
      <c r="E25" s="283">
        <f>'Rates 2'!$E$11+('Rates 2'!$E$12*4)+('Rates 2'!$E$13*4)+('Rates 2'!$E$14*20)+('Rates 2'!$E$15*20)+('Rates 2'!$E$16*250)+('Rates 2'!$E$17*($C25-300000)/1000)</f>
        <v>3016.84</v>
      </c>
      <c r="F25" s="17">
        <f t="shared" si="0"/>
        <v>307.42000000000007</v>
      </c>
      <c r="G25" s="61">
        <f t="shared" si="1"/>
        <v>0.11346339807043576</v>
      </c>
      <c r="H25" s="40"/>
    </row>
    <row r="26" spans="2:14" ht="6" customHeight="1" x14ac:dyDescent="0.25">
      <c r="B26" s="13"/>
      <c r="C26" s="4"/>
      <c r="D26" s="39"/>
      <c r="E26" s="38"/>
      <c r="F26" s="38"/>
      <c r="G26" s="5"/>
      <c r="H26" s="14"/>
    </row>
    <row r="27" spans="2:14" ht="15.75" x14ac:dyDescent="0.25">
      <c r="B27" s="490" t="s">
        <v>180</v>
      </c>
      <c r="C27" s="491"/>
      <c r="D27" s="491"/>
      <c r="E27" s="491"/>
      <c r="F27" s="491"/>
      <c r="G27" s="491"/>
      <c r="H27" s="492"/>
    </row>
    <row r="28" spans="2:14" ht="6" customHeight="1" x14ac:dyDescent="0.25">
      <c r="B28" s="11"/>
      <c r="C28" s="12"/>
      <c r="D28" s="34"/>
      <c r="E28" s="35"/>
      <c r="F28" s="35"/>
      <c r="G28" s="35"/>
      <c r="H28" s="36"/>
    </row>
    <row r="29" spans="2:14" ht="17.25" x14ac:dyDescent="0.4">
      <c r="B29" s="11"/>
      <c r="C29" s="32" t="s">
        <v>3</v>
      </c>
      <c r="D29" s="37" t="s">
        <v>12</v>
      </c>
      <c r="E29" s="16" t="s">
        <v>1</v>
      </c>
      <c r="F29" s="16"/>
      <c r="G29" s="16"/>
      <c r="H29" s="32"/>
    </row>
    <row r="30" spans="2:14" ht="17.25" x14ac:dyDescent="0.4">
      <c r="B30" s="11"/>
      <c r="C30" s="32" t="s">
        <v>125</v>
      </c>
      <c r="D30" s="37" t="s">
        <v>35</v>
      </c>
      <c r="E30" s="16" t="s">
        <v>35</v>
      </c>
      <c r="F30" s="16" t="s">
        <v>13</v>
      </c>
      <c r="G30" s="16" t="s">
        <v>36</v>
      </c>
      <c r="H30" s="32"/>
    </row>
    <row r="31" spans="2:14" x14ac:dyDescent="0.25">
      <c r="B31" s="11"/>
      <c r="C31" s="17">
        <v>0</v>
      </c>
      <c r="D31" s="26">
        <f>'Rates 2'!$D$22</f>
        <v>31.03</v>
      </c>
      <c r="E31" s="26">
        <f>'Rates 2'!$E$22</f>
        <v>34.56</v>
      </c>
      <c r="F31" s="45">
        <f>E31-D31</f>
        <v>3.5300000000000011</v>
      </c>
      <c r="G31" s="61">
        <f>F31/D31</f>
        <v>0.11376087657106029</v>
      </c>
      <c r="H31" s="40"/>
    </row>
    <row r="32" spans="2:14" x14ac:dyDescent="0.25">
      <c r="B32" s="11"/>
      <c r="C32" s="6">
        <v>2000</v>
      </c>
      <c r="D32" s="26">
        <f>'Rates 2'!$D$22</f>
        <v>31.03</v>
      </c>
      <c r="E32" s="26">
        <f>'Rates 2'!$E$22</f>
        <v>34.56</v>
      </c>
      <c r="F32" s="17">
        <f t="shared" ref="F32:F46" si="2">E32-D32</f>
        <v>3.5300000000000011</v>
      </c>
      <c r="G32" s="61">
        <f t="shared" ref="G32:G46" si="3">F32/D32</f>
        <v>0.11376087657106029</v>
      </c>
      <c r="H32" s="40"/>
    </row>
    <row r="33" spans="2:8" x14ac:dyDescent="0.25">
      <c r="B33" s="11"/>
      <c r="C33" s="41">
        <v>4000</v>
      </c>
      <c r="D33" s="159">
        <f>'Rates 2'!$D$22+('Rates 2'!$D$23*(C33-2000)/1000)</f>
        <v>57.269999999999996</v>
      </c>
      <c r="E33" s="159">
        <f>'Rates 2'!$E$22+('Rates 2'!$E$23*(C33-2000)/1000)</f>
        <v>63.78</v>
      </c>
      <c r="F33" s="42">
        <f t="shared" si="2"/>
        <v>6.5100000000000051</v>
      </c>
      <c r="G33" s="62">
        <f t="shared" si="3"/>
        <v>0.11367207962283928</v>
      </c>
      <c r="H33" s="43"/>
    </row>
    <row r="34" spans="2:8" x14ac:dyDescent="0.25">
      <c r="B34" s="11"/>
      <c r="C34" s="6">
        <v>6000</v>
      </c>
      <c r="D34" s="283">
        <f>'Rates 2'!$D$22+('Rates 2'!$D$23*(C34-2000)/1000)</f>
        <v>83.509999999999991</v>
      </c>
      <c r="E34" s="283">
        <f>'Rates 2'!$E$22+('Rates 2'!$E$23*(C34-2000)/1000)</f>
        <v>93</v>
      </c>
      <c r="F34" s="17">
        <f t="shared" si="2"/>
        <v>9.4900000000000091</v>
      </c>
      <c r="G34" s="61">
        <f t="shared" si="3"/>
        <v>0.11363908513950437</v>
      </c>
      <c r="H34" s="40"/>
    </row>
    <row r="35" spans="2:8" x14ac:dyDescent="0.25">
      <c r="B35" s="11"/>
      <c r="C35" s="6">
        <v>8000</v>
      </c>
      <c r="D35" s="283">
        <f>'Rates 2'!$D$22+('Rates 2'!$D$23*4)+('Rates 2'!$D$24*($C35-6000)/1000)</f>
        <v>106.41</v>
      </c>
      <c r="E35" s="283">
        <f>'Rates 2'!$E$22+('Rates 2'!$E$23*4)+('Rates 2'!$E$24*($C35-6000)/1000)</f>
        <v>118.5</v>
      </c>
      <c r="F35" s="17">
        <f t="shared" si="2"/>
        <v>12.090000000000003</v>
      </c>
      <c r="G35" s="61">
        <f t="shared" si="3"/>
        <v>0.11361714124612352</v>
      </c>
      <c r="H35" s="40"/>
    </row>
    <row r="36" spans="2:8" x14ac:dyDescent="0.25">
      <c r="B36" s="11"/>
      <c r="C36" s="6">
        <v>10000</v>
      </c>
      <c r="D36" s="283">
        <f>'Rates 2'!$D$22+('Rates 2'!$D$23*4)+('Rates 2'!$D$24*($C36-6000)/1000)</f>
        <v>129.31</v>
      </c>
      <c r="E36" s="283">
        <f>'Rates 2'!$E$22+('Rates 2'!$E$23*4)+('Rates 2'!$E$24*($C36-6000)/1000)</f>
        <v>144</v>
      </c>
      <c r="F36" s="17">
        <f t="shared" si="2"/>
        <v>14.689999999999998</v>
      </c>
      <c r="G36" s="61">
        <f t="shared" si="3"/>
        <v>0.11360296960791894</v>
      </c>
      <c r="H36" s="40"/>
    </row>
    <row r="37" spans="2:8" x14ac:dyDescent="0.25">
      <c r="B37" s="11"/>
      <c r="C37" s="6">
        <v>15000</v>
      </c>
      <c r="D37" s="283">
        <f>'Rates 2'!$D$22+('Rates 2'!$D$23*4)+('Rates 2'!$D$24*4)+('Rates 2'!$D$25*($C37-10000)/1000)</f>
        <v>178.66</v>
      </c>
      <c r="E37" s="283">
        <f>'Rates 2'!$E$22+('Rates 2'!$E$23*4)+('Rates 2'!$E$24*4)+('Rates 2'!$E$25*($C37-10000)/1000)</f>
        <v>198.95</v>
      </c>
      <c r="F37" s="17">
        <f t="shared" si="2"/>
        <v>20.289999999999992</v>
      </c>
      <c r="G37" s="61">
        <f t="shared" si="3"/>
        <v>0.11356767043546397</v>
      </c>
      <c r="H37" s="40"/>
    </row>
    <row r="38" spans="2:8" x14ac:dyDescent="0.25">
      <c r="B38" s="11"/>
      <c r="C38" s="6">
        <v>20000</v>
      </c>
      <c r="D38" s="283">
        <f>'Rates 2'!$D$22+('Rates 2'!$D$23*4)+('Rates 2'!$D$24*4)+('Rates 2'!$D$25*($C38-10000)/1000)</f>
        <v>228.01</v>
      </c>
      <c r="E38" s="283">
        <f>'Rates 2'!$E$22+('Rates 2'!$E$23*4)+('Rates 2'!$E$24*4)+('Rates 2'!$E$25*($C38-10000)/1000)</f>
        <v>253.9</v>
      </c>
      <c r="F38" s="17">
        <f t="shared" si="2"/>
        <v>25.890000000000015</v>
      </c>
      <c r="G38" s="61">
        <f t="shared" si="3"/>
        <v>0.1135476514187975</v>
      </c>
      <c r="H38" s="40"/>
    </row>
    <row r="39" spans="2:8" x14ac:dyDescent="0.25">
      <c r="B39" s="11"/>
      <c r="C39" s="6">
        <v>25000</v>
      </c>
      <c r="D39" s="283">
        <f>'Rates 2'!$D$22+('Rates 2'!$D$23*4)+('Rates 2'!$D$24*4)+('Rates 2'!$D$25*($C39-10000)/1000)</f>
        <v>277.36</v>
      </c>
      <c r="E39" s="283">
        <f>'Rates 2'!$E$22+('Rates 2'!$E$23*4)+('Rates 2'!$E$24*4)+('Rates 2'!$E$25*($C39-10000)/1000)</f>
        <v>308.85000000000002</v>
      </c>
      <c r="F39" s="17">
        <f t="shared" si="2"/>
        <v>31.490000000000009</v>
      </c>
      <c r="G39" s="61">
        <f t="shared" si="3"/>
        <v>0.11353475627343527</v>
      </c>
      <c r="H39" s="40"/>
    </row>
    <row r="40" spans="2:8" x14ac:dyDescent="0.25">
      <c r="B40" s="11"/>
      <c r="C40" s="6">
        <v>30000</v>
      </c>
      <c r="D40" s="283">
        <f>'Rates 2'!$D$22+('Rates 2'!$D$23*4)+('Rates 2'!$D$244)+('Rates 2'!$D$25*($C40-10000)/1000)</f>
        <v>280.90999999999997</v>
      </c>
      <c r="E40" s="283">
        <f>'Rates 2'!$E$22+('Rates 2'!$E$23*4)+('Rates 2'!$E$244)+('Rates 2'!$E$25*($C40-10000)/1000)</f>
        <v>312.8</v>
      </c>
      <c r="F40" s="17">
        <f t="shared" si="2"/>
        <v>31.890000000000043</v>
      </c>
      <c r="G40" s="61">
        <f t="shared" si="3"/>
        <v>0.11352390445338381</v>
      </c>
      <c r="H40" s="40"/>
    </row>
    <row r="41" spans="2:8" x14ac:dyDescent="0.25">
      <c r="B41" s="11"/>
      <c r="C41" s="6">
        <v>40000</v>
      </c>
      <c r="D41" s="283">
        <f>'Rates 2'!$D$22+('Rates 2'!$D$23*4)+('Rates 2'!$D$24*4)+('Rates 2'!$D$25*20)+('Rates 2'!$D$26*($C41-30000)/1000)</f>
        <v>408.81</v>
      </c>
      <c r="E41" s="283">
        <f>'Rates 2'!$E$22+('Rates 2'!$E$23*4)+('Rates 2'!$E$24*4)+('Rates 2'!$E$25*20)+('Rates 2'!$E$26*($C41-30000)/1000)</f>
        <v>455.20000000000005</v>
      </c>
      <c r="F41" s="17">
        <f t="shared" si="2"/>
        <v>46.390000000000043</v>
      </c>
      <c r="G41" s="61">
        <f t="shared" si="3"/>
        <v>0.11347569775690429</v>
      </c>
      <c r="H41" s="40"/>
    </row>
    <row r="42" spans="2:8" x14ac:dyDescent="0.25">
      <c r="B42" s="11"/>
      <c r="C42" s="6">
        <v>50000</v>
      </c>
      <c r="D42" s="283">
        <f>'Rates 2'!$D$22+('Rates 2'!$D$23*4)+('Rates 2'!$D$24*4)+('Rates 2'!$D$25*20)+('Rates 2'!$D$26*($C42-30000)/1000)</f>
        <v>490.90999999999997</v>
      </c>
      <c r="E42" s="283">
        <f>'Rates 2'!$E$22+('Rates 2'!$E$23*4)+('Rates 2'!$E$24*4)+('Rates 2'!$E$25*20)+('Rates 2'!$E$26*($C42-30000)/1000)</f>
        <v>546.6</v>
      </c>
      <c r="F42" s="17">
        <f t="shared" si="2"/>
        <v>55.690000000000055</v>
      </c>
      <c r="G42" s="61">
        <f t="shared" si="3"/>
        <v>0.11344238251410657</v>
      </c>
      <c r="H42" s="40"/>
    </row>
    <row r="43" spans="2:8" x14ac:dyDescent="0.25">
      <c r="B43" s="11"/>
      <c r="C43" s="6">
        <v>75000</v>
      </c>
      <c r="D43" s="283">
        <f>'Rates 2'!$D$22+('Rates 2'!$D$23*4)+('Rates 2'!$D$24*4)+('Rates 2'!$D$25*20)+('Rates 2'!$D$26*20)+('Rates 2'!$D$27*($C43-50000)/1000)</f>
        <v>654.41</v>
      </c>
      <c r="E43" s="283">
        <f>'Rates 2'!$E$22+('Rates 2'!$E$23*4)+('Rates 2'!$E$24*4)+('Rates 2'!$E$25*20)+('Rates 2'!$E$26*20)+('Rates 2'!$E$27*($C43-50000)/1000)</f>
        <v>728.6</v>
      </c>
      <c r="F43" s="17">
        <f t="shared" si="2"/>
        <v>74.190000000000055</v>
      </c>
      <c r="G43" s="61">
        <f t="shared" si="3"/>
        <v>0.11336929447899644</v>
      </c>
      <c r="H43" s="40"/>
    </row>
    <row r="44" spans="2:8" x14ac:dyDescent="0.25">
      <c r="B44" s="11"/>
      <c r="C44" s="6">
        <v>100000</v>
      </c>
      <c r="D44" s="283">
        <f>'Rates 2'!$D$22+('Rates 2'!$D$23*4)+('Rates 2'!$D$24*4)+('Rates 2'!$D$25*20)+('Rates 2'!$D$26*20)+('Rates 2'!$D$27*($C44-50000)/1000)</f>
        <v>817.91</v>
      </c>
      <c r="E44" s="283">
        <f>'Rates 2'!$E$22+('Rates 2'!$E$23*4)+('Rates 2'!$E$24*4)+('Rates 2'!$E$25*20)+('Rates 2'!$E$26*20)+('Rates 2'!$E$27*($C44-50000)/1000)</f>
        <v>910.6</v>
      </c>
      <c r="F44" s="17">
        <f t="shared" si="2"/>
        <v>92.690000000000055</v>
      </c>
      <c r="G44" s="61">
        <f t="shared" si="3"/>
        <v>0.11332542700297106</v>
      </c>
      <c r="H44" s="40"/>
    </row>
    <row r="45" spans="2:8" x14ac:dyDescent="0.25">
      <c r="B45" s="11"/>
      <c r="C45" s="6">
        <v>200000</v>
      </c>
      <c r="D45" s="283">
        <f>'Rates 2'!$D$22+('Rates 2'!$D$23*4)+('Rates 2'!$D$24*4)+('Rates 2'!$D$25*20)+('Rates 2'!$D$26*20)+('Rates 2'!$D$27*($C45-50000)/1000)</f>
        <v>1471.9099999999999</v>
      </c>
      <c r="E45" s="283">
        <f>'Rates 2'!$E$22+('Rates 2'!$E$23*4)+('Rates 2'!$E$24*4)+('Rates 2'!$E$25*20)+('Rates 2'!$E$26*20)+('Rates 2'!$E$27*($C45-50000)/1000)</f>
        <v>1638.6</v>
      </c>
      <c r="F45" s="17">
        <f t="shared" si="2"/>
        <v>166.69000000000005</v>
      </c>
      <c r="G45" s="61">
        <f t="shared" si="3"/>
        <v>0.11324741322499342</v>
      </c>
      <c r="H45" s="40"/>
    </row>
    <row r="46" spans="2:8" x14ac:dyDescent="0.25">
      <c r="B46" s="11"/>
      <c r="C46" s="6">
        <v>500000</v>
      </c>
      <c r="D46" s="283">
        <f>'Rates 2'!$D$22+('Rates 2'!$D$23*4)+('Rates 2'!$D$24*4)+('Rates 2'!$D$25*20)+('Rates 2'!$D$26*20)+('Rates 2'!$D$27*250)+('Rates 2'!$D$28*($C46-300000)/1000)</f>
        <v>3251.91</v>
      </c>
      <c r="E46" s="283">
        <f>'Rates 2'!$E$22+('Rates 2'!$E$23*4)+('Rates 2'!E$24*4)+('Rates 2'!$E$25*20)+('Rates 2'!$E$26*20)+('Rates 2'!$E$27*250)+('Rates 2'!$E$28*($C46-300000)/1000)</f>
        <v>3620.6</v>
      </c>
      <c r="F46" s="17">
        <f t="shared" si="2"/>
        <v>368.69000000000005</v>
      </c>
      <c r="G46" s="61">
        <f t="shared" si="3"/>
        <v>0.11337644645762031</v>
      </c>
      <c r="H46" s="40"/>
    </row>
    <row r="47" spans="2:8" ht="6" customHeight="1" x14ac:dyDescent="0.25">
      <c r="B47" s="13"/>
      <c r="C47" s="4"/>
      <c r="D47" s="39"/>
      <c r="E47" s="38"/>
      <c r="F47" s="38"/>
      <c r="G47" s="5"/>
      <c r="H47" s="14"/>
    </row>
    <row r="49" spans="3:3" x14ac:dyDescent="0.25">
      <c r="C49" s="46" t="s">
        <v>38</v>
      </c>
    </row>
  </sheetData>
  <mergeCells count="5">
    <mergeCell ref="B2:H2"/>
    <mergeCell ref="B3:H3"/>
    <mergeCell ref="B4:H4"/>
    <mergeCell ref="B6:H6"/>
    <mergeCell ref="B27:H27"/>
  </mergeCells>
  <printOptions horizontalCentered="1"/>
  <pageMargins left="0.7" right="0.7" top="1.1000000000000001" bottom="0.75" header="0.3" footer="0.3"/>
  <pageSetup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B1C9-718A-4222-BD13-D8121434EF9D}">
  <dimension ref="B2:L52"/>
  <sheetViews>
    <sheetView workbookViewId="0">
      <selection activeCell="G9" sqref="G9"/>
    </sheetView>
  </sheetViews>
  <sheetFormatPr defaultRowHeight="15" x14ac:dyDescent="0.25"/>
  <cols>
    <col min="1" max="1" width="1.5546875" style="128" customWidth="1"/>
    <col min="2" max="2" width="8.88671875" style="374"/>
    <col min="3" max="3" width="6.5546875" style="128" customWidth="1"/>
    <col min="4" max="4" width="20.5546875" style="128" customWidth="1"/>
    <col min="5" max="5" width="12.5546875" style="373" customWidth="1"/>
    <col min="6" max="6" width="19.21875" style="153" bestFit="1" customWidth="1"/>
    <col min="7" max="7" width="14.5546875" style="128" customWidth="1"/>
    <col min="8" max="9" width="1.5546875" style="128" customWidth="1"/>
    <col min="10" max="11" width="11.109375" style="128" bestFit="1" customWidth="1"/>
    <col min="12" max="16384" width="8.88671875" style="128"/>
  </cols>
  <sheetData>
    <row r="2" spans="2:9" x14ac:dyDescent="0.25">
      <c r="B2" s="354"/>
      <c r="C2" s="355"/>
      <c r="D2" s="355"/>
      <c r="E2" s="356"/>
      <c r="F2" s="357"/>
      <c r="G2" s="355"/>
      <c r="H2" s="358"/>
    </row>
    <row r="3" spans="2:9" ht="18.75" x14ac:dyDescent="0.3">
      <c r="B3" s="493" t="s">
        <v>240</v>
      </c>
      <c r="C3" s="494"/>
      <c r="D3" s="494"/>
      <c r="E3" s="494"/>
      <c r="F3" s="494"/>
      <c r="G3" s="494"/>
      <c r="H3" s="360"/>
      <c r="I3" s="359"/>
    </row>
    <row r="4" spans="2:9" ht="18.75" x14ac:dyDescent="0.3">
      <c r="B4" s="495" t="s">
        <v>206</v>
      </c>
      <c r="C4" s="496"/>
      <c r="D4" s="496"/>
      <c r="E4" s="496"/>
      <c r="F4" s="496"/>
      <c r="G4" s="496"/>
      <c r="H4" s="362"/>
      <c r="I4" s="361"/>
    </row>
    <row r="5" spans="2:9" ht="15.4" customHeight="1" x14ac:dyDescent="0.3">
      <c r="B5" s="493" t="s">
        <v>149</v>
      </c>
      <c r="C5" s="494"/>
      <c r="D5" s="494"/>
      <c r="E5" s="494"/>
      <c r="F5" s="494"/>
      <c r="G5" s="494"/>
      <c r="H5" s="360"/>
      <c r="I5" s="359"/>
    </row>
    <row r="6" spans="2:9" ht="14.65" customHeight="1" x14ac:dyDescent="0.25">
      <c r="B6" s="497" t="s">
        <v>243</v>
      </c>
      <c r="C6" s="498"/>
      <c r="D6" s="498"/>
      <c r="E6" s="498"/>
      <c r="F6" s="498"/>
      <c r="G6" s="498"/>
      <c r="H6" s="365"/>
      <c r="I6" s="364"/>
    </row>
    <row r="7" spans="2:9" x14ac:dyDescent="0.25">
      <c r="B7" s="363"/>
      <c r="C7" s="154"/>
      <c r="D7" s="154"/>
      <c r="E7" s="366"/>
      <c r="F7" s="367"/>
      <c r="H7" s="368"/>
    </row>
    <row r="8" spans="2:9" ht="45" x14ac:dyDescent="0.25">
      <c r="B8" s="363" t="s">
        <v>207</v>
      </c>
      <c r="C8" s="369" t="s">
        <v>219</v>
      </c>
      <c r="D8" s="154" t="s">
        <v>208</v>
      </c>
      <c r="E8" s="366" t="s">
        <v>209</v>
      </c>
      <c r="F8" s="364" t="s">
        <v>210</v>
      </c>
      <c r="G8" s="367" t="s">
        <v>211</v>
      </c>
      <c r="H8" s="370"/>
      <c r="I8" s="367"/>
    </row>
    <row r="9" spans="2:9" x14ac:dyDescent="0.25">
      <c r="B9" s="371" t="s">
        <v>212</v>
      </c>
      <c r="C9" s="372" t="s">
        <v>220</v>
      </c>
      <c r="D9" s="128" t="s">
        <v>221</v>
      </c>
      <c r="E9" s="373">
        <v>182725.89</v>
      </c>
      <c r="F9" s="374" t="s">
        <v>214</v>
      </c>
      <c r="G9" s="375">
        <f>E9*(1+'SAO 1'!$F$39)</f>
        <v>182725.89</v>
      </c>
      <c r="H9" s="376"/>
      <c r="I9" s="375"/>
    </row>
    <row r="10" spans="2:9" x14ac:dyDescent="0.25">
      <c r="B10" s="371" t="s">
        <v>212</v>
      </c>
      <c r="C10" s="372" t="s">
        <v>222</v>
      </c>
      <c r="D10" s="128" t="s">
        <v>223</v>
      </c>
      <c r="E10" s="373">
        <v>515494.74</v>
      </c>
      <c r="F10" s="374" t="s">
        <v>214</v>
      </c>
      <c r="G10" s="375">
        <f>E10*(1+'SAO 1'!$F$39)</f>
        <v>515494.74</v>
      </c>
      <c r="H10" s="376"/>
      <c r="I10" s="375"/>
    </row>
    <row r="11" spans="2:9" x14ac:dyDescent="0.25">
      <c r="B11" s="371" t="s">
        <v>212</v>
      </c>
      <c r="C11" s="372" t="s">
        <v>224</v>
      </c>
      <c r="D11" s="128" t="s">
        <v>225</v>
      </c>
      <c r="E11" s="373">
        <v>846.89</v>
      </c>
      <c r="F11" s="374" t="s">
        <v>214</v>
      </c>
      <c r="G11" s="375">
        <f>E11*(1+'SAO 1'!$F$39)</f>
        <v>846.89</v>
      </c>
      <c r="H11" s="376"/>
      <c r="I11" s="375"/>
    </row>
    <row r="12" spans="2:9" x14ac:dyDescent="0.25">
      <c r="B12" s="371" t="s">
        <v>212</v>
      </c>
      <c r="C12" s="372" t="s">
        <v>226</v>
      </c>
      <c r="D12" s="128" t="s">
        <v>227</v>
      </c>
      <c r="E12" s="373">
        <v>567122.84</v>
      </c>
      <c r="F12" s="374" t="s">
        <v>215</v>
      </c>
      <c r="G12" s="375">
        <f>E12*(1+'SAO 1'!$F$39)</f>
        <v>567122.84</v>
      </c>
      <c r="H12" s="376"/>
      <c r="I12" s="375"/>
    </row>
    <row r="13" spans="2:9" x14ac:dyDescent="0.25">
      <c r="B13" s="371" t="s">
        <v>212</v>
      </c>
      <c r="C13" s="372" t="s">
        <v>228</v>
      </c>
      <c r="D13" s="128" t="s">
        <v>229</v>
      </c>
      <c r="E13" s="373">
        <v>102405.97</v>
      </c>
      <c r="F13" s="374" t="s">
        <v>215</v>
      </c>
      <c r="G13" s="375">
        <f>E13*(1+'SAO 1'!$F$39)</f>
        <v>102405.97</v>
      </c>
      <c r="H13" s="376"/>
      <c r="I13" s="375"/>
    </row>
    <row r="14" spans="2:9" x14ac:dyDescent="0.25">
      <c r="B14" s="371" t="s">
        <v>212</v>
      </c>
      <c r="C14" s="372" t="s">
        <v>230</v>
      </c>
      <c r="D14" s="128" t="s">
        <v>231</v>
      </c>
      <c r="E14" s="373">
        <v>454560.49</v>
      </c>
      <c r="F14" s="374" t="s">
        <v>214</v>
      </c>
      <c r="G14" s="375">
        <f>E14*(1+'SAO 1'!$F$39)</f>
        <v>454560.49</v>
      </c>
      <c r="H14" s="376"/>
      <c r="I14" s="375"/>
    </row>
    <row r="15" spans="2:9" x14ac:dyDescent="0.25">
      <c r="B15" s="371" t="s">
        <v>212</v>
      </c>
      <c r="C15" s="372" t="s">
        <v>232</v>
      </c>
      <c r="D15" s="128" t="s">
        <v>233</v>
      </c>
      <c r="E15" s="373">
        <v>210580.52</v>
      </c>
      <c r="F15" s="374" t="s">
        <v>215</v>
      </c>
      <c r="G15" s="375">
        <f>E15*(1+'SAO 1'!$F$39)</f>
        <v>210580.52</v>
      </c>
      <c r="H15" s="376"/>
      <c r="I15" s="375"/>
    </row>
    <row r="16" spans="2:9" x14ac:dyDescent="0.25">
      <c r="B16" s="371" t="s">
        <v>212</v>
      </c>
      <c r="C16" s="372" t="s">
        <v>234</v>
      </c>
      <c r="D16" s="128" t="s">
        <v>235</v>
      </c>
      <c r="E16" s="373">
        <v>386608.11</v>
      </c>
      <c r="F16" s="374" t="s">
        <v>214</v>
      </c>
      <c r="G16" s="375">
        <f>E16*(1+'SAO 1'!$F$39)</f>
        <v>386608.11</v>
      </c>
      <c r="H16" s="376"/>
      <c r="I16" s="375"/>
    </row>
    <row r="17" spans="2:12" x14ac:dyDescent="0.25">
      <c r="B17" s="371" t="s">
        <v>212</v>
      </c>
      <c r="C17" s="372" t="s">
        <v>236</v>
      </c>
      <c r="D17" s="128" t="s">
        <v>237</v>
      </c>
      <c r="E17" s="373">
        <v>344932.09</v>
      </c>
      <c r="F17" s="374" t="s">
        <v>215</v>
      </c>
      <c r="G17" s="375">
        <f>E17*(1+'SAO 1'!$F$39)</f>
        <v>344932.09</v>
      </c>
      <c r="H17" s="376"/>
      <c r="I17" s="375"/>
    </row>
    <row r="18" spans="2:12" x14ac:dyDescent="0.25">
      <c r="B18" s="371" t="s">
        <v>212</v>
      </c>
      <c r="C18" s="372" t="s">
        <v>238</v>
      </c>
      <c r="D18" s="128" t="s">
        <v>239</v>
      </c>
      <c r="E18" s="373">
        <v>449848.01</v>
      </c>
      <c r="F18" s="374" t="s">
        <v>215</v>
      </c>
      <c r="G18" s="375">
        <f>E18*(1+'SAO 1'!$F$39)</f>
        <v>449848.01</v>
      </c>
      <c r="H18" s="376"/>
      <c r="I18" s="375"/>
    </row>
    <row r="19" spans="2:12" x14ac:dyDescent="0.25">
      <c r="B19" s="371" t="s">
        <v>213</v>
      </c>
      <c r="C19" s="372" t="s">
        <v>226</v>
      </c>
      <c r="D19" s="128" t="s">
        <v>227</v>
      </c>
      <c r="E19" s="373">
        <v>103.59</v>
      </c>
      <c r="F19" s="374" t="s">
        <v>215</v>
      </c>
      <c r="G19" s="375">
        <f>E19*(1+'SAO 1'!$F$39)</f>
        <v>103.59</v>
      </c>
      <c r="H19" s="376"/>
      <c r="I19" s="375"/>
    </row>
    <row r="20" spans="2:12" x14ac:dyDescent="0.25">
      <c r="B20" s="371" t="s">
        <v>213</v>
      </c>
      <c r="C20" s="372" t="s">
        <v>228</v>
      </c>
      <c r="D20" s="128" t="s">
        <v>229</v>
      </c>
      <c r="E20" s="377">
        <v>351.72</v>
      </c>
      <c r="F20" s="374" t="s">
        <v>215</v>
      </c>
      <c r="G20" s="378">
        <f>E20*(1+'SAO 1'!$F$39)</f>
        <v>351.72</v>
      </c>
      <c r="H20" s="376"/>
      <c r="I20" s="375"/>
      <c r="J20" s="375"/>
      <c r="K20" s="389"/>
    </row>
    <row r="21" spans="2:12" x14ac:dyDescent="0.25">
      <c r="B21" s="371"/>
      <c r="C21" s="372"/>
      <c r="E21" s="373">
        <f>SUM(E9:E20)</f>
        <v>3215580.86</v>
      </c>
      <c r="F21" s="374"/>
      <c r="G21" s="375">
        <f>SUM(G9:G20)</f>
        <v>3215580.86</v>
      </c>
      <c r="H21" s="376"/>
      <c r="I21" s="375"/>
      <c r="J21" s="375"/>
      <c r="K21" s="389"/>
    </row>
    <row r="22" spans="2:12" x14ac:dyDescent="0.25">
      <c r="B22" s="371"/>
      <c r="C22" s="372"/>
      <c r="H22" s="368"/>
      <c r="L22" s="154"/>
    </row>
    <row r="23" spans="2:12" x14ac:dyDescent="0.25">
      <c r="B23" s="371"/>
      <c r="C23" s="372"/>
      <c r="H23" s="368"/>
      <c r="L23" s="154"/>
    </row>
    <row r="24" spans="2:12" x14ac:dyDescent="0.25">
      <c r="B24" s="371"/>
      <c r="C24" s="372"/>
      <c r="F24" s="367" t="s">
        <v>216</v>
      </c>
      <c r="G24" s="379">
        <f>G21-E21</f>
        <v>0</v>
      </c>
      <c r="H24" s="380"/>
      <c r="I24" s="379"/>
    </row>
    <row r="25" spans="2:12" x14ac:dyDescent="0.25">
      <c r="B25" s="371"/>
      <c r="C25" s="372"/>
      <c r="F25" s="367" t="s">
        <v>217</v>
      </c>
      <c r="G25" s="381">
        <v>0</v>
      </c>
      <c r="H25" s="382"/>
      <c r="I25" s="381"/>
    </row>
    <row r="26" spans="2:12" x14ac:dyDescent="0.25">
      <c r="B26" s="371"/>
      <c r="C26" s="372"/>
      <c r="F26" s="367" t="s">
        <v>34</v>
      </c>
      <c r="G26" s="379">
        <f>G24-G25</f>
        <v>0</v>
      </c>
      <c r="H26" s="380"/>
      <c r="I26" s="379"/>
    </row>
    <row r="27" spans="2:12" x14ac:dyDescent="0.25">
      <c r="B27" s="383"/>
      <c r="C27" s="384"/>
      <c r="D27" s="385"/>
      <c r="E27" s="377"/>
      <c r="F27" s="386" t="s">
        <v>218</v>
      </c>
      <c r="G27" s="387">
        <f>IF(G25=0,0,G26/G25)</f>
        <v>0</v>
      </c>
      <c r="H27" s="388"/>
    </row>
    <row r="28" spans="2:12" x14ac:dyDescent="0.25">
      <c r="C28" s="372"/>
    </row>
    <row r="29" spans="2:12" x14ac:dyDescent="0.25">
      <c r="C29" s="372"/>
    </row>
    <row r="30" spans="2:12" x14ac:dyDescent="0.25">
      <c r="C30" s="372"/>
    </row>
    <row r="31" spans="2:12" x14ac:dyDescent="0.25">
      <c r="C31" s="372"/>
    </row>
    <row r="32" spans="2:12" x14ac:dyDescent="0.25">
      <c r="C32" s="372"/>
    </row>
    <row r="33" spans="3:3" x14ac:dyDescent="0.25">
      <c r="C33" s="372"/>
    </row>
    <row r="34" spans="3:3" x14ac:dyDescent="0.25">
      <c r="C34" s="372"/>
    </row>
    <row r="35" spans="3:3" x14ac:dyDescent="0.25">
      <c r="C35" s="372"/>
    </row>
    <row r="36" spans="3:3" x14ac:dyDescent="0.25">
      <c r="C36" s="372"/>
    </row>
    <row r="37" spans="3:3" x14ac:dyDescent="0.25">
      <c r="C37" s="372"/>
    </row>
    <row r="38" spans="3:3" x14ac:dyDescent="0.25">
      <c r="C38" s="372"/>
    </row>
    <row r="39" spans="3:3" x14ac:dyDescent="0.25">
      <c r="C39" s="372"/>
    </row>
    <row r="40" spans="3:3" x14ac:dyDescent="0.25">
      <c r="C40" s="372"/>
    </row>
    <row r="41" spans="3:3" x14ac:dyDescent="0.25">
      <c r="C41" s="372"/>
    </row>
    <row r="42" spans="3:3" x14ac:dyDescent="0.25">
      <c r="C42" s="372"/>
    </row>
    <row r="43" spans="3:3" x14ac:dyDescent="0.25">
      <c r="C43" s="372"/>
    </row>
    <row r="44" spans="3:3" x14ac:dyDescent="0.25">
      <c r="C44" s="372"/>
    </row>
    <row r="45" spans="3:3" x14ac:dyDescent="0.25">
      <c r="C45" s="372"/>
    </row>
    <row r="46" spans="3:3" x14ac:dyDescent="0.25">
      <c r="C46" s="372"/>
    </row>
    <row r="47" spans="3:3" x14ac:dyDescent="0.25">
      <c r="C47" s="372"/>
    </row>
    <row r="48" spans="3:3" x14ac:dyDescent="0.25">
      <c r="C48" s="372"/>
    </row>
    <row r="49" spans="3:3" x14ac:dyDescent="0.25">
      <c r="C49" s="372"/>
    </row>
    <row r="50" spans="3:3" x14ac:dyDescent="0.25">
      <c r="C50" s="372"/>
    </row>
    <row r="51" spans="3:3" x14ac:dyDescent="0.25">
      <c r="C51" s="372"/>
    </row>
    <row r="52" spans="3:3" x14ac:dyDescent="0.25">
      <c r="C52" s="372"/>
    </row>
  </sheetData>
  <mergeCells count="4">
    <mergeCell ref="B3:G3"/>
    <mergeCell ref="B4:G4"/>
    <mergeCell ref="B5:G5"/>
    <mergeCell ref="B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DF51-DDF3-4E74-A2B4-B382D8578C3C}">
  <dimension ref="B2:L52"/>
  <sheetViews>
    <sheetView topLeftCell="A5" workbookViewId="0">
      <selection activeCell="G24" sqref="G24"/>
    </sheetView>
  </sheetViews>
  <sheetFormatPr defaultRowHeight="15" x14ac:dyDescent="0.25"/>
  <cols>
    <col min="1" max="1" width="1.5546875" style="128" customWidth="1"/>
    <col min="2" max="2" width="8.88671875" style="374"/>
    <col min="3" max="3" width="6.5546875" style="128" customWidth="1"/>
    <col min="4" max="4" width="20.5546875" style="128" customWidth="1"/>
    <col min="5" max="5" width="12.5546875" style="373" customWidth="1"/>
    <col min="6" max="6" width="19.21875" style="153" bestFit="1" customWidth="1"/>
    <col min="7" max="7" width="14.5546875" style="128" customWidth="1"/>
    <col min="8" max="9" width="1.5546875" style="128" customWidth="1"/>
    <col min="10" max="11" width="11.109375" style="128" bestFit="1" customWidth="1"/>
    <col min="12" max="16384" width="8.88671875" style="128"/>
  </cols>
  <sheetData>
    <row r="2" spans="2:9" x14ac:dyDescent="0.25">
      <c r="B2" s="354"/>
      <c r="C2" s="355"/>
      <c r="D2" s="355"/>
      <c r="E2" s="356"/>
      <c r="F2" s="357"/>
      <c r="G2" s="355"/>
      <c r="H2" s="358"/>
    </row>
    <row r="3" spans="2:9" ht="18.75" x14ac:dyDescent="0.3">
      <c r="B3" s="493" t="s">
        <v>241</v>
      </c>
      <c r="C3" s="494"/>
      <c r="D3" s="494"/>
      <c r="E3" s="494"/>
      <c r="F3" s="494"/>
      <c r="G3" s="494"/>
      <c r="H3" s="360"/>
      <c r="I3" s="359"/>
    </row>
    <row r="4" spans="2:9" ht="18.75" x14ac:dyDescent="0.3">
      <c r="B4" s="495" t="s">
        <v>206</v>
      </c>
      <c r="C4" s="496"/>
      <c r="D4" s="496"/>
      <c r="E4" s="496"/>
      <c r="F4" s="496"/>
      <c r="G4" s="496"/>
      <c r="H4" s="362"/>
      <c r="I4" s="361"/>
    </row>
    <row r="5" spans="2:9" ht="15.4" customHeight="1" x14ac:dyDescent="0.3">
      <c r="B5" s="493" t="s">
        <v>149</v>
      </c>
      <c r="C5" s="494"/>
      <c r="D5" s="494"/>
      <c r="E5" s="494"/>
      <c r="F5" s="494"/>
      <c r="G5" s="494"/>
      <c r="H5" s="360"/>
      <c r="I5" s="359"/>
    </row>
    <row r="6" spans="2:9" ht="14.65" customHeight="1" x14ac:dyDescent="0.25">
      <c r="B6" s="497" t="s">
        <v>243</v>
      </c>
      <c r="C6" s="498"/>
      <c r="D6" s="498"/>
      <c r="E6" s="498"/>
      <c r="F6" s="498"/>
      <c r="G6" s="498"/>
      <c r="H6" s="365"/>
      <c r="I6" s="364"/>
    </row>
    <row r="7" spans="2:9" x14ac:dyDescent="0.25">
      <c r="B7" s="363"/>
      <c r="C7" s="154"/>
      <c r="D7" s="154"/>
      <c r="E7" s="366"/>
      <c r="F7" s="367"/>
      <c r="H7" s="368"/>
    </row>
    <row r="8" spans="2:9" ht="45" x14ac:dyDescent="0.25">
      <c r="B8" s="363" t="s">
        <v>207</v>
      </c>
      <c r="C8" s="369" t="s">
        <v>219</v>
      </c>
      <c r="D8" s="154" t="s">
        <v>208</v>
      </c>
      <c r="E8" s="366" t="s">
        <v>209</v>
      </c>
      <c r="F8" s="364" t="s">
        <v>210</v>
      </c>
      <c r="G8" s="367" t="s">
        <v>211</v>
      </c>
      <c r="H8" s="370"/>
      <c r="I8" s="367"/>
    </row>
    <row r="9" spans="2:9" x14ac:dyDescent="0.25">
      <c r="B9" s="371" t="s">
        <v>212</v>
      </c>
      <c r="C9" s="372" t="s">
        <v>220</v>
      </c>
      <c r="D9" s="128" t="s">
        <v>221</v>
      </c>
      <c r="E9" s="373">
        <f>'Billing Analysis 1'!E9</f>
        <v>182725.89</v>
      </c>
      <c r="F9" s="374" t="s">
        <v>214</v>
      </c>
      <c r="G9" s="375">
        <f>E9*(1+'SAO 2'!$F$39)</f>
        <v>203511.94765960402</v>
      </c>
      <c r="H9" s="376"/>
      <c r="I9" s="375"/>
    </row>
    <row r="10" spans="2:9" x14ac:dyDescent="0.25">
      <c r="B10" s="371" t="s">
        <v>212</v>
      </c>
      <c r="C10" s="372" t="s">
        <v>222</v>
      </c>
      <c r="D10" s="128" t="s">
        <v>223</v>
      </c>
      <c r="E10" s="373">
        <f>'Billing Analysis 1'!E10</f>
        <v>515494.74</v>
      </c>
      <c r="F10" s="374" t="s">
        <v>214</v>
      </c>
      <c r="G10" s="375">
        <f>E10*(1+'SAO 2'!$F$39)</f>
        <v>574135.053033159</v>
      </c>
      <c r="H10" s="376"/>
      <c r="I10" s="375"/>
    </row>
    <row r="11" spans="2:9" x14ac:dyDescent="0.25">
      <c r="B11" s="371" t="s">
        <v>212</v>
      </c>
      <c r="C11" s="372" t="s">
        <v>224</v>
      </c>
      <c r="D11" s="128" t="s">
        <v>225</v>
      </c>
      <c r="E11" s="373">
        <f>'Billing Analysis 1'!E11</f>
        <v>846.89</v>
      </c>
      <c r="F11" s="374" t="s">
        <v>214</v>
      </c>
      <c r="G11" s="375">
        <f>E11*(1+'SAO 2'!$F$39)</f>
        <v>943.22831511966933</v>
      </c>
      <c r="H11" s="376"/>
      <c r="I11" s="375"/>
    </row>
    <row r="12" spans="2:9" x14ac:dyDescent="0.25">
      <c r="B12" s="371" t="s">
        <v>212</v>
      </c>
      <c r="C12" s="372" t="s">
        <v>226</v>
      </c>
      <c r="D12" s="128" t="s">
        <v>227</v>
      </c>
      <c r="E12" s="373">
        <f>'Billing Analysis 1'!E12</f>
        <v>567122.84</v>
      </c>
      <c r="F12" s="374" t="s">
        <v>215</v>
      </c>
      <c r="G12" s="375">
        <f>E12*(1+'SAO 2'!$F$39)</f>
        <v>631636.12846896495</v>
      </c>
      <c r="H12" s="376"/>
      <c r="I12" s="375"/>
    </row>
    <row r="13" spans="2:9" x14ac:dyDescent="0.25">
      <c r="B13" s="371" t="s">
        <v>212</v>
      </c>
      <c r="C13" s="372" t="s">
        <v>228</v>
      </c>
      <c r="D13" s="128" t="s">
        <v>229</v>
      </c>
      <c r="E13" s="373">
        <f>'Billing Analysis 1'!E13</f>
        <v>102405.97</v>
      </c>
      <c r="F13" s="374" t="s">
        <v>215</v>
      </c>
      <c r="G13" s="375">
        <f>E13*(1+'SAO 2'!$F$39)</f>
        <v>114055.20261343906</v>
      </c>
      <c r="H13" s="376"/>
      <c r="I13" s="375"/>
    </row>
    <row r="14" spans="2:9" x14ac:dyDescent="0.25">
      <c r="B14" s="371" t="s">
        <v>212</v>
      </c>
      <c r="C14" s="372" t="s">
        <v>230</v>
      </c>
      <c r="D14" s="128" t="s">
        <v>231</v>
      </c>
      <c r="E14" s="373">
        <f>'Billing Analysis 1'!E14</f>
        <v>454560.49</v>
      </c>
      <c r="F14" s="374" t="s">
        <v>214</v>
      </c>
      <c r="G14" s="375">
        <f>E14*(1+'SAO 2'!$F$39)</f>
        <v>506269.20273314277</v>
      </c>
      <c r="H14" s="376"/>
      <c r="I14" s="375"/>
    </row>
    <row r="15" spans="2:9" x14ac:dyDescent="0.25">
      <c r="B15" s="371" t="s">
        <v>212</v>
      </c>
      <c r="C15" s="372" t="s">
        <v>232</v>
      </c>
      <c r="D15" s="128" t="s">
        <v>233</v>
      </c>
      <c r="E15" s="373">
        <f>'Billing Analysis 1'!E15</f>
        <v>210580.52</v>
      </c>
      <c r="F15" s="374" t="s">
        <v>215</v>
      </c>
      <c r="G15" s="375">
        <f>E15*(1+'SAO 2'!$F$39)</f>
        <v>234535.19238227376</v>
      </c>
      <c r="H15" s="376"/>
      <c r="I15" s="375"/>
    </row>
    <row r="16" spans="2:9" x14ac:dyDescent="0.25">
      <c r="B16" s="371" t="s">
        <v>212</v>
      </c>
      <c r="C16" s="372" t="s">
        <v>234</v>
      </c>
      <c r="D16" s="128" t="s">
        <v>235</v>
      </c>
      <c r="E16" s="373">
        <f>'Billing Analysis 1'!E16</f>
        <v>386608.11</v>
      </c>
      <c r="F16" s="374" t="s">
        <v>214</v>
      </c>
      <c r="G16" s="375">
        <f>E16*(1+'SAO 2'!$F$39)</f>
        <v>430586.87221114873</v>
      </c>
      <c r="H16" s="376"/>
      <c r="I16" s="375"/>
    </row>
    <row r="17" spans="2:12" x14ac:dyDescent="0.25">
      <c r="B17" s="371" t="s">
        <v>212</v>
      </c>
      <c r="C17" s="372" t="s">
        <v>236</v>
      </c>
      <c r="D17" s="128" t="s">
        <v>237</v>
      </c>
      <c r="E17" s="373">
        <f>'Billing Analysis 1'!E17</f>
        <v>344932.09</v>
      </c>
      <c r="F17" s="374" t="s">
        <v>215</v>
      </c>
      <c r="G17" s="375">
        <f>E17*(1+'SAO 2'!$F$39)</f>
        <v>384169.97966844117</v>
      </c>
      <c r="H17" s="376"/>
      <c r="I17" s="375"/>
    </row>
    <row r="18" spans="2:12" x14ac:dyDescent="0.25">
      <c r="B18" s="371" t="s">
        <v>212</v>
      </c>
      <c r="C18" s="372" t="s">
        <v>238</v>
      </c>
      <c r="D18" s="128" t="s">
        <v>239</v>
      </c>
      <c r="E18" s="373">
        <f>'Billing Analysis 1'!E18</f>
        <v>449848.01</v>
      </c>
      <c r="F18" s="374" t="s">
        <v>215</v>
      </c>
      <c r="G18" s="375">
        <f>E18*(1+'SAO 2'!$F$39)</f>
        <v>501020.65266119112</v>
      </c>
      <c r="H18" s="376"/>
      <c r="I18" s="375"/>
    </row>
    <row r="19" spans="2:12" x14ac:dyDescent="0.25">
      <c r="B19" s="371" t="s">
        <v>213</v>
      </c>
      <c r="C19" s="372" t="s">
        <v>226</v>
      </c>
      <c r="D19" s="128" t="s">
        <v>227</v>
      </c>
      <c r="E19" s="373">
        <f>'Billing Analysis 1'!E19</f>
        <v>103.59</v>
      </c>
      <c r="F19" s="374" t="s">
        <v>215</v>
      </c>
      <c r="G19" s="375">
        <f>E19*(1+'SAO 2'!$F$39)</f>
        <v>115.37392242587177</v>
      </c>
      <c r="H19" s="376"/>
      <c r="I19" s="375"/>
    </row>
    <row r="20" spans="2:12" x14ac:dyDescent="0.25">
      <c r="B20" s="371" t="s">
        <v>213</v>
      </c>
      <c r="C20" s="372" t="s">
        <v>228</v>
      </c>
      <c r="D20" s="128" t="s">
        <v>229</v>
      </c>
      <c r="E20" s="377">
        <f>'Billing Analysis 1'!E20</f>
        <v>351.72</v>
      </c>
      <c r="F20" s="374" t="s">
        <v>215</v>
      </c>
      <c r="G20" s="378">
        <f>E20*(1+'SAO 2'!$F$39)</f>
        <v>391.73005112103118</v>
      </c>
      <c r="H20" s="376"/>
      <c r="I20" s="375"/>
      <c r="J20" s="375"/>
      <c r="K20" s="389"/>
    </row>
    <row r="21" spans="2:12" x14ac:dyDescent="0.25">
      <c r="B21" s="371"/>
      <c r="C21" s="372"/>
      <c r="E21" s="373">
        <f>SUBTOTAL(9,E9:E20)</f>
        <v>3215580.86</v>
      </c>
      <c r="F21" s="374"/>
      <c r="G21" s="375">
        <f>SUBTOTAL(9,G9:G20)</f>
        <v>3581370.5637200316</v>
      </c>
      <c r="H21" s="376"/>
      <c r="I21" s="375"/>
      <c r="J21" s="375"/>
      <c r="K21" s="389"/>
    </row>
    <row r="22" spans="2:12" x14ac:dyDescent="0.25">
      <c r="B22" s="371"/>
      <c r="C22" s="372"/>
      <c r="H22" s="368"/>
      <c r="L22" s="154"/>
    </row>
    <row r="23" spans="2:12" x14ac:dyDescent="0.25">
      <c r="B23" s="371"/>
      <c r="C23" s="372"/>
      <c r="H23" s="368"/>
      <c r="L23" s="154"/>
    </row>
    <row r="24" spans="2:12" x14ac:dyDescent="0.25">
      <c r="B24" s="371"/>
      <c r="C24" s="372"/>
      <c r="F24" s="367" t="s">
        <v>216</v>
      </c>
      <c r="G24" s="379">
        <f>G21-E21</f>
        <v>365789.70372003177</v>
      </c>
      <c r="H24" s="380"/>
      <c r="I24" s="379"/>
    </row>
    <row r="25" spans="2:12" x14ac:dyDescent="0.25">
      <c r="B25" s="371"/>
      <c r="C25" s="372"/>
      <c r="F25" s="367" t="s">
        <v>217</v>
      </c>
      <c r="G25" s="381">
        <f>'SAO 2'!F37</f>
        <v>294371.33224604838</v>
      </c>
      <c r="H25" s="382"/>
      <c r="I25" s="381"/>
    </row>
    <row r="26" spans="2:12" x14ac:dyDescent="0.25">
      <c r="B26" s="371"/>
      <c r="C26" s="372"/>
      <c r="F26" s="367" t="s">
        <v>34</v>
      </c>
      <c r="G26" s="379">
        <f>G24-G25</f>
        <v>71418.371473983396</v>
      </c>
      <c r="H26" s="380"/>
      <c r="I26" s="379"/>
    </row>
    <row r="27" spans="2:12" x14ac:dyDescent="0.25">
      <c r="B27" s="383"/>
      <c r="C27" s="384"/>
      <c r="D27" s="385"/>
      <c r="E27" s="377"/>
      <c r="F27" s="386" t="s">
        <v>218</v>
      </c>
      <c r="G27" s="390">
        <f>IF(G25=0,0,G26/G25)</f>
        <v>0.24261320193465311</v>
      </c>
      <c r="H27" s="388"/>
    </row>
    <row r="28" spans="2:12" x14ac:dyDescent="0.25">
      <c r="C28" s="372"/>
    </row>
    <row r="29" spans="2:12" x14ac:dyDescent="0.25">
      <c r="C29" s="372"/>
    </row>
    <row r="30" spans="2:12" x14ac:dyDescent="0.25">
      <c r="C30" s="372"/>
    </row>
    <row r="31" spans="2:12" x14ac:dyDescent="0.25">
      <c r="C31" s="372"/>
    </row>
    <row r="32" spans="2:12" x14ac:dyDescent="0.25">
      <c r="C32" s="372"/>
    </row>
    <row r="33" spans="3:3" x14ac:dyDescent="0.25">
      <c r="C33" s="372"/>
    </row>
    <row r="34" spans="3:3" x14ac:dyDescent="0.25">
      <c r="C34" s="372"/>
    </row>
    <row r="35" spans="3:3" x14ac:dyDescent="0.25">
      <c r="C35" s="372"/>
    </row>
    <row r="36" spans="3:3" x14ac:dyDescent="0.25">
      <c r="C36" s="372"/>
    </row>
    <row r="37" spans="3:3" x14ac:dyDescent="0.25">
      <c r="C37" s="372"/>
    </row>
    <row r="38" spans="3:3" x14ac:dyDescent="0.25">
      <c r="C38" s="372"/>
    </row>
    <row r="39" spans="3:3" x14ac:dyDescent="0.25">
      <c r="C39" s="372"/>
    </row>
    <row r="40" spans="3:3" x14ac:dyDescent="0.25">
      <c r="C40" s="372"/>
    </row>
    <row r="41" spans="3:3" x14ac:dyDescent="0.25">
      <c r="C41" s="372"/>
    </row>
    <row r="42" spans="3:3" x14ac:dyDescent="0.25">
      <c r="C42" s="372"/>
    </row>
    <row r="43" spans="3:3" x14ac:dyDescent="0.25">
      <c r="C43" s="372"/>
    </row>
    <row r="44" spans="3:3" x14ac:dyDescent="0.25">
      <c r="C44" s="372"/>
    </row>
    <row r="45" spans="3:3" x14ac:dyDescent="0.25">
      <c r="C45" s="372"/>
    </row>
    <row r="46" spans="3:3" x14ac:dyDescent="0.25">
      <c r="C46" s="372"/>
    </row>
    <row r="47" spans="3:3" x14ac:dyDescent="0.25">
      <c r="C47" s="372"/>
    </row>
    <row r="48" spans="3:3" x14ac:dyDescent="0.25">
      <c r="C48" s="372"/>
    </row>
    <row r="49" spans="3:3" x14ac:dyDescent="0.25">
      <c r="C49" s="372"/>
    </row>
    <row r="50" spans="3:3" x14ac:dyDescent="0.25">
      <c r="C50" s="372"/>
    </row>
    <row r="51" spans="3:3" x14ac:dyDescent="0.25">
      <c r="C51" s="372"/>
    </row>
    <row r="52" spans="3:3" x14ac:dyDescent="0.25">
      <c r="C52" s="372"/>
    </row>
  </sheetData>
  <mergeCells count="4">
    <mergeCell ref="B3:G3"/>
    <mergeCell ref="B4:G4"/>
    <mergeCell ref="B5:G5"/>
    <mergeCell ref="B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tabColor rgb="FF92D050"/>
    <pageSetUpPr fitToPage="1"/>
  </sheetPr>
  <dimension ref="A1:N38"/>
  <sheetViews>
    <sheetView showGridLines="0" workbookViewId="0">
      <selection activeCell="J25" sqref="J25"/>
    </sheetView>
  </sheetViews>
  <sheetFormatPr defaultRowHeight="15" x14ac:dyDescent="0.2"/>
  <cols>
    <col min="1" max="1" width="7.77734375" style="79" customWidth="1"/>
    <col min="2" max="2" width="8.21875" style="79" customWidth="1"/>
    <col min="3" max="3" width="25.88671875" style="79" customWidth="1"/>
    <col min="4" max="5" width="10.44140625" style="79" customWidth="1"/>
    <col min="6" max="6" width="11.88671875" style="79" bestFit="1" customWidth="1"/>
    <col min="7" max="7" width="11.109375" style="79" customWidth="1"/>
    <col min="8" max="13" width="10.44140625" style="79" customWidth="1"/>
    <col min="14" max="14" width="13.109375" style="79" customWidth="1"/>
    <col min="15" max="16384" width="8.88671875" style="79"/>
  </cols>
  <sheetData>
    <row r="1" spans="1:14" ht="21" x14ac:dyDescent="0.35">
      <c r="A1" s="499" t="s">
        <v>126</v>
      </c>
      <c r="B1" s="499"/>
      <c r="C1" s="499"/>
      <c r="D1" s="499"/>
      <c r="E1" s="499"/>
      <c r="F1" s="499"/>
      <c r="G1" s="499"/>
      <c r="H1" s="499"/>
    </row>
    <row r="2" spans="1:14" ht="18.75" x14ac:dyDescent="0.2">
      <c r="A2" s="479" t="s">
        <v>106</v>
      </c>
      <c r="B2" s="479"/>
      <c r="C2" s="479"/>
      <c r="D2" s="479"/>
      <c r="E2" s="479"/>
      <c r="F2" s="479"/>
      <c r="G2" s="479"/>
      <c r="H2" s="479"/>
    </row>
    <row r="3" spans="1:14" x14ac:dyDescent="0.25">
      <c r="A3" s="22"/>
      <c r="B3" s="23"/>
      <c r="C3" s="23"/>
      <c r="D3" s="23"/>
      <c r="E3" s="23"/>
      <c r="F3" s="23"/>
      <c r="G3" s="23"/>
      <c r="H3" s="23"/>
    </row>
    <row r="4" spans="1:14" ht="15.75" x14ac:dyDescent="0.25">
      <c r="A4" s="1"/>
      <c r="C4" s="500" t="s">
        <v>21</v>
      </c>
      <c r="D4" s="500"/>
      <c r="E4" s="500"/>
      <c r="F4" s="500"/>
      <c r="G4" s="123"/>
      <c r="H4" s="1"/>
    </row>
    <row r="5" spans="1:14" ht="15" customHeight="1" x14ac:dyDescent="0.25">
      <c r="A5" s="1"/>
      <c r="B5" s="1"/>
      <c r="C5" s="97" t="s">
        <v>93</v>
      </c>
      <c r="D5" s="120" t="s">
        <v>25</v>
      </c>
      <c r="E5" s="120" t="s">
        <v>129</v>
      </c>
      <c r="F5" s="121" t="s">
        <v>28</v>
      </c>
      <c r="G5" s="121"/>
      <c r="H5" s="19"/>
      <c r="I5" s="83"/>
    </row>
    <row r="6" spans="1:14" ht="15" customHeight="1" x14ac:dyDescent="0.25">
      <c r="A6" s="1"/>
      <c r="B6" s="1"/>
      <c r="C6" s="1" t="s">
        <v>86</v>
      </c>
      <c r="D6" s="2">
        <f>C21</f>
        <v>9943</v>
      </c>
      <c r="E6" s="88">
        <f>J21</f>
        <v>4770406</v>
      </c>
      <c r="F6" s="89">
        <f>F30</f>
        <v>24884905.719999999</v>
      </c>
      <c r="G6" s="89"/>
      <c r="H6" s="90"/>
      <c r="I6" s="91"/>
      <c r="J6" s="92"/>
      <c r="L6" s="80"/>
      <c r="M6" s="80"/>
      <c r="N6" s="80"/>
    </row>
    <row r="7" spans="1:14" ht="15" customHeight="1" x14ac:dyDescent="0.25">
      <c r="A7" s="1"/>
      <c r="B7" s="1"/>
      <c r="C7" s="1" t="s">
        <v>87</v>
      </c>
      <c r="D7" s="2">
        <f>C34</f>
        <v>12</v>
      </c>
      <c r="E7" s="88">
        <f>D34*1000</f>
        <v>384409290</v>
      </c>
      <c r="F7" s="135">
        <f>F34</f>
        <v>625049.50553999993</v>
      </c>
      <c r="G7" s="89"/>
      <c r="H7" s="90"/>
      <c r="I7" s="91"/>
      <c r="J7" s="92"/>
      <c r="L7" s="80"/>
      <c r="M7" s="80"/>
      <c r="N7" s="80"/>
    </row>
    <row r="8" spans="1:14" ht="15" customHeight="1" x14ac:dyDescent="0.4">
      <c r="A8" s="1"/>
      <c r="B8" s="1"/>
      <c r="C8" s="1" t="s">
        <v>94</v>
      </c>
      <c r="D8" s="137"/>
      <c r="E8" s="137"/>
      <c r="F8" s="136"/>
      <c r="G8" s="118"/>
      <c r="H8" s="1"/>
      <c r="L8" s="80"/>
      <c r="M8" s="80"/>
      <c r="N8" s="80"/>
    </row>
    <row r="9" spans="1:14" ht="15" customHeight="1" x14ac:dyDescent="0.25">
      <c r="A9" s="1"/>
      <c r="B9" s="1"/>
      <c r="C9" s="94" t="s">
        <v>103</v>
      </c>
      <c r="D9" s="88">
        <f t="shared" ref="D9:E9" si="0">D6+D7+D8</f>
        <v>9955</v>
      </c>
      <c r="E9" s="88">
        <f t="shared" si="0"/>
        <v>389179696</v>
      </c>
      <c r="F9" s="93">
        <f>F6+F7+F8</f>
        <v>25509955.225539997</v>
      </c>
      <c r="G9" s="93"/>
      <c r="H9" s="1"/>
    </row>
    <row r="10" spans="1:14" ht="15" customHeight="1" x14ac:dyDescent="0.4">
      <c r="A10" s="1"/>
      <c r="B10" s="1"/>
      <c r="C10" s="94" t="s">
        <v>145</v>
      </c>
      <c r="D10" s="88"/>
      <c r="E10" s="88"/>
      <c r="F10" s="105">
        <f>'SAO 1'!D7+'SAO 1'!D9+'SAO 1'!D10</f>
        <v>2627576.56042</v>
      </c>
      <c r="G10" s="105"/>
      <c r="H10" s="1"/>
    </row>
    <row r="11" spans="1:14" ht="15" customHeight="1" x14ac:dyDescent="0.25">
      <c r="A11" s="1"/>
      <c r="B11" s="1"/>
      <c r="C11" s="94" t="s">
        <v>95</v>
      </c>
      <c r="D11" s="88"/>
      <c r="E11" s="88"/>
      <c r="F11" s="93">
        <f>F9-F10</f>
        <v>22882378.665119998</v>
      </c>
      <c r="G11" s="93"/>
      <c r="H11" s="1"/>
      <c r="K11" s="119"/>
    </row>
    <row r="12" spans="1:14" ht="15" customHeight="1" x14ac:dyDescent="0.25">
      <c r="A12" s="1"/>
      <c r="B12" s="1"/>
      <c r="C12" s="18"/>
      <c r="D12" s="89"/>
      <c r="E12" s="1"/>
      <c r="F12" s="1"/>
      <c r="G12" s="1"/>
      <c r="H12" s="1"/>
    </row>
    <row r="13" spans="1:14" x14ac:dyDescent="0.25">
      <c r="A13" s="81" t="s">
        <v>88</v>
      </c>
      <c r="B13" s="1"/>
      <c r="C13" s="1"/>
      <c r="D13" s="1"/>
      <c r="E13" s="1"/>
      <c r="F13" s="1"/>
      <c r="G13" s="1"/>
      <c r="H13" s="1"/>
    </row>
    <row r="14" spans="1:14" x14ac:dyDescent="0.25">
      <c r="A14" s="1"/>
      <c r="B14" s="1"/>
      <c r="C14" s="1"/>
      <c r="D14" s="20"/>
      <c r="E14" s="20" t="s">
        <v>22</v>
      </c>
      <c r="F14" s="20" t="s">
        <v>89</v>
      </c>
      <c r="G14" s="20" t="s">
        <v>89</v>
      </c>
      <c r="H14" s="20" t="s">
        <v>89</v>
      </c>
      <c r="I14" s="20" t="s">
        <v>23</v>
      </c>
      <c r="J14" s="20"/>
    </row>
    <row r="15" spans="1:14" x14ac:dyDescent="0.25">
      <c r="A15" s="1"/>
      <c r="B15" s="19" t="s">
        <v>24</v>
      </c>
      <c r="C15" s="87" t="s">
        <v>25</v>
      </c>
      <c r="D15" s="141" t="s">
        <v>130</v>
      </c>
      <c r="E15" s="99">
        <f>B16</f>
        <v>2000</v>
      </c>
      <c r="F15" s="99">
        <f>B17</f>
        <v>3000</v>
      </c>
      <c r="G15" s="99">
        <f>B18</f>
        <v>15000</v>
      </c>
      <c r="H15" s="99">
        <f>B19</f>
        <v>30000</v>
      </c>
      <c r="I15" s="99">
        <f>B20</f>
        <v>50000</v>
      </c>
      <c r="J15" s="20" t="s">
        <v>26</v>
      </c>
    </row>
    <row r="16" spans="1:14" x14ac:dyDescent="0.25">
      <c r="A16" s="20" t="s">
        <v>22</v>
      </c>
      <c r="B16" s="95">
        <v>2000</v>
      </c>
      <c r="C16" s="21">
        <v>9700</v>
      </c>
      <c r="D16" s="21">
        <v>994213</v>
      </c>
      <c r="E16" s="21">
        <f>D16</f>
        <v>994213</v>
      </c>
      <c r="F16" s="21">
        <v>0</v>
      </c>
      <c r="G16" s="21">
        <v>0</v>
      </c>
      <c r="H16" s="21">
        <v>0</v>
      </c>
      <c r="I16" s="21">
        <v>0</v>
      </c>
      <c r="J16" s="21">
        <f>SUM(E16:I16)</f>
        <v>994213</v>
      </c>
    </row>
    <row r="17" spans="1:10" x14ac:dyDescent="0.25">
      <c r="A17" s="20" t="s">
        <v>89</v>
      </c>
      <c r="B17" s="96">
        <v>3000</v>
      </c>
      <c r="C17" s="21">
        <f>113+24/2</f>
        <v>125</v>
      </c>
      <c r="D17" s="21">
        <f>310081+112277/2</f>
        <v>366219.5</v>
      </c>
      <c r="E17" s="21">
        <f>C17*B16</f>
        <v>250000</v>
      </c>
      <c r="F17" s="21">
        <f>D17-E17</f>
        <v>116219.5</v>
      </c>
      <c r="G17" s="21">
        <v>0</v>
      </c>
      <c r="H17" s="21">
        <v>0</v>
      </c>
      <c r="I17" s="21">
        <v>0</v>
      </c>
      <c r="J17" s="21">
        <f>SUM(E17:I17)</f>
        <v>366219.5</v>
      </c>
    </row>
    <row r="18" spans="1:10" x14ac:dyDescent="0.25">
      <c r="A18" s="20" t="s">
        <v>89</v>
      </c>
      <c r="B18" s="96">
        <v>15000</v>
      </c>
      <c r="C18" s="21">
        <f>24/2+17+11+2+17+3/2</f>
        <v>60.5</v>
      </c>
      <c r="D18" s="21">
        <f>112277/2+118908+95201+21005+222153+43891/2</f>
        <v>535351</v>
      </c>
      <c r="E18" s="21">
        <f>C18*B16</f>
        <v>121000</v>
      </c>
      <c r="F18" s="21">
        <f>C18*B17</f>
        <v>181500</v>
      </c>
      <c r="G18" s="21">
        <f>D18-E18-F18</f>
        <v>232851</v>
      </c>
      <c r="H18" s="21">
        <v>0</v>
      </c>
      <c r="I18" s="21">
        <v>0</v>
      </c>
      <c r="J18" s="21">
        <f>SUM(E18:I18)</f>
        <v>535351</v>
      </c>
    </row>
    <row r="19" spans="1:10" x14ac:dyDescent="0.25">
      <c r="A19" s="20" t="s">
        <v>89</v>
      </c>
      <c r="B19" s="96">
        <v>30000</v>
      </c>
      <c r="C19" s="21">
        <f>3/2+5+7+9+6+8+6+3+3+4+2+1+1</f>
        <v>56.5</v>
      </c>
      <c r="D19" s="21">
        <f>43891/2+82733+133033+190925+137308+199195+161746+85820+90688+132338+69432+37280+39229</f>
        <v>1381672.5</v>
      </c>
      <c r="E19" s="21">
        <f>C19*B16</f>
        <v>113000</v>
      </c>
      <c r="F19" s="21">
        <f>C19*B17</f>
        <v>169500</v>
      </c>
      <c r="G19" s="21">
        <f>C19*B18</f>
        <v>847500</v>
      </c>
      <c r="H19" s="21">
        <f>D19-E19-F19-G19</f>
        <v>251672.5</v>
      </c>
      <c r="I19" s="21">
        <v>0</v>
      </c>
      <c r="J19" s="21">
        <f>SUM(E19:I19)</f>
        <v>1381672.5</v>
      </c>
    </row>
    <row r="20" spans="1:10" x14ac:dyDescent="0.25">
      <c r="A20" s="20" t="s">
        <v>23</v>
      </c>
      <c r="B20" s="96">
        <v>50000</v>
      </c>
      <c r="C20" s="21">
        <v>1</v>
      </c>
      <c r="D20" s="21">
        <v>1492950</v>
      </c>
      <c r="E20" s="21">
        <f>C20*B16</f>
        <v>2000</v>
      </c>
      <c r="F20" s="21">
        <f>C20*B17</f>
        <v>3000</v>
      </c>
      <c r="G20" s="21">
        <f>C20*B18</f>
        <v>15000</v>
      </c>
      <c r="H20" s="21">
        <f>C20*B19</f>
        <v>30000</v>
      </c>
      <c r="I20" s="21">
        <f>D20-E20-F20-G20-H20</f>
        <v>1442950</v>
      </c>
      <c r="J20" s="21">
        <f>SUM(E20:I20)</f>
        <v>1492950</v>
      </c>
    </row>
    <row r="21" spans="1:10" x14ac:dyDescent="0.25">
      <c r="A21" s="20"/>
      <c r="B21" s="99" t="s">
        <v>26</v>
      </c>
      <c r="C21" s="21">
        <f t="shared" ref="C21:J21" si="1">SUM(C16:C20)</f>
        <v>9943</v>
      </c>
      <c r="D21" s="21">
        <f t="shared" si="1"/>
        <v>4770406</v>
      </c>
      <c r="E21" s="21">
        <f>SUM(E16:E20)</f>
        <v>1480213</v>
      </c>
      <c r="F21" s="21">
        <f t="shared" si="1"/>
        <v>470219.5</v>
      </c>
      <c r="G21" s="21">
        <f t="shared" si="1"/>
        <v>1095351</v>
      </c>
      <c r="H21" s="21">
        <f t="shared" ref="H21" si="2">SUM(H16:H20)</f>
        <v>281672.5</v>
      </c>
      <c r="I21" s="21">
        <f t="shared" si="1"/>
        <v>1442950</v>
      </c>
      <c r="J21" s="21">
        <f t="shared" si="1"/>
        <v>4770406</v>
      </c>
    </row>
    <row r="22" spans="1:10" x14ac:dyDescent="0.25">
      <c r="A22" s="20"/>
      <c r="B22" s="96"/>
      <c r="C22" s="1"/>
      <c r="D22" s="96"/>
      <c r="E22" s="96"/>
      <c r="F22" s="96"/>
      <c r="G22" s="96"/>
      <c r="H22" s="96"/>
    </row>
    <row r="23" spans="1:10" x14ac:dyDescent="0.25">
      <c r="A23" s="97" t="s">
        <v>90</v>
      </c>
      <c r="B23" s="97"/>
      <c r="C23" s="1"/>
      <c r="D23" s="96"/>
      <c r="E23" s="96"/>
      <c r="F23" s="96"/>
      <c r="G23" s="96"/>
      <c r="H23" s="96"/>
    </row>
    <row r="24" spans="1:10" x14ac:dyDescent="0.25">
      <c r="A24" s="20"/>
      <c r="B24" s="1"/>
      <c r="C24" s="87" t="s">
        <v>25</v>
      </c>
      <c r="D24" s="142" t="s">
        <v>130</v>
      </c>
      <c r="E24" s="142" t="s">
        <v>27</v>
      </c>
      <c r="F24" s="142" t="s">
        <v>28</v>
      </c>
      <c r="G24" s="98"/>
      <c r="H24" s="1"/>
    </row>
    <row r="25" spans="1:10" x14ac:dyDescent="0.25">
      <c r="A25" s="20" t="s">
        <v>22</v>
      </c>
      <c r="B25" s="96">
        <f>B16</f>
        <v>2000</v>
      </c>
      <c r="C25" s="100">
        <f>C21</f>
        <v>9943</v>
      </c>
      <c r="D25" s="21">
        <f>E21</f>
        <v>1480213</v>
      </c>
      <c r="E25" s="28">
        <f>'Rates 1'!D11</f>
        <v>25.84</v>
      </c>
      <c r="F25" s="93">
        <f>C25*E25</f>
        <v>256927.12</v>
      </c>
      <c r="G25" s="28"/>
      <c r="H25" s="1"/>
    </row>
    <row r="26" spans="1:10" x14ac:dyDescent="0.25">
      <c r="A26" s="20" t="s">
        <v>89</v>
      </c>
      <c r="B26" s="96">
        <f>B17</f>
        <v>3000</v>
      </c>
      <c r="C26" s="100"/>
      <c r="D26" s="21">
        <f>F21</f>
        <v>470219.5</v>
      </c>
      <c r="E26" s="138">
        <f>'Rates 1'!D12</f>
        <v>10.45</v>
      </c>
      <c r="F26" s="93">
        <f>D26*E26</f>
        <v>4913793.7749999994</v>
      </c>
      <c r="G26" s="28"/>
      <c r="H26" s="1"/>
    </row>
    <row r="27" spans="1:10" x14ac:dyDescent="0.25">
      <c r="A27" s="20" t="s">
        <v>89</v>
      </c>
      <c r="B27" s="96">
        <f>B18</f>
        <v>15000</v>
      </c>
      <c r="C27" s="100"/>
      <c r="D27" s="21">
        <f>G21</f>
        <v>1095351</v>
      </c>
      <c r="E27" s="138">
        <f>'Rates 1'!D13</f>
        <v>9.1</v>
      </c>
      <c r="F27" s="93">
        <f>D27*E27</f>
        <v>9967694.0999999996</v>
      </c>
      <c r="G27" s="28"/>
      <c r="H27" s="1"/>
    </row>
    <row r="28" spans="1:10" x14ac:dyDescent="0.25">
      <c r="A28" s="20" t="s">
        <v>89</v>
      </c>
      <c r="B28" s="96">
        <f>B19</f>
        <v>30000</v>
      </c>
      <c r="C28" s="100"/>
      <c r="D28" s="21">
        <f>H21</f>
        <v>281672.5</v>
      </c>
      <c r="E28" s="138">
        <f>'Rates 1'!D14</f>
        <v>7.81</v>
      </c>
      <c r="F28" s="93">
        <f t="shared" ref="F28:F29" si="3">D28*E28</f>
        <v>2199862.2250000001</v>
      </c>
      <c r="G28" s="28"/>
      <c r="H28" s="1"/>
    </row>
    <row r="29" spans="1:10" x14ac:dyDescent="0.25">
      <c r="A29" s="20" t="s">
        <v>23</v>
      </c>
      <c r="B29" s="96">
        <f>B20</f>
        <v>50000</v>
      </c>
      <c r="C29" s="101"/>
      <c r="D29" s="2">
        <f>I21</f>
        <v>1442950</v>
      </c>
      <c r="E29" s="138">
        <f>'Rates 1'!D16</f>
        <v>5.23</v>
      </c>
      <c r="F29" s="93">
        <f t="shared" si="3"/>
        <v>7546628.5000000009</v>
      </c>
      <c r="G29" s="28"/>
      <c r="H29" s="1"/>
    </row>
    <row r="30" spans="1:10" x14ac:dyDescent="0.25">
      <c r="A30" s="20"/>
      <c r="B30" s="99" t="s">
        <v>26</v>
      </c>
      <c r="C30" s="21">
        <f>SUM(C25:C29)</f>
        <v>9943</v>
      </c>
      <c r="D30" s="21">
        <f>SUM(D25:D29)</f>
        <v>4770406</v>
      </c>
      <c r="E30" s="21"/>
      <c r="F30" s="146">
        <f>SUM(F25:F29)</f>
        <v>24884905.719999999</v>
      </c>
      <c r="G30" s="102"/>
      <c r="H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</row>
    <row r="32" spans="1:10" x14ac:dyDescent="0.25">
      <c r="A32" s="81" t="s">
        <v>128</v>
      </c>
      <c r="B32" s="1"/>
      <c r="C32" s="1"/>
      <c r="D32" s="1"/>
      <c r="E32" s="1"/>
      <c r="F32" s="1"/>
      <c r="G32" s="1"/>
      <c r="H32" s="1"/>
    </row>
    <row r="33" spans="1:9" ht="30" x14ac:dyDescent="0.25">
      <c r="A33" s="1"/>
      <c r="B33" s="1"/>
      <c r="C33" s="87" t="s">
        <v>25</v>
      </c>
      <c r="D33" s="98" t="s">
        <v>91</v>
      </c>
      <c r="E33" s="98" t="s">
        <v>27</v>
      </c>
      <c r="F33" s="98" t="s">
        <v>28</v>
      </c>
      <c r="G33" s="1"/>
      <c r="H33" s="1"/>
    </row>
    <row r="34" spans="1:9" x14ac:dyDescent="0.25">
      <c r="A34" s="1" t="s">
        <v>127</v>
      </c>
      <c r="B34" s="1"/>
      <c r="C34" s="19">
        <v>12</v>
      </c>
      <c r="D34" s="132">
        <v>384409.29</v>
      </c>
      <c r="E34" s="133">
        <f>'Rates 1'!D42</f>
        <v>1.6259999999999999</v>
      </c>
      <c r="F34" s="134">
        <f>D34*E34</f>
        <v>625049.50553999993</v>
      </c>
      <c r="G34" s="87"/>
      <c r="H34" s="1"/>
      <c r="I34" s="1"/>
    </row>
    <row r="35" spans="1:9" s="82" customFormat="1" x14ac:dyDescent="0.2">
      <c r="C35" s="103"/>
      <c r="D35" s="122"/>
      <c r="E35" s="104"/>
      <c r="F35" s="104"/>
      <c r="G35" s="104"/>
    </row>
    <row r="37" spans="1:9" ht="15.75" x14ac:dyDescent="0.2">
      <c r="A37" s="144" t="s">
        <v>130</v>
      </c>
      <c r="B37" s="144"/>
      <c r="C37" s="144" t="s">
        <v>131</v>
      </c>
      <c r="D37" s="144"/>
      <c r="E37" s="144"/>
      <c r="F37" s="144"/>
      <c r="G37" s="144"/>
      <c r="H37" s="145"/>
    </row>
    <row r="38" spans="1:9" x14ac:dyDescent="0.2">
      <c r="A38" s="143"/>
      <c r="B38" s="143"/>
      <c r="C38" s="143"/>
      <c r="D38" s="143"/>
      <c r="E38" s="143"/>
      <c r="F38" s="143"/>
      <c r="G38" s="143"/>
    </row>
  </sheetData>
  <mergeCells count="3">
    <mergeCell ref="A1:H1"/>
    <mergeCell ref="A2:H2"/>
    <mergeCell ref="C4:F4"/>
  </mergeCells>
  <pageMargins left="0.7" right="0.7" top="0.75" bottom="0.75" header="0.3" footer="0.3"/>
  <pageSetup scale="88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3000-BC2B-40A9-8915-E3190B6605AB}">
  <sheetPr>
    <pageSetUpPr fitToPage="1"/>
  </sheetPr>
  <dimension ref="A1:N38"/>
  <sheetViews>
    <sheetView showGridLines="0" topLeftCell="A5" workbookViewId="0">
      <selection activeCell="H40" sqref="H40"/>
    </sheetView>
  </sheetViews>
  <sheetFormatPr defaultRowHeight="15" x14ac:dyDescent="0.2"/>
  <cols>
    <col min="1" max="1" width="7.77734375" style="79" customWidth="1"/>
    <col min="2" max="2" width="8.21875" style="79" customWidth="1"/>
    <col min="3" max="3" width="25.88671875" style="79" customWidth="1"/>
    <col min="4" max="5" width="10.44140625" style="79" customWidth="1"/>
    <col min="6" max="6" width="11.88671875" style="79" bestFit="1" customWidth="1"/>
    <col min="7" max="7" width="11.109375" style="79" customWidth="1"/>
    <col min="8" max="13" width="10.44140625" style="79" customWidth="1"/>
    <col min="14" max="14" width="13.109375" style="79" customWidth="1"/>
    <col min="15" max="16384" width="8.88671875" style="79"/>
  </cols>
  <sheetData>
    <row r="1" spans="1:14" ht="21" x14ac:dyDescent="0.35">
      <c r="A1" s="499" t="s">
        <v>126</v>
      </c>
      <c r="B1" s="499"/>
      <c r="C1" s="499"/>
      <c r="D1" s="499"/>
      <c r="E1" s="499"/>
      <c r="F1" s="499"/>
      <c r="G1" s="499"/>
      <c r="H1" s="499"/>
    </row>
    <row r="2" spans="1:14" ht="18.75" x14ac:dyDescent="0.2">
      <c r="A2" s="479" t="s">
        <v>106</v>
      </c>
      <c r="B2" s="479"/>
      <c r="C2" s="479"/>
      <c r="D2" s="479"/>
      <c r="E2" s="479"/>
      <c r="F2" s="479"/>
      <c r="G2" s="479"/>
      <c r="H2" s="479"/>
    </row>
    <row r="3" spans="1:14" x14ac:dyDescent="0.25">
      <c r="A3" s="22"/>
      <c r="B3" s="23"/>
      <c r="C3" s="23"/>
      <c r="D3" s="23"/>
      <c r="E3" s="23"/>
      <c r="F3" s="23"/>
      <c r="G3" s="23"/>
      <c r="H3" s="23"/>
    </row>
    <row r="4" spans="1:14" ht="15.75" x14ac:dyDescent="0.25">
      <c r="A4" s="1"/>
      <c r="C4" s="500" t="s">
        <v>21</v>
      </c>
      <c r="D4" s="500"/>
      <c r="E4" s="500"/>
      <c r="F4" s="500"/>
      <c r="G4" s="123"/>
      <c r="H4" s="1"/>
    </row>
    <row r="5" spans="1:14" ht="15" customHeight="1" x14ac:dyDescent="0.25">
      <c r="A5" s="1"/>
      <c r="B5" s="1"/>
      <c r="C5" s="97" t="s">
        <v>93</v>
      </c>
      <c r="D5" s="120" t="s">
        <v>25</v>
      </c>
      <c r="E5" s="120" t="s">
        <v>129</v>
      </c>
      <c r="F5" s="121" t="s">
        <v>28</v>
      </c>
      <c r="G5" s="121"/>
      <c r="H5" s="19"/>
      <c r="I5" s="83"/>
    </row>
    <row r="6" spans="1:14" ht="15" customHeight="1" x14ac:dyDescent="0.25">
      <c r="A6" s="1"/>
      <c r="B6" s="1"/>
      <c r="C6" s="1" t="s">
        <v>86</v>
      </c>
      <c r="D6" s="2">
        <f>C21</f>
        <v>9943</v>
      </c>
      <c r="E6" s="88">
        <f>J21</f>
        <v>4770406</v>
      </c>
      <c r="F6" s="89">
        <f>F30</f>
        <v>24884905.719999999</v>
      </c>
      <c r="G6" s="89"/>
      <c r="H6" s="90"/>
      <c r="I6" s="91"/>
      <c r="J6" s="92"/>
      <c r="L6" s="80"/>
      <c r="M6" s="80"/>
      <c r="N6" s="80"/>
    </row>
    <row r="7" spans="1:14" ht="15" customHeight="1" x14ac:dyDescent="0.25">
      <c r="A7" s="1"/>
      <c r="B7" s="1"/>
      <c r="C7" s="1" t="s">
        <v>87</v>
      </c>
      <c r="D7" s="2">
        <f>C34</f>
        <v>12</v>
      </c>
      <c r="E7" s="88">
        <f>D34*1000</f>
        <v>384409290</v>
      </c>
      <c r="F7" s="135">
        <f>F34</f>
        <v>877990.81835999992</v>
      </c>
      <c r="G7" s="89"/>
      <c r="H7" s="90"/>
      <c r="I7" s="91"/>
      <c r="J7" s="92"/>
      <c r="L7" s="80"/>
      <c r="M7" s="80"/>
      <c r="N7" s="80"/>
    </row>
    <row r="8" spans="1:14" ht="15" customHeight="1" x14ac:dyDescent="0.4">
      <c r="A8" s="1"/>
      <c r="B8" s="1"/>
      <c r="C8" s="1" t="s">
        <v>94</v>
      </c>
      <c r="D8" s="137"/>
      <c r="E8" s="137"/>
      <c r="F8" s="136"/>
      <c r="G8" s="118"/>
      <c r="H8" s="1"/>
      <c r="L8" s="80"/>
      <c r="M8" s="80"/>
      <c r="N8" s="80"/>
    </row>
    <row r="9" spans="1:14" ht="15" customHeight="1" x14ac:dyDescent="0.25">
      <c r="A9" s="1"/>
      <c r="B9" s="1"/>
      <c r="C9" s="94" t="s">
        <v>103</v>
      </c>
      <c r="D9" s="88">
        <f t="shared" ref="D9:E9" si="0">D6+D7+D8</f>
        <v>9955</v>
      </c>
      <c r="E9" s="88">
        <f t="shared" si="0"/>
        <v>389179696</v>
      </c>
      <c r="F9" s="93">
        <f>F6+F7+F8</f>
        <v>25762896.53836</v>
      </c>
      <c r="G9" s="93"/>
      <c r="H9" s="1"/>
    </row>
    <row r="10" spans="1:14" ht="15" customHeight="1" x14ac:dyDescent="0.4">
      <c r="A10" s="1"/>
      <c r="B10" s="1"/>
      <c r="C10" s="94" t="s">
        <v>105</v>
      </c>
      <c r="D10" s="88"/>
      <c r="E10" s="88"/>
      <c r="F10" s="105">
        <f>'SAO 1'!F7+'SAO 1'!F9+'SAO 1'!F10</f>
        <v>2627576.56042</v>
      </c>
      <c r="G10" s="105"/>
      <c r="H10" s="1"/>
    </row>
    <row r="11" spans="1:14" ht="15" customHeight="1" x14ac:dyDescent="0.25">
      <c r="A11" s="1"/>
      <c r="B11" s="1"/>
      <c r="C11" s="94" t="s">
        <v>95</v>
      </c>
      <c r="D11" s="88"/>
      <c r="E11" s="88"/>
      <c r="F11" s="93">
        <f>F9-F10</f>
        <v>23135319.977940001</v>
      </c>
      <c r="G11" s="93"/>
      <c r="H11" s="1"/>
      <c r="K11" s="119"/>
    </row>
    <row r="12" spans="1:14" ht="15" customHeight="1" x14ac:dyDescent="0.25">
      <c r="A12" s="1"/>
      <c r="B12" s="1"/>
      <c r="C12" s="18"/>
      <c r="D12" s="89"/>
      <c r="E12" s="1"/>
      <c r="F12" s="1"/>
      <c r="G12" s="1"/>
      <c r="H12" s="1"/>
    </row>
    <row r="13" spans="1:14" x14ac:dyDescent="0.25">
      <c r="A13" s="81" t="s">
        <v>88</v>
      </c>
      <c r="B13" s="1"/>
      <c r="C13" s="1"/>
      <c r="D13" s="1"/>
      <c r="E13" s="1"/>
      <c r="F13" s="1"/>
      <c r="G13" s="1"/>
      <c r="H13" s="1"/>
    </row>
    <row r="14" spans="1:14" x14ac:dyDescent="0.25">
      <c r="A14" s="1"/>
      <c r="B14" s="1"/>
      <c r="C14" s="1"/>
      <c r="D14" s="20"/>
      <c r="E14" s="20" t="s">
        <v>22</v>
      </c>
      <c r="F14" s="20" t="s">
        <v>89</v>
      </c>
      <c r="G14" s="20" t="s">
        <v>89</v>
      </c>
      <c r="H14" s="20" t="s">
        <v>89</v>
      </c>
      <c r="I14" s="20" t="s">
        <v>23</v>
      </c>
      <c r="J14" s="20"/>
    </row>
    <row r="15" spans="1:14" x14ac:dyDescent="0.25">
      <c r="A15" s="1"/>
      <c r="B15" s="19" t="s">
        <v>24</v>
      </c>
      <c r="C15" s="99" t="s">
        <v>25</v>
      </c>
      <c r="D15" s="141" t="s">
        <v>130</v>
      </c>
      <c r="E15" s="99">
        <f>B16</f>
        <v>2000</v>
      </c>
      <c r="F15" s="99">
        <f>B17</f>
        <v>3000</v>
      </c>
      <c r="G15" s="99">
        <f>B18</f>
        <v>15000</v>
      </c>
      <c r="H15" s="99">
        <f>B19</f>
        <v>30000</v>
      </c>
      <c r="I15" s="99">
        <f>B20</f>
        <v>50000</v>
      </c>
      <c r="J15" s="20" t="s">
        <v>26</v>
      </c>
    </row>
    <row r="16" spans="1:14" x14ac:dyDescent="0.25">
      <c r="A16" s="20" t="s">
        <v>22</v>
      </c>
      <c r="B16" s="95">
        <v>2000</v>
      </c>
      <c r="C16" s="21">
        <f>ExBA!C16</f>
        <v>9700</v>
      </c>
      <c r="D16" s="21">
        <f>ExBA!D16</f>
        <v>994213</v>
      </c>
      <c r="E16" s="21">
        <f>D16</f>
        <v>994213</v>
      </c>
      <c r="F16" s="21">
        <v>0</v>
      </c>
      <c r="G16" s="21">
        <v>0</v>
      </c>
      <c r="H16" s="21">
        <v>0</v>
      </c>
      <c r="I16" s="21">
        <v>0</v>
      </c>
      <c r="J16" s="21">
        <f>SUM(E16:I16)</f>
        <v>994213</v>
      </c>
    </row>
    <row r="17" spans="1:10" x14ac:dyDescent="0.25">
      <c r="A17" s="20" t="s">
        <v>89</v>
      </c>
      <c r="B17" s="96">
        <v>3000</v>
      </c>
      <c r="C17" s="21">
        <f>ExBA!C17</f>
        <v>125</v>
      </c>
      <c r="D17" s="21">
        <f>ExBA!D17</f>
        <v>366219.5</v>
      </c>
      <c r="E17" s="21">
        <f>C17*B16</f>
        <v>250000</v>
      </c>
      <c r="F17" s="21">
        <f>D17-E17</f>
        <v>116219.5</v>
      </c>
      <c r="G17" s="21">
        <v>0</v>
      </c>
      <c r="H17" s="21">
        <v>0</v>
      </c>
      <c r="I17" s="21">
        <v>0</v>
      </c>
      <c r="J17" s="21">
        <f>SUM(E17:I17)</f>
        <v>366219.5</v>
      </c>
    </row>
    <row r="18" spans="1:10" x14ac:dyDescent="0.25">
      <c r="A18" s="20" t="s">
        <v>89</v>
      </c>
      <c r="B18" s="96">
        <v>15000</v>
      </c>
      <c r="C18" s="21">
        <f>ExBA!C18</f>
        <v>60.5</v>
      </c>
      <c r="D18" s="21">
        <f>ExBA!D18</f>
        <v>535351</v>
      </c>
      <c r="E18" s="21">
        <f>C18*B16</f>
        <v>121000</v>
      </c>
      <c r="F18" s="21">
        <f>C18*B17</f>
        <v>181500</v>
      </c>
      <c r="G18" s="21">
        <f>D18-E18-F18</f>
        <v>232851</v>
      </c>
      <c r="H18" s="21">
        <v>0</v>
      </c>
      <c r="I18" s="21">
        <v>0</v>
      </c>
      <c r="J18" s="21">
        <f>SUM(E18:I18)</f>
        <v>535351</v>
      </c>
    </row>
    <row r="19" spans="1:10" x14ac:dyDescent="0.25">
      <c r="A19" s="20" t="s">
        <v>89</v>
      </c>
      <c r="B19" s="96">
        <v>30000</v>
      </c>
      <c r="C19" s="21">
        <f>ExBA!C19</f>
        <v>56.5</v>
      </c>
      <c r="D19" s="21">
        <f>ExBA!D19</f>
        <v>1381672.5</v>
      </c>
      <c r="E19" s="21">
        <f>C19*B16</f>
        <v>113000</v>
      </c>
      <c r="F19" s="21">
        <f>C19*B17</f>
        <v>169500</v>
      </c>
      <c r="G19" s="21">
        <f>C19*B18</f>
        <v>847500</v>
      </c>
      <c r="H19" s="21">
        <f>D19-E19-F19-G19</f>
        <v>251672.5</v>
      </c>
      <c r="I19" s="21">
        <v>0</v>
      </c>
      <c r="J19" s="21">
        <f>SUM(E19:I19)</f>
        <v>1381672.5</v>
      </c>
    </row>
    <row r="20" spans="1:10" x14ac:dyDescent="0.25">
      <c r="A20" s="20" t="s">
        <v>23</v>
      </c>
      <c r="B20" s="96">
        <v>50000</v>
      </c>
      <c r="C20" s="147">
        <f>ExBA!C20</f>
        <v>1</v>
      </c>
      <c r="D20" s="147">
        <f>ExBA!D20</f>
        <v>1492950</v>
      </c>
      <c r="E20" s="147">
        <f>C20*B16</f>
        <v>2000</v>
      </c>
      <c r="F20" s="147">
        <f>C20*B17</f>
        <v>3000</v>
      </c>
      <c r="G20" s="147">
        <f>C20*B18</f>
        <v>15000</v>
      </c>
      <c r="H20" s="147">
        <f>C20*B19</f>
        <v>30000</v>
      </c>
      <c r="I20" s="147">
        <f>D20-E20-F20-G20-H20</f>
        <v>1442950</v>
      </c>
      <c r="J20" s="147">
        <f>SUM(E20:I20)</f>
        <v>1492950</v>
      </c>
    </row>
    <row r="21" spans="1:10" x14ac:dyDescent="0.25">
      <c r="A21" s="20"/>
      <c r="B21" s="99" t="s">
        <v>26</v>
      </c>
      <c r="C21" s="21">
        <f t="shared" ref="C21:J21" si="1">SUM(C16:C20)</f>
        <v>9943</v>
      </c>
      <c r="D21" s="21">
        <f t="shared" si="1"/>
        <v>4770406</v>
      </c>
      <c r="E21" s="21">
        <f>SUM(E16:E20)</f>
        <v>1480213</v>
      </c>
      <c r="F21" s="21">
        <f t="shared" si="1"/>
        <v>470219.5</v>
      </c>
      <c r="G21" s="21">
        <f t="shared" si="1"/>
        <v>1095351</v>
      </c>
      <c r="H21" s="21">
        <f t="shared" si="1"/>
        <v>281672.5</v>
      </c>
      <c r="I21" s="21">
        <f t="shared" si="1"/>
        <v>1442950</v>
      </c>
      <c r="J21" s="21">
        <f t="shared" si="1"/>
        <v>4770406</v>
      </c>
    </row>
    <row r="22" spans="1:10" x14ac:dyDescent="0.25">
      <c r="A22" s="20"/>
      <c r="B22" s="96"/>
      <c r="C22" s="1"/>
      <c r="D22" s="96"/>
      <c r="E22" s="96"/>
      <c r="F22" s="96"/>
      <c r="G22" s="96"/>
      <c r="H22" s="96"/>
    </row>
    <row r="23" spans="1:10" x14ac:dyDescent="0.25">
      <c r="A23" s="97" t="s">
        <v>90</v>
      </c>
      <c r="B23" s="97"/>
      <c r="C23" s="1"/>
      <c r="D23" s="96"/>
      <c r="E23" s="96"/>
      <c r="F23" s="96"/>
      <c r="G23" s="96"/>
      <c r="H23" s="96"/>
    </row>
    <row r="24" spans="1:10" x14ac:dyDescent="0.25">
      <c r="A24" s="20"/>
      <c r="B24" s="1"/>
      <c r="C24" s="149" t="s">
        <v>25</v>
      </c>
      <c r="D24" s="142" t="s">
        <v>130</v>
      </c>
      <c r="E24" s="142" t="s">
        <v>27</v>
      </c>
      <c r="F24" s="142" t="s">
        <v>28</v>
      </c>
      <c r="G24" s="98"/>
      <c r="H24" s="1"/>
    </row>
    <row r="25" spans="1:10" x14ac:dyDescent="0.25">
      <c r="A25" s="20" t="s">
        <v>22</v>
      </c>
      <c r="B25" s="96">
        <f>B16</f>
        <v>2000</v>
      </c>
      <c r="C25" s="100">
        <f>C21</f>
        <v>9943</v>
      </c>
      <c r="D25" s="21">
        <f>E21</f>
        <v>1480213</v>
      </c>
      <c r="E25" s="28">
        <f>'Rates 1'!E11</f>
        <v>25.84</v>
      </c>
      <c r="F25" s="93">
        <f>C25*E25</f>
        <v>256927.12</v>
      </c>
      <c r="G25" s="28"/>
      <c r="H25" s="1"/>
    </row>
    <row r="26" spans="1:10" x14ac:dyDescent="0.25">
      <c r="A26" s="20" t="s">
        <v>89</v>
      </c>
      <c r="B26" s="96">
        <f>B17</f>
        <v>3000</v>
      </c>
      <c r="C26" s="100"/>
      <c r="D26" s="21">
        <f>F21</f>
        <v>470219.5</v>
      </c>
      <c r="E26" s="138">
        <f>'Rates 1'!E12</f>
        <v>10.45</v>
      </c>
      <c r="F26" s="93">
        <f>D26*E26</f>
        <v>4913793.7749999994</v>
      </c>
      <c r="G26" s="28"/>
      <c r="H26" s="1"/>
    </row>
    <row r="27" spans="1:10" x14ac:dyDescent="0.25">
      <c r="A27" s="20" t="s">
        <v>89</v>
      </c>
      <c r="B27" s="96">
        <f>B18</f>
        <v>15000</v>
      </c>
      <c r="C27" s="100"/>
      <c r="D27" s="21">
        <f>G21</f>
        <v>1095351</v>
      </c>
      <c r="E27" s="138">
        <f>'Rates 1'!E13</f>
        <v>9.1</v>
      </c>
      <c r="F27" s="93">
        <f>D27*E27</f>
        <v>9967694.0999999996</v>
      </c>
      <c r="G27" s="28"/>
      <c r="H27" s="1"/>
    </row>
    <row r="28" spans="1:10" x14ac:dyDescent="0.25">
      <c r="A28" s="20" t="s">
        <v>89</v>
      </c>
      <c r="B28" s="96">
        <f>B19</f>
        <v>30000</v>
      </c>
      <c r="C28" s="100"/>
      <c r="D28" s="21">
        <f>H21</f>
        <v>281672.5</v>
      </c>
      <c r="E28" s="138">
        <f>'Rates 1'!E14</f>
        <v>7.81</v>
      </c>
      <c r="F28" s="93">
        <f t="shared" ref="F28:F29" si="2">D28*E28</f>
        <v>2199862.2250000001</v>
      </c>
      <c r="G28" s="28"/>
      <c r="H28" s="1"/>
    </row>
    <row r="29" spans="1:10" x14ac:dyDescent="0.25">
      <c r="A29" s="20" t="s">
        <v>23</v>
      </c>
      <c r="B29" s="96">
        <f>B20</f>
        <v>50000</v>
      </c>
      <c r="C29" s="150"/>
      <c r="D29" s="30">
        <f>I21</f>
        <v>1442950</v>
      </c>
      <c r="E29" s="138">
        <f>'Rates 1'!E16</f>
        <v>5.23</v>
      </c>
      <c r="F29" s="148">
        <f t="shared" si="2"/>
        <v>7546628.5000000009</v>
      </c>
      <c r="G29" s="28"/>
      <c r="H29" s="1"/>
    </row>
    <row r="30" spans="1:10" x14ac:dyDescent="0.25">
      <c r="A30" s="20"/>
      <c r="B30" s="99" t="s">
        <v>26</v>
      </c>
      <c r="C30" s="21">
        <f>SUM(C25:C29)</f>
        <v>9943</v>
      </c>
      <c r="D30" s="21">
        <f>SUM(D25:D29)</f>
        <v>4770406</v>
      </c>
      <c r="E30" s="21"/>
      <c r="F30" s="146">
        <f>SUM(F25:F29)</f>
        <v>24884905.719999999</v>
      </c>
      <c r="G30" s="102"/>
      <c r="H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</row>
    <row r="32" spans="1:10" x14ac:dyDescent="0.25">
      <c r="A32" s="81" t="s">
        <v>128</v>
      </c>
      <c r="B32" s="1"/>
      <c r="C32" s="1"/>
      <c r="D32" s="1"/>
      <c r="E32" s="1"/>
      <c r="F32" s="1"/>
      <c r="G32" s="1"/>
      <c r="H32" s="1"/>
    </row>
    <row r="33" spans="1:9" ht="30" x14ac:dyDescent="0.25">
      <c r="A33" s="1"/>
      <c r="B33" s="1"/>
      <c r="C33" s="87" t="s">
        <v>25</v>
      </c>
      <c r="D33" s="98" t="s">
        <v>91</v>
      </c>
      <c r="E33" s="98" t="s">
        <v>27</v>
      </c>
      <c r="F33" s="98" t="s">
        <v>28</v>
      </c>
      <c r="G33" s="1"/>
      <c r="H33" s="1"/>
    </row>
    <row r="34" spans="1:9" x14ac:dyDescent="0.25">
      <c r="A34" s="1" t="s">
        <v>127</v>
      </c>
      <c r="B34" s="1"/>
      <c r="C34" s="19">
        <v>12</v>
      </c>
      <c r="D34" s="132">
        <v>384409.29</v>
      </c>
      <c r="E34" s="156">
        <f>'Rates 1'!E42</f>
        <v>2.2839999999999998</v>
      </c>
      <c r="F34" s="134">
        <f>D34*E34</f>
        <v>877990.81835999992</v>
      </c>
      <c r="G34" s="87"/>
      <c r="H34" s="1"/>
      <c r="I34" s="1"/>
    </row>
    <row r="35" spans="1:9" s="82" customFormat="1" x14ac:dyDescent="0.2">
      <c r="C35" s="103"/>
      <c r="D35" s="122"/>
      <c r="E35" s="104"/>
      <c r="F35" s="104"/>
      <c r="G35" s="104"/>
    </row>
    <row r="37" spans="1:9" ht="15.75" x14ac:dyDescent="0.2">
      <c r="A37" s="144" t="s">
        <v>130</v>
      </c>
      <c r="B37" s="144"/>
      <c r="C37" s="144" t="s">
        <v>131</v>
      </c>
      <c r="D37" s="144"/>
      <c r="E37" s="144"/>
      <c r="F37" s="144"/>
      <c r="G37" s="144"/>
      <c r="H37" s="145"/>
    </row>
    <row r="38" spans="1:9" x14ac:dyDescent="0.2">
      <c r="A38" s="143"/>
      <c r="B38" s="143"/>
      <c r="C38" s="143"/>
      <c r="D38" s="143"/>
      <c r="E38" s="143"/>
      <c r="F38" s="143"/>
      <c r="G38" s="143"/>
    </row>
  </sheetData>
  <mergeCells count="3">
    <mergeCell ref="A1:H1"/>
    <mergeCell ref="A2:H2"/>
    <mergeCell ref="C4:F4"/>
  </mergeCells>
  <pageMargins left="0.7" right="0.7" top="0.75" bottom="0.7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10</vt:i4>
      </vt:variant>
    </vt:vector>
  </HeadingPairs>
  <TitlesOfParts>
    <vt:vector size="30" baseType="lpstr">
      <vt:lpstr>TB Operating Revenues</vt:lpstr>
      <vt:lpstr>TB Operating Expenses</vt:lpstr>
      <vt:lpstr>TB Other Income and Expenses</vt:lpstr>
      <vt:lpstr>SAO 1</vt:lpstr>
      <vt:lpstr>Wages</vt:lpstr>
      <vt:lpstr>SAO 2</vt:lpstr>
      <vt:lpstr>Depreciation 1</vt:lpstr>
      <vt:lpstr>Depreciation 2</vt:lpstr>
      <vt:lpstr>Debt Service 1</vt:lpstr>
      <vt:lpstr>Debt Service 2</vt:lpstr>
      <vt:lpstr>Rates 1</vt:lpstr>
      <vt:lpstr>Alternative Rates 1</vt:lpstr>
      <vt:lpstr>Rates 2</vt:lpstr>
      <vt:lpstr>Bills 1</vt:lpstr>
      <vt:lpstr>Alternative Bills 1</vt:lpstr>
      <vt:lpstr>Bills 2</vt:lpstr>
      <vt:lpstr>Billing Analysis 1</vt:lpstr>
      <vt:lpstr>Billing Analysis 2</vt:lpstr>
      <vt:lpstr>ExBA</vt:lpstr>
      <vt:lpstr>PrBA</vt:lpstr>
      <vt:lpstr>'Alternative Bills 1'!Print_Area</vt:lpstr>
      <vt:lpstr>'Alternative Rates 1'!Print_Area</vt:lpstr>
      <vt:lpstr>'Bills 1'!Print_Area</vt:lpstr>
      <vt:lpstr>'Bills 2'!Print_Area</vt:lpstr>
      <vt:lpstr>'Depreciation 1'!Print_Area</vt:lpstr>
      <vt:lpstr>'Depreciation 2'!Print_Area</vt:lpstr>
      <vt:lpstr>'Rates 1'!Print_Area</vt:lpstr>
      <vt:lpstr>'Rates 2'!Print_Area</vt:lpstr>
      <vt:lpstr>'SAO 1'!Print_Area</vt:lpstr>
      <vt:lpstr>'SAO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Hinton, Daniel E (PSC)</cp:lastModifiedBy>
  <cp:lastPrinted>2024-03-20T21:12:45Z</cp:lastPrinted>
  <dcterms:created xsi:type="dcterms:W3CDTF">2016-05-18T14:12:06Z</dcterms:created>
  <dcterms:modified xsi:type="dcterms:W3CDTF">2024-06-20T11:23:55Z</dcterms:modified>
</cp:coreProperties>
</file>