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C:\PSC\pscocr\"/>
    </mc:Choice>
  </mc:AlternateContent>
  <xr:revisionPtr revIDLastSave="0" documentId="8_{BB9FC3A9-431E-4655-9AFD-7866F2B2E0D4}" xr6:coauthVersionLast="47" xr6:coauthVersionMax="47" xr10:uidLastSave="{00000000-0000-0000-0000-000000000000}"/>
  <bookViews>
    <workbookView xWindow="28680" yWindow="-5520" windowWidth="16440" windowHeight="28440" tabRatio="931" activeTab="2" xr2:uid="{00000000-000D-0000-FFFF-FFFF00000000}"/>
  </bookViews>
  <sheets>
    <sheet name="Additions" sheetId="42" r:id="rId1"/>
    <sheet name="LoadForecast" sheetId="2" r:id="rId2"/>
    <sheet name="CapCosts" sheetId="45" r:id="rId3"/>
    <sheet name="AC Cost" sheetId="47" r:id="rId4"/>
    <sheet name="AC Report" sheetId="48" r:id="rId5"/>
  </sheets>
  <externalReferences>
    <externalReference r:id="rId6"/>
  </externalReference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0">Additions!$A$1:$K$33</definedName>
    <definedName name="_xlnm.Print_Area" localSheetId="2">CapCosts!#REF!</definedName>
    <definedName name="_xlnm.Print_Area" localSheetId="1">LoadForecast!$A$1:$Q$22</definedName>
    <definedName name="YEAR">[1]AC2007!$E$9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9" i="47" l="1"/>
  <c r="I20" i="47"/>
  <c r="I21" i="47"/>
  <c r="I22" i="47"/>
  <c r="I23" i="47"/>
  <c r="I24" i="47"/>
  <c r="I25" i="47"/>
  <c r="I26" i="47"/>
  <c r="I27" i="47"/>
  <c r="I28" i="47"/>
  <c r="I29" i="47"/>
  <c r="I30" i="47"/>
  <c r="I31" i="47"/>
  <c r="I32" i="47"/>
  <c r="I33" i="47"/>
  <c r="I34" i="47"/>
  <c r="I35" i="47"/>
  <c r="I36" i="47"/>
  <c r="I37" i="47"/>
  <c r="I38" i="47"/>
  <c r="I18" i="47"/>
  <c r="B20" i="47"/>
  <c r="B21" i="47"/>
  <c r="B22" i="47"/>
  <c r="B23" i="47"/>
  <c r="B24" i="47"/>
  <c r="B25" i="47"/>
  <c r="B26" i="47"/>
  <c r="B27" i="47"/>
  <c r="B28" i="47"/>
  <c r="B29" i="47"/>
  <c r="B30" i="47"/>
  <c r="B31" i="47"/>
  <c r="B32" i="47"/>
  <c r="B33" i="47"/>
  <c r="B34" i="47"/>
  <c r="B35" i="47"/>
  <c r="B36" i="47"/>
  <c r="B37" i="47"/>
  <c r="B38" i="47"/>
  <c r="B19" i="47"/>
  <c r="B18" i="47"/>
  <c r="E8" i="45"/>
  <c r="I8" i="45"/>
  <c r="L8" i="45"/>
  <c r="D9" i="45"/>
  <c r="D10" i="45" s="1"/>
  <c r="H9" i="45"/>
  <c r="I9" i="45" s="1"/>
  <c r="K9" i="45"/>
  <c r="K10" i="45" s="1"/>
  <c r="P40" i="45"/>
  <c r="S40" i="45"/>
  <c r="P41" i="45"/>
  <c r="S41" i="45"/>
  <c r="P42" i="45"/>
  <c r="S42" i="45"/>
  <c r="P43" i="45"/>
  <c r="S43" i="45"/>
  <c r="P44" i="45"/>
  <c r="S44" i="45"/>
  <c r="P45" i="45"/>
  <c r="S45" i="45"/>
  <c r="P46" i="45"/>
  <c r="S46" i="45"/>
  <c r="P47" i="45"/>
  <c r="S47" i="45"/>
  <c r="P48" i="45"/>
  <c r="S48" i="45"/>
  <c r="P49" i="45"/>
  <c r="S49" i="45"/>
  <c r="P50" i="45"/>
  <c r="S50" i="45"/>
  <c r="P51" i="45"/>
  <c r="S51" i="45"/>
  <c r="P52" i="45"/>
  <c r="S52" i="45"/>
  <c r="P53" i="45"/>
  <c r="S53" i="45"/>
  <c r="P54" i="45"/>
  <c r="S54" i="45"/>
  <c r="P55" i="45"/>
  <c r="S55" i="45"/>
  <c r="P56" i="45"/>
  <c r="S56" i="45"/>
  <c r="H10" i="45" l="1"/>
  <c r="H11" i="45" s="1"/>
  <c r="L9" i="45"/>
  <c r="K11" i="45"/>
  <c r="L10" i="45"/>
  <c r="D11" i="45"/>
  <c r="E10" i="45"/>
  <c r="H12" i="45"/>
  <c r="I11" i="45"/>
  <c r="I10" i="45"/>
  <c r="E9" i="45"/>
  <c r="K12" i="45" l="1"/>
  <c r="L11" i="45"/>
  <c r="D12" i="45"/>
  <c r="E11" i="45"/>
  <c r="I12" i="45"/>
  <c r="H13" i="45"/>
  <c r="J18" i="47"/>
  <c r="I13" i="45" l="1"/>
  <c r="H14" i="45"/>
  <c r="K13" i="45"/>
  <c r="L12" i="45"/>
  <c r="E12" i="45"/>
  <c r="D13" i="45"/>
  <c r="O22" i="2"/>
  <c r="N22" i="2"/>
  <c r="O21" i="2"/>
  <c r="N21" i="2"/>
  <c r="O20" i="2"/>
  <c r="N20" i="2"/>
  <c r="O19" i="2"/>
  <c r="N19" i="2"/>
  <c r="O18" i="2"/>
  <c r="N18" i="2"/>
  <c r="O17" i="2"/>
  <c r="N17" i="2"/>
  <c r="O16" i="2"/>
  <c r="N16" i="2"/>
  <c r="O15" i="2"/>
  <c r="N15" i="2"/>
  <c r="O14" i="2"/>
  <c r="N14" i="2"/>
  <c r="O13" i="2"/>
  <c r="N13" i="2"/>
  <c r="O12" i="2"/>
  <c r="N12" i="2"/>
  <c r="O11" i="2"/>
  <c r="N11" i="2"/>
  <c r="O10" i="2"/>
  <c r="N10" i="2"/>
  <c r="O9" i="2"/>
  <c r="N9" i="2"/>
  <c r="O8" i="2"/>
  <c r="N8" i="2"/>
  <c r="O7" i="2"/>
  <c r="N7" i="2"/>
  <c r="O6" i="2"/>
  <c r="N6" i="2"/>
  <c r="O5" i="2"/>
  <c r="N5" i="2"/>
  <c r="O4" i="2"/>
  <c r="N4" i="2"/>
  <c r="O3" i="2"/>
  <c r="N3" i="2"/>
  <c r="D14" i="45" l="1"/>
  <c r="E13" i="45"/>
  <c r="I14" i="45"/>
  <c r="H15" i="45"/>
  <c r="L13" i="45"/>
  <c r="K14" i="45"/>
  <c r="S3" i="2"/>
  <c r="D15" i="45" l="1"/>
  <c r="E14" i="45"/>
  <c r="H16" i="45"/>
  <c r="I15" i="45"/>
  <c r="L14" i="45"/>
  <c r="K15" i="45"/>
  <c r="S9" i="2"/>
  <c r="S14" i="2"/>
  <c r="S12" i="2"/>
  <c r="S8" i="2"/>
  <c r="S6" i="2"/>
  <c r="S13" i="2"/>
  <c r="S7" i="2"/>
  <c r="S11" i="2"/>
  <c r="S5" i="2"/>
  <c r="S10" i="2"/>
  <c r="S4" i="2"/>
  <c r="H17" i="45" l="1"/>
  <c r="I16" i="45"/>
  <c r="D16" i="45"/>
  <c r="E15" i="45"/>
  <c r="L15" i="45"/>
  <c r="K16" i="45"/>
  <c r="S18" i="2"/>
  <c r="S19" i="2"/>
  <c r="S17" i="2"/>
  <c r="S20" i="2"/>
  <c r="S15" i="2"/>
  <c r="S21" i="2"/>
  <c r="S16" i="2"/>
  <c r="S22" i="2"/>
  <c r="D17" i="45" l="1"/>
  <c r="E16" i="45"/>
  <c r="K17" i="45"/>
  <c r="L16" i="45"/>
  <c r="H18" i="45"/>
  <c r="I17" i="45"/>
  <c r="S29" i="2"/>
  <c r="E17" i="45" l="1"/>
  <c r="D18" i="45"/>
  <c r="I18" i="45"/>
  <c r="H19" i="45"/>
  <c r="K18" i="45"/>
  <c r="L17" i="45"/>
  <c r="C9" i="45"/>
  <c r="C10" i="45" s="1"/>
  <c r="C11" i="45" s="1"/>
  <c r="C12" i="45" s="1"/>
  <c r="C13" i="45" s="1"/>
  <c r="C14" i="45" s="1"/>
  <c r="C15" i="45" s="1"/>
  <c r="C16" i="45" s="1"/>
  <c r="C17" i="45" s="1"/>
  <c r="C18" i="45" s="1"/>
  <c r="C19" i="45" s="1"/>
  <c r="C20" i="45" s="1"/>
  <c r="E18" i="45" l="1"/>
  <c r="D19" i="45"/>
  <c r="K19" i="45"/>
  <c r="L18" i="45"/>
  <c r="I19" i="45"/>
  <c r="H20" i="45"/>
  <c r="C21" i="45"/>
  <c r="C22" i="45" s="1"/>
  <c r="C23" i="45" s="1"/>
  <c r="C24" i="45" s="1"/>
  <c r="C25" i="45" s="1"/>
  <c r="C26" i="45" s="1"/>
  <c r="C27" i="45" s="1"/>
  <c r="C28" i="45" s="1"/>
  <c r="C29" i="45" s="1"/>
  <c r="C30" i="45" s="1"/>
  <c r="C31" i="45" s="1"/>
  <c r="C32" i="45" s="1"/>
  <c r="C33" i="45" s="1"/>
  <c r="C34" i="45" s="1"/>
  <c r="C35" i="45" s="1"/>
  <c r="C36" i="45" s="1"/>
  <c r="C37" i="45" s="1"/>
  <c r="C38" i="45" s="1"/>
  <c r="C39" i="45" s="1"/>
  <c r="C40" i="45" s="1"/>
  <c r="C41" i="45" s="1"/>
  <c r="C42" i="45" s="1"/>
  <c r="C43" i="45" s="1"/>
  <c r="C44" i="45" s="1"/>
  <c r="C45" i="45" s="1"/>
  <c r="C46" i="45" s="1"/>
  <c r="C47" i="45" s="1"/>
  <c r="C48" i="45" s="1"/>
  <c r="C49" i="45" s="1"/>
  <c r="C50" i="45" s="1"/>
  <c r="C51" i="45" s="1"/>
  <c r="C52" i="45" s="1"/>
  <c r="C53" i="45" s="1"/>
  <c r="C54" i="45" s="1"/>
  <c r="C55" i="45" s="1"/>
  <c r="C56" i="45" s="1"/>
  <c r="A18" i="47"/>
  <c r="I20" i="45" l="1"/>
  <c r="H21" i="45"/>
  <c r="E19" i="45"/>
  <c r="D20" i="45"/>
  <c r="L19" i="45"/>
  <c r="K20" i="45"/>
  <c r="D21" i="45" l="1"/>
  <c r="E20" i="45"/>
  <c r="L20" i="45"/>
  <c r="K21" i="45"/>
  <c r="H22" i="45"/>
  <c r="I21" i="45"/>
  <c r="K22" i="45" l="1"/>
  <c r="L21" i="45"/>
  <c r="H23" i="45"/>
  <c r="I22" i="45"/>
  <c r="D22" i="45"/>
  <c r="E21" i="45"/>
  <c r="H24" i="45" l="1"/>
  <c r="I23" i="45"/>
  <c r="D23" i="45"/>
  <c r="E22" i="45"/>
  <c r="K23" i="45"/>
  <c r="L22" i="45"/>
  <c r="E23" i="45" l="1"/>
  <c r="D24" i="45"/>
  <c r="I24" i="45"/>
  <c r="H25" i="45"/>
  <c r="K24" i="45"/>
  <c r="L23" i="45"/>
  <c r="K25" i="45" l="1"/>
  <c r="L24" i="45"/>
  <c r="I25" i="45"/>
  <c r="H26" i="45"/>
  <c r="E24" i="45"/>
  <c r="D25" i="45"/>
  <c r="D26" i="45" l="1"/>
  <c r="E25" i="45"/>
  <c r="L25" i="45"/>
  <c r="K26" i="45"/>
  <c r="H27" i="45"/>
  <c r="I26" i="45"/>
  <c r="L26" i="45" l="1"/>
  <c r="K27" i="45"/>
  <c r="H28" i="45"/>
  <c r="I27" i="45"/>
  <c r="D27" i="45"/>
  <c r="E26" i="45"/>
  <c r="U21" i="45"/>
  <c r="J19" i="47" s="1"/>
  <c r="H29" i="45" l="1"/>
  <c r="I28" i="45"/>
  <c r="D28" i="45"/>
  <c r="E27" i="45"/>
  <c r="K28" i="45"/>
  <c r="L27" i="45"/>
  <c r="U22" i="45"/>
  <c r="J20" i="47" s="1"/>
  <c r="K29" i="45" l="1"/>
  <c r="L28" i="45"/>
  <c r="D29" i="45"/>
  <c r="E28" i="45"/>
  <c r="H30" i="45"/>
  <c r="I29" i="45"/>
  <c r="U23" i="45"/>
  <c r="J21" i="47" s="1"/>
  <c r="I30" i="45" l="1"/>
  <c r="H31" i="45"/>
  <c r="E29" i="45"/>
  <c r="D30" i="45"/>
  <c r="K30" i="45"/>
  <c r="L29" i="45"/>
  <c r="U24" i="45"/>
  <c r="J22" i="47" s="1"/>
  <c r="E30" i="45" l="1"/>
  <c r="D31" i="45"/>
  <c r="K31" i="45"/>
  <c r="L30" i="45"/>
  <c r="I31" i="45"/>
  <c r="H32" i="45"/>
  <c r="U25" i="45"/>
  <c r="J23" i="47" s="1"/>
  <c r="D32" i="45" l="1"/>
  <c r="E31" i="45"/>
  <c r="H33" i="45"/>
  <c r="I32" i="45"/>
  <c r="K32" i="45"/>
  <c r="L31" i="45"/>
  <c r="U26" i="45"/>
  <c r="J24" i="47" s="1"/>
  <c r="L32" i="45" l="1"/>
  <c r="K33" i="45"/>
  <c r="H34" i="45"/>
  <c r="I33" i="45"/>
  <c r="D33" i="45"/>
  <c r="E32" i="45"/>
  <c r="U27" i="45"/>
  <c r="J25" i="47" s="1"/>
  <c r="D34" i="45" l="1"/>
  <c r="E33" i="45"/>
  <c r="H35" i="45"/>
  <c r="I34" i="45"/>
  <c r="K34" i="45"/>
  <c r="L33" i="45"/>
  <c r="U28" i="45"/>
  <c r="J26" i="47" s="1"/>
  <c r="K35" i="45" l="1"/>
  <c r="L34" i="45"/>
  <c r="H36" i="45"/>
  <c r="I35" i="45"/>
  <c r="D35" i="45"/>
  <c r="E34" i="45"/>
  <c r="U29" i="45"/>
  <c r="K36" i="45" l="1"/>
  <c r="L35" i="45"/>
  <c r="E35" i="45"/>
  <c r="D36" i="45"/>
  <c r="I36" i="45"/>
  <c r="H37" i="45"/>
  <c r="J27" i="47"/>
  <c r="K37" i="45" l="1"/>
  <c r="L36" i="45"/>
  <c r="E36" i="45"/>
  <c r="D37" i="45"/>
  <c r="I37" i="45"/>
  <c r="H38" i="45"/>
  <c r="U30" i="45"/>
  <c r="J28" i="47" s="1"/>
  <c r="N6" i="47"/>
  <c r="N5" i="47"/>
  <c r="O6" i="47"/>
  <c r="O9" i="47" s="1"/>
  <c r="S5" i="47"/>
  <c r="S4" i="47"/>
  <c r="L37" i="45" l="1"/>
  <c r="K38" i="45"/>
  <c r="H39" i="45"/>
  <c r="I38" i="45"/>
  <c r="D38" i="45"/>
  <c r="E37" i="45"/>
  <c r="U31" i="45"/>
  <c r="J29" i="47" s="1"/>
  <c r="V4" i="45"/>
  <c r="D102" i="48"/>
  <c r="D103" i="48"/>
  <c r="D39" i="45" l="1"/>
  <c r="E38" i="45"/>
  <c r="H40" i="45"/>
  <c r="I39" i="45"/>
  <c r="L38" i="45"/>
  <c r="K39" i="45"/>
  <c r="V15" i="45"/>
  <c r="V16" i="45"/>
  <c r="V17" i="45"/>
  <c r="V18" i="45"/>
  <c r="V19" i="45"/>
  <c r="V20" i="45"/>
  <c r="V21" i="45"/>
  <c r="V22" i="45"/>
  <c r="V23" i="45"/>
  <c r="V24" i="45"/>
  <c r="V25" i="45"/>
  <c r="V26" i="45"/>
  <c r="V27" i="45"/>
  <c r="V28" i="45"/>
  <c r="V29" i="45"/>
  <c r="P15" i="45"/>
  <c r="P16" i="45"/>
  <c r="P17" i="45"/>
  <c r="P18" i="45"/>
  <c r="P19" i="45"/>
  <c r="P20" i="45"/>
  <c r="P21" i="45"/>
  <c r="P22" i="45"/>
  <c r="P23" i="45"/>
  <c r="P24" i="45"/>
  <c r="P25" i="45"/>
  <c r="P26" i="45"/>
  <c r="P27" i="45"/>
  <c r="P28" i="45"/>
  <c r="P29" i="45"/>
  <c r="S15" i="45"/>
  <c r="S16" i="45"/>
  <c r="S17" i="45"/>
  <c r="S18" i="45"/>
  <c r="S19" i="45"/>
  <c r="S20" i="45"/>
  <c r="S21" i="45"/>
  <c r="S22" i="45"/>
  <c r="S23" i="45"/>
  <c r="S24" i="45"/>
  <c r="S25" i="45"/>
  <c r="S26" i="45"/>
  <c r="S27" i="45"/>
  <c r="S28" i="45"/>
  <c r="S29" i="45"/>
  <c r="P9" i="45"/>
  <c r="P8" i="45"/>
  <c r="P10" i="45"/>
  <c r="P11" i="45"/>
  <c r="P12" i="45"/>
  <c r="P13" i="45"/>
  <c r="P14" i="45"/>
  <c r="S8" i="45"/>
  <c r="S9" i="45"/>
  <c r="S11" i="45"/>
  <c r="S10" i="45"/>
  <c r="S12" i="45"/>
  <c r="S13" i="45"/>
  <c r="S14" i="45"/>
  <c r="S30" i="45"/>
  <c r="P30" i="45"/>
  <c r="V8" i="45"/>
  <c r="V9" i="45"/>
  <c r="V10" i="45"/>
  <c r="V11" i="45"/>
  <c r="V12" i="45"/>
  <c r="V13" i="45"/>
  <c r="V14" i="45"/>
  <c r="V30" i="45"/>
  <c r="S31" i="45"/>
  <c r="P31" i="45"/>
  <c r="V31" i="45"/>
  <c r="U32" i="45"/>
  <c r="J30" i="47" s="1"/>
  <c r="F78" i="48"/>
  <c r="F77" i="48"/>
  <c r="F71" i="48"/>
  <c r="F70" i="48"/>
  <c r="F64" i="48"/>
  <c r="F63" i="48"/>
  <c r="F57" i="48"/>
  <c r="F56" i="48"/>
  <c r="F49" i="48"/>
  <c r="F48" i="48"/>
  <c r="F35" i="48"/>
  <c r="F34" i="48"/>
  <c r="F28" i="48"/>
  <c r="F27" i="48"/>
  <c r="F21" i="48"/>
  <c r="F20" i="48"/>
  <c r="F14" i="48"/>
  <c r="F13" i="48"/>
  <c r="F7" i="48"/>
  <c r="D75" i="48"/>
  <c r="D68" i="48"/>
  <c r="D61" i="48"/>
  <c r="D54" i="48"/>
  <c r="D46" i="48"/>
  <c r="D32" i="48"/>
  <c r="D25" i="48"/>
  <c r="D18" i="48"/>
  <c r="D11" i="48"/>
  <c r="D4" i="48"/>
  <c r="F6" i="48"/>
  <c r="K40" i="45" l="1"/>
  <c r="L39" i="45"/>
  <c r="H41" i="45"/>
  <c r="I40" i="45"/>
  <c r="D40" i="45"/>
  <c r="E39" i="45"/>
  <c r="U33" i="45"/>
  <c r="J31" i="47" s="1"/>
  <c r="V32" i="45"/>
  <c r="P32" i="45"/>
  <c r="S32" i="45"/>
  <c r="F8" i="48"/>
  <c r="AA19" i="47"/>
  <c r="AA20" i="47" s="1"/>
  <c r="AA21" i="47" s="1"/>
  <c r="AA22" i="47" s="1"/>
  <c r="AA23" i="47" s="1"/>
  <c r="AA24" i="47" s="1"/>
  <c r="AA25" i="47" s="1"/>
  <c r="AA26" i="47" s="1"/>
  <c r="AA27" i="47" s="1"/>
  <c r="AA28" i="47" s="1"/>
  <c r="AA29" i="47" s="1"/>
  <c r="AA30" i="47" s="1"/>
  <c r="AA31" i="47" s="1"/>
  <c r="AA32" i="47" s="1"/>
  <c r="AA33" i="47" s="1"/>
  <c r="AA34" i="47" s="1"/>
  <c r="AA35" i="47" s="1"/>
  <c r="AA36" i="47" s="1"/>
  <c r="AA37" i="47" s="1"/>
  <c r="AA38" i="47" s="1"/>
  <c r="K41" i="45" l="1"/>
  <c r="L40" i="45"/>
  <c r="D41" i="45"/>
  <c r="E40" i="45"/>
  <c r="H42" i="45"/>
  <c r="I41" i="45"/>
  <c r="P33" i="45"/>
  <c r="S33" i="45"/>
  <c r="U34" i="45"/>
  <c r="J32" i="47" s="1"/>
  <c r="V33" i="45"/>
  <c r="K2" i="48"/>
  <c r="H43" i="45" l="1"/>
  <c r="I42" i="45"/>
  <c r="E41" i="45"/>
  <c r="D42" i="45"/>
  <c r="K42" i="45"/>
  <c r="L41" i="45"/>
  <c r="S34" i="45"/>
  <c r="P34" i="45"/>
  <c r="V34" i="45"/>
  <c r="U35" i="45"/>
  <c r="J33" i="47" s="1"/>
  <c r="K44" i="48"/>
  <c r="K86" i="48"/>
  <c r="B99" i="48"/>
  <c r="B98" i="48"/>
  <c r="B97" i="48"/>
  <c r="B96" i="48"/>
  <c r="B95" i="48"/>
  <c r="B94" i="48"/>
  <c r="B93" i="48"/>
  <c r="B92" i="48"/>
  <c r="B91" i="48"/>
  <c r="B90" i="48"/>
  <c r="F79" i="48"/>
  <c r="F72" i="48"/>
  <c r="F65" i="48"/>
  <c r="F58" i="48"/>
  <c r="F50" i="48"/>
  <c r="F36" i="48"/>
  <c r="F29" i="48"/>
  <c r="F22" i="48"/>
  <c r="F15" i="48"/>
  <c r="AA68" i="47"/>
  <c r="Z68" i="47"/>
  <c r="X68" i="47"/>
  <c r="V68" i="47"/>
  <c r="AA67" i="47"/>
  <c r="Z67" i="47"/>
  <c r="X67" i="47"/>
  <c r="V67" i="47"/>
  <c r="AA66" i="47"/>
  <c r="Z66" i="47"/>
  <c r="X66" i="47"/>
  <c r="V66" i="47"/>
  <c r="AA65" i="47"/>
  <c r="Z65" i="47"/>
  <c r="X65" i="47"/>
  <c r="V65" i="47"/>
  <c r="AA64" i="47"/>
  <c r="Z64" i="47"/>
  <c r="X64" i="47"/>
  <c r="V64" i="47"/>
  <c r="AA63" i="47"/>
  <c r="Z63" i="47"/>
  <c r="X63" i="47"/>
  <c r="V63" i="47"/>
  <c r="AA62" i="47"/>
  <c r="Z62" i="47"/>
  <c r="X62" i="47"/>
  <c r="V62" i="47"/>
  <c r="AA61" i="47"/>
  <c r="Z61" i="47"/>
  <c r="X61" i="47"/>
  <c r="V61" i="47"/>
  <c r="AA60" i="47"/>
  <c r="Z60" i="47"/>
  <c r="X60" i="47"/>
  <c r="V60" i="47"/>
  <c r="AA59" i="47"/>
  <c r="Z59" i="47"/>
  <c r="X59" i="47"/>
  <c r="V59" i="47"/>
  <c r="AA58" i="47"/>
  <c r="Z58" i="47"/>
  <c r="X58" i="47"/>
  <c r="V58" i="47"/>
  <c r="AA57" i="47"/>
  <c r="Z57" i="47"/>
  <c r="X57" i="47"/>
  <c r="V57" i="47"/>
  <c r="AA56" i="47"/>
  <c r="Z56" i="47"/>
  <c r="X56" i="47"/>
  <c r="V56" i="47"/>
  <c r="AA55" i="47"/>
  <c r="Z55" i="47"/>
  <c r="X55" i="47"/>
  <c r="V55" i="47"/>
  <c r="AA54" i="47"/>
  <c r="Z54" i="47"/>
  <c r="X54" i="47"/>
  <c r="V54" i="47"/>
  <c r="AA53" i="47"/>
  <c r="Z53" i="47"/>
  <c r="X53" i="47"/>
  <c r="V53" i="47"/>
  <c r="AA52" i="47"/>
  <c r="Z52" i="47"/>
  <c r="X52" i="47"/>
  <c r="V52" i="47"/>
  <c r="AA51" i="47"/>
  <c r="Z51" i="47"/>
  <c r="X51" i="47"/>
  <c r="V51" i="47"/>
  <c r="AA50" i="47"/>
  <c r="Z50" i="47"/>
  <c r="X50" i="47"/>
  <c r="V50" i="47"/>
  <c r="AA49" i="47"/>
  <c r="Z49" i="47"/>
  <c r="X49" i="47"/>
  <c r="V49" i="47"/>
  <c r="AA48" i="47"/>
  <c r="Z48" i="47"/>
  <c r="Y48" i="47"/>
  <c r="X48" i="47"/>
  <c r="W48" i="47"/>
  <c r="V48" i="47"/>
  <c r="R68" i="47"/>
  <c r="R67" i="47"/>
  <c r="R66" i="47"/>
  <c r="R65" i="47"/>
  <c r="R64" i="47"/>
  <c r="R63" i="47"/>
  <c r="R62" i="47"/>
  <c r="R61" i="47"/>
  <c r="R60" i="47"/>
  <c r="R59" i="47"/>
  <c r="R58" i="47"/>
  <c r="R57" i="47"/>
  <c r="R56" i="47"/>
  <c r="R55" i="47"/>
  <c r="R54" i="47"/>
  <c r="R53" i="47"/>
  <c r="R52" i="47"/>
  <c r="R51" i="47"/>
  <c r="R50" i="47"/>
  <c r="R49" i="47"/>
  <c r="S48" i="47"/>
  <c r="R48" i="47"/>
  <c r="N68" i="47"/>
  <c r="N67" i="47"/>
  <c r="N66" i="47"/>
  <c r="N65" i="47"/>
  <c r="N64" i="47"/>
  <c r="N63" i="47"/>
  <c r="N62" i="47"/>
  <c r="N61" i="47"/>
  <c r="N60" i="47"/>
  <c r="N59" i="47"/>
  <c r="N58" i="47"/>
  <c r="N57" i="47"/>
  <c r="N56" i="47"/>
  <c r="N55" i="47"/>
  <c r="N54" i="47"/>
  <c r="N53" i="47"/>
  <c r="N52" i="47"/>
  <c r="N51" i="47"/>
  <c r="N50" i="47"/>
  <c r="N49" i="47"/>
  <c r="O48" i="47"/>
  <c r="N48" i="47"/>
  <c r="Y19" i="47"/>
  <c r="Y20" i="47" s="1"/>
  <c r="Y21" i="47" s="1"/>
  <c r="Y22" i="47" s="1"/>
  <c r="Y23" i="47" s="1"/>
  <c r="Y24" i="47" s="1"/>
  <c r="Y25" i="47" s="1"/>
  <c r="Y26" i="47" s="1"/>
  <c r="Y27" i="47" s="1"/>
  <c r="Y28" i="47" s="1"/>
  <c r="Y29" i="47" s="1"/>
  <c r="Y30" i="47" s="1"/>
  <c r="Y31" i="47" s="1"/>
  <c r="Y32" i="47" s="1"/>
  <c r="Y33" i="47" s="1"/>
  <c r="Y34" i="47" s="1"/>
  <c r="Y35" i="47" s="1"/>
  <c r="Y36" i="47" s="1"/>
  <c r="Y37" i="47" s="1"/>
  <c r="Y38" i="47" s="1"/>
  <c r="Y68" i="47" s="1"/>
  <c r="W19" i="47"/>
  <c r="W49" i="47" s="1"/>
  <c r="K43" i="45" l="1"/>
  <c r="L42" i="45"/>
  <c r="E42" i="45"/>
  <c r="D43" i="45"/>
  <c r="I43" i="45"/>
  <c r="H44" i="45"/>
  <c r="S35" i="45"/>
  <c r="U36" i="45"/>
  <c r="J34" i="47" s="1"/>
  <c r="V35" i="45"/>
  <c r="P35" i="45"/>
  <c r="Y49" i="47"/>
  <c r="Y50" i="47"/>
  <c r="Y51" i="47"/>
  <c r="Y52" i="47"/>
  <c r="Y53" i="47"/>
  <c r="Y54" i="47"/>
  <c r="Y55" i="47"/>
  <c r="Y56" i="47"/>
  <c r="Y57" i="47"/>
  <c r="Y58" i="47"/>
  <c r="Y59" i="47"/>
  <c r="Y60" i="47"/>
  <c r="Y61" i="47"/>
  <c r="Y62" i="47"/>
  <c r="Y63" i="47"/>
  <c r="Y64" i="47"/>
  <c r="Y65" i="47"/>
  <c r="Y66" i="47"/>
  <c r="Y67" i="47"/>
  <c r="W20" i="47"/>
  <c r="H45" i="45" l="1"/>
  <c r="I44" i="45"/>
  <c r="D44" i="45"/>
  <c r="E43" i="45"/>
  <c r="L43" i="45"/>
  <c r="K44" i="45"/>
  <c r="U37" i="45"/>
  <c r="J35" i="47" s="1"/>
  <c r="V36" i="45"/>
  <c r="P36" i="45"/>
  <c r="S36" i="45"/>
  <c r="W21" i="47"/>
  <c r="W50" i="47"/>
  <c r="D45" i="45" l="1"/>
  <c r="E44" i="45"/>
  <c r="L44" i="45"/>
  <c r="K45" i="45"/>
  <c r="H46" i="45"/>
  <c r="I45" i="45"/>
  <c r="S38" i="45"/>
  <c r="S37" i="45"/>
  <c r="V37" i="45"/>
  <c r="U38" i="45"/>
  <c r="P38" i="45"/>
  <c r="P37" i="45"/>
  <c r="W22" i="47"/>
  <c r="W51" i="47"/>
  <c r="S19" i="47"/>
  <c r="S49" i="47" s="1"/>
  <c r="AF2" i="47"/>
  <c r="O2" i="48" s="1"/>
  <c r="Q4" i="47"/>
  <c r="Q6" i="47" s="1"/>
  <c r="P6" i="47"/>
  <c r="O19" i="47"/>
  <c r="I68" i="47"/>
  <c r="I67" i="47"/>
  <c r="I66" i="47"/>
  <c r="I65" i="47"/>
  <c r="I64" i="47"/>
  <c r="I63" i="47"/>
  <c r="I62" i="47"/>
  <c r="I61" i="47"/>
  <c r="I60" i="47"/>
  <c r="I59" i="47"/>
  <c r="I58" i="47"/>
  <c r="I57" i="47"/>
  <c r="I56" i="47"/>
  <c r="I55" i="47"/>
  <c r="I54" i="47"/>
  <c r="I53" i="47"/>
  <c r="I52" i="47"/>
  <c r="I51" i="47"/>
  <c r="I50" i="47"/>
  <c r="I49" i="47"/>
  <c r="I48" i="47"/>
  <c r="E18" i="47"/>
  <c r="E48" i="47" s="1"/>
  <c r="B68" i="47"/>
  <c r="B67" i="47"/>
  <c r="B66" i="47"/>
  <c r="B65" i="47"/>
  <c r="B64" i="47"/>
  <c r="B63" i="47"/>
  <c r="B62" i="47"/>
  <c r="B61" i="47"/>
  <c r="B60" i="47"/>
  <c r="B59" i="47"/>
  <c r="B58" i="47"/>
  <c r="B57" i="47"/>
  <c r="B56" i="47"/>
  <c r="B55" i="47"/>
  <c r="B54" i="47"/>
  <c r="B53" i="47"/>
  <c r="B52" i="47"/>
  <c r="B51" i="47"/>
  <c r="B50" i="47"/>
  <c r="B49" i="47"/>
  <c r="B48" i="47"/>
  <c r="C18" i="47"/>
  <c r="C48" i="47" s="1"/>
  <c r="D46" i="45" l="1"/>
  <c r="E45" i="45"/>
  <c r="H47" i="45"/>
  <c r="I46" i="45"/>
  <c r="K46" i="45"/>
  <c r="L45" i="45"/>
  <c r="V38" i="45"/>
  <c r="J36" i="47"/>
  <c r="O44" i="48"/>
  <c r="O86" i="48"/>
  <c r="W23" i="47"/>
  <c r="W52" i="47"/>
  <c r="O20" i="47"/>
  <c r="O49" i="47"/>
  <c r="S20" i="47"/>
  <c r="S50" i="47" s="1"/>
  <c r="C20" i="47"/>
  <c r="C50" i="47" s="1"/>
  <c r="C19" i="47"/>
  <c r="C49" i="47" s="1"/>
  <c r="E20" i="47"/>
  <c r="E50" i="47" s="1"/>
  <c r="E19" i="47"/>
  <c r="E49" i="47" s="1"/>
  <c r="J48" i="47"/>
  <c r="P9" i="47"/>
  <c r="Q5" i="47"/>
  <c r="Q9" i="47" s="1"/>
  <c r="H48" i="45" l="1"/>
  <c r="I47" i="45"/>
  <c r="K47" i="45"/>
  <c r="L46" i="45"/>
  <c r="D47" i="45"/>
  <c r="E46" i="45"/>
  <c r="O21" i="47"/>
  <c r="O50" i="47"/>
  <c r="W24" i="47"/>
  <c r="W53" i="47"/>
  <c r="S21" i="47"/>
  <c r="S51" i="47" s="1"/>
  <c r="C21" i="47"/>
  <c r="C51" i="47" s="1"/>
  <c r="J49" i="47"/>
  <c r="E21" i="47"/>
  <c r="E51" i="47" s="1"/>
  <c r="E47" i="45" l="1"/>
  <c r="D48" i="45"/>
  <c r="K48" i="45"/>
  <c r="L47" i="45"/>
  <c r="I48" i="45"/>
  <c r="H49" i="45"/>
  <c r="W25" i="47"/>
  <c r="W54" i="47"/>
  <c r="O22" i="47"/>
  <c r="O51" i="47"/>
  <c r="S22" i="47"/>
  <c r="S52" i="47" s="1"/>
  <c r="E22" i="47"/>
  <c r="E52" i="47" s="1"/>
  <c r="J50" i="47"/>
  <c r="C22" i="47"/>
  <c r="C52" i="47" s="1"/>
  <c r="A11" i="42"/>
  <c r="A12" i="42" s="1"/>
  <c r="A13" i="42" s="1"/>
  <c r="A14" i="42" s="1"/>
  <c r="T18" i="47"/>
  <c r="I49" i="45" l="1"/>
  <c r="H50" i="45"/>
  <c r="K49" i="45"/>
  <c r="L48" i="45"/>
  <c r="E48" i="45"/>
  <c r="D49" i="45"/>
  <c r="O23" i="47"/>
  <c r="O52" i="47"/>
  <c r="W26" i="47"/>
  <c r="W55" i="47"/>
  <c r="S23" i="47"/>
  <c r="S53" i="47" s="1"/>
  <c r="C23" i="47"/>
  <c r="C53" i="47" s="1"/>
  <c r="E23" i="47"/>
  <c r="E53" i="47" s="1"/>
  <c r="J51" i="47"/>
  <c r="A19" i="47"/>
  <c r="T19" i="47" s="1"/>
  <c r="A48" i="47"/>
  <c r="K18" i="47"/>
  <c r="F18" i="47"/>
  <c r="F48" i="47" s="1"/>
  <c r="D18" i="47"/>
  <c r="A15" i="42"/>
  <c r="E49" i="45" l="1"/>
  <c r="D50" i="45"/>
  <c r="L49" i="45"/>
  <c r="K50" i="45"/>
  <c r="H51" i="45"/>
  <c r="I50" i="45"/>
  <c r="D48" i="47"/>
  <c r="G48" i="47" s="1"/>
  <c r="H48" i="47" s="1"/>
  <c r="W27" i="47"/>
  <c r="W56" i="47"/>
  <c r="O24" i="47"/>
  <c r="O53" i="47"/>
  <c r="U18" i="47"/>
  <c r="AB18" i="47" s="1"/>
  <c r="AB48" i="47" s="1"/>
  <c r="T48" i="47"/>
  <c r="U48" i="47" s="1"/>
  <c r="L18" i="47"/>
  <c r="M18" i="47" s="1"/>
  <c r="K48" i="47"/>
  <c r="L48" i="47" s="1"/>
  <c r="M48" i="47" s="1"/>
  <c r="U19" i="47"/>
  <c r="D19" i="47"/>
  <c r="S24" i="47"/>
  <c r="S54" i="47" s="1"/>
  <c r="G18" i="47"/>
  <c r="H18" i="47" s="1"/>
  <c r="E24" i="47"/>
  <c r="E54" i="47" s="1"/>
  <c r="C24" i="47"/>
  <c r="C54" i="47" s="1"/>
  <c r="J52" i="47"/>
  <c r="A20" i="47"/>
  <c r="T20" i="47" s="1"/>
  <c r="A49" i="47"/>
  <c r="F19" i="47"/>
  <c r="K19" i="47"/>
  <c r="L19" i="47" s="1"/>
  <c r="M19" i="47" s="1"/>
  <c r="A16" i="42"/>
  <c r="H52" i="45" l="1"/>
  <c r="I51" i="45"/>
  <c r="L50" i="45"/>
  <c r="K51" i="45"/>
  <c r="D51" i="45"/>
  <c r="E50" i="45"/>
  <c r="AB19" i="47"/>
  <c r="AB49" i="47" s="1"/>
  <c r="S28" i="2"/>
  <c r="O25" i="47"/>
  <c r="O54" i="47"/>
  <c r="W28" i="47"/>
  <c r="W57" i="47"/>
  <c r="T49" i="47"/>
  <c r="U49" i="47" s="1"/>
  <c r="K49" i="47"/>
  <c r="L49" i="47" s="1"/>
  <c r="M49" i="47" s="1"/>
  <c r="F49" i="47"/>
  <c r="D49" i="47"/>
  <c r="S25" i="47"/>
  <c r="S55" i="47" s="1"/>
  <c r="U20" i="47"/>
  <c r="D20" i="47"/>
  <c r="J53" i="47"/>
  <c r="E25" i="47"/>
  <c r="E55" i="47" s="1"/>
  <c r="C25" i="47"/>
  <c r="C55" i="47" s="1"/>
  <c r="A21" i="47"/>
  <c r="T21" i="47" s="1"/>
  <c r="A50" i="47"/>
  <c r="F20" i="47"/>
  <c r="K20" i="47"/>
  <c r="L20" i="47" s="1"/>
  <c r="M20" i="47" s="1"/>
  <c r="P18" i="47"/>
  <c r="Q18" i="47" s="1"/>
  <c r="AF18" i="47" s="1"/>
  <c r="G19" i="47"/>
  <c r="H19" i="47" s="1"/>
  <c r="A17" i="42"/>
  <c r="D52" i="45" l="1"/>
  <c r="E51" i="45"/>
  <c r="K52" i="45"/>
  <c r="L51" i="45"/>
  <c r="H53" i="45"/>
  <c r="I52" i="45"/>
  <c r="M77" i="48"/>
  <c r="M78" i="48" s="1"/>
  <c r="M79" i="48" s="1"/>
  <c r="M70" i="48"/>
  <c r="M71" i="48" s="1"/>
  <c r="M72" i="48" s="1"/>
  <c r="M63" i="48"/>
  <c r="M64" i="48" s="1"/>
  <c r="M65" i="48" s="1"/>
  <c r="M56" i="48"/>
  <c r="M57" i="48" s="1"/>
  <c r="M58" i="48" s="1"/>
  <c r="M48" i="48"/>
  <c r="M49" i="48" s="1"/>
  <c r="M50" i="48" s="1"/>
  <c r="M34" i="48"/>
  <c r="M35" i="48" s="1"/>
  <c r="M36" i="48" s="1"/>
  <c r="M27" i="48"/>
  <c r="M28" i="48" s="1"/>
  <c r="M29" i="48" s="1"/>
  <c r="M20" i="48"/>
  <c r="M21" i="48" s="1"/>
  <c r="M22" i="48" s="1"/>
  <c r="M6" i="48"/>
  <c r="M7" i="48" s="1"/>
  <c r="M8" i="48" s="1"/>
  <c r="O77" i="48"/>
  <c r="O78" i="48" s="1"/>
  <c r="O79" i="48" s="1"/>
  <c r="O80" i="48" s="1"/>
  <c r="O70" i="48"/>
  <c r="O71" i="48" s="1"/>
  <c r="O72" i="48" s="1"/>
  <c r="O73" i="48" s="1"/>
  <c r="O63" i="48"/>
  <c r="O64" i="48" s="1"/>
  <c r="O65" i="48" s="1"/>
  <c r="O66" i="48" s="1"/>
  <c r="O56" i="48"/>
  <c r="O57" i="48" s="1"/>
  <c r="O58" i="48" s="1"/>
  <c r="O59" i="48" s="1"/>
  <c r="O48" i="48"/>
  <c r="O49" i="48" s="1"/>
  <c r="O50" i="48" s="1"/>
  <c r="O51" i="48" s="1"/>
  <c r="O34" i="48"/>
  <c r="O35" i="48" s="1"/>
  <c r="O36" i="48" s="1"/>
  <c r="O37" i="48" s="1"/>
  <c r="O27" i="48"/>
  <c r="O28" i="48" s="1"/>
  <c r="O29" i="48" s="1"/>
  <c r="O30" i="48" s="1"/>
  <c r="O20" i="48"/>
  <c r="O21" i="48" s="1"/>
  <c r="O22" i="48" s="1"/>
  <c r="O23" i="48" s="1"/>
  <c r="O13" i="48"/>
  <c r="O14" i="48" s="1"/>
  <c r="O15" i="48" s="1"/>
  <c r="O16" i="48" s="1"/>
  <c r="O6" i="48"/>
  <c r="O7" i="48" s="1"/>
  <c r="O8" i="48" s="1"/>
  <c r="O9" i="48" s="1"/>
  <c r="M13" i="48"/>
  <c r="M14" i="48" s="1"/>
  <c r="M15" i="48" s="1"/>
  <c r="AB20" i="47"/>
  <c r="AB50" i="47" s="1"/>
  <c r="W29" i="47"/>
  <c r="W58" i="47"/>
  <c r="O26" i="47"/>
  <c r="O55" i="47"/>
  <c r="K50" i="47"/>
  <c r="L50" i="47" s="1"/>
  <c r="M50" i="47" s="1"/>
  <c r="T50" i="47"/>
  <c r="U50" i="47" s="1"/>
  <c r="F50" i="47"/>
  <c r="D50" i="47"/>
  <c r="G49" i="47"/>
  <c r="H49" i="47" s="1"/>
  <c r="P48" i="47"/>
  <c r="Q48" i="47" s="1"/>
  <c r="AF48" i="47" s="1"/>
  <c r="AG18" i="47"/>
  <c r="U21" i="47"/>
  <c r="D21" i="47"/>
  <c r="S26" i="47"/>
  <c r="S56" i="47" s="1"/>
  <c r="C26" i="47"/>
  <c r="C56" i="47" s="1"/>
  <c r="E26" i="47"/>
  <c r="E56" i="47" s="1"/>
  <c r="J54" i="47"/>
  <c r="A22" i="47"/>
  <c r="T22" i="47" s="1"/>
  <c r="A51" i="47"/>
  <c r="K21" i="47"/>
  <c r="L21" i="47" s="1"/>
  <c r="M21" i="47" s="1"/>
  <c r="F21" i="47"/>
  <c r="P19" i="47"/>
  <c r="Q19" i="47" s="1"/>
  <c r="AF19" i="47" s="1"/>
  <c r="G20" i="47"/>
  <c r="H20" i="47" s="1"/>
  <c r="A18" i="42"/>
  <c r="H54" i="45" l="1"/>
  <c r="I53" i="45"/>
  <c r="D53" i="45"/>
  <c r="E52" i="45"/>
  <c r="K53" i="45"/>
  <c r="L52" i="45"/>
  <c r="M80" i="48"/>
  <c r="M81" i="48" s="1"/>
  <c r="M73" i="48"/>
  <c r="M74" i="48" s="1"/>
  <c r="M66" i="48"/>
  <c r="M67" i="48" s="1"/>
  <c r="M59" i="48"/>
  <c r="M60" i="48" s="1"/>
  <c r="M51" i="48"/>
  <c r="M52" i="48" s="1"/>
  <c r="M37" i="48"/>
  <c r="M38" i="48" s="1"/>
  <c r="M30" i="48"/>
  <c r="M31" i="48" s="1"/>
  <c r="M23" i="48"/>
  <c r="M24" i="48" s="1"/>
  <c r="M16" i="48"/>
  <c r="M17" i="48" s="1"/>
  <c r="M9" i="48"/>
  <c r="M10" i="48" s="1"/>
  <c r="AB21" i="47"/>
  <c r="AB51" i="47" s="1"/>
  <c r="O60" i="48"/>
  <c r="D96" i="48"/>
  <c r="O24" i="48"/>
  <c r="D92" i="48"/>
  <c r="O67" i="48"/>
  <c r="D97" i="48"/>
  <c r="D93" i="48"/>
  <c r="O31" i="48"/>
  <c r="O74" i="48"/>
  <c r="D98" i="48"/>
  <c r="O38" i="48"/>
  <c r="D94" i="48"/>
  <c r="D90" i="48"/>
  <c r="O10" i="48"/>
  <c r="D99" i="48"/>
  <c r="O81" i="48"/>
  <c r="O52" i="48"/>
  <c r="D95" i="48"/>
  <c r="D91" i="48"/>
  <c r="O17" i="48"/>
  <c r="O27" i="47"/>
  <c r="O56" i="47"/>
  <c r="W30" i="47"/>
  <c r="W59" i="47"/>
  <c r="T51" i="47"/>
  <c r="U51" i="47" s="1"/>
  <c r="F51" i="47"/>
  <c r="K51" i="47"/>
  <c r="L51" i="47" s="1"/>
  <c r="M51" i="47" s="1"/>
  <c r="D51" i="47"/>
  <c r="AG48" i="47"/>
  <c r="G50" i="47"/>
  <c r="H50" i="47" s="1"/>
  <c r="P49" i="47"/>
  <c r="Q49" i="47" s="1"/>
  <c r="AF49" i="47" s="1"/>
  <c r="S27" i="47"/>
  <c r="S57" i="47" s="1"/>
  <c r="AG19" i="47"/>
  <c r="U22" i="47"/>
  <c r="D22" i="47"/>
  <c r="J55" i="47"/>
  <c r="C27" i="47"/>
  <c r="C57" i="47" s="1"/>
  <c r="E27" i="47"/>
  <c r="E57" i="47" s="1"/>
  <c r="P20" i="47"/>
  <c r="Q20" i="47" s="1"/>
  <c r="AF20" i="47" s="1"/>
  <c r="G21" i="47"/>
  <c r="H21" i="47" s="1"/>
  <c r="A23" i="47"/>
  <c r="T23" i="47" s="1"/>
  <c r="A52" i="47"/>
  <c r="K22" i="47"/>
  <c r="L22" i="47" s="1"/>
  <c r="M22" i="47" s="1"/>
  <c r="F22" i="47"/>
  <c r="A19" i="42"/>
  <c r="K54" i="45" l="1"/>
  <c r="L53" i="45"/>
  <c r="E53" i="45"/>
  <c r="D54" i="45"/>
  <c r="H55" i="45"/>
  <c r="I54" i="45"/>
  <c r="AB22" i="47"/>
  <c r="AB52" i="47" s="1"/>
  <c r="W31" i="47"/>
  <c r="W60" i="47"/>
  <c r="O28" i="47"/>
  <c r="O57" i="47"/>
  <c r="K52" i="47"/>
  <c r="L52" i="47" s="1"/>
  <c r="M52" i="47" s="1"/>
  <c r="T52" i="47"/>
  <c r="U52" i="47" s="1"/>
  <c r="F52" i="47"/>
  <c r="D52" i="47"/>
  <c r="AG49" i="47"/>
  <c r="G51" i="47"/>
  <c r="H51" i="47" s="1"/>
  <c r="P50" i="47"/>
  <c r="Q50" i="47" s="1"/>
  <c r="AF50" i="47" s="1"/>
  <c r="U23" i="47"/>
  <c r="D23" i="47"/>
  <c r="AG20" i="47"/>
  <c r="S28" i="47"/>
  <c r="S58" i="47" s="1"/>
  <c r="E28" i="47"/>
  <c r="E58" i="47" s="1"/>
  <c r="C28" i="47"/>
  <c r="C58" i="47" s="1"/>
  <c r="J56" i="47"/>
  <c r="P21" i="47"/>
  <c r="Q21" i="47" s="1"/>
  <c r="AF21" i="47" s="1"/>
  <c r="G22" i="47"/>
  <c r="H22" i="47" s="1"/>
  <c r="A24" i="47"/>
  <c r="T24" i="47" s="1"/>
  <c r="A53" i="47"/>
  <c r="F23" i="47"/>
  <c r="K23" i="47"/>
  <c r="L23" i="47" s="1"/>
  <c r="M23" i="47" s="1"/>
  <c r="A20" i="42"/>
  <c r="I55" i="45" l="1"/>
  <c r="H56" i="45"/>
  <c r="I56" i="45" s="1"/>
  <c r="E54" i="45"/>
  <c r="D55" i="45"/>
  <c r="K55" i="45"/>
  <c r="L54" i="45"/>
  <c r="AB23" i="47"/>
  <c r="AB53" i="47" s="1"/>
  <c r="O29" i="47"/>
  <c r="O58" i="47"/>
  <c r="W32" i="47"/>
  <c r="W61" i="47"/>
  <c r="AG50" i="47"/>
  <c r="G52" i="47"/>
  <c r="H52" i="47" s="1"/>
  <c r="P51" i="47"/>
  <c r="Q51" i="47" s="1"/>
  <c r="AF51" i="47" s="1"/>
  <c r="T53" i="47"/>
  <c r="U53" i="47" s="1"/>
  <c r="D53" i="47"/>
  <c r="K53" i="47"/>
  <c r="L53" i="47" s="1"/>
  <c r="M53" i="47" s="1"/>
  <c r="F53" i="47"/>
  <c r="U24" i="47"/>
  <c r="D24" i="47"/>
  <c r="AG21" i="47"/>
  <c r="S29" i="47"/>
  <c r="S59" i="47" s="1"/>
  <c r="J57" i="47"/>
  <c r="E29" i="47"/>
  <c r="E59" i="47" s="1"/>
  <c r="C29" i="47"/>
  <c r="C59" i="47" s="1"/>
  <c r="A25" i="47"/>
  <c r="T25" i="47" s="1"/>
  <c r="A54" i="47"/>
  <c r="F24" i="47"/>
  <c r="K24" i="47"/>
  <c r="L24" i="47" s="1"/>
  <c r="M24" i="47" s="1"/>
  <c r="G23" i="47"/>
  <c r="H23" i="47" s="1"/>
  <c r="P22" i="47"/>
  <c r="Q22" i="47" s="1"/>
  <c r="AF22" i="47" s="1"/>
  <c r="A21" i="42"/>
  <c r="K56" i="45" l="1"/>
  <c r="L56" i="45" s="1"/>
  <c r="L55" i="45"/>
  <c r="D56" i="45"/>
  <c r="E56" i="45" s="1"/>
  <c r="E55" i="45"/>
  <c r="AB24" i="47"/>
  <c r="AB54" i="47" s="1"/>
  <c r="W33" i="47"/>
  <c r="W62" i="47"/>
  <c r="O30" i="47"/>
  <c r="O59" i="47"/>
  <c r="K54" i="47"/>
  <c r="L54" i="47" s="1"/>
  <c r="M54" i="47" s="1"/>
  <c r="T54" i="47"/>
  <c r="U54" i="47" s="1"/>
  <c r="F54" i="47"/>
  <c r="D54" i="47"/>
  <c r="G53" i="47"/>
  <c r="H53" i="47" s="1"/>
  <c r="P52" i="47"/>
  <c r="Q52" i="47" s="1"/>
  <c r="AF52" i="47" s="1"/>
  <c r="AG51" i="47"/>
  <c r="S30" i="47"/>
  <c r="S60" i="47" s="1"/>
  <c r="U25" i="47"/>
  <c r="D25" i="47"/>
  <c r="AG22" i="47"/>
  <c r="C30" i="47"/>
  <c r="C60" i="47" s="1"/>
  <c r="E30" i="47"/>
  <c r="E60" i="47" s="1"/>
  <c r="J58" i="47"/>
  <c r="A26" i="47"/>
  <c r="T26" i="47" s="1"/>
  <c r="A55" i="47"/>
  <c r="K25" i="47"/>
  <c r="L25" i="47" s="1"/>
  <c r="M25" i="47" s="1"/>
  <c r="F25" i="47"/>
  <c r="P23" i="47"/>
  <c r="Q23" i="47" s="1"/>
  <c r="AF23" i="47" s="1"/>
  <c r="G24" i="47"/>
  <c r="H24" i="47" s="1"/>
  <c r="A22" i="42"/>
  <c r="AB25" i="47" l="1"/>
  <c r="AB55" i="47" s="1"/>
  <c r="O31" i="47"/>
  <c r="O60" i="47"/>
  <c r="W34" i="47"/>
  <c r="W63" i="47"/>
  <c r="T55" i="47"/>
  <c r="U55" i="47" s="1"/>
  <c r="F55" i="47"/>
  <c r="K55" i="47"/>
  <c r="L55" i="47" s="1"/>
  <c r="M55" i="47" s="1"/>
  <c r="D55" i="47"/>
  <c r="AG52" i="47"/>
  <c r="G54" i="47"/>
  <c r="H54" i="47" s="1"/>
  <c r="P53" i="47"/>
  <c r="Q53" i="47" s="1"/>
  <c r="AF53" i="47" s="1"/>
  <c r="AG23" i="47"/>
  <c r="U26" i="47"/>
  <c r="D26" i="47"/>
  <c r="S31" i="47"/>
  <c r="S61" i="47" s="1"/>
  <c r="J59" i="47"/>
  <c r="C31" i="47"/>
  <c r="C61" i="47" s="1"/>
  <c r="E31" i="47"/>
  <c r="E61" i="47" s="1"/>
  <c r="P24" i="47"/>
  <c r="Q24" i="47" s="1"/>
  <c r="AF24" i="47" s="1"/>
  <c r="G25" i="47"/>
  <c r="H25" i="47" s="1"/>
  <c r="A27" i="47"/>
  <c r="T27" i="47" s="1"/>
  <c r="A56" i="47"/>
  <c r="K26" i="47"/>
  <c r="L26" i="47" s="1"/>
  <c r="M26" i="47" s="1"/>
  <c r="F26" i="47"/>
  <c r="A23" i="42"/>
  <c r="AB26" i="47" l="1"/>
  <c r="AB56" i="47" s="1"/>
  <c r="W35" i="47"/>
  <c r="W64" i="47"/>
  <c r="O32" i="47"/>
  <c r="O61" i="47"/>
  <c r="K56" i="47"/>
  <c r="L56" i="47" s="1"/>
  <c r="M56" i="47" s="1"/>
  <c r="T56" i="47"/>
  <c r="U56" i="47" s="1"/>
  <c r="F56" i="47"/>
  <c r="D56" i="47"/>
  <c r="AG53" i="47"/>
  <c r="G55" i="47"/>
  <c r="H55" i="47" s="1"/>
  <c r="P54" i="47"/>
  <c r="Q54" i="47" s="1"/>
  <c r="AF54" i="47" s="1"/>
  <c r="U27" i="47"/>
  <c r="D27" i="47"/>
  <c r="AG24" i="47"/>
  <c r="S32" i="47"/>
  <c r="S62" i="47" s="1"/>
  <c r="E32" i="47"/>
  <c r="E62" i="47" s="1"/>
  <c r="C32" i="47"/>
  <c r="C62" i="47" s="1"/>
  <c r="J60" i="47"/>
  <c r="P25" i="47"/>
  <c r="Q25" i="47" s="1"/>
  <c r="AF25" i="47" s="1"/>
  <c r="G26" i="47"/>
  <c r="H26" i="47" s="1"/>
  <c r="A28" i="47"/>
  <c r="T28" i="47" s="1"/>
  <c r="A57" i="47"/>
  <c r="F27" i="47"/>
  <c r="K27" i="47"/>
  <c r="L27" i="47" s="1"/>
  <c r="M27" i="47" s="1"/>
  <c r="A24" i="42"/>
  <c r="U39" i="45" l="1"/>
  <c r="AB27" i="47"/>
  <c r="AB57" i="47" s="1"/>
  <c r="O33" i="47"/>
  <c r="O62" i="47"/>
  <c r="W36" i="47"/>
  <c r="W65" i="47"/>
  <c r="T57" i="47"/>
  <c r="U57" i="47" s="1"/>
  <c r="F57" i="47"/>
  <c r="K57" i="47"/>
  <c r="L57" i="47" s="1"/>
  <c r="M57" i="47" s="1"/>
  <c r="D57" i="47"/>
  <c r="AG54" i="47"/>
  <c r="G56" i="47"/>
  <c r="H56" i="47" s="1"/>
  <c r="P55" i="47"/>
  <c r="Q55" i="47" s="1"/>
  <c r="AF55" i="47" s="1"/>
  <c r="S33" i="47"/>
  <c r="S63" i="47" s="1"/>
  <c r="U28" i="47"/>
  <c r="D28" i="47"/>
  <c r="AG25" i="47"/>
  <c r="J61" i="47"/>
  <c r="E33" i="47"/>
  <c r="E63" i="47" s="1"/>
  <c r="C33" i="47"/>
  <c r="C63" i="47" s="1"/>
  <c r="A29" i="47"/>
  <c r="T29" i="47" s="1"/>
  <c r="A58" i="47"/>
  <c r="F28" i="47"/>
  <c r="K28" i="47"/>
  <c r="L28" i="47" s="1"/>
  <c r="M28" i="47" s="1"/>
  <c r="P26" i="47"/>
  <c r="Q26" i="47" s="1"/>
  <c r="G27" i="47"/>
  <c r="H27" i="47" s="1"/>
  <c r="A25" i="42"/>
  <c r="A26" i="42" s="1"/>
  <c r="A27" i="42" s="1"/>
  <c r="A28" i="42" s="1"/>
  <c r="A29" i="42" s="1"/>
  <c r="J37" i="47" l="1"/>
  <c r="U40" i="45"/>
  <c r="S39" i="45"/>
  <c r="P39" i="45"/>
  <c r="V39" i="45"/>
  <c r="AF26" i="47"/>
  <c r="AG26" i="47" s="1"/>
  <c r="AB28" i="47"/>
  <c r="AB58" i="47" s="1"/>
  <c r="W37" i="47"/>
  <c r="W66" i="47"/>
  <c r="O34" i="47"/>
  <c r="O63" i="47"/>
  <c r="K58" i="47"/>
  <c r="L58" i="47" s="1"/>
  <c r="M58" i="47" s="1"/>
  <c r="T58" i="47"/>
  <c r="U58" i="47" s="1"/>
  <c r="F58" i="47"/>
  <c r="D58" i="47"/>
  <c r="AG55" i="47"/>
  <c r="G57" i="47"/>
  <c r="H57" i="47" s="1"/>
  <c r="P56" i="47"/>
  <c r="Q56" i="47" s="1"/>
  <c r="AF56" i="47" s="1"/>
  <c r="U29" i="47"/>
  <c r="D29" i="47"/>
  <c r="S34" i="47"/>
  <c r="S64" i="47" s="1"/>
  <c r="C34" i="47"/>
  <c r="C64" i="47" s="1"/>
  <c r="E34" i="47"/>
  <c r="E64" i="47" s="1"/>
  <c r="J62" i="47"/>
  <c r="A30" i="47"/>
  <c r="T30" i="47" s="1"/>
  <c r="A59" i="47"/>
  <c r="K29" i="47"/>
  <c r="L29" i="47" s="1"/>
  <c r="M29" i="47" s="1"/>
  <c r="F29" i="47"/>
  <c r="P27" i="47"/>
  <c r="Q27" i="47" s="1"/>
  <c r="AF27" i="47" s="1"/>
  <c r="G28" i="47"/>
  <c r="H28" i="47" s="1"/>
  <c r="V40" i="45" l="1"/>
  <c r="U41" i="45"/>
  <c r="J38" i="47"/>
  <c r="AB29" i="47"/>
  <c r="AB59" i="47" s="1"/>
  <c r="O35" i="47"/>
  <c r="O64" i="47"/>
  <c r="W38" i="47"/>
  <c r="W68" i="47" s="1"/>
  <c r="W67" i="47"/>
  <c r="T59" i="47"/>
  <c r="U59" i="47" s="1"/>
  <c r="F59" i="47"/>
  <c r="D59" i="47"/>
  <c r="K59" i="47"/>
  <c r="L59" i="47" s="1"/>
  <c r="M59" i="47" s="1"/>
  <c r="AG56" i="47"/>
  <c r="G58" i="47"/>
  <c r="H58" i="47" s="1"/>
  <c r="P57" i="47"/>
  <c r="Q57" i="47" s="1"/>
  <c r="AF57" i="47" s="1"/>
  <c r="S35" i="47"/>
  <c r="S65" i="47" s="1"/>
  <c r="AG27" i="47"/>
  <c r="U30" i="47"/>
  <c r="D30" i="47"/>
  <c r="J63" i="47"/>
  <c r="C35" i="47"/>
  <c r="C65" i="47" s="1"/>
  <c r="E35" i="47"/>
  <c r="E65" i="47" s="1"/>
  <c r="P28" i="47"/>
  <c r="Q28" i="47" s="1"/>
  <c r="AF28" i="47" s="1"/>
  <c r="G29" i="47"/>
  <c r="H29" i="47" s="1"/>
  <c r="A31" i="47"/>
  <c r="T31" i="47" s="1"/>
  <c r="A60" i="47"/>
  <c r="K30" i="47"/>
  <c r="L30" i="47" s="1"/>
  <c r="M30" i="47" s="1"/>
  <c r="F30" i="47"/>
  <c r="V41" i="45" l="1"/>
  <c r="U42" i="45"/>
  <c r="AB30" i="47"/>
  <c r="AB60" i="47" s="1"/>
  <c r="O36" i="47"/>
  <c r="O65" i="47"/>
  <c r="K60" i="47"/>
  <c r="L60" i="47" s="1"/>
  <c r="M60" i="47" s="1"/>
  <c r="T60" i="47"/>
  <c r="U60" i="47" s="1"/>
  <c r="F60" i="47"/>
  <c r="D60" i="47"/>
  <c r="AG57" i="47"/>
  <c r="G59" i="47"/>
  <c r="H59" i="47" s="1"/>
  <c r="P58" i="47"/>
  <c r="Q58" i="47" s="1"/>
  <c r="AF58" i="47" s="1"/>
  <c r="U31" i="47"/>
  <c r="D31" i="47"/>
  <c r="AG28" i="47"/>
  <c r="S36" i="47"/>
  <c r="S66" i="47" s="1"/>
  <c r="E36" i="47"/>
  <c r="E66" i="47" s="1"/>
  <c r="C36" i="47"/>
  <c r="C66" i="47" s="1"/>
  <c r="J64" i="47"/>
  <c r="P29" i="47"/>
  <c r="Q29" i="47" s="1"/>
  <c r="AF29" i="47" s="1"/>
  <c r="G30" i="47"/>
  <c r="H30" i="47" s="1"/>
  <c r="A32" i="47"/>
  <c r="T32" i="47" s="1"/>
  <c r="A61" i="47"/>
  <c r="F31" i="47"/>
  <c r="K31" i="47"/>
  <c r="L31" i="47" s="1"/>
  <c r="M31" i="47" s="1"/>
  <c r="U43" i="45" l="1"/>
  <c r="V42" i="45"/>
  <c r="AB31" i="47"/>
  <c r="AB61" i="47" s="1"/>
  <c r="O37" i="47"/>
  <c r="O66" i="47"/>
  <c r="AG58" i="47"/>
  <c r="T61" i="47"/>
  <c r="U61" i="47" s="1"/>
  <c r="F61" i="47"/>
  <c r="K61" i="47"/>
  <c r="L61" i="47" s="1"/>
  <c r="M61" i="47" s="1"/>
  <c r="D61" i="47"/>
  <c r="G60" i="47"/>
  <c r="H60" i="47" s="1"/>
  <c r="P59" i="47"/>
  <c r="Q59" i="47" s="1"/>
  <c r="AF59" i="47" s="1"/>
  <c r="S37" i="47"/>
  <c r="S67" i="47" s="1"/>
  <c r="U32" i="47"/>
  <c r="D32" i="47"/>
  <c r="AG29" i="47"/>
  <c r="J65" i="47"/>
  <c r="E37" i="47"/>
  <c r="E67" i="47" s="1"/>
  <c r="C37" i="47"/>
  <c r="C67" i="47" s="1"/>
  <c r="A33" i="47"/>
  <c r="T33" i="47" s="1"/>
  <c r="A62" i="47"/>
  <c r="F32" i="47"/>
  <c r="K32" i="47"/>
  <c r="L32" i="47" s="1"/>
  <c r="M32" i="47" s="1"/>
  <c r="G31" i="47"/>
  <c r="H31" i="47" s="1"/>
  <c r="P30" i="47"/>
  <c r="Q30" i="47" s="1"/>
  <c r="AF30" i="47" s="1"/>
  <c r="U44" i="45" l="1"/>
  <c r="V43" i="45"/>
  <c r="AB32" i="47"/>
  <c r="AB62" i="47" s="1"/>
  <c r="O38" i="47"/>
  <c r="O68" i="47" s="1"/>
  <c r="O67" i="47"/>
  <c r="K62" i="47"/>
  <c r="L62" i="47" s="1"/>
  <c r="M62" i="47" s="1"/>
  <c r="T62" i="47"/>
  <c r="U62" i="47" s="1"/>
  <c r="F62" i="47"/>
  <c r="D62" i="47"/>
  <c r="AG59" i="47"/>
  <c r="G61" i="47"/>
  <c r="H61" i="47" s="1"/>
  <c r="P60" i="47"/>
  <c r="Q60" i="47" s="1"/>
  <c r="AF60" i="47" s="1"/>
  <c r="AG30" i="47"/>
  <c r="U33" i="47"/>
  <c r="D33" i="47"/>
  <c r="S38" i="47"/>
  <c r="S68" i="47" s="1"/>
  <c r="C38" i="47"/>
  <c r="C68" i="47" s="1"/>
  <c r="E38" i="47"/>
  <c r="E68" i="47" s="1"/>
  <c r="J66" i="47"/>
  <c r="A34" i="47"/>
  <c r="T34" i="47" s="1"/>
  <c r="A63" i="47"/>
  <c r="K33" i="47"/>
  <c r="L33" i="47" s="1"/>
  <c r="M33" i="47" s="1"/>
  <c r="F33" i="47"/>
  <c r="G32" i="47"/>
  <c r="H32" i="47" s="1"/>
  <c r="P31" i="47"/>
  <c r="Q31" i="47" s="1"/>
  <c r="AF31" i="47" s="1"/>
  <c r="V44" i="45" l="1"/>
  <c r="U45" i="45"/>
  <c r="AB33" i="47"/>
  <c r="AB63" i="47" s="1"/>
  <c r="T63" i="47"/>
  <c r="U63" i="47" s="1"/>
  <c r="F63" i="47"/>
  <c r="K63" i="47"/>
  <c r="L63" i="47" s="1"/>
  <c r="M63" i="47" s="1"/>
  <c r="D63" i="47"/>
  <c r="AG60" i="47"/>
  <c r="G62" i="47"/>
  <c r="H62" i="47" s="1"/>
  <c r="P61" i="47"/>
  <c r="Q61" i="47" s="1"/>
  <c r="AF61" i="47" s="1"/>
  <c r="AG31" i="47"/>
  <c r="U34" i="47"/>
  <c r="D34" i="47"/>
  <c r="J67" i="47"/>
  <c r="P32" i="47"/>
  <c r="Q32" i="47" s="1"/>
  <c r="AF32" i="47" s="1"/>
  <c r="G33" i="47"/>
  <c r="H33" i="47" s="1"/>
  <c r="A35" i="47"/>
  <c r="T35" i="47" s="1"/>
  <c r="A64" i="47"/>
  <c r="K34" i="47"/>
  <c r="L34" i="47" s="1"/>
  <c r="M34" i="47" s="1"/>
  <c r="F34" i="47"/>
  <c r="V45" i="45" l="1"/>
  <c r="U46" i="45"/>
  <c r="AB34" i="47"/>
  <c r="AB64" i="47" s="1"/>
  <c r="K64" i="47"/>
  <c r="L64" i="47" s="1"/>
  <c r="M64" i="47" s="1"/>
  <c r="T64" i="47"/>
  <c r="U64" i="47" s="1"/>
  <c r="F64" i="47"/>
  <c r="D64" i="47"/>
  <c r="AG61" i="47"/>
  <c r="G63" i="47"/>
  <c r="H63" i="47" s="1"/>
  <c r="P62" i="47"/>
  <c r="Q62" i="47" s="1"/>
  <c r="AF62" i="47" s="1"/>
  <c r="U35" i="47"/>
  <c r="D35" i="47"/>
  <c r="AG32" i="47"/>
  <c r="J68" i="47"/>
  <c r="P33" i="47"/>
  <c r="Q33" i="47" s="1"/>
  <c r="AF33" i="47" s="1"/>
  <c r="G34" i="47"/>
  <c r="H34" i="47" s="1"/>
  <c r="A36" i="47"/>
  <c r="T36" i="47" s="1"/>
  <c r="A65" i="47"/>
  <c r="F35" i="47"/>
  <c r="K35" i="47"/>
  <c r="L35" i="47" s="1"/>
  <c r="M35" i="47" s="1"/>
  <c r="U47" i="45" l="1"/>
  <c r="V46" i="45"/>
  <c r="AB35" i="47"/>
  <c r="AB65" i="47" s="1"/>
  <c r="T65" i="47"/>
  <c r="U65" i="47" s="1"/>
  <c r="F65" i="47"/>
  <c r="K65" i="47"/>
  <c r="L65" i="47" s="1"/>
  <c r="M65" i="47" s="1"/>
  <c r="D65" i="47"/>
  <c r="AG62" i="47"/>
  <c r="G64" i="47"/>
  <c r="H64" i="47" s="1"/>
  <c r="P63" i="47"/>
  <c r="Q63" i="47" s="1"/>
  <c r="AF63" i="47" s="1"/>
  <c r="U36" i="47"/>
  <c r="D36" i="47"/>
  <c r="AG33" i="47"/>
  <c r="A37" i="47"/>
  <c r="T37" i="47" s="1"/>
  <c r="A66" i="47"/>
  <c r="F36" i="47"/>
  <c r="K36" i="47"/>
  <c r="L36" i="47" s="1"/>
  <c r="M36" i="47" s="1"/>
  <c r="G35" i="47"/>
  <c r="H35" i="47" s="1"/>
  <c r="P34" i="47"/>
  <c r="Q34" i="47" s="1"/>
  <c r="AF34" i="47" s="1"/>
  <c r="U48" i="45" l="1"/>
  <c r="V47" i="45"/>
  <c r="AB36" i="47"/>
  <c r="AB66" i="47" s="1"/>
  <c r="K66" i="47"/>
  <c r="L66" i="47" s="1"/>
  <c r="M66" i="47" s="1"/>
  <c r="T66" i="47"/>
  <c r="U66" i="47" s="1"/>
  <c r="F66" i="47"/>
  <c r="D66" i="47"/>
  <c r="AG63" i="47"/>
  <c r="G65" i="47"/>
  <c r="H65" i="47" s="1"/>
  <c r="P64" i="47"/>
  <c r="Q64" i="47" s="1"/>
  <c r="AF64" i="47" s="1"/>
  <c r="U37" i="47"/>
  <c r="D37" i="47"/>
  <c r="AG34" i="47"/>
  <c r="A38" i="47"/>
  <c r="T38" i="47" s="1"/>
  <c r="A67" i="47"/>
  <c r="K37" i="47"/>
  <c r="L37" i="47" s="1"/>
  <c r="M37" i="47" s="1"/>
  <c r="F37" i="47"/>
  <c r="P35" i="47"/>
  <c r="Q35" i="47" s="1"/>
  <c r="AF35" i="47" s="1"/>
  <c r="G36" i="47"/>
  <c r="H36" i="47" s="1"/>
  <c r="V48" i="45" l="1"/>
  <c r="U49" i="45"/>
  <c r="AB37" i="47"/>
  <c r="AB67" i="47" s="1"/>
  <c r="T67" i="47"/>
  <c r="U67" i="47" s="1"/>
  <c r="F67" i="47"/>
  <c r="D67" i="47"/>
  <c r="K67" i="47"/>
  <c r="L67" i="47" s="1"/>
  <c r="M67" i="47" s="1"/>
  <c r="AG64" i="47"/>
  <c r="G66" i="47"/>
  <c r="H66" i="47" s="1"/>
  <c r="P65" i="47"/>
  <c r="Q65" i="47" s="1"/>
  <c r="AF65" i="47" s="1"/>
  <c r="AG35" i="47"/>
  <c r="U38" i="47"/>
  <c r="D38" i="47"/>
  <c r="G37" i="47"/>
  <c r="H37" i="47" s="1"/>
  <c r="P36" i="47"/>
  <c r="Q36" i="47" s="1"/>
  <c r="AF36" i="47" s="1"/>
  <c r="F38" i="47"/>
  <c r="A68" i="47"/>
  <c r="P38" i="47"/>
  <c r="Q38" i="47" s="1"/>
  <c r="K38" i="47"/>
  <c r="L38" i="47" s="1"/>
  <c r="M38" i="47" s="1"/>
  <c r="V49" i="45" l="1"/>
  <c r="U50" i="45"/>
  <c r="AB38" i="47"/>
  <c r="K68" i="47"/>
  <c r="L68" i="47" s="1"/>
  <c r="M68" i="47" s="1"/>
  <c r="T68" i="47"/>
  <c r="U68" i="47" s="1"/>
  <c r="P68" i="47"/>
  <c r="Q68" i="47" s="1"/>
  <c r="F68" i="47"/>
  <c r="D68" i="47"/>
  <c r="AG65" i="47"/>
  <c r="G67" i="47"/>
  <c r="H67" i="47" s="1"/>
  <c r="P66" i="47"/>
  <c r="Q66" i="47" s="1"/>
  <c r="AF66" i="47" s="1"/>
  <c r="AG36" i="47"/>
  <c r="G38" i="47"/>
  <c r="H38" i="47" s="1"/>
  <c r="P37" i="47"/>
  <c r="Q37" i="47" s="1"/>
  <c r="AF37" i="47" s="1"/>
  <c r="V50" i="45" l="1"/>
  <c r="U51" i="45"/>
  <c r="AF38" i="47"/>
  <c r="AG38" i="47" s="1"/>
  <c r="AB68" i="47"/>
  <c r="AG66" i="47"/>
  <c r="G68" i="47"/>
  <c r="H68" i="47" s="1"/>
  <c r="P67" i="47"/>
  <c r="Q67" i="47" s="1"/>
  <c r="AF67" i="47" s="1"/>
  <c r="AG37" i="47"/>
  <c r="U52" i="45" l="1"/>
  <c r="V51" i="45"/>
  <c r="AF68" i="47"/>
  <c r="AG68" i="47" s="1"/>
  <c r="AG40" i="47"/>
  <c r="AG67" i="47"/>
  <c r="AG70" i="47" l="1"/>
  <c r="V52" i="45"/>
  <c r="U53" i="45"/>
  <c r="V53" i="45" l="1"/>
  <c r="U54" i="45"/>
  <c r="U55" i="45" l="1"/>
  <c r="V54" i="45"/>
  <c r="U56" i="45" l="1"/>
  <c r="V56" i="45" s="1"/>
  <c r="V55" i="45"/>
</calcChain>
</file>

<file path=xl/sharedStrings.xml><?xml version="1.0" encoding="utf-8"?>
<sst xmlns="http://schemas.openxmlformats.org/spreadsheetml/2006/main" count="375" uniqueCount="118">
  <si>
    <t>WIN</t>
  </si>
  <si>
    <t>SUM</t>
  </si>
  <si>
    <t>YEAR</t>
  </si>
  <si>
    <t>Peaking</t>
  </si>
  <si>
    <t>Year</t>
  </si>
  <si>
    <t>$/kW</t>
  </si>
  <si>
    <t>K$/Yr</t>
  </si>
  <si>
    <t>FCR</t>
  </si>
  <si>
    <t xml:space="preserve"> Jan</t>
  </si>
  <si>
    <t xml:space="preserve"> Feb</t>
  </si>
  <si>
    <t xml:space="preserve"> Mar</t>
  </si>
  <si>
    <t xml:space="preserve"> Apr</t>
  </si>
  <si>
    <t xml:space="preserve"> May</t>
  </si>
  <si>
    <t xml:space="preserve"> Jun</t>
  </si>
  <si>
    <t xml:space="preserve"> Jul</t>
  </si>
  <si>
    <t xml:space="preserve"> Aug</t>
  </si>
  <si>
    <t xml:space="preserve"> Sep</t>
  </si>
  <si>
    <t xml:space="preserve"> Oct</t>
  </si>
  <si>
    <t xml:space="preserve"> Nov</t>
  </si>
  <si>
    <t xml:space="preserve"> Dec</t>
  </si>
  <si>
    <t>CC</t>
  </si>
  <si>
    <t>MW</t>
  </si>
  <si>
    <t>Int</t>
  </si>
  <si>
    <t>COAL</t>
  </si>
  <si>
    <t>GAS</t>
  </si>
  <si>
    <t>Dep</t>
  </si>
  <si>
    <t>TIER</t>
  </si>
  <si>
    <t>Tax &amp; Ins</t>
  </si>
  <si>
    <t>INPUT DATA:</t>
  </si>
  <si>
    <t>ITERATION BASE YEAR:</t>
  </si>
  <si>
    <t>Base</t>
  </si>
  <si>
    <t>YRS</t>
  </si>
  <si>
    <t>Deferred</t>
  </si>
  <si>
    <t>STUDY TERM</t>
  </si>
  <si>
    <t>YR</t>
  </si>
  <si>
    <t>LEADTIME, L-T PURCH:</t>
  </si>
  <si>
    <t>REVISION DATE:</t>
  </si>
  <si>
    <t>TRANSMISSION</t>
  </si>
  <si>
    <t>LONG TERM PURCH</t>
  </si>
  <si>
    <t>FIXED O&amp;M</t>
  </si>
  <si>
    <t>COST</t>
  </si>
  <si>
    <t>(6Mo)</t>
  </si>
  <si>
    <t>TOTAL</t>
  </si>
  <si>
    <t>ESC.</t>
  </si>
  <si>
    <t>CT</t>
  </si>
  <si>
    <t>P.W. of</t>
  </si>
  <si>
    <t>PMTS</t>
  </si>
  <si>
    <t>$/kW-</t>
  </si>
  <si>
    <t>AVG</t>
  </si>
  <si>
    <t>AVG.</t>
  </si>
  <si>
    <t>(%)</t>
  </si>
  <si>
    <t>$/KW</t>
  </si>
  <si>
    <t>($1000)</t>
  </si>
  <si>
    <t>Mo.</t>
  </si>
  <si>
    <t>($/kW)</t>
  </si>
  <si>
    <t>TOTAL :</t>
  </si>
  <si>
    <t>EAST KENTUCKY POWER COOPERATIVE AVOIDED CAPACITY COSTS</t>
  </si>
  <si>
    <t>SUMMARY FOR:</t>
  </si>
  <si>
    <t xml:space="preserve">    REVISED DATE:</t>
  </si>
  <si>
    <t>SUPPLY-SIDE</t>
  </si>
  <si>
    <t>DEMAND-SIDE</t>
  </si>
  <si>
    <t>ANNUAL GROWTH (MW) :</t>
  </si>
  <si>
    <t>AVOIDED COSTS ($/kW) :</t>
  </si>
  <si>
    <t>LEVELIZED SAVINGS ($/kW-YR) :</t>
  </si>
  <si>
    <t>@DIST SUB</t>
  </si>
  <si>
    <t>@DIS SUB($/kW-mo)</t>
  </si>
  <si>
    <t>ESC</t>
  </si>
  <si>
    <t>GENERATION</t>
  </si>
  <si>
    <t>INTEREST RATE</t>
  </si>
  <si>
    <t>SINKING FUND DEPRECIATION RATE (30 YEARS)</t>
  </si>
  <si>
    <t>TAXES &amp; INSURANCE RATE</t>
  </si>
  <si>
    <t>OPERATION AND MAINTENANCE RATE</t>
  </si>
  <si>
    <t>CARRYING CHARGE RATE</t>
  </si>
  <si>
    <t>Intermediate</t>
  </si>
  <si>
    <t>TOT COST</t>
  </si>
  <si>
    <t>EAST KENTUCKY POWER COOPERATIVE</t>
  </si>
  <si>
    <t>AVOIDED CAPACITY COSTS</t>
  </si>
  <si>
    <t>BASE EXPANSION PLAN ($1,000s)</t>
  </si>
  <si>
    <t>1 YEAR DEFERRAL CASE ($1,000s)</t>
  </si>
  <si>
    <t>DIFFERENCE ($1000s) :</t>
  </si>
  <si>
    <t>DEM SIDE</t>
  </si>
  <si>
    <t>Levelized@DIST SUB</t>
  </si>
  <si>
    <t>Levelized Payment Variables</t>
  </si>
  <si>
    <t>Disc Rate</t>
  </si>
  <si>
    <t>Term</t>
  </si>
  <si>
    <t>Transm Loss</t>
  </si>
  <si>
    <t>LEADTIME SEASONAL:</t>
  </si>
  <si>
    <t>PMTS (1)</t>
  </si>
  <si>
    <t>$/kW-Mo</t>
  </si>
  <si>
    <t>CONSTR NG:</t>
  </si>
  <si>
    <t>DISCOUNT RATE:</t>
  </si>
  <si>
    <t>INTEREST RATE:</t>
  </si>
  <si>
    <t>BASE PLAN PRESENT WORTH ANALYSIS</t>
  </si>
  <si>
    <t>DEFERRED PLAN PRESENT WORTH ANALYSIS</t>
  </si>
  <si>
    <t>CTRL-H</t>
  </si>
  <si>
    <t>To run macro:</t>
  </si>
  <si>
    <t>10 year avg</t>
  </si>
  <si>
    <t>or</t>
  </si>
  <si>
    <t>Click!</t>
  </si>
  <si>
    <t>SEASONAL PURCHASES</t>
  </si>
  <si>
    <t>15 year avg</t>
  </si>
  <si>
    <t>L-T Purch</t>
  </si>
  <si>
    <t xml:space="preserve">CARRYING CHARGE RATES </t>
  </si>
  <si>
    <t>AVOIDED COST AVERAGE</t>
  </si>
  <si>
    <t>GROWTH</t>
  </si>
  <si>
    <t>LOAD</t>
  </si>
  <si>
    <t>ANNUAL COSTS</t>
  </si>
  <si>
    <t>PRESENT WORTH</t>
  </si>
  <si>
    <t>OF</t>
  </si>
  <si>
    <t>MARGINS (TIER):</t>
  </si>
  <si>
    <t>CAPACITY ADDITIONS</t>
  </si>
  <si>
    <t>Summer Peak</t>
  </si>
  <si>
    <t>Winter Peak</t>
  </si>
  <si>
    <t>RICE</t>
  </si>
  <si>
    <t>CONSTR RICE:</t>
  </si>
  <si>
    <t>Load Forecast</t>
  </si>
  <si>
    <t>Reciprocating Internal Combustion Engine</t>
  </si>
  <si>
    <t>Reciprocating Internal Combustion Engine (RICE)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</si>
</sst>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64" formatCode="0.0%"/>
    <numFmt numFmtId="165" formatCode="#,##0;;"/>
    <numFmt numFmtId="166" formatCode="_(* #,##0_);_(* \(#,##0\);_(* &quot;-&quot;??_);_(@_)"/>
    <numFmt numFmtId="167" formatCode="0.0"/>
    <numFmt numFmtId="168" formatCode="0.000"/>
    <numFmt numFmtId="169" formatCode="0;[Red]0"/>
    <numFmt numFmtId="170" formatCode="0.000%"/>
  </numFmts>
  <fonts count="35">
    <font>
      <sz val="12"/>
      <name val="Arial"/>
    </font>
    <font>
      <sz val="11"/>
      <color theme="1"/>
      <name val="Century Gothic"/>
      <family val="2"/>
      <scheme val="minor"/>
    </font>
    <font>
      <sz val="12"/>
      <name val="Arial"/>
      <family val="2"/>
    </font>
    <font>
      <sz val="10"/>
      <name val="CG Times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color rgb="FFFF0000"/>
      <name val="Arial"/>
      <family val="2"/>
    </font>
    <font>
      <sz val="8"/>
      <name val="Century Gothic"/>
      <family val="2"/>
      <scheme val="minor"/>
    </font>
    <font>
      <b/>
      <sz val="10"/>
      <name val="Century Gothic"/>
      <family val="2"/>
      <scheme val="minor"/>
    </font>
    <font>
      <sz val="9"/>
      <name val="Century Gothic"/>
      <family val="2"/>
      <scheme val="minor"/>
    </font>
    <font>
      <sz val="9"/>
      <color rgb="FFFF0000"/>
      <name val="Century Gothic"/>
      <family val="2"/>
      <scheme val="minor"/>
    </font>
    <font>
      <sz val="8"/>
      <name val="Times New Roman"/>
      <family val="1"/>
    </font>
    <font>
      <sz val="8"/>
      <color theme="9" tint="-0.249977111117893"/>
      <name val="Arial"/>
      <family val="2"/>
    </font>
    <font>
      <sz val="8"/>
      <color theme="7" tint="-0.249977111117893"/>
      <name val="Arial"/>
      <family val="2"/>
    </font>
    <font>
      <sz val="10"/>
      <name val="Century Gothic"/>
      <family val="2"/>
      <scheme val="minor"/>
    </font>
    <font>
      <b/>
      <sz val="8"/>
      <name val="Century Gothic"/>
      <family val="2"/>
      <scheme val="minor"/>
    </font>
    <font>
      <sz val="8"/>
      <color rgb="FFFF0000"/>
      <name val="Times New Roman"/>
      <family val="1"/>
    </font>
    <font>
      <b/>
      <sz val="9"/>
      <color rgb="FFFF0000"/>
      <name val="Century Gothic"/>
      <family val="2"/>
      <scheme val="minor"/>
    </font>
    <font>
      <sz val="8"/>
      <color rgb="FFFF0000"/>
      <name val="Century Gothic"/>
      <family val="2"/>
      <scheme val="minor"/>
    </font>
    <font>
      <b/>
      <sz val="8"/>
      <color rgb="FFFF0000"/>
      <name val="Arial"/>
      <family val="2"/>
    </font>
    <font>
      <sz val="12"/>
      <name val="Bahnschrift Light"/>
      <family val="2"/>
    </font>
    <font>
      <sz val="8"/>
      <name val="Bahnschrift Light"/>
      <family val="2"/>
    </font>
    <font>
      <b/>
      <sz val="14"/>
      <name val="Bahnschrift Light"/>
      <family val="2"/>
    </font>
    <font>
      <b/>
      <sz val="10"/>
      <name val="Bahnschrift Light"/>
      <family val="2"/>
    </font>
    <font>
      <b/>
      <sz val="18"/>
      <name val="Bahnschrift Light"/>
      <family val="2"/>
    </font>
    <font>
      <b/>
      <sz val="9"/>
      <name val="Bahnschrift Light"/>
      <family val="2"/>
    </font>
    <font>
      <sz val="10"/>
      <name val="Bahnschrift Light"/>
      <family val="2"/>
    </font>
    <font>
      <b/>
      <i/>
      <sz val="10"/>
      <name val="Bahnschrift Light"/>
      <family val="2"/>
    </font>
    <font>
      <b/>
      <sz val="10"/>
      <color rgb="FF000000"/>
      <name val="Bahnschrift Light"/>
      <family val="2"/>
    </font>
    <font>
      <sz val="12"/>
      <name val="Bahnschrift Condensed"/>
      <family val="2"/>
    </font>
    <font>
      <b/>
      <sz val="12"/>
      <color rgb="FF00B050"/>
      <name val="Bahnschrift Condensed"/>
      <family val="2"/>
    </font>
    <font>
      <b/>
      <sz val="12"/>
      <name val="Bahnschrift Condensed"/>
      <family val="2"/>
    </font>
    <font>
      <sz val="12"/>
      <color indexed="9"/>
      <name val="Bahnschrift Condensed"/>
      <family val="2"/>
    </font>
    <font>
      <sz val="11"/>
      <name val="Calibri"/>
      <family val="2"/>
    </font>
  </fonts>
  <fills count="1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50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0" fontId="6" fillId="0" borderId="0"/>
    <xf numFmtId="0" fontId="3" fillId="0" borderId="0"/>
    <xf numFmtId="9" fontId="2" fillId="0" borderId="0" applyFont="0" applyFill="0" applyBorder="0" applyAlignment="0" applyProtection="0"/>
    <xf numFmtId="3" fontId="3" fillId="0" borderId="0"/>
    <xf numFmtId="0" fontId="1" fillId="0" borderId="0"/>
  </cellStyleXfs>
  <cellXfs count="293">
    <xf numFmtId="0" fontId="0" fillId="0" borderId="0" xfId="0"/>
    <xf numFmtId="0" fontId="4" fillId="0" borderId="0" xfId="0" applyFont="1" applyFill="1" applyBorder="1"/>
    <xf numFmtId="0" fontId="4" fillId="0" borderId="7" xfId="0" applyFont="1" applyFill="1" applyBorder="1"/>
    <xf numFmtId="0" fontId="4" fillId="0" borderId="2" xfId="0" applyFont="1" applyFill="1" applyBorder="1" applyAlignment="1">
      <alignment horizontal="center"/>
    </xf>
    <xf numFmtId="165" fontId="5" fillId="0" borderId="0" xfId="0" applyNumberFormat="1" applyFont="1" applyFill="1" applyBorder="1"/>
    <xf numFmtId="0" fontId="4" fillId="0" borderId="8" xfId="0" applyFont="1" applyFill="1" applyBorder="1"/>
    <xf numFmtId="0" fontId="5" fillId="0" borderId="0" xfId="0" applyFont="1" applyFill="1" applyBorder="1"/>
    <xf numFmtId="0" fontId="4" fillId="0" borderId="6" xfId="0" applyFont="1" applyFill="1" applyBorder="1"/>
    <xf numFmtId="0" fontId="5" fillId="0" borderId="0" xfId="3" applyFont="1" applyFill="1" applyBorder="1" applyAlignment="1" applyProtection="1">
      <alignment horizontal="center"/>
      <protection locked="0"/>
    </xf>
    <xf numFmtId="0" fontId="4" fillId="0" borderId="1" xfId="0" applyFont="1" applyFill="1" applyBorder="1"/>
    <xf numFmtId="0" fontId="7" fillId="0" borderId="0" xfId="0" applyFont="1" applyFill="1" applyBorder="1"/>
    <xf numFmtId="0" fontId="8" fillId="0" borderId="5" xfId="0" applyFont="1" applyBorder="1"/>
    <xf numFmtId="0" fontId="8" fillId="0" borderId="0" xfId="0" applyFont="1" applyBorder="1"/>
    <xf numFmtId="0" fontId="8" fillId="0" borderId="2" xfId="0" applyFont="1" applyBorder="1"/>
    <xf numFmtId="0" fontId="8" fillId="0" borderId="0" xfId="0" applyFont="1"/>
    <xf numFmtId="0" fontId="8" fillId="0" borderId="0" xfId="0" applyFont="1" applyBorder="1" applyAlignment="1">
      <alignment horizontal="center"/>
    </xf>
    <xf numFmtId="0" fontId="8" fillId="0" borderId="6" xfId="0" applyFont="1" applyBorder="1"/>
    <xf numFmtId="0" fontId="8" fillId="0" borderId="4" xfId="0" applyFont="1" applyBorder="1"/>
    <xf numFmtId="0" fontId="10" fillId="0" borderId="0" xfId="0" applyFont="1"/>
    <xf numFmtId="0" fontId="10" fillId="0" borderId="0" xfId="0" applyFont="1" applyBorder="1"/>
    <xf numFmtId="0" fontId="10" fillId="0" borderId="12" xfId="0" applyFont="1" applyBorder="1"/>
    <xf numFmtId="0" fontId="10" fillId="5" borderId="0" xfId="0" applyFont="1" applyFill="1" applyBorder="1"/>
    <xf numFmtId="0" fontId="10" fillId="6" borderId="0" xfId="0" applyFont="1" applyFill="1" applyBorder="1"/>
    <xf numFmtId="0" fontId="11" fillId="0" borderId="0" xfId="0" applyFont="1"/>
    <xf numFmtId="166" fontId="10" fillId="0" borderId="12" xfId="1" applyNumberFormat="1" applyFont="1" applyBorder="1"/>
    <xf numFmtId="0" fontId="12" fillId="0" borderId="0" xfId="0" applyFont="1" applyFill="1" applyProtection="1">
      <protection locked="0"/>
    </xf>
    <xf numFmtId="0" fontId="10" fillId="0" borderId="5" xfId="0" applyFont="1" applyBorder="1"/>
    <xf numFmtId="0" fontId="10" fillId="0" borderId="1" xfId="0" applyFont="1" applyBorder="1"/>
    <xf numFmtId="0" fontId="10" fillId="0" borderId="8" xfId="0" applyFont="1" applyBorder="1"/>
    <xf numFmtId="0" fontId="10" fillId="0" borderId="6" xfId="0" applyFont="1" applyBorder="1"/>
    <xf numFmtId="0" fontId="10" fillId="0" borderId="7" xfId="0" applyFont="1" applyBorder="1"/>
    <xf numFmtId="0" fontId="10" fillId="0" borderId="4" xfId="0" applyFont="1" applyBorder="1"/>
    <xf numFmtId="0" fontId="10" fillId="0" borderId="2" xfId="0" applyFont="1" applyBorder="1"/>
    <xf numFmtId="0" fontId="10" fillId="0" borderId="3" xfId="0" applyFont="1" applyBorder="1"/>
    <xf numFmtId="14" fontId="10" fillId="7" borderId="0" xfId="0" applyNumberFormat="1" applyFont="1" applyFill="1"/>
    <xf numFmtId="3" fontId="10" fillId="0" borderId="0" xfId="0" applyNumberFormat="1" applyFont="1"/>
    <xf numFmtId="0" fontId="13" fillId="0" borderId="0" xfId="0" applyFont="1" applyFill="1" applyBorder="1"/>
    <xf numFmtId="0" fontId="13" fillId="0" borderId="6" xfId="0" applyFont="1" applyFill="1" applyBorder="1"/>
    <xf numFmtId="0" fontId="10" fillId="5" borderId="7" xfId="0" applyFont="1" applyFill="1" applyBorder="1"/>
    <xf numFmtId="0" fontId="10" fillId="5" borderId="2" xfId="0" applyFont="1" applyFill="1" applyBorder="1"/>
    <xf numFmtId="0" fontId="10" fillId="5" borderId="3" xfId="0" applyFont="1" applyFill="1" applyBorder="1"/>
    <xf numFmtId="0" fontId="10" fillId="6" borderId="7" xfId="0" applyFont="1" applyFill="1" applyBorder="1"/>
    <xf numFmtId="0" fontId="10" fillId="6" borderId="2" xfId="0" applyFont="1" applyFill="1" applyBorder="1"/>
    <xf numFmtId="0" fontId="10" fillId="6" borderId="3" xfId="0" applyFont="1" applyFill="1" applyBorder="1"/>
    <xf numFmtId="0" fontId="8" fillId="0" borderId="10" xfId="0" applyFont="1" applyBorder="1"/>
    <xf numFmtId="0" fontId="8" fillId="0" borderId="1" xfId="0" applyFont="1" applyBorder="1"/>
    <xf numFmtId="2" fontId="10" fillId="0" borderId="0" xfId="0" applyNumberFormat="1" applyFont="1" applyBorder="1"/>
    <xf numFmtId="2" fontId="10" fillId="0" borderId="2" xfId="0" applyNumberFormat="1" applyFont="1" applyBorder="1"/>
    <xf numFmtId="0" fontId="10" fillId="8" borderId="6" xfId="0" applyFont="1" applyFill="1" applyBorder="1"/>
    <xf numFmtId="0" fontId="10" fillId="8" borderId="0" xfId="0" applyFont="1" applyFill="1" applyBorder="1"/>
    <xf numFmtId="0" fontId="10" fillId="9" borderId="0" xfId="0" applyFont="1" applyFill="1" applyBorder="1"/>
    <xf numFmtId="1" fontId="10" fillId="0" borderId="7" xfId="0" applyNumberFormat="1" applyFont="1" applyBorder="1"/>
    <xf numFmtId="2" fontId="10" fillId="0" borderId="1" xfId="0" applyNumberFormat="1" applyFont="1" applyBorder="1"/>
    <xf numFmtId="1" fontId="10" fillId="0" borderId="8" xfId="0" applyNumberFormat="1" applyFont="1" applyBorder="1"/>
    <xf numFmtId="1" fontId="10" fillId="0" borderId="3" xfId="0" applyNumberFormat="1" applyFont="1" applyBorder="1"/>
    <xf numFmtId="0" fontId="10" fillId="10" borderId="0" xfId="0" applyFont="1" applyFill="1" applyBorder="1"/>
    <xf numFmtId="6" fontId="10" fillId="0" borderId="0" xfId="0" applyNumberFormat="1" applyFont="1"/>
    <xf numFmtId="3" fontId="10" fillId="0" borderId="1" xfId="0" applyNumberFormat="1" applyFont="1" applyBorder="1"/>
    <xf numFmtId="3" fontId="10" fillId="0" borderId="0" xfId="0" applyNumberFormat="1" applyFont="1" applyBorder="1"/>
    <xf numFmtId="3" fontId="10" fillId="0" borderId="2" xfId="0" applyNumberFormat="1" applyFont="1" applyBorder="1"/>
    <xf numFmtId="166" fontId="10" fillId="0" borderId="8" xfId="0" applyNumberFormat="1" applyFont="1" applyBorder="1"/>
    <xf numFmtId="3" fontId="15" fillId="0" borderId="0" xfId="5" applyFont="1" applyBorder="1"/>
    <xf numFmtId="3" fontId="9" fillId="0" borderId="0" xfId="5" applyFont="1" applyBorder="1" applyAlignment="1">
      <alignment horizontal="centerContinuous"/>
    </xf>
    <xf numFmtId="3" fontId="8" fillId="0" borderId="0" xfId="5" applyFont="1" applyBorder="1" applyAlignment="1">
      <alignment horizontal="centerContinuous"/>
    </xf>
    <xf numFmtId="1" fontId="8" fillId="0" borderId="0" xfId="5" applyNumberFormat="1" applyFont="1" applyBorder="1" applyAlignment="1" applyProtection="1">
      <alignment horizontal="centerContinuous"/>
    </xf>
    <xf numFmtId="2" fontId="8" fillId="0" borderId="0" xfId="5" applyNumberFormat="1" applyFont="1" applyBorder="1" applyAlignment="1" applyProtection="1">
      <alignment horizontal="centerContinuous"/>
    </xf>
    <xf numFmtId="167" fontId="8" fillId="0" borderId="0" xfId="5" applyNumberFormat="1" applyFont="1" applyBorder="1" applyAlignment="1" applyProtection="1">
      <alignment horizontal="centerContinuous"/>
    </xf>
    <xf numFmtId="3" fontId="9" fillId="0" borderId="0" xfId="5" applyFont="1" applyBorder="1" applyAlignment="1">
      <alignment horizontal="left"/>
    </xf>
    <xf numFmtId="169" fontId="16" fillId="0" borderId="0" xfId="5" applyNumberFormat="1" applyFont="1" applyBorder="1" applyAlignment="1">
      <alignment horizontal="center"/>
    </xf>
    <xf numFmtId="3" fontId="8" fillId="0" borderId="0" xfId="5" applyFont="1" applyBorder="1" applyAlignment="1" applyProtection="1">
      <alignment horizontal="center"/>
    </xf>
    <xf numFmtId="3" fontId="8" fillId="0" borderId="0" xfId="5" applyFont="1" applyBorder="1"/>
    <xf numFmtId="15" fontId="8" fillId="0" borderId="0" xfId="5" applyNumberFormat="1" applyFont="1" applyBorder="1" applyAlignment="1">
      <alignment horizontal="center"/>
    </xf>
    <xf numFmtId="1" fontId="16" fillId="0" borderId="0" xfId="5" applyNumberFormat="1" applyFont="1" applyBorder="1"/>
    <xf numFmtId="3" fontId="8" fillId="0" borderId="0" xfId="5" applyFont="1" applyBorder="1" applyAlignment="1" applyProtection="1">
      <alignment horizontal="left"/>
    </xf>
    <xf numFmtId="3" fontId="8" fillId="0" borderId="0" xfId="5" applyNumberFormat="1" applyFont="1" applyBorder="1" applyProtection="1"/>
    <xf numFmtId="1" fontId="8" fillId="0" borderId="0" xfId="5" applyNumberFormat="1" applyFont="1" applyBorder="1" applyProtection="1"/>
    <xf numFmtId="2" fontId="8" fillId="0" borderId="0" xfId="5" applyNumberFormat="1" applyFont="1" applyBorder="1" applyProtection="1"/>
    <xf numFmtId="14" fontId="8" fillId="0" borderId="0" xfId="5" applyNumberFormat="1" applyFont="1" applyBorder="1" applyAlignment="1">
      <alignment horizontal="center"/>
    </xf>
    <xf numFmtId="3" fontId="15" fillId="0" borderId="0" xfId="5" applyFont="1" applyBorder="1" applyAlignment="1">
      <alignment horizontal="center"/>
    </xf>
    <xf numFmtId="1" fontId="15" fillId="0" borderId="0" xfId="5" applyNumberFormat="1" applyFont="1" applyBorder="1"/>
    <xf numFmtId="164" fontId="15" fillId="0" borderId="0" xfId="4" applyNumberFormat="1" applyFont="1" applyBorder="1"/>
    <xf numFmtId="3" fontId="16" fillId="0" borderId="14" xfId="5" applyFont="1" applyBorder="1"/>
    <xf numFmtId="3" fontId="8" fillId="0" borderId="15" xfId="5" applyFont="1" applyBorder="1"/>
    <xf numFmtId="1" fontId="16" fillId="0" borderId="15" xfId="5" applyNumberFormat="1" applyFont="1" applyBorder="1"/>
    <xf numFmtId="3" fontId="15" fillId="0" borderId="15" xfId="5" applyFont="1" applyBorder="1"/>
    <xf numFmtId="3" fontId="8" fillId="0" borderId="16" xfId="5" applyFont="1" applyBorder="1"/>
    <xf numFmtId="3" fontId="8" fillId="0" borderId="17" xfId="5" applyFont="1" applyBorder="1"/>
    <xf numFmtId="3" fontId="8" fillId="0" borderId="18" xfId="5" applyFont="1" applyBorder="1" applyAlignment="1">
      <alignment horizontal="center"/>
    </xf>
    <xf numFmtId="3" fontId="8" fillId="0" borderId="17" xfId="5" applyFont="1" applyBorder="1" applyAlignment="1" applyProtection="1">
      <alignment horizontal="left"/>
    </xf>
    <xf numFmtId="1" fontId="8" fillId="0" borderId="18" xfId="5" applyNumberFormat="1" applyFont="1" applyBorder="1" applyProtection="1"/>
    <xf numFmtId="2" fontId="8" fillId="0" borderId="18" xfId="5" applyNumberFormat="1" applyFont="1" applyBorder="1" applyProtection="1"/>
    <xf numFmtId="3" fontId="15" fillId="0" borderId="17" xfId="5" applyFont="1" applyBorder="1"/>
    <xf numFmtId="3" fontId="16" fillId="0" borderId="17" xfId="5" applyFont="1" applyBorder="1"/>
    <xf numFmtId="3" fontId="8" fillId="0" borderId="18" xfId="5" applyFont="1" applyBorder="1"/>
    <xf numFmtId="3" fontId="15" fillId="0" borderId="19" xfId="5" applyFont="1" applyBorder="1"/>
    <xf numFmtId="3" fontId="15" fillId="0" borderId="20" xfId="5" applyFont="1" applyBorder="1"/>
    <xf numFmtId="3" fontId="8" fillId="0" borderId="20" xfId="5" applyFont="1" applyBorder="1"/>
    <xf numFmtId="3" fontId="8" fillId="0" borderId="20" xfId="5" applyFont="1" applyBorder="1" applyAlignment="1" applyProtection="1">
      <alignment horizontal="left"/>
    </xf>
    <xf numFmtId="2" fontId="8" fillId="0" borderId="20" xfId="5" applyNumberFormat="1" applyFont="1" applyBorder="1" applyProtection="1"/>
    <xf numFmtId="2" fontId="8" fillId="0" borderId="21" xfId="5" applyNumberFormat="1" applyFont="1" applyBorder="1" applyProtection="1"/>
    <xf numFmtId="3" fontId="8" fillId="0" borderId="15" xfId="5" applyFont="1" applyBorder="1" applyAlignment="1" applyProtection="1">
      <alignment horizontal="center"/>
    </xf>
    <xf numFmtId="14" fontId="8" fillId="0" borderId="15" xfId="5" applyNumberFormat="1" applyFont="1" applyBorder="1" applyAlignment="1">
      <alignment horizontal="center"/>
    </xf>
    <xf numFmtId="3" fontId="15" fillId="0" borderId="18" xfId="5" applyFont="1" applyBorder="1"/>
    <xf numFmtId="3" fontId="8" fillId="0" borderId="19" xfId="5" applyFont="1" applyBorder="1"/>
    <xf numFmtId="10" fontId="10" fillId="0" borderId="0" xfId="0" applyNumberFormat="1" applyFont="1"/>
    <xf numFmtId="0" fontId="10" fillId="9" borderId="2" xfId="0" applyFont="1" applyFill="1" applyBorder="1"/>
    <xf numFmtId="0" fontId="10" fillId="8" borderId="2" xfId="0" applyFont="1" applyFill="1" applyBorder="1"/>
    <xf numFmtId="0" fontId="10" fillId="11" borderId="1" xfId="0" applyFont="1" applyFill="1" applyBorder="1"/>
    <xf numFmtId="2" fontId="10" fillId="11" borderId="1" xfId="0" applyNumberFormat="1" applyFont="1" applyFill="1" applyBorder="1"/>
    <xf numFmtId="0" fontId="10" fillId="0" borderId="23" xfId="0" applyFont="1" applyBorder="1"/>
    <xf numFmtId="0" fontId="8" fillId="0" borderId="0" xfId="0" applyFont="1" applyAlignment="1">
      <alignment horizontal="left"/>
    </xf>
    <xf numFmtId="3" fontId="8" fillId="0" borderId="0" xfId="5" applyFont="1"/>
    <xf numFmtId="10" fontId="5" fillId="0" borderId="0" xfId="0" applyNumberFormat="1" applyFont="1" applyFill="1" applyBorder="1"/>
    <xf numFmtId="8" fontId="10" fillId="0" borderId="0" xfId="0" applyNumberFormat="1" applyFont="1"/>
    <xf numFmtId="0" fontId="8" fillId="0" borderId="7" xfId="0" applyFont="1" applyBorder="1" applyAlignment="1">
      <alignment horizontal="center"/>
    </xf>
    <xf numFmtId="0" fontId="10" fillId="13" borderId="0" xfId="0" applyFont="1" applyFill="1" applyBorder="1"/>
    <xf numFmtId="0" fontId="10" fillId="13" borderId="2" xfId="0" applyFont="1" applyFill="1" applyBorder="1"/>
    <xf numFmtId="0" fontId="11" fillId="0" borderId="22" xfId="0" applyFont="1" applyBorder="1"/>
    <xf numFmtId="0" fontId="10" fillId="0" borderId="22" xfId="0" applyFont="1" applyBorder="1"/>
    <xf numFmtId="166" fontId="10" fillId="0" borderId="0" xfId="1" applyNumberFormat="1" applyFont="1" applyBorder="1"/>
    <xf numFmtId="43" fontId="10" fillId="0" borderId="0" xfId="1" applyFont="1" applyBorder="1"/>
    <xf numFmtId="166" fontId="10" fillId="0" borderId="0" xfId="0" applyNumberFormat="1" applyFont="1" applyBorder="1"/>
    <xf numFmtId="2" fontId="10" fillId="0" borderId="0" xfId="0" applyNumberFormat="1" applyFont="1" applyFill="1" applyBorder="1"/>
    <xf numFmtId="166" fontId="10" fillId="0" borderId="1" xfId="1" applyNumberFormat="1" applyFont="1" applyBorder="1"/>
    <xf numFmtId="43" fontId="10" fillId="0" borderId="1" xfId="1" applyFont="1" applyBorder="1"/>
    <xf numFmtId="166" fontId="10" fillId="0" borderId="1" xfId="0" applyNumberFormat="1" applyFont="1" applyBorder="1"/>
    <xf numFmtId="166" fontId="10" fillId="0" borderId="2" xfId="1" applyNumberFormat="1" applyFont="1" applyBorder="1"/>
    <xf numFmtId="2" fontId="10" fillId="0" borderId="2" xfId="0" applyNumberFormat="1" applyFont="1" applyFill="1" applyBorder="1"/>
    <xf numFmtId="43" fontId="10" fillId="0" borderId="2" xfId="1" applyFont="1" applyBorder="1"/>
    <xf numFmtId="166" fontId="10" fillId="0" borderId="2" xfId="0" applyNumberFormat="1" applyFont="1" applyBorder="1"/>
    <xf numFmtId="6" fontId="10" fillId="0" borderId="8" xfId="0" applyNumberFormat="1" applyFont="1" applyBorder="1"/>
    <xf numFmtId="6" fontId="10" fillId="0" borderId="7" xfId="0" applyNumberFormat="1" applyFont="1" applyBorder="1"/>
    <xf numFmtId="6" fontId="10" fillId="0" borderId="3" xfId="0" applyNumberFormat="1" applyFont="1" applyBorder="1"/>
    <xf numFmtId="8" fontId="10" fillId="0" borderId="8" xfId="0" applyNumberFormat="1" applyFont="1" applyBorder="1"/>
    <xf numFmtId="8" fontId="10" fillId="0" borderId="7" xfId="0" applyNumberFormat="1" applyFont="1" applyBorder="1"/>
    <xf numFmtId="8" fontId="10" fillId="0" borderId="3" xfId="0" applyNumberFormat="1" applyFont="1" applyBorder="1"/>
    <xf numFmtId="166" fontId="10" fillId="0" borderId="7" xfId="0" applyNumberFormat="1" applyFont="1" applyBorder="1"/>
    <xf numFmtId="166" fontId="10" fillId="0" borderId="3" xfId="0" applyNumberFormat="1" applyFont="1" applyBorder="1"/>
    <xf numFmtId="0" fontId="10" fillId="8" borderId="5" xfId="0" applyFont="1" applyFill="1" applyBorder="1"/>
    <xf numFmtId="0" fontId="10" fillId="8" borderId="1" xfId="0" applyFont="1" applyFill="1" applyBorder="1"/>
    <xf numFmtId="0" fontId="10" fillId="5" borderId="1" xfId="0" applyFont="1" applyFill="1" applyBorder="1"/>
    <xf numFmtId="0" fontId="10" fillId="5" borderId="8" xfId="0" applyFont="1" applyFill="1" applyBorder="1"/>
    <xf numFmtId="0" fontId="10" fillId="8" borderId="4" xfId="0" applyFont="1" applyFill="1" applyBorder="1"/>
    <xf numFmtId="0" fontId="10" fillId="9" borderId="5" xfId="0" applyFont="1" applyFill="1" applyBorder="1"/>
    <xf numFmtId="0" fontId="10" fillId="9" borderId="1" xfId="0" applyFont="1" applyFill="1" applyBorder="1"/>
    <xf numFmtId="0" fontId="10" fillId="6" borderId="1" xfId="0" applyFont="1" applyFill="1" applyBorder="1"/>
    <xf numFmtId="0" fontId="10" fillId="6" borderId="8" xfId="0" applyFont="1" applyFill="1" applyBorder="1"/>
    <xf numFmtId="0" fontId="10" fillId="9" borderId="6" xfId="0" applyFont="1" applyFill="1" applyBorder="1"/>
    <xf numFmtId="0" fontId="10" fillId="9" borderId="4" xfId="0" applyFont="1" applyFill="1" applyBorder="1"/>
    <xf numFmtId="0" fontId="10" fillId="13" borderId="5" xfId="0" applyFont="1" applyFill="1" applyBorder="1"/>
    <xf numFmtId="0" fontId="10" fillId="13" borderId="1" xfId="0" applyFont="1" applyFill="1" applyBorder="1"/>
    <xf numFmtId="0" fontId="10" fillId="13" borderId="6" xfId="0" applyFont="1" applyFill="1" applyBorder="1"/>
    <xf numFmtId="0" fontId="10" fillId="13" borderId="4" xfId="0" applyFont="1" applyFill="1" applyBorder="1"/>
    <xf numFmtId="0" fontId="10" fillId="10" borderId="1" xfId="0" applyFont="1" applyFill="1" applyBorder="1"/>
    <xf numFmtId="0" fontId="10" fillId="10" borderId="2" xfId="0" applyFont="1" applyFill="1" applyBorder="1"/>
    <xf numFmtId="170" fontId="19" fillId="0" borderId="0" xfId="5" applyNumberFormat="1" applyFont="1"/>
    <xf numFmtId="0" fontId="11" fillId="11" borderId="12" xfId="0" applyFont="1" applyFill="1" applyBorder="1"/>
    <xf numFmtId="0" fontId="8" fillId="0" borderId="0" xfId="0" applyFont="1" applyFill="1" applyBorder="1" applyAlignment="1" applyProtection="1">
      <alignment horizontal="right"/>
      <protection locked="0"/>
    </xf>
    <xf numFmtId="10" fontId="8" fillId="0" borderId="0" xfId="0" applyNumberFormat="1" applyFont="1" applyFill="1" applyBorder="1" applyProtection="1">
      <protection locked="0"/>
    </xf>
    <xf numFmtId="2" fontId="8" fillId="0" borderId="0" xfId="0" applyNumberFormat="1" applyFont="1" applyFill="1" applyBorder="1" applyProtection="1">
      <protection locked="0"/>
    </xf>
    <xf numFmtId="0" fontId="19" fillId="0" borderId="1" xfId="0" applyFont="1" applyFill="1" applyBorder="1" applyAlignment="1" applyProtection="1">
      <alignment horizontal="left"/>
      <protection locked="0"/>
    </xf>
    <xf numFmtId="0" fontId="8" fillId="0" borderId="6" xfId="0" applyFont="1" applyFill="1" applyBorder="1" applyProtection="1">
      <protection locked="0"/>
    </xf>
    <xf numFmtId="10" fontId="10" fillId="0" borderId="0" xfId="0" applyNumberFormat="1" applyFont="1" applyBorder="1"/>
    <xf numFmtId="9" fontId="8" fillId="0" borderId="6" xfId="0" applyNumberFormat="1" applyFont="1" applyFill="1" applyBorder="1" applyProtection="1">
      <protection locked="0"/>
    </xf>
    <xf numFmtId="10" fontId="8" fillId="0" borderId="6" xfId="0" applyNumberFormat="1" applyFont="1" applyFill="1" applyBorder="1" applyProtection="1">
      <protection locked="0"/>
    </xf>
    <xf numFmtId="0" fontId="8" fillId="0" borderId="9" xfId="0" applyFont="1" applyFill="1" applyBorder="1" applyAlignment="1" applyProtection="1">
      <alignment horizontal="center"/>
      <protection locked="0"/>
    </xf>
    <xf numFmtId="10" fontId="8" fillId="0" borderId="7" xfId="0" applyNumberFormat="1" applyFont="1" applyFill="1" applyBorder="1" applyAlignment="1" applyProtection="1">
      <alignment horizontal="center"/>
      <protection locked="0"/>
    </xf>
    <xf numFmtId="10" fontId="8" fillId="0" borderId="10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8" fillId="0" borderId="10" xfId="0" applyFont="1" applyBorder="1" applyAlignment="1">
      <alignment horizontal="center"/>
    </xf>
    <xf numFmtId="0" fontId="8" fillId="0" borderId="7" xfId="0" applyFont="1" applyBorder="1"/>
    <xf numFmtId="0" fontId="8" fillId="0" borderId="3" xfId="0" applyFont="1" applyBorder="1"/>
    <xf numFmtId="0" fontId="8" fillId="0" borderId="11" xfId="0" applyFont="1" applyBorder="1"/>
    <xf numFmtId="10" fontId="8" fillId="7" borderId="0" xfId="0" applyNumberFormat="1" applyFont="1" applyFill="1" applyBorder="1" applyAlignment="1" applyProtection="1">
      <alignment horizontal="center"/>
      <protection locked="0"/>
    </xf>
    <xf numFmtId="10" fontId="8" fillId="7" borderId="7" xfId="0" applyNumberFormat="1" applyFont="1" applyFill="1" applyBorder="1" applyAlignment="1" applyProtection="1">
      <alignment horizontal="center"/>
      <protection locked="0"/>
    </xf>
    <xf numFmtId="10" fontId="8" fillId="7" borderId="10" xfId="0" applyNumberFormat="1" applyFont="1" applyFill="1" applyBorder="1" applyAlignment="1" applyProtection="1">
      <alignment horizontal="center"/>
      <protection locked="0"/>
    </xf>
    <xf numFmtId="0" fontId="8" fillId="0" borderId="12" xfId="0" applyFont="1" applyFill="1" applyBorder="1" applyAlignment="1" applyProtection="1">
      <alignment horizontal="left"/>
      <protection locked="0"/>
    </xf>
    <xf numFmtId="8" fontId="10" fillId="0" borderId="13" xfId="0" applyNumberFormat="1" applyFont="1" applyBorder="1"/>
    <xf numFmtId="9" fontId="19" fillId="16" borderId="0" xfId="0" applyNumberFormat="1" applyFont="1" applyFill="1" applyBorder="1" applyAlignment="1" applyProtection="1">
      <alignment horizontal="center"/>
      <protection locked="0"/>
    </xf>
    <xf numFmtId="10" fontId="19" fillId="16" borderId="7" xfId="0" applyNumberFormat="1" applyFont="1" applyFill="1" applyBorder="1" applyAlignment="1" applyProtection="1">
      <alignment horizontal="center"/>
      <protection locked="0"/>
    </xf>
    <xf numFmtId="10" fontId="19" fillId="16" borderId="0" xfId="0" applyNumberFormat="1" applyFont="1" applyFill="1" applyBorder="1" applyAlignment="1" applyProtection="1">
      <alignment horizontal="center"/>
      <protection locked="0"/>
    </xf>
    <xf numFmtId="164" fontId="17" fillId="16" borderId="12" xfId="0" applyNumberFormat="1" applyFont="1" applyFill="1" applyBorder="1" applyProtection="1">
      <protection locked="0"/>
    </xf>
    <xf numFmtId="2" fontId="11" fillId="11" borderId="1" xfId="0" applyNumberFormat="1" applyFont="1" applyFill="1" applyBorder="1"/>
    <xf numFmtId="0" fontId="11" fillId="11" borderId="1" xfId="0" applyFont="1" applyFill="1" applyBorder="1"/>
    <xf numFmtId="0" fontId="10" fillId="8" borderId="6" xfId="0" applyFont="1" applyFill="1" applyBorder="1" applyAlignment="1">
      <alignment horizontal="center"/>
    </xf>
    <xf numFmtId="0" fontId="10" fillId="8" borderId="0" xfId="0" applyFont="1" applyFill="1" applyBorder="1" applyAlignment="1">
      <alignment horizontal="center"/>
    </xf>
    <xf numFmtId="43" fontId="18" fillId="0" borderId="24" xfId="1" applyFont="1" applyBorder="1"/>
    <xf numFmtId="43" fontId="11" fillId="0" borderId="24" xfId="1" applyFont="1" applyBorder="1"/>
    <xf numFmtId="0" fontId="4" fillId="0" borderId="0" xfId="0" applyFont="1" applyFill="1" applyBorder="1" applyAlignment="1">
      <alignment horizontal="center"/>
    </xf>
    <xf numFmtId="0" fontId="5" fillId="10" borderId="0" xfId="0" applyFont="1" applyFill="1" applyBorder="1"/>
    <xf numFmtId="0" fontId="4" fillId="0" borderId="4" xfId="0" applyFont="1" applyFill="1" applyBorder="1" applyAlignment="1">
      <alignment horizontal="center"/>
    </xf>
    <xf numFmtId="0" fontId="4" fillId="17" borderId="5" xfId="0" applyFont="1" applyFill="1" applyBorder="1"/>
    <xf numFmtId="168" fontId="4" fillId="2" borderId="2" xfId="0" applyNumberFormat="1" applyFont="1" applyFill="1" applyBorder="1" applyAlignment="1">
      <alignment horizontal="center"/>
    </xf>
    <xf numFmtId="0" fontId="4" fillId="0" borderId="2" xfId="0" applyFont="1" applyFill="1" applyBorder="1"/>
    <xf numFmtId="168" fontId="4" fillId="2" borderId="3" xfId="0" applyNumberFormat="1" applyFont="1" applyFill="1" applyBorder="1" applyAlignment="1">
      <alignment horizontal="center"/>
    </xf>
    <xf numFmtId="0" fontId="4" fillId="14" borderId="5" xfId="0" applyFont="1" applyFill="1" applyBorder="1"/>
    <xf numFmtId="0" fontId="21" fillId="0" borderId="0" xfId="0" applyNumberFormat="1" applyFont="1" applyAlignment="1">
      <alignment horizontal="center"/>
    </xf>
    <xf numFmtId="0" fontId="22" fillId="0" borderId="0" xfId="0" applyNumberFormat="1" applyFont="1"/>
    <xf numFmtId="0" fontId="22" fillId="0" borderId="0" xfId="0" applyNumberFormat="1" applyFont="1" applyFill="1" applyBorder="1"/>
    <xf numFmtId="0" fontId="23" fillId="0" borderId="0" xfId="0" applyFont="1" applyAlignment="1">
      <alignment horizontal="center"/>
    </xf>
    <xf numFmtId="0" fontId="22" fillId="0" borderId="0" xfId="0" applyFont="1" applyBorder="1"/>
    <xf numFmtId="0" fontId="22" fillId="0" borderId="0" xfId="0" applyFont="1" applyFill="1" applyBorder="1"/>
    <xf numFmtId="0" fontId="24" fillId="0" borderId="0" xfId="0" applyFont="1" applyAlignment="1">
      <alignment horizontal="center"/>
    </xf>
    <xf numFmtId="0" fontId="22" fillId="0" borderId="0" xfId="0" applyFont="1"/>
    <xf numFmtId="0" fontId="25" fillId="0" borderId="0" xfId="0" applyFont="1" applyAlignment="1">
      <alignment horizontal="center"/>
    </xf>
    <xf numFmtId="0" fontId="26" fillId="0" borderId="0" xfId="0" applyFont="1" applyBorder="1" applyAlignment="1">
      <alignment horizontal="center"/>
    </xf>
    <xf numFmtId="0" fontId="27" fillId="0" borderId="0" xfId="0" applyFont="1" applyFill="1" applyBorder="1"/>
    <xf numFmtId="165" fontId="22" fillId="0" borderId="0" xfId="0" applyNumberFormat="1" applyFont="1" applyBorder="1"/>
    <xf numFmtId="0" fontId="29" fillId="0" borderId="0" xfId="0" applyFont="1"/>
    <xf numFmtId="166" fontId="30" fillId="0" borderId="0" xfId="1" applyNumberFormat="1" applyFont="1"/>
    <xf numFmtId="166" fontId="30" fillId="0" borderId="0" xfId="1" applyNumberFormat="1" applyFont="1" applyAlignment="1">
      <alignment horizontal="center"/>
    </xf>
    <xf numFmtId="0" fontId="31" fillId="12" borderId="0" xfId="0" applyFont="1" applyFill="1" applyAlignment="1"/>
    <xf numFmtId="0" fontId="30" fillId="12" borderId="0" xfId="0" applyFont="1" applyFill="1" applyAlignment="1"/>
    <xf numFmtId="0" fontId="30" fillId="0" borderId="0" xfId="0" applyFont="1" applyAlignment="1"/>
    <xf numFmtId="0" fontId="30" fillId="7" borderId="0" xfId="0" applyFont="1" applyFill="1" applyAlignment="1"/>
    <xf numFmtId="0" fontId="30" fillId="0" borderId="0" xfId="0" applyFont="1" applyAlignment="1">
      <alignment horizontal="center"/>
    </xf>
    <xf numFmtId="0" fontId="30" fillId="14" borderId="9" xfId="0" applyFont="1" applyFill="1" applyBorder="1" applyAlignment="1">
      <alignment horizontal="center"/>
    </xf>
    <xf numFmtId="0" fontId="30" fillId="0" borderId="0" xfId="0" applyFont="1" applyFill="1" applyBorder="1"/>
    <xf numFmtId="0" fontId="32" fillId="7" borderId="0" xfId="2" applyFont="1" applyFill="1" applyAlignment="1">
      <alignment horizontal="center"/>
    </xf>
    <xf numFmtId="0" fontId="32" fillId="0" borderId="0" xfId="0" applyFont="1" applyAlignment="1">
      <alignment wrapText="1"/>
    </xf>
    <xf numFmtId="0" fontId="32" fillId="0" borderId="0" xfId="0" applyFont="1" applyFill="1"/>
    <xf numFmtId="166" fontId="33" fillId="3" borderId="0" xfId="1" applyNumberFormat="1" applyFont="1" applyFill="1" applyBorder="1" applyAlignment="1">
      <alignment horizontal="center"/>
    </xf>
    <xf numFmtId="166" fontId="33" fillId="4" borderId="0" xfId="1" applyNumberFormat="1" applyFont="1" applyFill="1" applyBorder="1" applyAlignment="1">
      <alignment horizontal="center"/>
    </xf>
    <xf numFmtId="3" fontId="30" fillId="14" borderId="0" xfId="0" applyNumberFormat="1" applyFont="1" applyFill="1" applyAlignment="1">
      <alignment horizontal="center"/>
    </xf>
    <xf numFmtId="0" fontId="30" fillId="0" borderId="0" xfId="0" applyFont="1"/>
    <xf numFmtId="0" fontId="30" fillId="0" borderId="12" xfId="0" applyFont="1" applyBorder="1"/>
    <xf numFmtId="0" fontId="30" fillId="0" borderId="0" xfId="0" applyFont="1" applyBorder="1"/>
    <xf numFmtId="166" fontId="30" fillId="0" borderId="0" xfId="1" applyNumberFormat="1" applyFont="1" applyFill="1" applyBorder="1"/>
    <xf numFmtId="166" fontId="30" fillId="0" borderId="0" xfId="1" applyNumberFormat="1" applyFont="1" applyFill="1" applyAlignment="1">
      <alignment horizontal="center"/>
    </xf>
    <xf numFmtId="3" fontId="30" fillId="13" borderId="12" xfId="0" applyNumberFormat="1" applyFont="1" applyFill="1" applyBorder="1" applyAlignment="1">
      <alignment horizontal="center"/>
    </xf>
    <xf numFmtId="0" fontId="30" fillId="0" borderId="0" xfId="0" applyFont="1" applyFill="1" applyAlignment="1">
      <alignment horizontal="center"/>
    </xf>
    <xf numFmtId="43" fontId="30" fillId="0" borderId="0" xfId="1" applyFont="1" applyFill="1"/>
    <xf numFmtId="1" fontId="33" fillId="0" borderId="0" xfId="0" applyNumberFormat="1" applyFont="1" applyFill="1" applyBorder="1" applyAlignment="1">
      <alignment horizontal="center"/>
    </xf>
    <xf numFmtId="0" fontId="32" fillId="0" borderId="0" xfId="0" applyFont="1"/>
    <xf numFmtId="166" fontId="30" fillId="0" borderId="0" xfId="0" applyNumberFormat="1" applyFont="1"/>
    <xf numFmtId="3" fontId="30" fillId="0" borderId="0" xfId="0" applyNumberFormat="1" applyFont="1" applyAlignment="1">
      <alignment horizontal="center"/>
    </xf>
    <xf numFmtId="0" fontId="30" fillId="0" borderId="0" xfId="0" applyFont="1" applyFill="1"/>
    <xf numFmtId="166" fontId="30" fillId="0" borderId="0" xfId="1" applyNumberFormat="1" applyFont="1" applyBorder="1"/>
    <xf numFmtId="166" fontId="30" fillId="0" borderId="0" xfId="1" applyNumberFormat="1" applyFont="1" applyFill="1" applyBorder="1" applyAlignment="1">
      <alignment horizontal="center"/>
    </xf>
    <xf numFmtId="0" fontId="30" fillId="14" borderId="3" xfId="0" applyFont="1" applyFill="1" applyBorder="1" applyAlignment="1">
      <alignment horizontal="center"/>
    </xf>
    <xf numFmtId="166" fontId="32" fillId="0" borderId="0" xfId="1" applyNumberFormat="1" applyFont="1" applyFill="1" applyBorder="1"/>
    <xf numFmtId="0" fontId="30" fillId="0" borderId="0" xfId="0" applyFont="1" applyFill="1" applyBorder="1" applyAlignment="1"/>
    <xf numFmtId="0" fontId="19" fillId="16" borderId="0" xfId="0" applyNumberFormat="1" applyFont="1" applyFill="1" applyBorder="1" applyAlignment="1" applyProtection="1">
      <alignment horizontal="center"/>
      <protection locked="0"/>
    </xf>
    <xf numFmtId="166" fontId="30" fillId="0" borderId="0" xfId="1" applyNumberFormat="1" applyFont="1" applyFill="1" applyBorder="1" applyAlignment="1" applyProtection="1">
      <alignment horizontal="center"/>
    </xf>
    <xf numFmtId="0" fontId="30" fillId="0" borderId="0" xfId="0" applyFont="1" applyFill="1" applyBorder="1" applyAlignment="1">
      <alignment horizontal="center" wrapText="1"/>
    </xf>
    <xf numFmtId="0" fontId="30" fillId="0" borderId="0" xfId="0" applyFont="1" applyFill="1" applyAlignment="1">
      <alignment horizontal="center" wrapText="1"/>
    </xf>
    <xf numFmtId="0" fontId="34" fillId="0" borderId="0" xfId="0" applyFont="1" applyAlignment="1">
      <alignment vertical="center"/>
    </xf>
    <xf numFmtId="0" fontId="34" fillId="0" borderId="0" xfId="0" applyFont="1" applyFill="1" applyAlignment="1">
      <alignment vertical="center"/>
    </xf>
    <xf numFmtId="0" fontId="4" fillId="7" borderId="12" xfId="0" applyFont="1" applyFill="1" applyBorder="1"/>
    <xf numFmtId="0" fontId="4" fillId="13" borderId="12" xfId="0" applyFont="1" applyFill="1" applyBorder="1"/>
    <xf numFmtId="165" fontId="5" fillId="0" borderId="12" xfId="0" applyNumberFormat="1" applyFont="1" applyFill="1" applyBorder="1"/>
    <xf numFmtId="3" fontId="4" fillId="10" borderId="12" xfId="0" applyNumberFormat="1" applyFont="1" applyFill="1" applyBorder="1"/>
    <xf numFmtId="0" fontId="4" fillId="0" borderId="12" xfId="0" applyFont="1" applyFill="1" applyBorder="1"/>
    <xf numFmtId="3" fontId="4" fillId="7" borderId="12" xfId="0" applyNumberFormat="1" applyFont="1" applyFill="1" applyBorder="1"/>
    <xf numFmtId="0" fontId="5" fillId="0" borderId="0" xfId="0" applyFont="1" applyFill="1" applyBorder="1" applyAlignment="1">
      <alignment horizontal="center"/>
    </xf>
    <xf numFmtId="0" fontId="27" fillId="15" borderId="0" xfId="3" applyFont="1" applyFill="1" applyBorder="1" applyAlignment="1" applyProtection="1">
      <alignment horizontal="center"/>
      <protection locked="0"/>
    </xf>
    <xf numFmtId="0" fontId="27" fillId="0" borderId="0" xfId="0" applyFont="1" applyBorder="1"/>
    <xf numFmtId="1" fontId="28" fillId="0" borderId="0" xfId="3" applyNumberFormat="1" applyFont="1" applyFill="1" applyBorder="1" applyAlignment="1" applyProtection="1">
      <alignment horizontal="center"/>
      <protection locked="0"/>
    </xf>
    <xf numFmtId="0" fontId="27" fillId="0" borderId="0" xfId="3" applyNumberFormat="1" applyFont="1" applyFill="1" applyBorder="1" applyAlignment="1" applyProtection="1">
      <alignment horizontal="center"/>
      <protection locked="0"/>
    </xf>
    <xf numFmtId="165" fontId="27" fillId="15" borderId="12" xfId="3" applyNumberFormat="1" applyFont="1" applyFill="1" applyBorder="1" applyProtection="1">
      <protection locked="0"/>
    </xf>
    <xf numFmtId="0" fontId="27" fillId="15" borderId="12" xfId="0" applyFont="1" applyFill="1" applyBorder="1"/>
    <xf numFmtId="0" fontId="27" fillId="0" borderId="12" xfId="0" applyFont="1" applyBorder="1" applyAlignment="1">
      <alignment horizontal="center"/>
    </xf>
    <xf numFmtId="3" fontId="27" fillId="15" borderId="12" xfId="0" applyNumberFormat="1" applyFont="1" applyFill="1" applyBorder="1"/>
    <xf numFmtId="166" fontId="27" fillId="15" borderId="12" xfId="1" applyNumberFormat="1" applyFont="1" applyFill="1" applyBorder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168" fontId="4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/>
    <xf numFmtId="165" fontId="4" fillId="0" borderId="0" xfId="0" applyNumberFormat="1" applyFont="1" applyFill="1" applyBorder="1"/>
    <xf numFmtId="165" fontId="20" fillId="0" borderId="0" xfId="0" applyNumberFormat="1" applyFont="1" applyFill="1" applyBorder="1"/>
    <xf numFmtId="0" fontId="14" fillId="0" borderId="0" xfId="0" applyFont="1" applyFill="1" applyBorder="1"/>
    <xf numFmtId="3" fontId="7" fillId="0" borderId="0" xfId="0" applyNumberFormat="1" applyFont="1" applyFill="1" applyBorder="1"/>
    <xf numFmtId="3" fontId="10" fillId="0" borderId="25" xfId="0" applyNumberFormat="1" applyFont="1" applyBorder="1"/>
    <xf numFmtId="0" fontId="10" fillId="0" borderId="25" xfId="0" applyFont="1" applyBorder="1"/>
    <xf numFmtId="166" fontId="10" fillId="0" borderId="25" xfId="1" applyNumberFormat="1" applyFont="1" applyBorder="1"/>
    <xf numFmtId="6" fontId="10" fillId="0" borderId="13" xfId="0" applyNumberFormat="1" applyFont="1" applyBorder="1"/>
    <xf numFmtId="2" fontId="10" fillId="0" borderId="25" xfId="0" applyNumberFormat="1" applyFont="1" applyFill="1" applyBorder="1"/>
    <xf numFmtId="43" fontId="10" fillId="0" borderId="25" xfId="1" applyFont="1" applyBorder="1"/>
    <xf numFmtId="2" fontId="10" fillId="0" borderId="25" xfId="0" applyNumberFormat="1" applyFont="1" applyBorder="1"/>
    <xf numFmtId="166" fontId="10" fillId="0" borderId="13" xfId="0" applyNumberFormat="1" applyFont="1" applyBorder="1"/>
    <xf numFmtId="1" fontId="10" fillId="0" borderId="13" xfId="0" applyNumberFormat="1" applyFont="1" applyBorder="1"/>
    <xf numFmtId="0" fontId="10" fillId="0" borderId="13" xfId="0" applyFont="1" applyBorder="1"/>
    <xf numFmtId="166" fontId="10" fillId="0" borderId="25" xfId="0" applyNumberFormat="1" applyFont="1" applyBorder="1"/>
    <xf numFmtId="3" fontId="10" fillId="0" borderId="5" xfId="0" applyNumberFormat="1" applyFont="1" applyBorder="1"/>
    <xf numFmtId="3" fontId="10" fillId="0" borderId="6" xfId="0" applyNumberFormat="1" applyFont="1" applyBorder="1"/>
    <xf numFmtId="3" fontId="10" fillId="0" borderId="4" xfId="0" applyNumberFormat="1" applyFont="1" applyBorder="1"/>
    <xf numFmtId="1" fontId="14" fillId="0" borderId="0" xfId="0" applyNumberFormat="1" applyFont="1" applyFill="1" applyBorder="1"/>
    <xf numFmtId="0" fontId="27" fillId="15" borderId="0" xfId="3" applyFont="1" applyFill="1" applyBorder="1" applyAlignment="1" applyProtection="1">
      <alignment horizontal="center" vertical="center"/>
      <protection locked="0"/>
    </xf>
    <xf numFmtId="0" fontId="27" fillId="15" borderId="0" xfId="3" applyFont="1" applyFill="1" applyBorder="1" applyAlignment="1" applyProtection="1">
      <alignment horizontal="center"/>
      <protection locked="0"/>
    </xf>
    <xf numFmtId="0" fontId="30" fillId="0" borderId="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8" fillId="0" borderId="1" xfId="0" applyFont="1" applyFill="1" applyBorder="1" applyAlignment="1" applyProtection="1">
      <alignment horizontal="center"/>
      <protection locked="0"/>
    </xf>
    <xf numFmtId="0" fontId="8" fillId="0" borderId="8" xfId="0" applyFont="1" applyFill="1" applyBorder="1" applyAlignment="1" applyProtection="1">
      <alignment horizontal="center"/>
      <protection locked="0"/>
    </xf>
  </cellXfs>
  <cellStyles count="7">
    <cellStyle name="Comma" xfId="1" builtinId="3"/>
    <cellStyle name="Normal" xfId="0" builtinId="0"/>
    <cellStyle name="Normal 2" xfId="6" xr:uid="{00000000-0005-0000-0000-000002000000}"/>
    <cellStyle name="Normal_Avdcst98" xfId="5" xr:uid="{00000000-0005-0000-0000-000003000000}"/>
    <cellStyle name="Normal_Book1" xfId="2" xr:uid="{00000000-0005-0000-0000-000004000000}"/>
    <cellStyle name="Normal_SPGbase" xfId="3" xr:uid="{00000000-0005-0000-0000-000005000000}"/>
    <cellStyle name="Percent" xfId="4" builtinId="5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  <color indexed="12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'CapCosts (2)'!#REF!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'CapCosts (2)'!#REF!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C455-45E4-99B7-86C556E15EB8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'CapCosts (2)'!#REF!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'CapCosts (2)'!#REF!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C455-45E4-99B7-86C556E15EB8}"/>
            </c:ext>
          </c:extLst>
        </c:ser>
        <c:ser>
          <c:idx val="2"/>
          <c:order val="2"/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val>
            <c:numRef>
              <c:f>'CapCosts (2)'!#REF!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'CapCosts (2)'!#REF!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C455-45E4-99B7-86C556E15EB8}"/>
            </c:ext>
          </c:extLst>
        </c:ser>
        <c:ser>
          <c:idx val="3"/>
          <c:order val="3"/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val>
            <c:numRef>
              <c:f>'CapCosts (2)'!#REF!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'CapCosts (2)'!#REF!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3-C455-45E4-99B7-86C556E15E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2477184"/>
        <c:axId val="142479360"/>
      </c:lineChart>
      <c:catAx>
        <c:axId val="1424771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2479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24793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MW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247718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orientation="landscape" horizontalDpi="-3" verticalDpi="12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Levelized Avoided Cost @ Distribution Sub</a:t>
            </a:r>
          </a:p>
        </c:rich>
      </c:tx>
      <c:layout>
        <c:manualLayout>
          <c:xMode val="edge"/>
          <c:yMode val="edge"/>
          <c:x val="0.28923076923077523"/>
          <c:y val="3.28282828282828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07692307692569"/>
          <c:y val="0.15909130142070876"/>
          <c:w val="0.8384615384615387"/>
          <c:h val="0.67171882822076501"/>
        </c:manualLayout>
      </c:layout>
      <c:scatterChart>
        <c:scatterStyle val="lineMarker"/>
        <c:varyColors val="0"/>
        <c:ser>
          <c:idx val="0"/>
          <c:order val="0"/>
          <c:tx>
            <c:strRef>
              <c:f>'AC Report'!$D$89</c:f>
              <c:strCache>
                <c:ptCount val="1"/>
                <c:pt idx="0">
                  <c:v>Levelized@DIST SUB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1"/>
            <c:trendlineLbl>
              <c:layout>
                <c:manualLayout>
                  <c:x val="0.10504421562689278"/>
                  <c:y val="0.12524514372441853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trendlineLbl>
          </c:trendline>
          <c:xVal>
            <c:numRef>
              <c:f>'AC Report'!$B$90:$B$99</c:f>
              <c:numCache>
                <c:formatCode>0</c:formatCode>
                <c:ptCount val="10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</c:numCache>
            </c:numRef>
          </c:xVal>
          <c:yVal>
            <c:numRef>
              <c:f>'AC Report'!$D$90:$D$99</c:f>
              <c:numCache>
                <c:formatCode>_(* #,##0.00_);_(* \(#,##0.00\);_(* "-"??_);_(@_)</c:formatCode>
                <c:ptCount val="10"/>
                <c:pt idx="0">
                  <c:v>22.88216882107784</c:v>
                </c:pt>
                <c:pt idx="1">
                  <c:v>23.435586024680191</c:v>
                </c:pt>
                <c:pt idx="2">
                  <c:v>24.002412595725996</c:v>
                </c:pt>
                <c:pt idx="3">
                  <c:v>24.58297417967038</c:v>
                </c:pt>
                <c:pt idx="4">
                  <c:v>25.177604352079264</c:v>
                </c:pt>
                <c:pt idx="5">
                  <c:v>25.786644812388118</c:v>
                </c:pt>
                <c:pt idx="6">
                  <c:v>26.410445582420632</c:v>
                </c:pt>
                <c:pt idx="7">
                  <c:v>27.049365209770521</c:v>
                </c:pt>
                <c:pt idx="8">
                  <c:v>23.980813128767245</c:v>
                </c:pt>
                <c:pt idx="9">
                  <c:v>20.670504008342213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7E9-458C-976D-CDE4B6D2E6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2449664"/>
        <c:axId val="142468224"/>
      </c:scatterChart>
      <c:valAx>
        <c:axId val="1424496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1538461538461533"/>
              <c:y val="0.9065677775126439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2468224"/>
        <c:crosses val="autoZero"/>
        <c:crossBetween val="midCat"/>
        <c:majorUnit val="1"/>
      </c:valAx>
      <c:valAx>
        <c:axId val="1424682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$/kW</a:t>
                </a:r>
              </a:p>
            </c:rich>
          </c:tx>
          <c:layout>
            <c:manualLayout>
              <c:xMode val="edge"/>
              <c:yMode val="edge"/>
              <c:x val="2.1538461538461541E-2"/>
              <c:y val="0.45707176754421602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.00_);_(* \(#,##0.0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2449664"/>
        <c:crosses val="autoZero"/>
        <c:crossBetween val="midCat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2000000000000965"/>
          <c:y val="0.57155014714069829"/>
          <c:w val="0.27538461538463133"/>
          <c:h val="9.848511360322381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077" r="0.75000000000001077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1</xdr:row>
      <xdr:rowOff>114300</xdr:rowOff>
    </xdr:from>
    <xdr:to>
      <xdr:col>7</xdr:col>
      <xdr:colOff>711733</xdr:colOff>
      <xdr:row>4</xdr:row>
      <xdr:rowOff>27541</xdr:rowOff>
    </xdr:to>
    <xdr:pic>
      <xdr:nvPicPr>
        <xdr:cNvPr id="70706" name="Picture 9" descr="EK">
          <a:extLst>
            <a:ext uri="{FF2B5EF4-FFF2-40B4-BE49-F238E27FC236}">
              <a16:creationId xmlns:a16="http://schemas.microsoft.com/office/drawing/2014/main" id="{00000000-0008-0000-0000-0000321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314325"/>
          <a:ext cx="2879623" cy="5990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40</xdr:row>
      <xdr:rowOff>95250</xdr:rowOff>
    </xdr:from>
    <xdr:to>
      <xdr:col>0</xdr:col>
      <xdr:colOff>0</xdr:colOff>
      <xdr:row>67</xdr:row>
      <xdr:rowOff>0</xdr:rowOff>
    </xdr:to>
    <xdr:graphicFrame macro="">
      <xdr:nvGraphicFramePr>
        <xdr:cNvPr id="80913" name="Chart 1">
          <a:extLst>
            <a:ext uri="{FF2B5EF4-FFF2-40B4-BE49-F238E27FC236}">
              <a16:creationId xmlns:a16="http://schemas.microsoft.com/office/drawing/2014/main" id="{00000000-0008-0000-0200-0000113C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390525</xdr:colOff>
      <xdr:row>7</xdr:row>
      <xdr:rowOff>47624</xdr:rowOff>
    </xdr:from>
    <xdr:to>
      <xdr:col>29</xdr:col>
      <xdr:colOff>114300</xdr:colOff>
      <xdr:row>10</xdr:row>
      <xdr:rowOff>76199</xdr:rowOff>
    </xdr:to>
    <xdr:sp macro="[0]!AC" textlink="">
      <xdr:nvSpPr>
        <xdr:cNvPr id="2" name="5-Point Star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 bwMode="auto">
        <a:xfrm>
          <a:off x="14230350" y="1114424"/>
          <a:ext cx="790575" cy="485775"/>
        </a:xfrm>
        <a:prstGeom prst="star5">
          <a:avLst/>
        </a:prstGeom>
        <a:solidFill>
          <a:srgbClr val="FF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85725</xdr:colOff>
      <xdr:row>87</xdr:row>
      <xdr:rowOff>0</xdr:rowOff>
    </xdr:from>
    <xdr:to>
      <xdr:col>17</xdr:col>
      <xdr:colOff>0</xdr:colOff>
      <xdr:row>110</xdr:row>
      <xdr:rowOff>47625</xdr:rowOff>
    </xdr:to>
    <xdr:graphicFrame macro="">
      <xdr:nvGraphicFramePr>
        <xdr:cNvPr id="2" name="Chart 2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erwil/Desktop/preAC201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a Assumptions"/>
      <sheetName val="AC2007"/>
      <sheetName val="AVDCST"/>
      <sheetName val="MACRO1"/>
      <sheetName val="BaseExpPlan"/>
      <sheetName val="Summary"/>
    </sheetNames>
    <sheetDataSet>
      <sheetData sheetId="0"/>
      <sheetData sheetId="1">
        <row r="9">
          <cell r="E9">
            <v>2010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Slice">
  <a:themeElements>
    <a:clrScheme name="Slice">
      <a:dk1>
        <a:sysClr val="windowText" lastClr="000000"/>
      </a:dk1>
      <a:lt1>
        <a:sysClr val="window" lastClr="FFFFFF"/>
      </a:lt1>
      <a:dk2>
        <a:srgbClr val="146194"/>
      </a:dk2>
      <a:lt2>
        <a:srgbClr val="76DBF4"/>
      </a:lt2>
      <a:accent1>
        <a:srgbClr val="052F61"/>
      </a:accent1>
      <a:accent2>
        <a:srgbClr val="A50E82"/>
      </a:accent2>
      <a:accent3>
        <a:srgbClr val="14967C"/>
      </a:accent3>
      <a:accent4>
        <a:srgbClr val="6A9E1F"/>
      </a:accent4>
      <a:accent5>
        <a:srgbClr val="E87D37"/>
      </a:accent5>
      <a:accent6>
        <a:srgbClr val="C62324"/>
      </a:accent6>
      <a:hlink>
        <a:srgbClr val="0D2E46"/>
      </a:hlink>
      <a:folHlink>
        <a:srgbClr val="356A95"/>
      </a:folHlink>
    </a:clrScheme>
    <a:fontScheme name="Slice">
      <a:majorFont>
        <a:latin typeface="Century Gothic" panose="020B0502020202020204"/>
        <a:ea typeface=""/>
        <a:cs typeface=""/>
        <a:font script="Jpan" typeface="メイリオ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entury Gothic" panose="020B0502020202020204"/>
        <a:ea typeface=""/>
        <a:cs typeface=""/>
        <a:font script="Jpan" typeface="メイリオ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Slice">
      <a:fillStyleLst>
        <a:solidFill>
          <a:schemeClr val="phClr"/>
        </a:solidFill>
        <a:gradFill rotWithShape="1">
          <a:gsLst>
            <a:gs pos="0">
              <a:schemeClr val="phClr">
                <a:tint val="62000"/>
                <a:hueMod val="94000"/>
                <a:satMod val="140000"/>
                <a:lumMod val="110000"/>
              </a:schemeClr>
            </a:gs>
            <a:gs pos="100000">
              <a:schemeClr val="phClr">
                <a:tint val="84000"/>
                <a:satMod val="16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8000"/>
                <a:hueMod val="94000"/>
                <a:satMod val="130000"/>
                <a:lumMod val="128000"/>
              </a:schemeClr>
            </a:gs>
            <a:gs pos="100000">
              <a:schemeClr val="phClr">
                <a:shade val="94000"/>
                <a:lumMod val="88000"/>
              </a:schemeClr>
            </a:gs>
          </a:gsLst>
          <a:lin ang="5400000" scaled="0"/>
        </a:gradFill>
      </a:fillStyleLst>
      <a:lnStyleLst>
        <a:ln w="9525" cap="rnd" cmpd="sng" algn="ctr">
          <a:solidFill>
            <a:schemeClr val="phClr">
              <a:tint val="76000"/>
              <a:alpha val="60000"/>
              <a:hueMod val="94000"/>
            </a:schemeClr>
          </a:solidFill>
          <a:prstDash val="solid"/>
        </a:ln>
        <a:ln w="15875" cap="rnd" cmpd="sng" algn="ctr">
          <a:solidFill>
            <a:schemeClr val="phClr">
              <a:hueMod val="94000"/>
            </a:schemeClr>
          </a:solidFill>
          <a:prstDash val="solid"/>
        </a:ln>
        <a:ln w="28575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innerShdw blurRad="25400" dist="12700" dir="13500000">
              <a:srgbClr val="000000">
                <a:alpha val="45000"/>
              </a:srgbClr>
            </a:innerShdw>
          </a:effectLst>
        </a:effectStyle>
        <a:effectStyle>
          <a:effectLst>
            <a:outerShdw blurRad="50800" dist="38100" dir="5400000" rotWithShape="0">
              <a:srgbClr val="000000">
                <a:alpha val="46000"/>
              </a:srgbClr>
            </a:outerShdw>
          </a:effectLst>
          <a:scene3d>
            <a:camera prst="orthographicFront">
              <a:rot lat="0" lon="0" rev="0"/>
            </a:camera>
            <a:lightRig rig="threePt" dir="t"/>
          </a:scene3d>
          <a:sp3d prstMaterial="plastic">
            <a:bevelT w="25400" h="25400"/>
          </a:sp3d>
        </a:effectStyle>
      </a:effectStyleLst>
      <a:bgFillStyleLst>
        <a:solidFill>
          <a:schemeClr val="phClr"/>
        </a:solidFill>
        <a:gradFill rotWithShape="1">
          <a:gsLst>
            <a:gs pos="10000">
              <a:schemeClr val="phClr">
                <a:tint val="97000"/>
                <a:hueMod val="92000"/>
                <a:satMod val="169000"/>
                <a:lumMod val="164000"/>
              </a:schemeClr>
            </a:gs>
            <a:gs pos="100000">
              <a:schemeClr val="phClr">
                <a:shade val="96000"/>
                <a:satMod val="120000"/>
                <a:lumMod val="90000"/>
              </a:schemeClr>
            </a:gs>
          </a:gsLst>
          <a:lin ang="6120000" scaled="1"/>
        </a:gradFill>
        <a:gradFill rotWithShape="1">
          <a:gsLst>
            <a:gs pos="0">
              <a:schemeClr val="phClr">
                <a:tint val="97000"/>
                <a:hueMod val="92000"/>
                <a:satMod val="169000"/>
                <a:lumMod val="164000"/>
              </a:schemeClr>
            </a:gs>
            <a:gs pos="100000">
              <a:schemeClr val="phClr">
                <a:shade val="96000"/>
                <a:satMod val="120000"/>
                <a:lumMod val="90000"/>
              </a:schemeClr>
            </a:gs>
          </a:gsLst>
          <a:path path="circle">
            <a:fillToRect b="10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Slice" id="{0507925B-6AC9-4358-8E18-C330545D08F8}" vid="{13FEC7C6-62A9-40C4-99D2-581AACACAA2F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B0F0"/>
    <pageSetUpPr fitToPage="1"/>
  </sheetPr>
  <dimension ref="A1:K38"/>
  <sheetViews>
    <sheetView zoomScaleNormal="100" workbookViewId="0">
      <pane xSplit="1" ySplit="9" topLeftCell="B10" activePane="bottomRight" state="frozen"/>
      <selection activeCell="L10" sqref="L10"/>
      <selection pane="topRight" activeCell="L10" sqref="L10"/>
      <selection pane="bottomLeft" activeCell="L10" sqref="L10"/>
      <selection pane="bottomRight" activeCell="H39" sqref="H39"/>
    </sheetView>
  </sheetViews>
  <sheetFormatPr defaultColWidth="4.88671875" defaultRowHeight="10.5"/>
  <cols>
    <col min="1" max="1" width="4.33203125" style="203" bestFit="1" customWidth="1"/>
    <col min="2" max="3" width="3.21875" style="203" customWidth="1"/>
    <col min="4" max="5" width="3.6640625" style="203" customWidth="1"/>
    <col min="6" max="7" width="3.88671875" style="203" customWidth="1"/>
    <col min="8" max="9" width="17.33203125" style="203" customWidth="1"/>
    <col min="10" max="11" width="5.77734375" style="203" customWidth="1"/>
    <col min="12" max="16384" width="4.88671875" style="201"/>
  </cols>
  <sheetData>
    <row r="1" spans="1:11" s="198" customFormat="1" ht="15">
      <c r="A1" s="196"/>
      <c r="B1" s="197"/>
      <c r="C1" s="197"/>
      <c r="D1" s="197"/>
      <c r="E1" s="197"/>
      <c r="F1" s="197"/>
      <c r="G1" s="197"/>
      <c r="H1" s="197"/>
      <c r="I1" s="197"/>
      <c r="J1" s="197"/>
      <c r="K1" s="197"/>
    </row>
    <row r="2" spans="1:11" ht="18">
      <c r="A2" s="199"/>
      <c r="B2" s="199"/>
      <c r="C2" s="199"/>
      <c r="D2" s="199"/>
      <c r="E2" s="199"/>
      <c r="F2" s="199"/>
      <c r="G2" s="199"/>
      <c r="H2" s="199"/>
      <c r="I2" s="199"/>
      <c r="J2" s="199"/>
      <c r="K2" s="199"/>
    </row>
    <row r="3" spans="1:11" ht="12.75">
      <c r="A3" s="202"/>
      <c r="B3" s="202"/>
      <c r="C3" s="202"/>
      <c r="D3" s="202"/>
      <c r="E3" s="202"/>
      <c r="F3" s="202"/>
      <c r="G3" s="202"/>
      <c r="H3" s="202"/>
      <c r="I3" s="202"/>
      <c r="J3" s="202"/>
      <c r="K3" s="202"/>
    </row>
    <row r="4" spans="1:11" ht="22.5">
      <c r="B4" s="204"/>
      <c r="C4" s="204"/>
      <c r="D4" s="204"/>
      <c r="E4" s="204"/>
      <c r="F4" s="204"/>
      <c r="G4" s="204"/>
      <c r="H4" s="204"/>
      <c r="I4" s="204"/>
      <c r="J4" s="204"/>
      <c r="K4" s="204"/>
    </row>
    <row r="5" spans="1:11" ht="11.25">
      <c r="A5" s="205"/>
      <c r="B5" s="205"/>
      <c r="C5" s="205"/>
      <c r="D5" s="205"/>
      <c r="E5" s="205"/>
      <c r="F5" s="205"/>
      <c r="G5" s="205"/>
      <c r="H5" s="205"/>
      <c r="I5" s="205"/>
      <c r="J5" s="205"/>
      <c r="K5" s="205"/>
    </row>
    <row r="6" spans="1:11" ht="11.25">
      <c r="A6" s="205"/>
      <c r="B6" s="205"/>
      <c r="C6" s="205"/>
      <c r="D6" s="205"/>
      <c r="E6" s="205"/>
      <c r="F6" s="205"/>
      <c r="G6" s="205"/>
      <c r="H6" s="205"/>
      <c r="I6" s="205"/>
      <c r="J6" s="205"/>
      <c r="K6" s="205"/>
    </row>
    <row r="7" spans="1:11" s="206" customFormat="1" ht="25.5" customHeight="1">
      <c r="A7" s="256"/>
      <c r="B7" s="287" t="s">
        <v>110</v>
      </c>
      <c r="C7" s="287"/>
      <c r="D7" s="287"/>
      <c r="E7" s="287"/>
      <c r="F7" s="287"/>
      <c r="G7" s="287"/>
      <c r="H7" s="287"/>
      <c r="I7" s="287"/>
      <c r="J7" s="287"/>
      <c r="K7" s="287"/>
    </row>
    <row r="8" spans="1:11" s="206" customFormat="1" ht="12.75">
      <c r="A8" s="257"/>
      <c r="B8" s="288"/>
      <c r="C8" s="288"/>
      <c r="D8" s="288"/>
      <c r="E8" s="288"/>
      <c r="F8" s="288"/>
      <c r="G8" s="288"/>
      <c r="H8" s="288" t="s">
        <v>116</v>
      </c>
      <c r="I8" s="288"/>
      <c r="J8" s="288"/>
      <c r="K8" s="288"/>
    </row>
    <row r="9" spans="1:11" s="206" customFormat="1" ht="12.75">
      <c r="A9" s="258" t="s">
        <v>2</v>
      </c>
      <c r="B9" s="255"/>
      <c r="C9" s="255"/>
      <c r="D9" s="255"/>
      <c r="E9" s="255"/>
      <c r="F9" s="255"/>
      <c r="G9" s="255"/>
      <c r="H9" s="255" t="s">
        <v>0</v>
      </c>
      <c r="I9" s="255" t="s">
        <v>1</v>
      </c>
      <c r="J9" s="255"/>
      <c r="K9" s="255"/>
    </row>
    <row r="10" spans="1:11" s="206" customFormat="1" ht="12.75">
      <c r="A10" s="261">
        <v>2024</v>
      </c>
      <c r="B10" s="259"/>
      <c r="C10" s="260"/>
      <c r="D10" s="260"/>
      <c r="E10" s="260"/>
      <c r="F10" s="259"/>
      <c r="G10" s="262"/>
      <c r="H10" s="259"/>
      <c r="I10" s="260"/>
      <c r="J10" s="263"/>
      <c r="K10" s="263"/>
    </row>
    <row r="11" spans="1:11" s="206" customFormat="1" ht="12.75">
      <c r="A11" s="261">
        <f>A10+1</f>
        <v>2025</v>
      </c>
      <c r="B11" s="259"/>
      <c r="C11" s="260"/>
      <c r="D11" s="260"/>
      <c r="E11" s="260"/>
      <c r="F11" s="259"/>
      <c r="G11" s="262"/>
      <c r="H11" s="259">
        <v>5</v>
      </c>
      <c r="I11" s="260">
        <v>5</v>
      </c>
      <c r="J11" s="263"/>
      <c r="K11" s="263"/>
    </row>
    <row r="12" spans="1:11" s="206" customFormat="1" ht="12.75">
      <c r="A12" s="261">
        <f t="shared" ref="A12:A29" si="0">A11+1</f>
        <v>2026</v>
      </c>
      <c r="B12" s="259"/>
      <c r="C12" s="260"/>
      <c r="D12" s="260"/>
      <c r="E12" s="260"/>
      <c r="F12" s="259"/>
      <c r="G12" s="262"/>
      <c r="H12" s="259">
        <v>5</v>
      </c>
      <c r="I12" s="260">
        <v>5</v>
      </c>
      <c r="J12" s="263"/>
      <c r="K12" s="263"/>
    </row>
    <row r="13" spans="1:11" s="206" customFormat="1" ht="12.75">
      <c r="A13" s="261">
        <f t="shared" si="0"/>
        <v>2027</v>
      </c>
      <c r="B13" s="259"/>
      <c r="C13" s="260"/>
      <c r="D13" s="260"/>
      <c r="E13" s="260"/>
      <c r="F13" s="259"/>
      <c r="G13" s="262"/>
      <c r="H13" s="259">
        <v>5</v>
      </c>
      <c r="I13" s="260">
        <v>5</v>
      </c>
      <c r="J13" s="263"/>
      <c r="K13" s="263"/>
    </row>
    <row r="14" spans="1:11" s="206" customFormat="1" ht="12.75">
      <c r="A14" s="261">
        <f t="shared" si="0"/>
        <v>2028</v>
      </c>
      <c r="B14" s="259"/>
      <c r="C14" s="260"/>
      <c r="D14" s="260"/>
      <c r="E14" s="260"/>
      <c r="F14" s="259"/>
      <c r="G14" s="262"/>
      <c r="H14" s="259">
        <v>5</v>
      </c>
      <c r="I14" s="260">
        <v>5</v>
      </c>
      <c r="J14" s="263"/>
      <c r="K14" s="263"/>
    </row>
    <row r="15" spans="1:11" s="206" customFormat="1" ht="12.75" collapsed="1">
      <c r="A15" s="261">
        <f t="shared" si="0"/>
        <v>2029</v>
      </c>
      <c r="B15" s="259"/>
      <c r="C15" s="260"/>
      <c r="D15" s="260"/>
      <c r="E15" s="260"/>
      <c r="F15" s="259"/>
      <c r="G15" s="262"/>
      <c r="H15" s="259">
        <v>5</v>
      </c>
      <c r="I15" s="260">
        <v>5</v>
      </c>
      <c r="J15" s="263"/>
      <c r="K15" s="263"/>
    </row>
    <row r="16" spans="1:11" s="206" customFormat="1" ht="12.75" collapsed="1">
      <c r="A16" s="261">
        <f t="shared" si="0"/>
        <v>2030</v>
      </c>
      <c r="B16" s="259"/>
      <c r="C16" s="260"/>
      <c r="D16" s="260"/>
      <c r="E16" s="260"/>
      <c r="F16" s="259"/>
      <c r="G16" s="262"/>
      <c r="H16" s="259">
        <v>5</v>
      </c>
      <c r="I16" s="260">
        <v>5</v>
      </c>
      <c r="J16" s="263"/>
      <c r="K16" s="263"/>
    </row>
    <row r="17" spans="1:11" s="206" customFormat="1" ht="12.75" collapsed="1">
      <c r="A17" s="261">
        <f t="shared" si="0"/>
        <v>2031</v>
      </c>
      <c r="B17" s="259"/>
      <c r="C17" s="260"/>
      <c r="D17" s="260"/>
      <c r="E17" s="260"/>
      <c r="F17" s="259"/>
      <c r="G17" s="262"/>
      <c r="H17" s="259">
        <v>5</v>
      </c>
      <c r="I17" s="260">
        <v>5</v>
      </c>
      <c r="J17" s="263"/>
      <c r="K17" s="263"/>
    </row>
    <row r="18" spans="1:11" s="206" customFormat="1" ht="12.75">
      <c r="A18" s="261">
        <f t="shared" si="0"/>
        <v>2032</v>
      </c>
      <c r="B18" s="259"/>
      <c r="C18" s="260"/>
      <c r="D18" s="260"/>
      <c r="E18" s="260"/>
      <c r="F18" s="259"/>
      <c r="G18" s="262"/>
      <c r="H18" s="259">
        <v>5</v>
      </c>
      <c r="I18" s="260">
        <v>5</v>
      </c>
      <c r="J18" s="263"/>
      <c r="K18" s="263"/>
    </row>
    <row r="19" spans="1:11" s="206" customFormat="1" ht="12.75">
      <c r="A19" s="261">
        <f t="shared" si="0"/>
        <v>2033</v>
      </c>
      <c r="B19" s="259"/>
      <c r="C19" s="260"/>
      <c r="D19" s="260"/>
      <c r="E19" s="260"/>
      <c r="F19" s="259"/>
      <c r="G19" s="262"/>
      <c r="H19" s="259">
        <v>5</v>
      </c>
      <c r="I19" s="260">
        <v>5</v>
      </c>
      <c r="J19" s="263"/>
      <c r="K19" s="263"/>
    </row>
    <row r="20" spans="1:11" s="206" customFormat="1" ht="12.75">
      <c r="A20" s="261">
        <f t="shared" si="0"/>
        <v>2034</v>
      </c>
      <c r="B20" s="259"/>
      <c r="C20" s="260"/>
      <c r="D20" s="260"/>
      <c r="E20" s="260"/>
      <c r="F20" s="259"/>
      <c r="G20" s="262"/>
      <c r="H20" s="259">
        <v>5</v>
      </c>
      <c r="I20" s="260">
        <v>5</v>
      </c>
      <c r="J20" s="263"/>
      <c r="K20" s="263"/>
    </row>
    <row r="21" spans="1:11" s="206" customFormat="1" ht="12.75">
      <c r="A21" s="261">
        <f t="shared" si="0"/>
        <v>2035</v>
      </c>
      <c r="B21" s="259"/>
      <c r="C21" s="260"/>
      <c r="D21" s="259"/>
      <c r="E21" s="260"/>
      <c r="F21" s="259"/>
      <c r="G21" s="262"/>
      <c r="H21" s="259">
        <v>5</v>
      </c>
      <c r="I21" s="260">
        <v>5</v>
      </c>
      <c r="J21" s="263"/>
      <c r="K21" s="263"/>
    </row>
    <row r="22" spans="1:11" s="206" customFormat="1" ht="12.75">
      <c r="A22" s="261">
        <f t="shared" si="0"/>
        <v>2036</v>
      </c>
      <c r="B22" s="259"/>
      <c r="C22" s="259"/>
      <c r="D22" s="259"/>
      <c r="E22" s="260"/>
      <c r="F22" s="259"/>
      <c r="G22" s="262"/>
      <c r="H22" s="259">
        <v>5</v>
      </c>
      <c r="I22" s="260">
        <v>5</v>
      </c>
      <c r="J22" s="263"/>
      <c r="K22" s="263"/>
    </row>
    <row r="23" spans="1:11" s="206" customFormat="1" ht="12.75">
      <c r="A23" s="261">
        <f t="shared" si="0"/>
        <v>2037</v>
      </c>
      <c r="B23" s="259"/>
      <c r="C23" s="260"/>
      <c r="D23" s="260"/>
      <c r="E23" s="260"/>
      <c r="F23" s="259"/>
      <c r="G23" s="262"/>
      <c r="H23" s="259">
        <v>5</v>
      </c>
      <c r="I23" s="260">
        <v>5</v>
      </c>
      <c r="J23" s="263"/>
      <c r="K23" s="263"/>
    </row>
    <row r="24" spans="1:11" s="206" customFormat="1" ht="12.75">
      <c r="A24" s="261">
        <f t="shared" si="0"/>
        <v>2038</v>
      </c>
      <c r="B24" s="259"/>
      <c r="C24" s="260"/>
      <c r="D24" s="260"/>
      <c r="E24" s="260"/>
      <c r="F24" s="259"/>
      <c r="G24" s="262"/>
      <c r="H24" s="259">
        <v>5</v>
      </c>
      <c r="I24" s="260">
        <v>5</v>
      </c>
      <c r="J24" s="263"/>
      <c r="K24" s="263"/>
    </row>
    <row r="25" spans="1:11" s="206" customFormat="1" ht="12.75">
      <c r="A25" s="261">
        <f t="shared" si="0"/>
        <v>2039</v>
      </c>
      <c r="B25" s="259"/>
      <c r="C25" s="260"/>
      <c r="D25" s="260"/>
      <c r="E25" s="260"/>
      <c r="F25" s="259"/>
      <c r="G25" s="262"/>
      <c r="H25" s="259">
        <v>5</v>
      </c>
      <c r="I25" s="260">
        <v>5</v>
      </c>
      <c r="J25" s="263"/>
      <c r="K25" s="263"/>
    </row>
    <row r="26" spans="1:11" s="206" customFormat="1" ht="12.75">
      <c r="A26" s="261">
        <f t="shared" si="0"/>
        <v>2040</v>
      </c>
      <c r="B26" s="259"/>
      <c r="C26" s="260"/>
      <c r="D26" s="260"/>
      <c r="E26" s="260"/>
      <c r="F26" s="259"/>
      <c r="G26" s="262"/>
      <c r="H26" s="259">
        <v>5</v>
      </c>
      <c r="I26" s="260">
        <v>5</v>
      </c>
      <c r="J26" s="263"/>
      <c r="K26" s="263"/>
    </row>
    <row r="27" spans="1:11" s="206" customFormat="1" ht="12.75">
      <c r="A27" s="261">
        <f t="shared" si="0"/>
        <v>2041</v>
      </c>
      <c r="B27" s="259"/>
      <c r="C27" s="260"/>
      <c r="D27" s="260"/>
      <c r="E27" s="260"/>
      <c r="F27" s="259"/>
      <c r="G27" s="262"/>
      <c r="H27" s="259"/>
      <c r="I27" s="260"/>
      <c r="J27" s="263"/>
      <c r="K27" s="263"/>
    </row>
    <row r="28" spans="1:11" s="206" customFormat="1" ht="12.75">
      <c r="A28" s="261">
        <f t="shared" si="0"/>
        <v>2042</v>
      </c>
      <c r="B28" s="259"/>
      <c r="C28" s="260"/>
      <c r="D28" s="260"/>
      <c r="E28" s="260"/>
      <c r="F28" s="259"/>
      <c r="G28" s="262"/>
      <c r="H28" s="259"/>
      <c r="I28" s="260"/>
      <c r="J28" s="263"/>
      <c r="K28" s="263"/>
    </row>
    <row r="29" spans="1:11" s="206" customFormat="1" ht="12.75">
      <c r="A29" s="261">
        <f t="shared" si="0"/>
        <v>2043</v>
      </c>
      <c r="B29" s="259"/>
      <c r="C29" s="260"/>
      <c r="D29" s="260"/>
      <c r="E29" s="260"/>
      <c r="F29" s="259"/>
      <c r="G29" s="262"/>
      <c r="H29" s="259"/>
      <c r="I29" s="260"/>
      <c r="J29" s="263"/>
      <c r="K29" s="263"/>
    </row>
    <row r="30" spans="1:11" s="206" customFormat="1" ht="12.75">
      <c r="A30" s="256"/>
      <c r="B30" s="256"/>
      <c r="C30" s="256"/>
      <c r="D30" s="256"/>
      <c r="E30" s="256"/>
      <c r="F30" s="256"/>
      <c r="G30" s="256"/>
      <c r="H30" s="256"/>
      <c r="I30" s="256"/>
      <c r="J30" s="256"/>
      <c r="K30" s="256"/>
    </row>
    <row r="31" spans="1:11">
      <c r="A31" s="200"/>
      <c r="B31" s="200"/>
      <c r="C31" s="200"/>
      <c r="D31" s="200"/>
      <c r="E31" s="200"/>
      <c r="F31" s="200"/>
      <c r="G31" s="200"/>
      <c r="H31" s="200"/>
      <c r="I31" s="200"/>
      <c r="J31" s="200"/>
      <c r="K31" s="200"/>
    </row>
    <row r="32" spans="1:11">
      <c r="A32" s="200"/>
      <c r="B32" s="200"/>
      <c r="C32" s="200"/>
      <c r="D32" s="200"/>
      <c r="E32" s="200"/>
      <c r="F32" s="200"/>
      <c r="G32" s="200"/>
      <c r="H32" s="200"/>
      <c r="I32" s="200"/>
      <c r="J32" s="200"/>
      <c r="K32" s="200"/>
    </row>
    <row r="33" spans="1:11">
      <c r="A33" s="200"/>
      <c r="B33" s="200"/>
      <c r="C33" s="200"/>
      <c r="D33" s="200"/>
      <c r="E33" s="200"/>
      <c r="F33" s="200"/>
      <c r="G33" s="200"/>
      <c r="H33" s="200"/>
      <c r="I33" s="200"/>
      <c r="J33" s="200"/>
      <c r="K33" s="200"/>
    </row>
    <row r="34" spans="1:11">
      <c r="A34" s="200"/>
      <c r="B34" s="200"/>
      <c r="C34" s="200"/>
      <c r="D34" s="200"/>
      <c r="E34" s="200"/>
      <c r="F34" s="200"/>
      <c r="G34" s="200"/>
      <c r="H34" s="200"/>
      <c r="I34" s="200"/>
      <c r="J34" s="200"/>
      <c r="K34" s="200"/>
    </row>
    <row r="35" spans="1:11">
      <c r="A35" s="200"/>
      <c r="B35" s="200"/>
      <c r="C35" s="200"/>
      <c r="D35" s="200"/>
      <c r="E35" s="200"/>
      <c r="F35" s="200"/>
      <c r="G35" s="200"/>
      <c r="H35" s="200"/>
      <c r="I35" s="200"/>
      <c r="J35" s="200"/>
      <c r="K35" s="200"/>
    </row>
    <row r="36" spans="1:11">
      <c r="A36" s="200"/>
      <c r="B36" s="200"/>
      <c r="C36" s="200"/>
      <c r="D36" s="200"/>
      <c r="E36" s="200"/>
      <c r="F36" s="200"/>
      <c r="G36" s="200"/>
      <c r="H36" s="200"/>
      <c r="I36" s="200"/>
      <c r="J36" s="200"/>
      <c r="K36" s="200"/>
    </row>
    <row r="37" spans="1:11" ht="12.75">
      <c r="A37" s="200"/>
      <c r="B37" s="207"/>
      <c r="C37" s="200"/>
      <c r="D37" s="200"/>
      <c r="E37" s="200"/>
      <c r="F37" s="200"/>
      <c r="G37" s="200"/>
      <c r="H37" s="208"/>
      <c r="I37" s="200"/>
      <c r="J37" s="200"/>
      <c r="K37" s="200"/>
    </row>
    <row r="38" spans="1:11">
      <c r="A38" s="200"/>
      <c r="B38" s="200"/>
      <c r="C38" s="200"/>
      <c r="D38" s="200"/>
      <c r="E38" s="200"/>
      <c r="F38" s="200"/>
      <c r="G38" s="200"/>
      <c r="H38" s="200"/>
      <c r="I38" s="200"/>
      <c r="J38" s="200"/>
      <c r="K38" s="200"/>
    </row>
  </sheetData>
  <mergeCells count="6">
    <mergeCell ref="B7:K7"/>
    <mergeCell ref="B8:C8"/>
    <mergeCell ref="D8:E8"/>
    <mergeCell ref="F8:G8"/>
    <mergeCell ref="H8:I8"/>
    <mergeCell ref="J8:K8"/>
  </mergeCells>
  <phoneticPr fontId="0" type="noConversion"/>
  <conditionalFormatting sqref="H28:H29">
    <cfRule type="cellIs" dxfId="1" priority="4" stopIfTrue="1" operator="notEqual">
      <formula>H27</formula>
    </cfRule>
  </conditionalFormatting>
  <pageMargins left="0.17" right="0.17" top="1" bottom="1" header="0.5" footer="0.5"/>
  <pageSetup scale="65" orientation="landscape" r:id="rId1"/>
  <headerFooter alignWithMargins="0">
    <oddFooter>&amp;L&amp;10&amp;F&amp;R&amp;10Resource Planning
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>
    <tabColor theme="5" tint="0.59999389629810485"/>
    <pageSetUpPr fitToPage="1"/>
  </sheetPr>
  <dimension ref="A1:S481"/>
  <sheetViews>
    <sheetView zoomScaleNormal="100" workbookViewId="0">
      <selection activeCell="A2" sqref="A2"/>
    </sheetView>
  </sheetViews>
  <sheetFormatPr defaultColWidth="8.88671875" defaultRowHeight="15"/>
  <cols>
    <col min="1" max="1" width="6.44140625" style="224" customWidth="1"/>
    <col min="2" max="3" width="7.77734375" style="209" bestFit="1" customWidth="1"/>
    <col min="4" max="4" width="7.6640625" style="224" bestFit="1" customWidth="1"/>
    <col min="5" max="6" width="7.77734375" style="224" bestFit="1" customWidth="1"/>
    <col min="7" max="7" width="10.5546875" style="224" bestFit="1" customWidth="1"/>
    <col min="8" max="13" width="7.77734375" style="224" bestFit="1" customWidth="1"/>
    <col min="14" max="14" width="8.33203125" style="224" bestFit="1" customWidth="1"/>
    <col min="15" max="15" width="9.21875" style="224" bestFit="1" customWidth="1"/>
    <col min="16" max="16" width="9.88671875" style="215" bestFit="1" customWidth="1"/>
    <col min="17" max="17" width="10.33203125" style="215" bestFit="1" customWidth="1"/>
    <col min="18" max="18" width="9.21875" style="224" bestFit="1" customWidth="1"/>
    <col min="19" max="19" width="7.33203125" style="224" bestFit="1" customWidth="1"/>
    <col min="20" max="16384" width="8.88671875" style="224"/>
  </cols>
  <sheetData>
    <row r="1" spans="1:19" s="213" customFormat="1">
      <c r="A1" s="211" t="s">
        <v>115</v>
      </c>
      <c r="B1" s="212"/>
      <c r="C1" s="212"/>
      <c r="G1" s="214"/>
      <c r="H1" s="214"/>
      <c r="I1" s="214"/>
      <c r="J1" s="214"/>
      <c r="P1" s="215"/>
      <c r="Q1" s="215"/>
      <c r="S1" s="216" t="s">
        <v>105</v>
      </c>
    </row>
    <row r="2" spans="1:19" s="213" customFormat="1" ht="30.75" customHeight="1">
      <c r="B2" s="218" t="s">
        <v>8</v>
      </c>
      <c r="C2" s="218" t="s">
        <v>9</v>
      </c>
      <c r="D2" s="218" t="s">
        <v>10</v>
      </c>
      <c r="E2" s="218" t="s">
        <v>11</v>
      </c>
      <c r="F2" s="218" t="s">
        <v>12</v>
      </c>
      <c r="G2" s="218" t="s">
        <v>13</v>
      </c>
      <c r="H2" s="218" t="s">
        <v>14</v>
      </c>
      <c r="I2" s="218" t="s">
        <v>15</v>
      </c>
      <c r="J2" s="218" t="s">
        <v>16</v>
      </c>
      <c r="K2" s="218" t="s">
        <v>17</v>
      </c>
      <c r="L2" s="218" t="s">
        <v>18</v>
      </c>
      <c r="M2" s="218" t="s">
        <v>19</v>
      </c>
      <c r="N2" s="219" t="s">
        <v>112</v>
      </c>
      <c r="O2" s="219" t="s">
        <v>111</v>
      </c>
      <c r="P2" s="244"/>
      <c r="Q2" s="245"/>
      <c r="R2" s="241"/>
      <c r="S2" s="239" t="s">
        <v>104</v>
      </c>
    </row>
    <row r="3" spans="1:19">
      <c r="A3" s="220">
        <v>2024</v>
      </c>
      <c r="B3" s="243">
        <v>3349.36</v>
      </c>
      <c r="C3" s="238">
        <v>3038.4</v>
      </c>
      <c r="D3" s="238">
        <v>2893.97</v>
      </c>
      <c r="E3" s="238">
        <v>2293.16</v>
      </c>
      <c r="F3" s="238">
        <v>2232.38</v>
      </c>
      <c r="G3" s="243">
        <v>2458.67</v>
      </c>
      <c r="H3" s="238">
        <v>2558.14</v>
      </c>
      <c r="I3" s="238">
        <v>2458.7199999999998</v>
      </c>
      <c r="J3" s="238">
        <v>2358.96</v>
      </c>
      <c r="K3" s="238">
        <v>2159.6999999999998</v>
      </c>
      <c r="L3" s="238">
        <v>2626.17</v>
      </c>
      <c r="M3" s="238">
        <v>3013.86</v>
      </c>
      <c r="N3" s="221">
        <f t="shared" ref="N3:N22" si="0">MAX(B3:C3,M3)</f>
        <v>3349.36</v>
      </c>
      <c r="O3" s="222">
        <f t="shared" ref="O3:O22" si="1">MAX(G3:J3)</f>
        <v>2558.14</v>
      </c>
      <c r="P3" s="228"/>
      <c r="Q3" s="243"/>
      <c r="R3" s="227"/>
      <c r="S3" s="223">
        <f>3300-N3</f>
        <v>-49.360000000000127</v>
      </c>
    </row>
    <row r="4" spans="1:19">
      <c r="A4" s="220">
        <v>2025</v>
      </c>
      <c r="B4" s="243">
        <v>3369.61</v>
      </c>
      <c r="C4" s="238">
        <v>3111.82</v>
      </c>
      <c r="D4" s="238">
        <v>2879.53</v>
      </c>
      <c r="E4" s="238">
        <v>2255.27</v>
      </c>
      <c r="F4" s="238">
        <v>2346.75</v>
      </c>
      <c r="G4" s="243">
        <v>2491.5700000000002</v>
      </c>
      <c r="H4" s="238">
        <v>2590.02</v>
      </c>
      <c r="I4" s="238">
        <v>2491.6</v>
      </c>
      <c r="J4" s="238">
        <v>2391.79</v>
      </c>
      <c r="K4" s="238">
        <v>2221.63</v>
      </c>
      <c r="L4" s="238">
        <v>2779.07</v>
      </c>
      <c r="M4" s="238">
        <v>3124.6</v>
      </c>
      <c r="N4" s="221">
        <f t="shared" si="0"/>
        <v>3369.61</v>
      </c>
      <c r="O4" s="222">
        <f t="shared" si="1"/>
        <v>2590.02</v>
      </c>
      <c r="P4" s="228"/>
      <c r="Q4" s="243"/>
      <c r="R4" s="227"/>
      <c r="S4" s="223">
        <f t="shared" ref="S4:S22" si="2">N4-N3</f>
        <v>20.25</v>
      </c>
    </row>
    <row r="5" spans="1:19">
      <c r="A5" s="220">
        <v>2026</v>
      </c>
      <c r="B5" s="243">
        <v>3400.15</v>
      </c>
      <c r="C5" s="238">
        <v>3165.8</v>
      </c>
      <c r="D5" s="238">
        <v>2887.63</v>
      </c>
      <c r="E5" s="238">
        <v>2383.96</v>
      </c>
      <c r="F5" s="238">
        <v>2323.7800000000002</v>
      </c>
      <c r="G5" s="243">
        <v>2505.54</v>
      </c>
      <c r="H5" s="238">
        <v>2603.1999999999998</v>
      </c>
      <c r="I5" s="238">
        <v>2505.5300000000002</v>
      </c>
      <c r="J5" s="238">
        <v>2405.62</v>
      </c>
      <c r="K5" s="238">
        <v>2274.65</v>
      </c>
      <c r="L5" s="238">
        <v>2808.52</v>
      </c>
      <c r="M5" s="238">
        <v>3120.26</v>
      </c>
      <c r="N5" s="221">
        <f t="shared" si="0"/>
        <v>3400.15</v>
      </c>
      <c r="O5" s="222">
        <f t="shared" si="1"/>
        <v>2603.1999999999998</v>
      </c>
      <c r="P5" s="228"/>
      <c r="Q5" s="243"/>
      <c r="R5" s="227"/>
      <c r="S5" s="223">
        <f t="shared" si="2"/>
        <v>30.539999999999964</v>
      </c>
    </row>
    <row r="6" spans="1:19">
      <c r="A6" s="220">
        <v>2027</v>
      </c>
      <c r="B6" s="243">
        <v>3419.38</v>
      </c>
      <c r="C6" s="238">
        <v>3181.43</v>
      </c>
      <c r="D6" s="238">
        <v>2965.68</v>
      </c>
      <c r="E6" s="238">
        <v>2397.5</v>
      </c>
      <c r="F6" s="238">
        <v>2363.58</v>
      </c>
      <c r="G6" s="243">
        <v>2520.6799999999998</v>
      </c>
      <c r="H6" s="238">
        <v>2618.5100000000002</v>
      </c>
      <c r="I6" s="238">
        <v>2520.5100000000002</v>
      </c>
      <c r="J6" s="238">
        <v>2420.61</v>
      </c>
      <c r="K6" s="238">
        <v>2348.04</v>
      </c>
      <c r="L6" s="238">
        <v>2846.21</v>
      </c>
      <c r="M6" s="238">
        <v>3174.7</v>
      </c>
      <c r="N6" s="221">
        <f t="shared" si="0"/>
        <v>3419.38</v>
      </c>
      <c r="O6" s="222">
        <f t="shared" si="1"/>
        <v>2618.5100000000002</v>
      </c>
      <c r="P6" s="228"/>
      <c r="Q6" s="243"/>
      <c r="R6" s="227"/>
      <c r="S6" s="223">
        <f t="shared" si="2"/>
        <v>19.230000000000018</v>
      </c>
    </row>
    <row r="7" spans="1:19">
      <c r="A7" s="220">
        <v>2028</v>
      </c>
      <c r="B7" s="243">
        <v>3452.3</v>
      </c>
      <c r="C7" s="238">
        <v>3223.87</v>
      </c>
      <c r="D7" s="238">
        <v>3042.88</v>
      </c>
      <c r="E7" s="238">
        <v>2338.35</v>
      </c>
      <c r="F7" s="238">
        <v>2361.63</v>
      </c>
      <c r="G7" s="243">
        <v>2541.9</v>
      </c>
      <c r="H7" s="238">
        <v>2640.23</v>
      </c>
      <c r="I7" s="238">
        <v>2541.88</v>
      </c>
      <c r="J7" s="238">
        <v>2442.08</v>
      </c>
      <c r="K7" s="238">
        <v>2359.79</v>
      </c>
      <c r="L7" s="238">
        <v>2825.81</v>
      </c>
      <c r="M7" s="238">
        <v>3121.29</v>
      </c>
      <c r="N7" s="221">
        <f t="shared" si="0"/>
        <v>3452.3</v>
      </c>
      <c r="O7" s="222">
        <f t="shared" si="1"/>
        <v>2640.23</v>
      </c>
      <c r="P7" s="228"/>
      <c r="Q7" s="243"/>
      <c r="R7" s="227"/>
      <c r="S7" s="223">
        <f t="shared" si="2"/>
        <v>32.920000000000073</v>
      </c>
    </row>
    <row r="8" spans="1:19">
      <c r="A8" s="220">
        <v>2029</v>
      </c>
      <c r="B8" s="243">
        <v>3466.98</v>
      </c>
      <c r="C8" s="238">
        <v>3263.24</v>
      </c>
      <c r="D8" s="238">
        <v>3045.46</v>
      </c>
      <c r="E8" s="238">
        <v>2424.92</v>
      </c>
      <c r="F8" s="238">
        <v>2376.73</v>
      </c>
      <c r="G8" s="243">
        <v>2558.0700000000002</v>
      </c>
      <c r="H8" s="238">
        <v>2655.67</v>
      </c>
      <c r="I8" s="238">
        <v>2557.9899999999998</v>
      </c>
      <c r="J8" s="238">
        <v>2458.16</v>
      </c>
      <c r="K8" s="238">
        <v>2350.88</v>
      </c>
      <c r="L8" s="238">
        <v>2834.54</v>
      </c>
      <c r="M8" s="238">
        <v>3155.93</v>
      </c>
      <c r="N8" s="221">
        <f t="shared" si="0"/>
        <v>3466.98</v>
      </c>
      <c r="O8" s="222">
        <f t="shared" si="1"/>
        <v>2655.67</v>
      </c>
      <c r="P8" s="228"/>
      <c r="Q8" s="243"/>
      <c r="R8" s="227"/>
      <c r="S8" s="223">
        <f t="shared" si="2"/>
        <v>14.679999999999836</v>
      </c>
    </row>
    <row r="9" spans="1:19">
      <c r="A9" s="220">
        <v>2030</v>
      </c>
      <c r="B9" s="243">
        <v>3483.84</v>
      </c>
      <c r="C9" s="238">
        <v>3270.6</v>
      </c>
      <c r="D9" s="238">
        <v>3057</v>
      </c>
      <c r="E9" s="238">
        <v>2438.44</v>
      </c>
      <c r="F9" s="238">
        <v>2384.71</v>
      </c>
      <c r="G9" s="243">
        <v>2571.4</v>
      </c>
      <c r="H9" s="238">
        <v>2669.11</v>
      </c>
      <c r="I9" s="238">
        <v>2571.4299999999998</v>
      </c>
      <c r="J9" s="238">
        <v>2471.59</v>
      </c>
      <c r="K9" s="238">
        <v>2332.86</v>
      </c>
      <c r="L9" s="238">
        <v>2806.63</v>
      </c>
      <c r="M9" s="238">
        <v>3176.83</v>
      </c>
      <c r="N9" s="221">
        <f t="shared" si="0"/>
        <v>3483.84</v>
      </c>
      <c r="O9" s="222">
        <f t="shared" si="1"/>
        <v>2669.11</v>
      </c>
      <c r="P9" s="228"/>
      <c r="Q9" s="243"/>
      <c r="R9" s="227"/>
      <c r="S9" s="223">
        <f t="shared" si="2"/>
        <v>16.860000000000127</v>
      </c>
    </row>
    <row r="10" spans="1:19">
      <c r="A10" s="220">
        <v>2031</v>
      </c>
      <c r="B10" s="243">
        <v>3503.66</v>
      </c>
      <c r="C10" s="238">
        <v>3283.18</v>
      </c>
      <c r="D10" s="238">
        <v>3026.92</v>
      </c>
      <c r="E10" s="238">
        <v>2383.83</v>
      </c>
      <c r="F10" s="238">
        <v>2437.6</v>
      </c>
      <c r="G10" s="243">
        <v>2588.86</v>
      </c>
      <c r="H10" s="238">
        <v>2686.41</v>
      </c>
      <c r="I10" s="238">
        <v>2588.89</v>
      </c>
      <c r="J10" s="238">
        <v>2489.06</v>
      </c>
      <c r="K10" s="238">
        <v>2342.17</v>
      </c>
      <c r="L10" s="238">
        <v>2899.76</v>
      </c>
      <c r="M10" s="238">
        <v>3258.45</v>
      </c>
      <c r="N10" s="221">
        <f t="shared" si="0"/>
        <v>3503.66</v>
      </c>
      <c r="O10" s="222">
        <f t="shared" si="1"/>
        <v>2686.41</v>
      </c>
      <c r="P10" s="228"/>
      <c r="Q10" s="243"/>
      <c r="R10" s="227"/>
      <c r="S10" s="223">
        <f t="shared" si="2"/>
        <v>19.819999999999709</v>
      </c>
    </row>
    <row r="11" spans="1:19">
      <c r="A11" s="220">
        <v>2032</v>
      </c>
      <c r="B11" s="243">
        <v>3535.1</v>
      </c>
      <c r="C11" s="238">
        <v>3306.88</v>
      </c>
      <c r="D11" s="238">
        <v>3057.75</v>
      </c>
      <c r="E11" s="238">
        <v>2469.89</v>
      </c>
      <c r="F11" s="238">
        <v>2437.14</v>
      </c>
      <c r="G11" s="243">
        <v>2609.46</v>
      </c>
      <c r="H11" s="238">
        <v>2708.09</v>
      </c>
      <c r="I11" s="238">
        <v>2609.36</v>
      </c>
      <c r="J11" s="238">
        <v>2509.37</v>
      </c>
      <c r="K11" s="238">
        <v>2417.63</v>
      </c>
      <c r="L11" s="238">
        <v>2933.07</v>
      </c>
      <c r="M11" s="238">
        <v>3272.14</v>
      </c>
      <c r="N11" s="221">
        <f t="shared" si="0"/>
        <v>3535.1</v>
      </c>
      <c r="O11" s="222">
        <f t="shared" si="1"/>
        <v>2708.09</v>
      </c>
      <c r="P11" s="228"/>
      <c r="Q11" s="243"/>
      <c r="R11" s="240"/>
      <c r="S11" s="223">
        <f t="shared" si="2"/>
        <v>31.440000000000055</v>
      </c>
    </row>
    <row r="12" spans="1:19">
      <c r="A12" s="220">
        <v>2033</v>
      </c>
      <c r="B12" s="243">
        <v>3551.2</v>
      </c>
      <c r="C12" s="238">
        <v>3324.08</v>
      </c>
      <c r="D12" s="238">
        <v>3118.22</v>
      </c>
      <c r="E12" s="238">
        <v>2442.16</v>
      </c>
      <c r="F12" s="238">
        <v>2459.7199999999998</v>
      </c>
      <c r="G12" s="243">
        <v>2628.97</v>
      </c>
      <c r="H12" s="238">
        <v>2726.78</v>
      </c>
      <c r="I12" s="238">
        <v>2628.95</v>
      </c>
      <c r="J12" s="238">
        <v>2529.0700000000002</v>
      </c>
      <c r="K12" s="238">
        <v>2418.81</v>
      </c>
      <c r="L12" s="238">
        <v>2947.51</v>
      </c>
      <c r="M12" s="238">
        <v>3213.25</v>
      </c>
      <c r="N12" s="221">
        <f t="shared" si="0"/>
        <v>3551.2</v>
      </c>
      <c r="O12" s="222">
        <f t="shared" si="1"/>
        <v>2726.78</v>
      </c>
      <c r="P12" s="228"/>
      <c r="Q12" s="243"/>
      <c r="R12" s="227"/>
      <c r="S12" s="223">
        <f t="shared" si="2"/>
        <v>16.099999999999909</v>
      </c>
    </row>
    <row r="13" spans="1:19">
      <c r="A13" s="220">
        <v>2034</v>
      </c>
      <c r="B13" s="243">
        <v>3577.93</v>
      </c>
      <c r="C13" s="238">
        <v>3381.56</v>
      </c>
      <c r="D13" s="238">
        <v>3144.46</v>
      </c>
      <c r="E13" s="238">
        <v>2406.81</v>
      </c>
      <c r="F13" s="238">
        <v>2449.37</v>
      </c>
      <c r="G13" s="243">
        <v>2650.63</v>
      </c>
      <c r="H13" s="238">
        <v>2748.19</v>
      </c>
      <c r="I13" s="238">
        <v>2650.6</v>
      </c>
      <c r="J13" s="238">
        <v>2550.77</v>
      </c>
      <c r="K13" s="238">
        <v>2437.5700000000002</v>
      </c>
      <c r="L13" s="238">
        <v>2921.72</v>
      </c>
      <c r="M13" s="238">
        <v>3228.62</v>
      </c>
      <c r="N13" s="221">
        <f t="shared" si="0"/>
        <v>3577.93</v>
      </c>
      <c r="O13" s="222">
        <f t="shared" si="1"/>
        <v>2748.19</v>
      </c>
      <c r="P13" s="228"/>
      <c r="Q13" s="243"/>
      <c r="R13" s="227"/>
      <c r="S13" s="223">
        <f t="shared" si="2"/>
        <v>26.730000000000018</v>
      </c>
    </row>
    <row r="14" spans="1:19">
      <c r="A14" s="220">
        <v>2035</v>
      </c>
      <c r="B14" s="243">
        <v>3606.8</v>
      </c>
      <c r="C14" s="238">
        <v>3405.81</v>
      </c>
      <c r="D14" s="238">
        <v>3157.58</v>
      </c>
      <c r="E14" s="238">
        <v>2513.77</v>
      </c>
      <c r="F14" s="238">
        <v>2469.5300000000002</v>
      </c>
      <c r="G14" s="243">
        <v>2673.21</v>
      </c>
      <c r="H14" s="238">
        <v>2770.85</v>
      </c>
      <c r="I14" s="238">
        <v>2673.13</v>
      </c>
      <c r="J14" s="238">
        <v>2573.2800000000002</v>
      </c>
      <c r="K14" s="238">
        <v>2444.5</v>
      </c>
      <c r="L14" s="238">
        <v>2940.38</v>
      </c>
      <c r="M14" s="238">
        <v>3251.46</v>
      </c>
      <c r="N14" s="221">
        <f t="shared" si="0"/>
        <v>3606.8</v>
      </c>
      <c r="O14" s="222">
        <f t="shared" si="1"/>
        <v>2770.85</v>
      </c>
      <c r="P14" s="228"/>
      <c r="Q14" s="243"/>
      <c r="R14" s="227"/>
      <c r="S14" s="223">
        <f t="shared" si="2"/>
        <v>28.870000000000346</v>
      </c>
    </row>
    <row r="15" spans="1:19">
      <c r="A15" s="220">
        <v>2036</v>
      </c>
      <c r="B15" s="243">
        <v>3651.36</v>
      </c>
      <c r="C15" s="238">
        <v>3423.34</v>
      </c>
      <c r="D15" s="238">
        <v>3144.25</v>
      </c>
      <c r="E15" s="238">
        <v>2481.25</v>
      </c>
      <c r="F15" s="238">
        <v>2533.08</v>
      </c>
      <c r="G15" s="243">
        <v>2705.06</v>
      </c>
      <c r="H15" s="238">
        <v>2803.5</v>
      </c>
      <c r="I15" s="238">
        <v>2705.11</v>
      </c>
      <c r="J15" s="238">
        <v>2605.2399999999998</v>
      </c>
      <c r="K15" s="238">
        <v>2430.3200000000002</v>
      </c>
      <c r="L15" s="238">
        <v>2991.82</v>
      </c>
      <c r="M15" s="238">
        <v>3369.94</v>
      </c>
      <c r="N15" s="221">
        <f t="shared" si="0"/>
        <v>3651.36</v>
      </c>
      <c r="O15" s="222">
        <f t="shared" si="1"/>
        <v>2803.5</v>
      </c>
      <c r="P15" s="228"/>
      <c r="Q15" s="243"/>
      <c r="R15" s="227"/>
      <c r="S15" s="223">
        <f t="shared" si="2"/>
        <v>44.559999999999945</v>
      </c>
    </row>
    <row r="16" spans="1:19">
      <c r="A16" s="220">
        <v>2037</v>
      </c>
      <c r="B16" s="243">
        <v>3672.98</v>
      </c>
      <c r="C16" s="238">
        <v>3442.63</v>
      </c>
      <c r="D16" s="238">
        <v>3111.09</v>
      </c>
      <c r="E16" s="238">
        <v>2543.39</v>
      </c>
      <c r="F16" s="238">
        <v>2504.29</v>
      </c>
      <c r="G16" s="243">
        <v>2729.97</v>
      </c>
      <c r="H16" s="238">
        <v>2827.76</v>
      </c>
      <c r="I16" s="238">
        <v>2730.01</v>
      </c>
      <c r="J16" s="238">
        <v>2630.01</v>
      </c>
      <c r="K16" s="238">
        <v>2440.23</v>
      </c>
      <c r="L16" s="238">
        <v>3020.79</v>
      </c>
      <c r="M16" s="238">
        <v>3371.88</v>
      </c>
      <c r="N16" s="221">
        <f t="shared" si="0"/>
        <v>3672.98</v>
      </c>
      <c r="O16" s="222">
        <f t="shared" si="1"/>
        <v>2827.76</v>
      </c>
      <c r="P16" s="228"/>
      <c r="Q16" s="243"/>
      <c r="R16" s="240"/>
      <c r="S16" s="223">
        <f t="shared" si="2"/>
        <v>21.619999999999891</v>
      </c>
    </row>
    <row r="17" spans="1:19">
      <c r="A17" s="220">
        <v>2038</v>
      </c>
      <c r="B17" s="243">
        <v>3704.11</v>
      </c>
      <c r="C17" s="238">
        <v>3456.64</v>
      </c>
      <c r="D17" s="238">
        <v>3193.46</v>
      </c>
      <c r="E17" s="238">
        <v>2585.0100000000002</v>
      </c>
      <c r="F17" s="238">
        <v>2562.48</v>
      </c>
      <c r="G17" s="243">
        <v>2756.14</v>
      </c>
      <c r="H17" s="238">
        <v>2854.06</v>
      </c>
      <c r="I17" s="238">
        <v>2756.03</v>
      </c>
      <c r="J17" s="238">
        <v>2656.02</v>
      </c>
      <c r="K17" s="238">
        <v>2506.65</v>
      </c>
      <c r="L17" s="238">
        <v>3061.37</v>
      </c>
      <c r="M17" s="238">
        <v>3416.8</v>
      </c>
      <c r="N17" s="221">
        <f t="shared" si="0"/>
        <v>3704.11</v>
      </c>
      <c r="O17" s="222">
        <f t="shared" si="1"/>
        <v>2854.06</v>
      </c>
      <c r="P17" s="228"/>
      <c r="Q17" s="243"/>
      <c r="R17" s="240"/>
      <c r="S17" s="223">
        <f t="shared" si="2"/>
        <v>31.130000000000109</v>
      </c>
    </row>
    <row r="18" spans="1:19">
      <c r="A18" s="220">
        <v>2039</v>
      </c>
      <c r="B18" s="243">
        <v>3734.46</v>
      </c>
      <c r="C18" s="238">
        <v>3500.98</v>
      </c>
      <c r="D18" s="238">
        <v>3256.01</v>
      </c>
      <c r="E18" s="238">
        <v>2560.66</v>
      </c>
      <c r="F18" s="238">
        <v>2586.31</v>
      </c>
      <c r="G18" s="243">
        <v>2781.42</v>
      </c>
      <c r="H18" s="238">
        <v>2879.39</v>
      </c>
      <c r="I18" s="238">
        <v>2781.45</v>
      </c>
      <c r="J18" s="238">
        <v>2681.51</v>
      </c>
      <c r="K18" s="238">
        <v>2529.1</v>
      </c>
      <c r="L18" s="238">
        <v>3091.57</v>
      </c>
      <c r="M18" s="238">
        <v>3369.33</v>
      </c>
      <c r="N18" s="221">
        <f t="shared" si="0"/>
        <v>3734.46</v>
      </c>
      <c r="O18" s="222">
        <f t="shared" si="1"/>
        <v>2879.39</v>
      </c>
      <c r="P18" s="228"/>
      <c r="Q18" s="243"/>
      <c r="R18" s="227"/>
      <c r="S18" s="223">
        <f t="shared" si="2"/>
        <v>30.349999999999909</v>
      </c>
    </row>
    <row r="19" spans="1:19">
      <c r="A19" s="220">
        <v>2040</v>
      </c>
      <c r="B19" s="243">
        <v>3773.49</v>
      </c>
      <c r="C19" s="238">
        <v>3541.49</v>
      </c>
      <c r="D19" s="238">
        <v>3289.32</v>
      </c>
      <c r="E19" s="238">
        <v>2621.6</v>
      </c>
      <c r="F19" s="238">
        <v>2577.94</v>
      </c>
      <c r="G19" s="243">
        <v>2807.83</v>
      </c>
      <c r="H19" s="238">
        <v>2906.44</v>
      </c>
      <c r="I19" s="238">
        <v>2807.76</v>
      </c>
      <c r="J19" s="238">
        <v>2707.87</v>
      </c>
      <c r="K19" s="238">
        <v>2544.9499999999998</v>
      </c>
      <c r="L19" s="238">
        <v>3064.94</v>
      </c>
      <c r="M19" s="238">
        <v>3392.74</v>
      </c>
      <c r="N19" s="221">
        <f t="shared" si="0"/>
        <v>3773.49</v>
      </c>
      <c r="O19" s="222">
        <f t="shared" si="1"/>
        <v>2906.44</v>
      </c>
      <c r="P19" s="228"/>
      <c r="Q19" s="243"/>
      <c r="R19" s="227"/>
      <c r="S19" s="223">
        <f t="shared" si="2"/>
        <v>39.029999999999745</v>
      </c>
    </row>
    <row r="20" spans="1:19">
      <c r="A20" s="220">
        <v>2041</v>
      </c>
      <c r="B20" s="243">
        <v>3794.46</v>
      </c>
      <c r="C20" s="238">
        <v>3537.01</v>
      </c>
      <c r="D20" s="238">
        <v>3311.06</v>
      </c>
      <c r="E20" s="238">
        <v>2642.37</v>
      </c>
      <c r="F20" s="238">
        <v>2595.16</v>
      </c>
      <c r="G20" s="243">
        <v>2832.32</v>
      </c>
      <c r="H20" s="238">
        <v>2930.27</v>
      </c>
      <c r="I20" s="238">
        <v>2832.45</v>
      </c>
      <c r="J20" s="238">
        <v>2732.52</v>
      </c>
      <c r="K20" s="238">
        <v>2516.61</v>
      </c>
      <c r="L20" s="238">
        <v>3060.13</v>
      </c>
      <c r="M20" s="238">
        <v>3441.28</v>
      </c>
      <c r="N20" s="221">
        <f t="shared" si="0"/>
        <v>3794.46</v>
      </c>
      <c r="O20" s="222">
        <f t="shared" si="1"/>
        <v>2930.27</v>
      </c>
      <c r="P20" s="228"/>
      <c r="Q20" s="243"/>
      <c r="R20" s="227"/>
      <c r="S20" s="223">
        <f t="shared" si="2"/>
        <v>20.970000000000255</v>
      </c>
    </row>
    <row r="21" spans="1:19">
      <c r="A21" s="220">
        <v>2042</v>
      </c>
      <c r="B21" s="243">
        <v>3822.06</v>
      </c>
      <c r="C21" s="238">
        <v>3570.32</v>
      </c>
      <c r="D21" s="238">
        <v>3280.65</v>
      </c>
      <c r="E21" s="238">
        <v>2591.5100000000002</v>
      </c>
      <c r="F21" s="238">
        <v>2659.07</v>
      </c>
      <c r="G21" s="243">
        <v>2857.2</v>
      </c>
      <c r="H21" s="238">
        <v>2955.03</v>
      </c>
      <c r="I21" s="238">
        <v>2857.28</v>
      </c>
      <c r="J21" s="238">
        <v>2757.36</v>
      </c>
      <c r="K21" s="238">
        <v>2526.34</v>
      </c>
      <c r="L21" s="238">
        <v>3102.71</v>
      </c>
      <c r="M21" s="238">
        <v>3516.17</v>
      </c>
      <c r="N21" s="221">
        <f t="shared" si="0"/>
        <v>3822.06</v>
      </c>
      <c r="O21" s="222">
        <f t="shared" si="1"/>
        <v>2955.03</v>
      </c>
      <c r="P21" s="228"/>
      <c r="Q21" s="243"/>
      <c r="R21" s="227"/>
      <c r="S21" s="223">
        <f t="shared" si="2"/>
        <v>27.599999999999909</v>
      </c>
    </row>
    <row r="22" spans="1:19">
      <c r="A22" s="220">
        <v>2043</v>
      </c>
      <c r="B22" s="227">
        <v>3879.4</v>
      </c>
      <c r="C22" s="227">
        <v>3623.87</v>
      </c>
      <c r="D22" s="227">
        <v>3329.86</v>
      </c>
      <c r="E22" s="227">
        <v>2630.38</v>
      </c>
      <c r="F22" s="227">
        <v>2698.96</v>
      </c>
      <c r="G22" s="227">
        <v>2900.06</v>
      </c>
      <c r="H22" s="227">
        <v>2999.35</v>
      </c>
      <c r="I22" s="227">
        <v>2900.14</v>
      </c>
      <c r="J22" s="227">
        <v>2798.72</v>
      </c>
      <c r="K22" s="227">
        <v>2564.2399999999998</v>
      </c>
      <c r="L22" s="227">
        <v>3149.25</v>
      </c>
      <c r="M22" s="227">
        <v>3568.92</v>
      </c>
      <c r="N22" s="221">
        <f t="shared" si="0"/>
        <v>3879.4</v>
      </c>
      <c r="O22" s="222">
        <f t="shared" si="1"/>
        <v>2999.35</v>
      </c>
      <c r="P22" s="228"/>
      <c r="Q22" s="238"/>
      <c r="R22" s="227"/>
      <c r="S22" s="223">
        <f t="shared" si="2"/>
        <v>57.340000000000146</v>
      </c>
    </row>
    <row r="23" spans="1:19">
      <c r="A23" s="220"/>
      <c r="B23" s="231"/>
      <c r="C23" s="231"/>
      <c r="D23" s="231"/>
      <c r="E23" s="231"/>
      <c r="F23" s="231"/>
      <c r="G23" s="231"/>
      <c r="H23" s="231"/>
      <c r="I23" s="231"/>
      <c r="J23" s="231"/>
      <c r="K23" s="231"/>
      <c r="L23" s="231"/>
      <c r="M23" s="231"/>
      <c r="N23" s="209"/>
      <c r="O23" s="232"/>
      <c r="P23" s="230"/>
      <c r="Q23" s="209"/>
      <c r="R23" s="210"/>
      <c r="S23" s="209"/>
    </row>
    <row r="24" spans="1:19">
      <c r="A24" s="233"/>
      <c r="B24" s="231"/>
      <c r="C24" s="231"/>
      <c r="D24" s="231"/>
      <c r="E24" s="231"/>
      <c r="F24" s="231"/>
      <c r="G24" s="231"/>
      <c r="H24" s="231"/>
      <c r="I24" s="231"/>
      <c r="J24" s="231"/>
      <c r="K24" s="231"/>
      <c r="L24" s="231"/>
      <c r="M24" s="231"/>
      <c r="N24" s="209"/>
      <c r="O24" s="232"/>
      <c r="P24" s="230"/>
      <c r="Q24" s="209"/>
      <c r="R24" s="210"/>
      <c r="S24" s="209"/>
    </row>
    <row r="25" spans="1:19">
      <c r="A25" s="233"/>
      <c r="B25" s="231"/>
      <c r="C25" s="231"/>
      <c r="D25" s="231"/>
      <c r="E25" s="231"/>
      <c r="F25" s="231"/>
      <c r="G25" s="231"/>
      <c r="H25" s="231"/>
      <c r="I25" s="231"/>
      <c r="J25" s="231"/>
      <c r="K25" s="231"/>
      <c r="L25" s="231"/>
      <c r="M25" s="231"/>
      <c r="N25" s="209"/>
      <c r="O25" s="232"/>
      <c r="Q25" s="209"/>
      <c r="R25" s="210"/>
      <c r="S25" s="209"/>
    </row>
    <row r="26" spans="1:19">
      <c r="A26" s="233"/>
      <c r="B26" s="231"/>
      <c r="C26" s="231"/>
      <c r="D26" s="231"/>
      <c r="E26" s="231"/>
      <c r="F26" s="231"/>
      <c r="G26" s="231"/>
      <c r="H26" s="231"/>
      <c r="I26" s="231"/>
      <c r="J26" s="231"/>
      <c r="K26" s="231"/>
      <c r="L26" s="231"/>
      <c r="M26" s="231"/>
      <c r="N26" s="209"/>
      <c r="O26" s="232"/>
      <c r="Q26" s="209"/>
      <c r="R26" s="210"/>
      <c r="S26" s="209"/>
    </row>
    <row r="27" spans="1:19">
      <c r="A27" s="233"/>
      <c r="B27" s="231"/>
      <c r="C27" s="231"/>
      <c r="D27" s="231"/>
      <c r="E27" s="231"/>
      <c r="F27" s="231"/>
      <c r="G27" s="231"/>
      <c r="H27" s="231"/>
      <c r="I27" s="231"/>
      <c r="J27" s="231"/>
      <c r="K27" s="231"/>
      <c r="L27" s="231"/>
      <c r="M27" s="231"/>
      <c r="N27" s="209"/>
      <c r="O27" s="232"/>
      <c r="Q27" s="209"/>
      <c r="R27" s="289" t="s">
        <v>103</v>
      </c>
      <c r="S27" s="289"/>
    </row>
    <row r="28" spans="1:19">
      <c r="A28" s="233"/>
      <c r="B28" s="231"/>
      <c r="C28" s="231"/>
      <c r="D28" s="231"/>
      <c r="E28" s="231"/>
      <c r="F28" s="231"/>
      <c r="G28" s="231"/>
      <c r="H28" s="231"/>
      <c r="I28" s="231"/>
      <c r="J28" s="231"/>
      <c r="K28" s="231"/>
      <c r="L28" s="231"/>
      <c r="M28" s="231"/>
      <c r="N28" s="209"/>
      <c r="O28" s="232"/>
      <c r="Q28" s="209"/>
      <c r="R28" s="225" t="s">
        <v>96</v>
      </c>
      <c r="S28" s="229">
        <f>AVERAGE(S3:S12)</f>
        <v>15.247999999999957</v>
      </c>
    </row>
    <row r="29" spans="1:19">
      <c r="A29" s="233"/>
      <c r="B29" s="234"/>
      <c r="C29" s="235"/>
      <c r="D29" s="236"/>
      <c r="E29" s="234"/>
      <c r="H29" s="235"/>
      <c r="I29" s="236"/>
      <c r="J29" s="236"/>
      <c r="K29" s="236"/>
      <c r="L29" s="217"/>
      <c r="M29" s="217"/>
      <c r="N29" s="215"/>
      <c r="O29" s="232"/>
      <c r="Q29" s="209"/>
      <c r="R29" s="225" t="s">
        <v>100</v>
      </c>
      <c r="S29" s="229">
        <f>AVERAGE(S3:S17)</f>
        <v>20.359333333333325</v>
      </c>
    </row>
    <row r="30" spans="1:19">
      <c r="A30" s="233"/>
      <c r="B30" s="234"/>
      <c r="C30" s="235"/>
      <c r="D30" s="236"/>
      <c r="E30" s="234"/>
      <c r="H30" s="235"/>
      <c r="I30" s="236"/>
      <c r="J30" s="236"/>
      <c r="K30" s="236"/>
      <c r="L30" s="217"/>
      <c r="M30" s="217"/>
      <c r="N30" s="210"/>
      <c r="O30" s="232"/>
      <c r="P30" s="230"/>
      <c r="R30" s="210"/>
      <c r="S30" s="209"/>
    </row>
    <row r="31" spans="1:19">
      <c r="A31" s="233"/>
      <c r="B31" s="234"/>
      <c r="C31" s="234"/>
      <c r="D31" s="234"/>
      <c r="E31" s="234"/>
      <c r="F31" s="234"/>
      <c r="G31" s="234"/>
      <c r="H31" s="234"/>
      <c r="I31" s="234"/>
      <c r="J31" s="234"/>
      <c r="K31" s="234"/>
      <c r="L31" s="234"/>
      <c r="M31" s="234"/>
      <c r="N31" s="236"/>
      <c r="O31" s="236"/>
      <c r="P31" s="230"/>
      <c r="R31" s="210"/>
      <c r="S31" s="209"/>
    </row>
    <row r="32" spans="1:19">
      <c r="A32" s="233"/>
      <c r="B32" s="234"/>
      <c r="C32" s="235"/>
      <c r="D32" s="236"/>
      <c r="E32" s="234"/>
      <c r="H32" s="235"/>
      <c r="R32" s="210"/>
      <c r="S32" s="209"/>
    </row>
    <row r="33" spans="1:19">
      <c r="A33" s="215"/>
      <c r="B33" s="234"/>
      <c r="C33" s="235"/>
      <c r="R33" s="210"/>
      <c r="S33" s="209"/>
    </row>
    <row r="34" spans="1:19">
      <c r="R34" s="210"/>
      <c r="S34" s="209"/>
    </row>
    <row r="35" spans="1:19">
      <c r="R35" s="210"/>
      <c r="S35" s="209"/>
    </row>
    <row r="40" spans="1:19">
      <c r="A40" s="226"/>
      <c r="B40" s="237"/>
      <c r="C40" s="237"/>
      <c r="D40" s="226"/>
      <c r="E40" s="226"/>
      <c r="F40" s="226"/>
      <c r="G40" s="226"/>
      <c r="H40" s="226"/>
      <c r="I40" s="226"/>
      <c r="J40" s="226"/>
      <c r="K40" s="226"/>
    </row>
    <row r="41" spans="1:19">
      <c r="A41" s="226"/>
      <c r="B41" s="237"/>
      <c r="C41" s="237"/>
      <c r="D41" s="226"/>
      <c r="E41" s="226"/>
      <c r="F41" s="226"/>
      <c r="G41" s="226"/>
      <c r="H41" s="226"/>
      <c r="I41" s="226"/>
      <c r="J41" s="226"/>
      <c r="K41" s="226"/>
    </row>
    <row r="42" spans="1:19">
      <c r="A42" s="226"/>
      <c r="B42" s="237"/>
      <c r="C42" s="237"/>
      <c r="D42" s="226"/>
      <c r="E42" s="226"/>
      <c r="F42" s="226"/>
      <c r="G42" s="226"/>
      <c r="H42" s="226"/>
      <c r="I42" s="226"/>
      <c r="J42" s="226"/>
      <c r="K42" s="226"/>
    </row>
    <row r="43" spans="1:19">
      <c r="A43" s="226"/>
      <c r="B43" s="237"/>
      <c r="C43" s="237"/>
      <c r="D43" s="226"/>
      <c r="E43" s="226"/>
      <c r="F43" s="226"/>
      <c r="G43" s="226"/>
      <c r="H43" s="226"/>
      <c r="I43" s="226"/>
      <c r="J43" s="226"/>
      <c r="K43" s="226"/>
    </row>
    <row r="44" spans="1:19">
      <c r="A44" s="226"/>
      <c r="B44" s="237"/>
      <c r="C44" s="237"/>
      <c r="D44" s="226"/>
      <c r="E44" s="226"/>
      <c r="F44" s="226"/>
      <c r="G44" s="226"/>
      <c r="H44" s="226"/>
      <c r="I44" s="226"/>
      <c r="J44" s="226"/>
      <c r="K44" s="226"/>
    </row>
    <row r="45" spans="1:19">
      <c r="A45" s="226"/>
      <c r="B45" s="237"/>
      <c r="C45" s="237"/>
      <c r="D45" s="226"/>
      <c r="E45" s="226"/>
      <c r="F45" s="226"/>
      <c r="G45" s="226"/>
      <c r="H45" s="226"/>
      <c r="I45" s="226"/>
      <c r="J45" s="226"/>
      <c r="K45" s="226"/>
    </row>
    <row r="46" spans="1:19">
      <c r="A46" s="226"/>
      <c r="B46" s="237"/>
      <c r="C46" s="237"/>
      <c r="D46" s="226"/>
      <c r="E46" s="226"/>
      <c r="F46" s="226"/>
      <c r="G46" s="226"/>
      <c r="H46" s="226"/>
      <c r="I46" s="226"/>
      <c r="J46" s="226"/>
      <c r="K46" s="226"/>
    </row>
    <row r="47" spans="1:19">
      <c r="A47" s="226"/>
      <c r="B47" s="237"/>
      <c r="C47" s="237"/>
      <c r="D47" s="226"/>
      <c r="E47" s="226"/>
      <c r="F47" s="226"/>
      <c r="G47" s="226"/>
      <c r="H47" s="226"/>
      <c r="I47" s="226"/>
      <c r="J47" s="226"/>
      <c r="K47" s="226"/>
    </row>
    <row r="48" spans="1:19">
      <c r="A48" s="226"/>
      <c r="B48" s="237"/>
      <c r="C48" s="237"/>
      <c r="D48" s="226"/>
      <c r="E48" s="226"/>
      <c r="F48" s="226"/>
      <c r="G48" s="226"/>
      <c r="H48" s="226"/>
      <c r="I48" s="226"/>
      <c r="J48" s="226"/>
      <c r="K48" s="226"/>
    </row>
    <row r="49" spans="1:11">
      <c r="A49" s="226"/>
      <c r="B49" s="237"/>
      <c r="C49" s="237"/>
      <c r="D49" s="226"/>
      <c r="E49" s="226"/>
      <c r="F49" s="226"/>
      <c r="G49" s="226"/>
      <c r="H49" s="226"/>
      <c r="I49" s="226"/>
      <c r="J49" s="226"/>
      <c r="K49" s="226"/>
    </row>
    <row r="50" spans="1:11">
      <c r="A50" s="226"/>
      <c r="B50" s="237"/>
      <c r="C50" s="237"/>
      <c r="D50" s="226"/>
      <c r="E50" s="226"/>
      <c r="F50" s="226"/>
      <c r="G50" s="226"/>
      <c r="H50" s="226"/>
      <c r="I50" s="226"/>
      <c r="J50" s="226"/>
      <c r="K50" s="226"/>
    </row>
    <row r="51" spans="1:11">
      <c r="A51" s="226"/>
      <c r="B51" s="237"/>
      <c r="C51" s="237"/>
      <c r="D51" s="226"/>
      <c r="E51" s="226"/>
      <c r="F51" s="226"/>
      <c r="G51" s="226"/>
      <c r="H51" s="226"/>
      <c r="I51" s="226"/>
      <c r="J51" s="226"/>
      <c r="K51" s="226"/>
    </row>
    <row r="52" spans="1:11">
      <c r="A52" s="226"/>
      <c r="B52" s="237"/>
      <c r="C52" s="237"/>
      <c r="D52" s="226"/>
      <c r="E52" s="226"/>
      <c r="F52" s="226"/>
      <c r="G52" s="226"/>
      <c r="H52" s="226"/>
      <c r="I52" s="226"/>
      <c r="J52" s="226"/>
      <c r="K52" s="226"/>
    </row>
    <row r="53" spans="1:11">
      <c r="A53" s="226"/>
      <c r="B53" s="237"/>
      <c r="C53" s="237"/>
      <c r="D53" s="226"/>
      <c r="E53" s="226"/>
      <c r="F53" s="226"/>
      <c r="G53" s="226"/>
      <c r="H53" s="226"/>
      <c r="I53" s="226"/>
      <c r="J53" s="226"/>
      <c r="K53" s="226"/>
    </row>
    <row r="54" spans="1:11">
      <c r="A54" s="226"/>
      <c r="B54" s="237"/>
      <c r="C54" s="237"/>
      <c r="D54" s="226"/>
      <c r="E54" s="226"/>
      <c r="F54" s="226"/>
      <c r="G54" s="226"/>
      <c r="H54" s="226"/>
      <c r="I54" s="226"/>
      <c r="J54" s="226"/>
      <c r="K54" s="226"/>
    </row>
    <row r="55" spans="1:11">
      <c r="A55" s="226"/>
      <c r="B55" s="237"/>
      <c r="C55" s="237"/>
      <c r="D55" s="226"/>
      <c r="E55" s="226"/>
      <c r="F55" s="226"/>
      <c r="G55" s="226"/>
      <c r="H55" s="226"/>
      <c r="I55" s="226"/>
      <c r="J55" s="226"/>
      <c r="K55" s="226"/>
    </row>
    <row r="56" spans="1:11">
      <c r="A56" s="226"/>
      <c r="B56" s="237"/>
      <c r="C56" s="237"/>
      <c r="D56" s="226"/>
      <c r="E56" s="226"/>
      <c r="F56" s="226"/>
      <c r="G56" s="226"/>
      <c r="H56" s="226"/>
      <c r="I56" s="226"/>
      <c r="J56" s="226"/>
      <c r="K56" s="226"/>
    </row>
    <row r="57" spans="1:11">
      <c r="A57" s="226"/>
      <c r="B57" s="237"/>
      <c r="C57" s="237"/>
      <c r="D57" s="226"/>
      <c r="E57" s="226"/>
      <c r="F57" s="226"/>
      <c r="G57" s="226"/>
      <c r="H57" s="226"/>
      <c r="I57" s="226"/>
      <c r="J57" s="226"/>
      <c r="K57" s="226"/>
    </row>
    <row r="58" spans="1:11">
      <c r="A58" s="226"/>
      <c r="B58" s="237"/>
      <c r="C58" s="237"/>
      <c r="D58" s="226"/>
      <c r="E58" s="226"/>
      <c r="F58" s="226"/>
      <c r="G58" s="226"/>
      <c r="H58" s="226"/>
      <c r="I58" s="226"/>
      <c r="J58" s="226"/>
      <c r="K58" s="226"/>
    </row>
    <row r="59" spans="1:11">
      <c r="A59" s="226"/>
      <c r="B59" s="237"/>
      <c r="C59" s="237"/>
      <c r="D59" s="226"/>
      <c r="E59" s="226"/>
      <c r="F59" s="226"/>
      <c r="G59" s="226"/>
      <c r="H59" s="226"/>
      <c r="I59" s="226"/>
      <c r="J59" s="226"/>
      <c r="K59" s="226"/>
    </row>
    <row r="60" spans="1:11">
      <c r="A60" s="226"/>
      <c r="B60" s="237"/>
      <c r="C60" s="237"/>
      <c r="D60" s="226"/>
      <c r="E60" s="226"/>
      <c r="F60" s="226"/>
      <c r="G60" s="226"/>
      <c r="H60" s="226"/>
      <c r="I60" s="226"/>
      <c r="J60" s="226"/>
      <c r="K60" s="226"/>
    </row>
    <row r="61" spans="1:11">
      <c r="A61" s="226"/>
      <c r="B61" s="237"/>
      <c r="C61" s="237"/>
      <c r="D61" s="226"/>
      <c r="E61" s="226"/>
      <c r="F61" s="226"/>
      <c r="G61" s="226"/>
      <c r="H61" s="226"/>
      <c r="I61" s="226"/>
      <c r="J61" s="226"/>
      <c r="K61" s="226"/>
    </row>
    <row r="62" spans="1:11">
      <c r="A62" s="226"/>
      <c r="B62" s="237"/>
      <c r="C62" s="237"/>
      <c r="D62" s="226"/>
      <c r="E62" s="226"/>
      <c r="F62" s="226"/>
      <c r="G62" s="226"/>
      <c r="H62" s="226"/>
      <c r="I62" s="226"/>
      <c r="J62" s="226"/>
      <c r="K62" s="226"/>
    </row>
    <row r="63" spans="1:11">
      <c r="A63" s="226"/>
      <c r="B63" s="237"/>
      <c r="C63" s="237"/>
      <c r="D63" s="226"/>
      <c r="E63" s="226"/>
      <c r="F63" s="226"/>
      <c r="G63" s="226"/>
      <c r="H63" s="226"/>
      <c r="I63" s="226"/>
      <c r="J63" s="226"/>
      <c r="K63" s="226"/>
    </row>
    <row r="64" spans="1:11">
      <c r="A64" s="226"/>
      <c r="B64" s="237"/>
      <c r="C64" s="237"/>
      <c r="D64" s="226"/>
      <c r="E64" s="226"/>
      <c r="F64" s="226"/>
      <c r="G64" s="226"/>
      <c r="H64" s="226"/>
      <c r="I64" s="226"/>
      <c r="J64" s="226"/>
      <c r="K64" s="226"/>
    </row>
    <row r="65" spans="1:11">
      <c r="A65" s="226"/>
      <c r="B65" s="237"/>
      <c r="C65" s="237"/>
      <c r="D65" s="226"/>
      <c r="E65" s="226"/>
      <c r="F65" s="226"/>
      <c r="G65" s="226"/>
      <c r="H65" s="226"/>
      <c r="I65" s="226"/>
      <c r="J65" s="226"/>
      <c r="K65" s="226"/>
    </row>
    <row r="66" spans="1:11">
      <c r="A66" s="226"/>
      <c r="B66" s="237"/>
      <c r="C66" s="237"/>
      <c r="D66" s="226"/>
      <c r="E66" s="226"/>
      <c r="F66" s="226"/>
      <c r="G66" s="226"/>
      <c r="H66" s="226"/>
      <c r="I66" s="226"/>
      <c r="J66" s="226"/>
      <c r="K66" s="226"/>
    </row>
    <row r="67" spans="1:11">
      <c r="A67" s="226"/>
      <c r="B67" s="237"/>
      <c r="C67" s="237"/>
      <c r="D67" s="226"/>
      <c r="E67" s="226"/>
      <c r="F67" s="226"/>
      <c r="G67" s="226"/>
      <c r="H67" s="226"/>
      <c r="I67" s="226"/>
      <c r="J67" s="226"/>
      <c r="K67" s="226"/>
    </row>
    <row r="68" spans="1:11">
      <c r="A68" s="226"/>
      <c r="B68" s="237"/>
      <c r="C68" s="237"/>
      <c r="D68" s="226"/>
      <c r="E68" s="226"/>
      <c r="F68" s="226"/>
      <c r="G68" s="226"/>
      <c r="H68" s="226"/>
      <c r="I68" s="226"/>
      <c r="J68" s="226"/>
      <c r="K68" s="226"/>
    </row>
    <row r="69" spans="1:11">
      <c r="A69" s="226"/>
      <c r="B69" s="237"/>
      <c r="C69" s="237"/>
      <c r="D69" s="226"/>
      <c r="E69" s="226"/>
      <c r="F69" s="226"/>
      <c r="G69" s="226"/>
      <c r="H69" s="226"/>
      <c r="I69" s="226"/>
      <c r="J69" s="226"/>
      <c r="K69" s="226"/>
    </row>
    <row r="70" spans="1:11">
      <c r="A70" s="226"/>
      <c r="B70" s="237"/>
      <c r="C70" s="237"/>
      <c r="D70" s="226"/>
      <c r="E70" s="226"/>
      <c r="F70" s="226"/>
      <c r="G70" s="226"/>
      <c r="H70" s="226"/>
      <c r="I70" s="226"/>
      <c r="J70" s="226"/>
      <c r="K70" s="226"/>
    </row>
    <row r="71" spans="1:11">
      <c r="A71" s="226"/>
      <c r="B71" s="237"/>
      <c r="C71" s="237"/>
      <c r="D71" s="226"/>
      <c r="E71" s="226"/>
      <c r="F71" s="226"/>
      <c r="G71" s="226"/>
      <c r="H71" s="226"/>
      <c r="I71" s="226"/>
      <c r="J71" s="226"/>
      <c r="K71" s="226"/>
    </row>
    <row r="72" spans="1:11">
      <c r="A72" s="226"/>
      <c r="B72" s="237"/>
      <c r="C72" s="237"/>
      <c r="D72" s="226"/>
      <c r="E72" s="226"/>
      <c r="F72" s="226"/>
      <c r="G72" s="226"/>
      <c r="H72" s="226"/>
      <c r="I72" s="226"/>
      <c r="J72" s="226"/>
      <c r="K72" s="226"/>
    </row>
    <row r="73" spans="1:11">
      <c r="A73" s="226"/>
      <c r="B73" s="237"/>
      <c r="C73" s="237"/>
      <c r="D73" s="226"/>
      <c r="E73" s="226"/>
      <c r="F73" s="226"/>
      <c r="G73" s="226"/>
      <c r="H73" s="226"/>
      <c r="I73" s="226"/>
      <c r="J73" s="226"/>
      <c r="K73" s="226"/>
    </row>
    <row r="74" spans="1:11">
      <c r="A74" s="226"/>
      <c r="B74" s="237"/>
      <c r="C74" s="237"/>
      <c r="D74" s="226"/>
      <c r="E74" s="226"/>
      <c r="F74" s="226"/>
      <c r="G74" s="226"/>
      <c r="H74" s="226"/>
      <c r="I74" s="226"/>
      <c r="J74" s="226"/>
      <c r="K74" s="226"/>
    </row>
    <row r="75" spans="1:11">
      <c r="A75" s="226"/>
      <c r="B75" s="237"/>
      <c r="C75" s="237"/>
      <c r="D75" s="226"/>
      <c r="E75" s="226"/>
      <c r="F75" s="226"/>
      <c r="G75" s="226"/>
      <c r="H75" s="226"/>
      <c r="I75" s="226"/>
      <c r="J75" s="226"/>
      <c r="K75" s="226"/>
    </row>
    <row r="76" spans="1:11">
      <c r="A76" s="226"/>
      <c r="B76" s="237"/>
      <c r="C76" s="237"/>
      <c r="D76" s="226"/>
      <c r="E76" s="226"/>
      <c r="F76" s="226"/>
      <c r="G76" s="226"/>
      <c r="H76" s="226"/>
      <c r="I76" s="226"/>
      <c r="J76" s="226"/>
      <c r="K76" s="226"/>
    </row>
    <row r="77" spans="1:11">
      <c r="A77" s="226"/>
      <c r="B77" s="237"/>
      <c r="C77" s="237"/>
      <c r="D77" s="226"/>
      <c r="E77" s="226"/>
      <c r="F77" s="226"/>
      <c r="G77" s="226"/>
      <c r="H77" s="226"/>
      <c r="I77" s="226"/>
      <c r="J77" s="226"/>
      <c r="K77" s="226"/>
    </row>
    <row r="78" spans="1:11">
      <c r="A78" s="226"/>
      <c r="B78" s="237"/>
      <c r="C78" s="237"/>
      <c r="D78" s="226"/>
      <c r="E78" s="226"/>
      <c r="F78" s="226"/>
      <c r="G78" s="226"/>
      <c r="H78" s="226"/>
      <c r="I78" s="226"/>
      <c r="J78" s="226"/>
      <c r="K78" s="226"/>
    </row>
    <row r="79" spans="1:11">
      <c r="A79" s="226"/>
      <c r="B79" s="237"/>
      <c r="C79" s="237"/>
      <c r="D79" s="226"/>
      <c r="E79" s="226"/>
      <c r="F79" s="226"/>
      <c r="G79" s="226"/>
      <c r="H79" s="226"/>
      <c r="I79" s="226"/>
      <c r="J79" s="226"/>
      <c r="K79" s="226"/>
    </row>
    <row r="80" spans="1:11">
      <c r="A80" s="226"/>
      <c r="B80" s="237"/>
      <c r="C80" s="237"/>
      <c r="D80" s="226"/>
      <c r="E80" s="226"/>
      <c r="F80" s="226"/>
      <c r="G80" s="226"/>
      <c r="H80" s="226"/>
      <c r="I80" s="226"/>
      <c r="J80" s="226"/>
      <c r="K80" s="226"/>
    </row>
    <row r="81" spans="1:11">
      <c r="A81" s="226"/>
      <c r="B81" s="237"/>
      <c r="C81" s="237"/>
      <c r="D81" s="226"/>
      <c r="E81" s="226"/>
      <c r="F81" s="226"/>
      <c r="G81" s="226"/>
      <c r="H81" s="226"/>
      <c r="I81" s="226"/>
      <c r="J81" s="226"/>
      <c r="K81" s="226"/>
    </row>
    <row r="82" spans="1:11">
      <c r="A82" s="226"/>
      <c r="B82" s="237"/>
      <c r="C82" s="237"/>
      <c r="D82" s="226"/>
      <c r="E82" s="226"/>
      <c r="F82" s="226"/>
      <c r="G82" s="226"/>
      <c r="H82" s="226"/>
      <c r="I82" s="226"/>
      <c r="J82" s="226"/>
      <c r="K82" s="226"/>
    </row>
    <row r="83" spans="1:11">
      <c r="A83" s="226"/>
      <c r="B83" s="237"/>
      <c r="C83" s="237"/>
      <c r="D83" s="226"/>
      <c r="E83" s="226"/>
      <c r="F83" s="226"/>
      <c r="G83" s="226"/>
      <c r="H83" s="226"/>
      <c r="I83" s="226"/>
      <c r="J83" s="226"/>
      <c r="K83" s="226"/>
    </row>
    <row r="84" spans="1:11">
      <c r="A84" s="226"/>
      <c r="B84" s="237"/>
      <c r="C84" s="237"/>
      <c r="D84" s="226"/>
      <c r="E84" s="226"/>
      <c r="F84" s="226"/>
      <c r="G84" s="226"/>
      <c r="H84" s="226"/>
      <c r="I84" s="226"/>
      <c r="J84" s="226"/>
      <c r="K84" s="226"/>
    </row>
    <row r="85" spans="1:11">
      <c r="A85" s="226"/>
      <c r="B85" s="237"/>
      <c r="C85" s="237"/>
      <c r="D85" s="226"/>
      <c r="E85" s="226"/>
      <c r="F85" s="226"/>
      <c r="G85" s="226"/>
      <c r="H85" s="226"/>
      <c r="I85" s="226"/>
      <c r="J85" s="226"/>
      <c r="K85" s="226"/>
    </row>
    <row r="86" spans="1:11">
      <c r="A86" s="226"/>
      <c r="B86" s="237"/>
      <c r="C86" s="237"/>
      <c r="D86" s="226"/>
      <c r="E86" s="226"/>
      <c r="F86" s="226"/>
      <c r="G86" s="226"/>
      <c r="H86" s="226"/>
      <c r="I86" s="226"/>
      <c r="J86" s="226"/>
      <c r="K86" s="226"/>
    </row>
    <row r="87" spans="1:11">
      <c r="A87" s="226"/>
      <c r="B87" s="237"/>
      <c r="C87" s="237"/>
      <c r="D87" s="226"/>
      <c r="E87" s="226"/>
      <c r="F87" s="226"/>
      <c r="G87" s="226"/>
      <c r="H87" s="226"/>
      <c r="I87" s="226"/>
      <c r="J87" s="226"/>
      <c r="K87" s="226"/>
    </row>
    <row r="88" spans="1:11">
      <c r="A88" s="226"/>
      <c r="B88" s="237"/>
      <c r="C88" s="237"/>
      <c r="D88" s="226"/>
      <c r="E88" s="226"/>
      <c r="F88" s="226"/>
      <c r="G88" s="226"/>
      <c r="H88" s="226"/>
      <c r="I88" s="226"/>
      <c r="J88" s="226"/>
      <c r="K88" s="226"/>
    </row>
    <row r="89" spans="1:11">
      <c r="A89" s="226"/>
      <c r="B89" s="237"/>
      <c r="C89" s="237"/>
      <c r="D89" s="226"/>
      <c r="E89" s="226"/>
      <c r="F89" s="226"/>
      <c r="G89" s="226"/>
      <c r="H89" s="226"/>
      <c r="I89" s="226"/>
      <c r="J89" s="226"/>
      <c r="K89" s="226"/>
    </row>
    <row r="90" spans="1:11">
      <c r="A90" s="226"/>
      <c r="B90" s="237"/>
      <c r="C90" s="237"/>
      <c r="D90" s="226"/>
      <c r="E90" s="226"/>
      <c r="F90" s="226"/>
      <c r="G90" s="226"/>
      <c r="H90" s="226"/>
      <c r="I90" s="226"/>
      <c r="J90" s="226"/>
      <c r="K90" s="226"/>
    </row>
    <row r="91" spans="1:11">
      <c r="A91" s="226"/>
      <c r="B91" s="237"/>
      <c r="C91" s="237"/>
      <c r="D91" s="226"/>
      <c r="E91" s="226"/>
      <c r="F91" s="226"/>
      <c r="G91" s="226"/>
      <c r="H91" s="226"/>
      <c r="I91" s="226"/>
      <c r="J91" s="226"/>
      <c r="K91" s="226"/>
    </row>
    <row r="92" spans="1:11">
      <c r="A92" s="226"/>
      <c r="B92" s="237"/>
      <c r="C92" s="237"/>
      <c r="D92" s="226"/>
      <c r="E92" s="226"/>
      <c r="F92" s="226"/>
      <c r="G92" s="226"/>
      <c r="H92" s="226"/>
      <c r="I92" s="226"/>
      <c r="J92" s="226"/>
      <c r="K92" s="226"/>
    </row>
    <row r="93" spans="1:11">
      <c r="A93" s="226"/>
      <c r="B93" s="237"/>
      <c r="C93" s="237"/>
      <c r="D93" s="226"/>
      <c r="E93" s="226"/>
      <c r="F93" s="226"/>
      <c r="G93" s="226"/>
      <c r="H93" s="226"/>
      <c r="I93" s="226"/>
      <c r="J93" s="226"/>
      <c r="K93" s="226"/>
    </row>
    <row r="94" spans="1:11">
      <c r="A94" s="226"/>
      <c r="B94" s="237"/>
      <c r="C94" s="237"/>
      <c r="D94" s="226"/>
      <c r="E94" s="226"/>
      <c r="F94" s="226"/>
      <c r="G94" s="226"/>
      <c r="H94" s="226"/>
      <c r="I94" s="226"/>
      <c r="J94" s="226"/>
      <c r="K94" s="226"/>
    </row>
    <row r="95" spans="1:11">
      <c r="A95" s="226"/>
      <c r="B95" s="237"/>
      <c r="C95" s="237"/>
      <c r="D95" s="226"/>
      <c r="E95" s="226"/>
      <c r="F95" s="226"/>
      <c r="G95" s="226"/>
      <c r="H95" s="226"/>
      <c r="I95" s="226"/>
      <c r="J95" s="226"/>
      <c r="K95" s="226"/>
    </row>
    <row r="96" spans="1:11">
      <c r="A96" s="226"/>
      <c r="B96" s="237"/>
      <c r="C96" s="237"/>
      <c r="D96" s="226"/>
      <c r="E96" s="226"/>
      <c r="F96" s="226"/>
      <c r="G96" s="226"/>
      <c r="H96" s="226"/>
      <c r="I96" s="226"/>
      <c r="J96" s="226"/>
      <c r="K96" s="226"/>
    </row>
    <row r="97" spans="1:11">
      <c r="A97" s="226"/>
      <c r="B97" s="237"/>
      <c r="C97" s="237"/>
      <c r="D97" s="226"/>
      <c r="E97" s="226"/>
      <c r="F97" s="226"/>
      <c r="G97" s="226"/>
      <c r="H97" s="226"/>
      <c r="I97" s="226"/>
      <c r="J97" s="226"/>
      <c r="K97" s="226"/>
    </row>
    <row r="98" spans="1:11">
      <c r="A98" s="226"/>
      <c r="B98" s="237"/>
      <c r="C98" s="237"/>
      <c r="D98" s="226"/>
      <c r="E98" s="226"/>
      <c r="F98" s="226"/>
      <c r="G98" s="226"/>
      <c r="H98" s="226"/>
      <c r="I98" s="226"/>
      <c r="J98" s="226"/>
      <c r="K98" s="226"/>
    </row>
    <row r="99" spans="1:11">
      <c r="A99" s="226"/>
      <c r="B99" s="237"/>
      <c r="C99" s="237"/>
      <c r="D99" s="226"/>
      <c r="E99" s="226"/>
      <c r="F99" s="226"/>
      <c r="G99" s="226"/>
      <c r="H99" s="226"/>
      <c r="I99" s="226"/>
      <c r="J99" s="226"/>
      <c r="K99" s="226"/>
    </row>
    <row r="100" spans="1:11">
      <c r="A100" s="226"/>
      <c r="B100" s="237"/>
      <c r="C100" s="237"/>
      <c r="D100" s="226"/>
      <c r="E100" s="226"/>
      <c r="F100" s="226"/>
      <c r="G100" s="226"/>
      <c r="H100" s="226"/>
      <c r="I100" s="226"/>
      <c r="J100" s="226"/>
      <c r="K100" s="226"/>
    </row>
    <row r="101" spans="1:11">
      <c r="A101" s="226"/>
      <c r="B101" s="237"/>
      <c r="C101" s="237"/>
      <c r="D101" s="226"/>
      <c r="E101" s="226"/>
      <c r="F101" s="226"/>
      <c r="G101" s="226"/>
      <c r="H101" s="226"/>
      <c r="I101" s="226"/>
      <c r="J101" s="226"/>
      <c r="K101" s="226"/>
    </row>
    <row r="102" spans="1:11">
      <c r="A102" s="226"/>
      <c r="B102" s="237"/>
      <c r="C102" s="237"/>
      <c r="D102" s="226"/>
      <c r="E102" s="226"/>
      <c r="F102" s="226"/>
      <c r="G102" s="226"/>
      <c r="H102" s="226"/>
      <c r="I102" s="226"/>
      <c r="J102" s="226"/>
      <c r="K102" s="226"/>
    </row>
    <row r="103" spans="1:11">
      <c r="A103" s="226"/>
      <c r="B103" s="237"/>
      <c r="C103" s="237"/>
      <c r="D103" s="226"/>
      <c r="E103" s="226"/>
      <c r="F103" s="226"/>
      <c r="G103" s="226"/>
      <c r="H103" s="226"/>
      <c r="I103" s="226"/>
      <c r="J103" s="226"/>
      <c r="K103" s="226"/>
    </row>
    <row r="104" spans="1:11">
      <c r="A104" s="226"/>
      <c r="B104" s="237"/>
      <c r="C104" s="237"/>
      <c r="D104" s="226"/>
      <c r="E104" s="226"/>
      <c r="F104" s="226"/>
      <c r="G104" s="226"/>
      <c r="H104" s="226"/>
      <c r="I104" s="226"/>
      <c r="J104" s="226"/>
      <c r="K104" s="226"/>
    </row>
    <row r="105" spans="1:11">
      <c r="A105" s="226"/>
      <c r="B105" s="237"/>
      <c r="C105" s="237"/>
      <c r="D105" s="226"/>
      <c r="E105" s="226"/>
      <c r="F105" s="226"/>
      <c r="G105" s="226"/>
      <c r="H105" s="226"/>
      <c r="I105" s="226"/>
      <c r="J105" s="226"/>
      <c r="K105" s="226"/>
    </row>
    <row r="106" spans="1:11">
      <c r="A106" s="226"/>
      <c r="B106" s="237"/>
      <c r="C106" s="237"/>
      <c r="D106" s="226"/>
      <c r="E106" s="226"/>
      <c r="F106" s="226"/>
      <c r="G106" s="226"/>
      <c r="H106" s="226"/>
      <c r="I106" s="226"/>
      <c r="J106" s="226"/>
      <c r="K106" s="226"/>
    </row>
    <row r="107" spans="1:11">
      <c r="A107" s="226"/>
      <c r="B107" s="237"/>
      <c r="C107" s="237"/>
      <c r="D107" s="226"/>
      <c r="E107" s="226"/>
      <c r="F107" s="226"/>
      <c r="G107" s="226"/>
      <c r="H107" s="226"/>
      <c r="I107" s="226"/>
      <c r="J107" s="226"/>
      <c r="K107" s="226"/>
    </row>
    <row r="108" spans="1:11">
      <c r="A108" s="226"/>
      <c r="B108" s="237"/>
      <c r="C108" s="237"/>
      <c r="D108" s="226"/>
      <c r="E108" s="226"/>
      <c r="F108" s="226"/>
      <c r="G108" s="226"/>
      <c r="H108" s="226"/>
      <c r="I108" s="226"/>
      <c r="J108" s="226"/>
      <c r="K108" s="226"/>
    </row>
    <row r="109" spans="1:11">
      <c r="A109" s="226"/>
      <c r="B109" s="237"/>
      <c r="C109" s="237"/>
      <c r="D109" s="226"/>
      <c r="E109" s="226"/>
      <c r="F109" s="226"/>
      <c r="G109" s="226"/>
      <c r="H109" s="226"/>
      <c r="I109" s="226"/>
      <c r="J109" s="226"/>
      <c r="K109" s="226"/>
    </row>
    <row r="110" spans="1:11">
      <c r="A110" s="226"/>
      <c r="B110" s="237"/>
      <c r="C110" s="237"/>
      <c r="D110" s="226"/>
      <c r="E110" s="226"/>
      <c r="F110" s="226"/>
      <c r="G110" s="226"/>
      <c r="H110" s="226"/>
      <c r="I110" s="226"/>
      <c r="J110" s="226"/>
      <c r="K110" s="226"/>
    </row>
    <row r="111" spans="1:11">
      <c r="A111" s="226"/>
      <c r="B111" s="237"/>
      <c r="C111" s="237"/>
      <c r="D111" s="226"/>
      <c r="E111" s="226"/>
      <c r="F111" s="226"/>
      <c r="G111" s="226"/>
      <c r="H111" s="226"/>
      <c r="I111" s="226"/>
      <c r="J111" s="226"/>
      <c r="K111" s="226"/>
    </row>
    <row r="112" spans="1:11">
      <c r="A112" s="226"/>
      <c r="B112" s="237"/>
      <c r="C112" s="237"/>
      <c r="D112" s="226"/>
      <c r="E112" s="226"/>
      <c r="F112" s="226"/>
      <c r="G112" s="226"/>
      <c r="H112" s="226"/>
      <c r="I112" s="226"/>
      <c r="J112" s="226"/>
      <c r="K112" s="226"/>
    </row>
    <row r="113" spans="1:11">
      <c r="A113" s="226"/>
      <c r="B113" s="237"/>
      <c r="C113" s="237"/>
      <c r="D113" s="226"/>
      <c r="E113" s="226"/>
      <c r="F113" s="226"/>
      <c r="G113" s="226"/>
      <c r="H113" s="226"/>
      <c r="I113" s="226"/>
      <c r="J113" s="226"/>
      <c r="K113" s="226"/>
    </row>
    <row r="114" spans="1:11">
      <c r="A114" s="226"/>
      <c r="B114" s="237"/>
      <c r="C114" s="237"/>
      <c r="D114" s="226"/>
      <c r="E114" s="226"/>
      <c r="F114" s="226"/>
      <c r="G114" s="226"/>
      <c r="H114" s="226"/>
      <c r="I114" s="226"/>
      <c r="J114" s="226"/>
      <c r="K114" s="226"/>
    </row>
    <row r="115" spans="1:11">
      <c r="A115" s="226"/>
      <c r="B115" s="237"/>
      <c r="C115" s="237"/>
      <c r="D115" s="226"/>
      <c r="E115" s="226"/>
      <c r="F115" s="226"/>
      <c r="G115" s="226"/>
      <c r="H115" s="226"/>
      <c r="I115" s="226"/>
      <c r="J115" s="226"/>
      <c r="K115" s="226"/>
    </row>
    <row r="116" spans="1:11">
      <c r="A116" s="226"/>
      <c r="B116" s="237"/>
      <c r="C116" s="237"/>
      <c r="D116" s="226"/>
      <c r="E116" s="226"/>
      <c r="F116" s="226"/>
      <c r="G116" s="226"/>
      <c r="H116" s="226"/>
      <c r="I116" s="226"/>
      <c r="J116" s="226"/>
      <c r="K116" s="226"/>
    </row>
    <row r="117" spans="1:11">
      <c r="A117" s="226"/>
      <c r="B117" s="237"/>
      <c r="C117" s="237"/>
      <c r="D117" s="226"/>
      <c r="E117" s="226"/>
      <c r="F117" s="226"/>
      <c r="G117" s="226"/>
      <c r="H117" s="226"/>
      <c r="I117" s="226"/>
      <c r="J117" s="226"/>
      <c r="K117" s="226"/>
    </row>
    <row r="118" spans="1:11">
      <c r="A118" s="226"/>
      <c r="B118" s="237"/>
      <c r="C118" s="237"/>
      <c r="D118" s="226"/>
      <c r="E118" s="226"/>
      <c r="F118" s="226"/>
      <c r="G118" s="226"/>
      <c r="H118" s="226"/>
      <c r="I118" s="226"/>
      <c r="J118" s="226"/>
      <c r="K118" s="226"/>
    </row>
    <row r="119" spans="1:11">
      <c r="A119" s="226"/>
      <c r="B119" s="237"/>
      <c r="C119" s="237"/>
      <c r="D119" s="226"/>
      <c r="E119" s="226"/>
      <c r="F119" s="226"/>
      <c r="G119" s="226"/>
      <c r="H119" s="226"/>
      <c r="I119" s="226"/>
      <c r="J119" s="226"/>
      <c r="K119" s="226"/>
    </row>
    <row r="120" spans="1:11">
      <c r="A120" s="226"/>
      <c r="B120" s="237"/>
      <c r="C120" s="237"/>
      <c r="D120" s="226"/>
      <c r="E120" s="226"/>
      <c r="F120" s="226"/>
      <c r="G120" s="226"/>
      <c r="H120" s="226"/>
      <c r="I120" s="226"/>
      <c r="J120" s="226"/>
      <c r="K120" s="226"/>
    </row>
    <row r="121" spans="1:11">
      <c r="A121" s="226"/>
      <c r="B121" s="237"/>
      <c r="C121" s="237"/>
      <c r="D121" s="226"/>
      <c r="E121" s="226"/>
      <c r="F121" s="226"/>
      <c r="G121" s="226"/>
      <c r="H121" s="226"/>
      <c r="I121" s="226"/>
      <c r="J121" s="226"/>
      <c r="K121" s="226"/>
    </row>
    <row r="122" spans="1:11">
      <c r="A122" s="226"/>
      <c r="B122" s="237"/>
      <c r="C122" s="237"/>
      <c r="D122" s="226"/>
      <c r="E122" s="226"/>
      <c r="F122" s="226"/>
      <c r="G122" s="226"/>
      <c r="H122" s="226"/>
      <c r="I122" s="226"/>
      <c r="J122" s="226"/>
      <c r="K122" s="226"/>
    </row>
    <row r="123" spans="1:11">
      <c r="A123" s="226"/>
      <c r="B123" s="237"/>
      <c r="C123" s="237"/>
      <c r="D123" s="226"/>
      <c r="E123" s="226"/>
      <c r="F123" s="226"/>
      <c r="G123" s="226"/>
      <c r="H123" s="226"/>
      <c r="I123" s="226"/>
      <c r="J123" s="226"/>
      <c r="K123" s="226"/>
    </row>
    <row r="124" spans="1:11">
      <c r="A124" s="226"/>
      <c r="B124" s="237"/>
      <c r="C124" s="237"/>
      <c r="D124" s="226"/>
      <c r="E124" s="226"/>
      <c r="F124" s="226"/>
      <c r="G124" s="226"/>
      <c r="H124" s="226"/>
      <c r="I124" s="226"/>
      <c r="J124" s="226"/>
      <c r="K124" s="226"/>
    </row>
    <row r="125" spans="1:11">
      <c r="A125" s="226"/>
      <c r="B125" s="237"/>
      <c r="C125" s="237"/>
      <c r="D125" s="226"/>
      <c r="E125" s="226"/>
      <c r="F125" s="226"/>
      <c r="G125" s="226"/>
      <c r="H125" s="226"/>
      <c r="I125" s="226"/>
      <c r="J125" s="226"/>
      <c r="K125" s="226"/>
    </row>
    <row r="126" spans="1:11">
      <c r="A126" s="226"/>
      <c r="B126" s="237"/>
      <c r="C126" s="237"/>
      <c r="D126" s="226"/>
      <c r="E126" s="226"/>
      <c r="F126" s="226"/>
      <c r="G126" s="226"/>
      <c r="H126" s="226"/>
      <c r="I126" s="226"/>
      <c r="J126" s="226"/>
      <c r="K126" s="226"/>
    </row>
    <row r="127" spans="1:11">
      <c r="A127" s="226"/>
      <c r="B127" s="237"/>
      <c r="C127" s="237"/>
      <c r="D127" s="226"/>
      <c r="E127" s="226"/>
      <c r="F127" s="226"/>
      <c r="G127" s="226"/>
      <c r="H127" s="226"/>
      <c r="I127" s="226"/>
      <c r="J127" s="226"/>
      <c r="K127" s="226"/>
    </row>
    <row r="128" spans="1:11">
      <c r="A128" s="226"/>
      <c r="B128" s="237"/>
      <c r="C128" s="237"/>
      <c r="D128" s="226"/>
      <c r="E128" s="226"/>
      <c r="F128" s="226"/>
      <c r="G128" s="226"/>
      <c r="H128" s="226"/>
      <c r="I128" s="226"/>
      <c r="J128" s="226"/>
      <c r="K128" s="226"/>
    </row>
    <row r="129" spans="1:11">
      <c r="A129" s="226"/>
      <c r="B129" s="237"/>
      <c r="C129" s="237"/>
      <c r="D129" s="226"/>
      <c r="E129" s="226"/>
      <c r="F129" s="226"/>
      <c r="G129" s="226"/>
      <c r="H129" s="226"/>
      <c r="I129" s="226"/>
      <c r="J129" s="226"/>
      <c r="K129" s="226"/>
    </row>
    <row r="130" spans="1:11">
      <c r="A130" s="226"/>
      <c r="B130" s="237"/>
      <c r="C130" s="237"/>
      <c r="D130" s="226"/>
      <c r="E130" s="226"/>
      <c r="F130" s="226"/>
      <c r="G130" s="226"/>
      <c r="H130" s="226"/>
      <c r="I130" s="226"/>
      <c r="J130" s="226"/>
      <c r="K130" s="226"/>
    </row>
    <row r="131" spans="1:11">
      <c r="A131" s="226"/>
      <c r="B131" s="237"/>
      <c r="C131" s="237"/>
      <c r="D131" s="226"/>
      <c r="E131" s="226"/>
      <c r="F131" s="226"/>
      <c r="G131" s="226"/>
      <c r="H131" s="226"/>
      <c r="I131" s="226"/>
      <c r="J131" s="226"/>
      <c r="K131" s="226"/>
    </row>
    <row r="132" spans="1:11">
      <c r="A132" s="226"/>
      <c r="B132" s="237"/>
      <c r="C132" s="237"/>
      <c r="D132" s="226"/>
      <c r="E132" s="226"/>
      <c r="F132" s="226"/>
      <c r="G132" s="226"/>
      <c r="H132" s="226"/>
      <c r="I132" s="226"/>
      <c r="J132" s="226"/>
      <c r="K132" s="226"/>
    </row>
    <row r="133" spans="1:11">
      <c r="A133" s="226"/>
      <c r="B133" s="237"/>
      <c r="C133" s="237"/>
      <c r="D133" s="226"/>
      <c r="E133" s="226"/>
      <c r="F133" s="226"/>
      <c r="G133" s="226"/>
      <c r="H133" s="226"/>
      <c r="I133" s="226"/>
      <c r="J133" s="226"/>
      <c r="K133" s="226"/>
    </row>
    <row r="134" spans="1:11">
      <c r="A134" s="226"/>
      <c r="B134" s="237"/>
      <c r="C134" s="237"/>
      <c r="D134" s="226"/>
      <c r="E134" s="226"/>
      <c r="F134" s="226"/>
      <c r="G134" s="226"/>
      <c r="H134" s="226"/>
      <c r="I134" s="226"/>
      <c r="J134" s="226"/>
      <c r="K134" s="226"/>
    </row>
    <row r="135" spans="1:11">
      <c r="A135" s="226"/>
      <c r="B135" s="237"/>
      <c r="C135" s="237"/>
      <c r="D135" s="226"/>
      <c r="E135" s="226"/>
      <c r="F135" s="226"/>
      <c r="G135" s="226"/>
      <c r="H135" s="226"/>
      <c r="I135" s="226"/>
      <c r="J135" s="226"/>
      <c r="K135" s="226"/>
    </row>
    <row r="136" spans="1:11">
      <c r="A136" s="226"/>
      <c r="B136" s="237"/>
      <c r="C136" s="237"/>
      <c r="D136" s="226"/>
      <c r="E136" s="226"/>
      <c r="F136" s="226"/>
      <c r="G136" s="226"/>
      <c r="H136" s="226"/>
      <c r="I136" s="226"/>
      <c r="J136" s="226"/>
      <c r="K136" s="226"/>
    </row>
    <row r="137" spans="1:11">
      <c r="A137" s="226"/>
      <c r="B137" s="237"/>
      <c r="C137" s="237"/>
      <c r="D137" s="226"/>
      <c r="E137" s="226"/>
      <c r="F137" s="226"/>
      <c r="G137" s="226"/>
      <c r="H137" s="226"/>
      <c r="I137" s="226"/>
      <c r="J137" s="226"/>
      <c r="K137" s="226"/>
    </row>
    <row r="138" spans="1:11">
      <c r="A138" s="226"/>
      <c r="B138" s="237"/>
      <c r="C138" s="237"/>
      <c r="D138" s="226"/>
      <c r="E138" s="226"/>
      <c r="F138" s="226"/>
      <c r="G138" s="226"/>
      <c r="H138" s="226"/>
      <c r="I138" s="226"/>
      <c r="J138" s="226"/>
      <c r="K138" s="226"/>
    </row>
    <row r="139" spans="1:11">
      <c r="A139" s="226"/>
      <c r="B139" s="237"/>
      <c r="C139" s="237"/>
      <c r="D139" s="226"/>
      <c r="E139" s="226"/>
      <c r="F139" s="226"/>
      <c r="G139" s="226"/>
      <c r="H139" s="226"/>
      <c r="I139" s="226"/>
      <c r="J139" s="226"/>
      <c r="K139" s="226"/>
    </row>
    <row r="140" spans="1:11">
      <c r="A140" s="226"/>
      <c r="B140" s="237"/>
      <c r="C140" s="237"/>
      <c r="D140" s="226"/>
      <c r="E140" s="226"/>
      <c r="F140" s="226"/>
      <c r="G140" s="226"/>
      <c r="H140" s="226"/>
      <c r="I140" s="226"/>
      <c r="J140" s="226"/>
      <c r="K140" s="226"/>
    </row>
    <row r="141" spans="1:11">
      <c r="A141" s="226"/>
      <c r="B141" s="237"/>
      <c r="C141" s="237"/>
      <c r="D141" s="226"/>
      <c r="E141" s="226"/>
      <c r="F141" s="226"/>
      <c r="G141" s="226"/>
      <c r="H141" s="226"/>
      <c r="I141" s="226"/>
      <c r="J141" s="226"/>
      <c r="K141" s="226"/>
    </row>
    <row r="142" spans="1:11">
      <c r="A142" s="226"/>
      <c r="B142" s="237"/>
      <c r="C142" s="237"/>
      <c r="D142" s="226"/>
      <c r="E142" s="226"/>
      <c r="F142" s="226"/>
      <c r="G142" s="226"/>
      <c r="H142" s="226"/>
      <c r="I142" s="226"/>
      <c r="J142" s="226"/>
      <c r="K142" s="226"/>
    </row>
    <row r="143" spans="1:11">
      <c r="A143" s="226"/>
      <c r="B143" s="237"/>
      <c r="C143" s="237"/>
      <c r="D143" s="226"/>
      <c r="E143" s="226"/>
      <c r="F143" s="226"/>
      <c r="G143" s="226"/>
      <c r="H143" s="226"/>
      <c r="I143" s="226"/>
      <c r="J143" s="226"/>
      <c r="K143" s="226"/>
    </row>
    <row r="144" spans="1:11">
      <c r="A144" s="226"/>
      <c r="B144" s="237"/>
      <c r="C144" s="237"/>
      <c r="D144" s="226"/>
      <c r="E144" s="226"/>
      <c r="F144" s="226"/>
      <c r="G144" s="226"/>
      <c r="H144" s="226"/>
      <c r="I144" s="226"/>
      <c r="J144" s="226"/>
      <c r="K144" s="226"/>
    </row>
    <row r="145" spans="1:11">
      <c r="A145" s="226"/>
      <c r="B145" s="237"/>
      <c r="C145" s="237"/>
      <c r="D145" s="226"/>
      <c r="E145" s="226"/>
      <c r="F145" s="226"/>
      <c r="G145" s="226"/>
      <c r="H145" s="226"/>
      <c r="I145" s="226"/>
      <c r="J145" s="226"/>
      <c r="K145" s="226"/>
    </row>
    <row r="146" spans="1:11">
      <c r="A146" s="226"/>
      <c r="B146" s="237"/>
      <c r="C146" s="237"/>
      <c r="D146" s="226"/>
      <c r="E146" s="226"/>
      <c r="F146" s="226"/>
      <c r="G146" s="226"/>
      <c r="H146" s="226"/>
      <c r="I146" s="226"/>
      <c r="J146" s="226"/>
      <c r="K146" s="226"/>
    </row>
    <row r="147" spans="1:11">
      <c r="A147" s="226"/>
      <c r="B147" s="237"/>
      <c r="C147" s="237"/>
      <c r="D147" s="226"/>
      <c r="E147" s="226"/>
      <c r="F147" s="226"/>
      <c r="G147" s="226"/>
      <c r="H147" s="226"/>
      <c r="I147" s="226"/>
      <c r="J147" s="226"/>
      <c r="K147" s="226"/>
    </row>
    <row r="148" spans="1:11">
      <c r="A148" s="226"/>
      <c r="B148" s="237"/>
      <c r="C148" s="237"/>
      <c r="D148" s="226"/>
      <c r="E148" s="226"/>
      <c r="F148" s="226"/>
      <c r="G148" s="226"/>
      <c r="H148" s="226"/>
      <c r="I148" s="226"/>
      <c r="J148" s="226"/>
      <c r="K148" s="226"/>
    </row>
    <row r="149" spans="1:11">
      <c r="A149" s="226"/>
      <c r="B149" s="237"/>
      <c r="C149" s="237"/>
      <c r="D149" s="226"/>
      <c r="E149" s="226"/>
      <c r="F149" s="226"/>
      <c r="G149" s="226"/>
      <c r="H149" s="226"/>
      <c r="I149" s="226"/>
      <c r="J149" s="226"/>
      <c r="K149" s="226"/>
    </row>
    <row r="150" spans="1:11">
      <c r="A150" s="226"/>
      <c r="B150" s="237"/>
      <c r="C150" s="237"/>
      <c r="D150" s="226"/>
      <c r="E150" s="226"/>
      <c r="F150" s="226"/>
      <c r="G150" s="226"/>
      <c r="H150" s="226"/>
      <c r="I150" s="226"/>
      <c r="J150" s="226"/>
      <c r="K150" s="226"/>
    </row>
    <row r="151" spans="1:11">
      <c r="A151" s="226"/>
      <c r="B151" s="237"/>
      <c r="C151" s="237"/>
      <c r="D151" s="226"/>
      <c r="E151" s="226"/>
      <c r="F151" s="226"/>
      <c r="G151" s="226"/>
      <c r="H151" s="226"/>
      <c r="I151" s="226"/>
      <c r="J151" s="226"/>
      <c r="K151" s="226"/>
    </row>
    <row r="152" spans="1:11">
      <c r="A152" s="226"/>
      <c r="B152" s="237"/>
      <c r="C152" s="237"/>
      <c r="D152" s="226"/>
      <c r="E152" s="226"/>
      <c r="F152" s="226"/>
      <c r="G152" s="226"/>
      <c r="H152" s="226"/>
      <c r="I152" s="226"/>
      <c r="J152" s="226"/>
      <c r="K152" s="226"/>
    </row>
    <row r="153" spans="1:11">
      <c r="A153" s="226"/>
      <c r="B153" s="237"/>
      <c r="C153" s="237"/>
      <c r="D153" s="226"/>
      <c r="E153" s="226"/>
      <c r="F153" s="226"/>
      <c r="G153" s="226"/>
      <c r="H153" s="226"/>
      <c r="I153" s="226"/>
      <c r="J153" s="226"/>
      <c r="K153" s="226"/>
    </row>
    <row r="154" spans="1:11">
      <c r="A154" s="226"/>
      <c r="B154" s="237"/>
      <c r="C154" s="237"/>
      <c r="D154" s="226"/>
      <c r="E154" s="226"/>
      <c r="F154" s="226"/>
      <c r="G154" s="226"/>
      <c r="H154" s="226"/>
      <c r="I154" s="226"/>
      <c r="J154" s="226"/>
      <c r="K154" s="226"/>
    </row>
    <row r="155" spans="1:11">
      <c r="A155" s="226"/>
      <c r="B155" s="237"/>
      <c r="C155" s="237"/>
      <c r="D155" s="226"/>
      <c r="E155" s="226"/>
      <c r="F155" s="226"/>
      <c r="G155" s="226"/>
      <c r="H155" s="226"/>
      <c r="I155" s="226"/>
      <c r="J155" s="226"/>
      <c r="K155" s="226"/>
    </row>
    <row r="156" spans="1:11">
      <c r="A156" s="226"/>
      <c r="B156" s="237"/>
      <c r="C156" s="237"/>
      <c r="D156" s="226"/>
      <c r="E156" s="226"/>
      <c r="F156" s="226"/>
      <c r="G156" s="226"/>
      <c r="H156" s="226"/>
      <c r="I156" s="226"/>
      <c r="J156" s="226"/>
      <c r="K156" s="226"/>
    </row>
    <row r="157" spans="1:11">
      <c r="A157" s="226"/>
      <c r="B157" s="237"/>
      <c r="C157" s="237"/>
      <c r="D157" s="226"/>
      <c r="E157" s="226"/>
      <c r="F157" s="226"/>
      <c r="G157" s="226"/>
      <c r="H157" s="226"/>
      <c r="I157" s="226"/>
      <c r="J157" s="226"/>
      <c r="K157" s="226"/>
    </row>
    <row r="158" spans="1:11">
      <c r="A158" s="226"/>
      <c r="B158" s="237"/>
      <c r="C158" s="237"/>
      <c r="D158" s="226"/>
      <c r="E158" s="226"/>
      <c r="F158" s="226"/>
      <c r="G158" s="226"/>
      <c r="H158" s="226"/>
      <c r="I158" s="226"/>
      <c r="J158" s="226"/>
      <c r="K158" s="226"/>
    </row>
    <row r="159" spans="1:11">
      <c r="A159" s="226"/>
      <c r="B159" s="237"/>
      <c r="C159" s="237"/>
      <c r="D159" s="226"/>
      <c r="E159" s="226"/>
      <c r="F159" s="226"/>
      <c r="G159" s="226"/>
      <c r="H159" s="226"/>
      <c r="I159" s="226"/>
      <c r="J159" s="226"/>
      <c r="K159" s="226"/>
    </row>
    <row r="160" spans="1:11">
      <c r="A160" s="226"/>
      <c r="B160" s="237"/>
      <c r="C160" s="237"/>
      <c r="D160" s="226"/>
      <c r="E160" s="226"/>
      <c r="F160" s="226"/>
      <c r="G160" s="226"/>
      <c r="H160" s="226"/>
      <c r="I160" s="226"/>
      <c r="J160" s="226"/>
      <c r="K160" s="226"/>
    </row>
    <row r="161" spans="1:11">
      <c r="A161" s="226"/>
      <c r="B161" s="237"/>
      <c r="C161" s="237"/>
      <c r="D161" s="226"/>
      <c r="E161" s="226"/>
      <c r="F161" s="226"/>
      <c r="G161" s="226"/>
      <c r="H161" s="226"/>
      <c r="I161" s="226"/>
      <c r="J161" s="226"/>
      <c r="K161" s="226"/>
    </row>
    <row r="162" spans="1:11">
      <c r="A162" s="226"/>
      <c r="B162" s="237"/>
      <c r="C162" s="237"/>
      <c r="D162" s="226"/>
      <c r="E162" s="226"/>
      <c r="F162" s="226"/>
      <c r="G162" s="226"/>
      <c r="H162" s="226"/>
      <c r="I162" s="226"/>
      <c r="J162" s="226"/>
      <c r="K162" s="226"/>
    </row>
    <row r="163" spans="1:11">
      <c r="A163" s="226"/>
      <c r="B163" s="237"/>
      <c r="C163" s="237"/>
      <c r="D163" s="226"/>
      <c r="E163" s="226"/>
      <c r="F163" s="226"/>
      <c r="G163" s="226"/>
      <c r="H163" s="226"/>
      <c r="I163" s="226"/>
      <c r="J163" s="226"/>
      <c r="K163" s="226"/>
    </row>
    <row r="164" spans="1:11">
      <c r="A164" s="226"/>
      <c r="B164" s="237"/>
      <c r="C164" s="237"/>
      <c r="D164" s="226"/>
      <c r="E164" s="226"/>
      <c r="F164" s="226"/>
      <c r="G164" s="226"/>
      <c r="H164" s="226"/>
      <c r="I164" s="226"/>
      <c r="J164" s="226"/>
      <c r="K164" s="226"/>
    </row>
    <row r="165" spans="1:11">
      <c r="A165" s="226"/>
      <c r="B165" s="237"/>
      <c r="C165" s="237"/>
      <c r="D165" s="226"/>
      <c r="E165" s="226"/>
      <c r="F165" s="226"/>
      <c r="G165" s="226"/>
      <c r="H165" s="226"/>
      <c r="I165" s="226"/>
      <c r="J165" s="226"/>
      <c r="K165" s="226"/>
    </row>
    <row r="166" spans="1:11">
      <c r="A166" s="226"/>
      <c r="B166" s="237"/>
      <c r="C166" s="237"/>
      <c r="D166" s="226"/>
      <c r="E166" s="226"/>
      <c r="F166" s="226"/>
      <c r="G166" s="226"/>
      <c r="H166" s="226"/>
      <c r="I166" s="226"/>
      <c r="J166" s="226"/>
      <c r="K166" s="226"/>
    </row>
    <row r="167" spans="1:11">
      <c r="A167" s="226"/>
      <c r="B167" s="237"/>
      <c r="C167" s="237"/>
      <c r="D167" s="226"/>
      <c r="E167" s="226"/>
      <c r="F167" s="226"/>
      <c r="G167" s="226"/>
      <c r="H167" s="226"/>
      <c r="I167" s="226"/>
      <c r="J167" s="226"/>
      <c r="K167" s="226"/>
    </row>
    <row r="168" spans="1:11">
      <c r="A168" s="226"/>
      <c r="B168" s="237"/>
      <c r="C168" s="237"/>
      <c r="D168" s="226"/>
      <c r="E168" s="226"/>
      <c r="F168" s="226"/>
      <c r="G168" s="226"/>
      <c r="H168" s="226"/>
      <c r="I168" s="226"/>
      <c r="J168" s="226"/>
      <c r="K168" s="226"/>
    </row>
    <row r="169" spans="1:11">
      <c r="A169" s="226"/>
      <c r="B169" s="237"/>
      <c r="C169" s="237"/>
      <c r="D169" s="226"/>
      <c r="E169" s="226"/>
      <c r="F169" s="226"/>
      <c r="G169" s="226"/>
      <c r="H169" s="226"/>
      <c r="I169" s="226"/>
      <c r="J169" s="226"/>
      <c r="K169" s="226"/>
    </row>
    <row r="170" spans="1:11">
      <c r="A170" s="226"/>
      <c r="B170" s="237"/>
      <c r="C170" s="237"/>
      <c r="D170" s="226"/>
      <c r="E170" s="226"/>
      <c r="F170" s="226"/>
      <c r="G170" s="226"/>
      <c r="H170" s="226"/>
      <c r="I170" s="226"/>
      <c r="J170" s="226"/>
      <c r="K170" s="226"/>
    </row>
    <row r="171" spans="1:11">
      <c r="A171" s="226"/>
      <c r="B171" s="237"/>
      <c r="C171" s="237"/>
      <c r="D171" s="226"/>
      <c r="E171" s="226"/>
      <c r="F171" s="226"/>
      <c r="G171" s="226"/>
      <c r="H171" s="226"/>
      <c r="I171" s="226"/>
      <c r="J171" s="226"/>
      <c r="K171" s="226"/>
    </row>
    <row r="172" spans="1:11">
      <c r="A172" s="226"/>
      <c r="B172" s="237"/>
      <c r="C172" s="237"/>
      <c r="D172" s="226"/>
      <c r="E172" s="226"/>
      <c r="F172" s="226"/>
      <c r="G172" s="226"/>
      <c r="H172" s="226"/>
      <c r="I172" s="226"/>
      <c r="J172" s="226"/>
      <c r="K172" s="226"/>
    </row>
    <row r="173" spans="1:11">
      <c r="A173" s="226"/>
      <c r="B173" s="237"/>
      <c r="C173" s="237"/>
      <c r="D173" s="226"/>
      <c r="E173" s="226"/>
      <c r="F173" s="226"/>
      <c r="G173" s="226"/>
      <c r="H173" s="226"/>
      <c r="I173" s="226"/>
      <c r="J173" s="226"/>
      <c r="K173" s="226"/>
    </row>
    <row r="174" spans="1:11">
      <c r="A174" s="226"/>
      <c r="B174" s="237"/>
      <c r="C174" s="237"/>
      <c r="D174" s="226"/>
      <c r="E174" s="226"/>
      <c r="F174" s="226"/>
      <c r="G174" s="226"/>
      <c r="H174" s="226"/>
      <c r="I174" s="226"/>
      <c r="J174" s="226"/>
      <c r="K174" s="226"/>
    </row>
    <row r="175" spans="1:11">
      <c r="A175" s="226"/>
      <c r="B175" s="237"/>
      <c r="C175" s="237"/>
      <c r="D175" s="226"/>
      <c r="E175" s="226"/>
      <c r="F175" s="226"/>
      <c r="G175" s="226"/>
      <c r="H175" s="226"/>
      <c r="I175" s="226"/>
      <c r="J175" s="226"/>
      <c r="K175" s="226"/>
    </row>
    <row r="176" spans="1:11">
      <c r="A176" s="226"/>
      <c r="B176" s="237"/>
      <c r="C176" s="237"/>
      <c r="D176" s="226"/>
      <c r="E176" s="226"/>
      <c r="F176" s="226"/>
      <c r="G176" s="226"/>
      <c r="H176" s="226"/>
      <c r="I176" s="226"/>
      <c r="J176" s="226"/>
      <c r="K176" s="226"/>
    </row>
    <row r="177" spans="1:11">
      <c r="A177" s="226"/>
      <c r="B177" s="237"/>
      <c r="C177" s="237"/>
      <c r="D177" s="226"/>
      <c r="E177" s="226"/>
      <c r="F177" s="226"/>
      <c r="G177" s="226"/>
      <c r="H177" s="226"/>
      <c r="I177" s="226"/>
      <c r="J177" s="226"/>
      <c r="K177" s="226"/>
    </row>
    <row r="178" spans="1:11">
      <c r="A178" s="226"/>
      <c r="B178" s="237"/>
      <c r="C178" s="237"/>
      <c r="D178" s="226"/>
      <c r="E178" s="226"/>
      <c r="F178" s="226"/>
      <c r="G178" s="226"/>
      <c r="H178" s="226"/>
      <c r="I178" s="226"/>
      <c r="J178" s="226"/>
      <c r="K178" s="226"/>
    </row>
    <row r="179" spans="1:11">
      <c r="A179" s="226"/>
      <c r="B179" s="237"/>
      <c r="C179" s="237"/>
      <c r="D179" s="226"/>
      <c r="E179" s="226"/>
      <c r="F179" s="226"/>
      <c r="G179" s="226"/>
      <c r="H179" s="226"/>
      <c r="I179" s="226"/>
      <c r="J179" s="226"/>
      <c r="K179" s="226"/>
    </row>
    <row r="180" spans="1:11">
      <c r="A180" s="226"/>
      <c r="B180" s="237"/>
      <c r="C180" s="237"/>
      <c r="D180" s="226"/>
      <c r="E180" s="226"/>
      <c r="F180" s="226"/>
      <c r="G180" s="226"/>
      <c r="H180" s="226"/>
      <c r="I180" s="226"/>
      <c r="J180" s="226"/>
      <c r="K180" s="226"/>
    </row>
    <row r="181" spans="1:11">
      <c r="A181" s="226"/>
      <c r="B181" s="237"/>
      <c r="C181" s="237"/>
      <c r="D181" s="226"/>
      <c r="E181" s="226"/>
      <c r="F181" s="226"/>
      <c r="G181" s="226"/>
      <c r="H181" s="226"/>
      <c r="I181" s="226"/>
      <c r="J181" s="226"/>
      <c r="K181" s="226"/>
    </row>
    <row r="182" spans="1:11">
      <c r="A182" s="226"/>
      <c r="B182" s="237"/>
      <c r="C182" s="237"/>
      <c r="D182" s="226"/>
      <c r="E182" s="226"/>
      <c r="F182" s="226"/>
      <c r="G182" s="226"/>
      <c r="H182" s="226"/>
      <c r="I182" s="226"/>
      <c r="J182" s="226"/>
      <c r="K182" s="226"/>
    </row>
    <row r="183" spans="1:11">
      <c r="A183" s="226"/>
      <c r="B183" s="237"/>
      <c r="C183" s="237"/>
      <c r="D183" s="226"/>
      <c r="E183" s="226"/>
      <c r="F183" s="226"/>
      <c r="G183" s="226"/>
      <c r="H183" s="226"/>
      <c r="I183" s="226"/>
      <c r="J183" s="226"/>
      <c r="K183" s="226"/>
    </row>
    <row r="184" spans="1:11">
      <c r="A184" s="226"/>
      <c r="B184" s="237"/>
      <c r="C184" s="237"/>
      <c r="D184" s="226"/>
      <c r="E184" s="226"/>
      <c r="F184" s="226"/>
      <c r="G184" s="226"/>
      <c r="H184" s="226"/>
      <c r="I184" s="226"/>
      <c r="J184" s="226"/>
      <c r="K184" s="226"/>
    </row>
    <row r="185" spans="1:11">
      <c r="A185" s="226"/>
      <c r="B185" s="237"/>
      <c r="C185" s="237"/>
      <c r="D185" s="226"/>
      <c r="E185" s="226"/>
      <c r="F185" s="226"/>
      <c r="G185" s="226"/>
      <c r="H185" s="226"/>
      <c r="I185" s="226"/>
      <c r="J185" s="226"/>
      <c r="K185" s="226"/>
    </row>
    <row r="186" spans="1:11">
      <c r="A186" s="226"/>
      <c r="B186" s="237"/>
      <c r="C186" s="237"/>
      <c r="D186" s="226"/>
      <c r="E186" s="226"/>
      <c r="F186" s="226"/>
      <c r="G186" s="226"/>
      <c r="H186" s="226"/>
      <c r="I186" s="226"/>
      <c r="J186" s="226"/>
      <c r="K186" s="226"/>
    </row>
    <row r="187" spans="1:11">
      <c r="A187" s="226"/>
      <c r="B187" s="237"/>
      <c r="C187" s="237"/>
      <c r="D187" s="226"/>
      <c r="E187" s="226"/>
      <c r="F187" s="226"/>
      <c r="G187" s="226"/>
      <c r="H187" s="226"/>
      <c r="I187" s="226"/>
      <c r="J187" s="226"/>
      <c r="K187" s="226"/>
    </row>
    <row r="188" spans="1:11">
      <c r="A188" s="226"/>
      <c r="B188" s="237"/>
      <c r="C188" s="237"/>
      <c r="D188" s="226"/>
      <c r="E188" s="226"/>
      <c r="F188" s="226"/>
      <c r="G188" s="226"/>
      <c r="H188" s="226"/>
      <c r="I188" s="226"/>
      <c r="J188" s="226"/>
      <c r="K188" s="226"/>
    </row>
    <row r="189" spans="1:11">
      <c r="A189" s="226"/>
      <c r="B189" s="237"/>
      <c r="C189" s="237"/>
      <c r="D189" s="226"/>
      <c r="E189" s="226"/>
      <c r="F189" s="226"/>
      <c r="G189" s="226"/>
      <c r="H189" s="226"/>
      <c r="I189" s="226"/>
      <c r="J189" s="226"/>
      <c r="K189" s="226"/>
    </row>
    <row r="190" spans="1:11">
      <c r="A190" s="226"/>
      <c r="B190" s="237"/>
      <c r="C190" s="237"/>
      <c r="D190" s="226"/>
      <c r="E190" s="226"/>
      <c r="F190" s="226"/>
      <c r="G190" s="226"/>
      <c r="H190" s="226"/>
      <c r="I190" s="226"/>
      <c r="J190" s="226"/>
      <c r="K190" s="226"/>
    </row>
    <row r="191" spans="1:11">
      <c r="A191" s="226"/>
      <c r="B191" s="237"/>
      <c r="C191" s="237"/>
      <c r="D191" s="226"/>
      <c r="E191" s="226"/>
      <c r="F191" s="226"/>
      <c r="G191" s="226"/>
      <c r="H191" s="226"/>
      <c r="I191" s="226"/>
      <c r="J191" s="226"/>
      <c r="K191" s="226"/>
    </row>
    <row r="192" spans="1:11">
      <c r="A192" s="226"/>
      <c r="B192" s="237"/>
      <c r="C192" s="237"/>
      <c r="D192" s="226"/>
      <c r="E192" s="226"/>
      <c r="F192" s="226"/>
      <c r="G192" s="226"/>
      <c r="H192" s="226"/>
      <c r="I192" s="226"/>
      <c r="J192" s="226"/>
      <c r="K192" s="226"/>
    </row>
    <row r="193" spans="1:11">
      <c r="A193" s="226"/>
      <c r="B193" s="237"/>
      <c r="C193" s="237"/>
      <c r="D193" s="226"/>
      <c r="E193" s="226"/>
      <c r="F193" s="226"/>
      <c r="G193" s="226"/>
      <c r="H193" s="226"/>
      <c r="I193" s="226"/>
      <c r="J193" s="226"/>
      <c r="K193" s="226"/>
    </row>
    <row r="194" spans="1:11">
      <c r="A194" s="226"/>
      <c r="B194" s="237"/>
      <c r="C194" s="237"/>
      <c r="D194" s="226"/>
      <c r="E194" s="226"/>
      <c r="F194" s="226"/>
      <c r="G194" s="226"/>
      <c r="H194" s="226"/>
      <c r="I194" s="226"/>
      <c r="J194" s="226"/>
      <c r="K194" s="226"/>
    </row>
    <row r="195" spans="1:11">
      <c r="A195" s="226"/>
      <c r="B195" s="237"/>
      <c r="C195" s="237"/>
      <c r="D195" s="226"/>
      <c r="E195" s="226"/>
      <c r="F195" s="226"/>
      <c r="G195" s="226"/>
      <c r="H195" s="226"/>
      <c r="I195" s="226"/>
      <c r="J195" s="226"/>
      <c r="K195" s="226"/>
    </row>
    <row r="196" spans="1:11">
      <c r="A196" s="226"/>
      <c r="B196" s="237"/>
      <c r="C196" s="237"/>
      <c r="D196" s="226"/>
      <c r="E196" s="226"/>
      <c r="F196" s="226"/>
      <c r="G196" s="226"/>
      <c r="H196" s="226"/>
      <c r="I196" s="226"/>
      <c r="J196" s="226"/>
      <c r="K196" s="226"/>
    </row>
    <row r="197" spans="1:11">
      <c r="A197" s="226"/>
      <c r="B197" s="237"/>
      <c r="C197" s="237"/>
      <c r="D197" s="226"/>
      <c r="E197" s="226"/>
      <c r="F197" s="226"/>
      <c r="G197" s="226"/>
      <c r="H197" s="226"/>
      <c r="I197" s="226"/>
      <c r="J197" s="226"/>
      <c r="K197" s="226"/>
    </row>
    <row r="198" spans="1:11">
      <c r="A198" s="226"/>
      <c r="B198" s="237"/>
      <c r="C198" s="237"/>
      <c r="D198" s="226"/>
      <c r="E198" s="226"/>
      <c r="F198" s="226"/>
      <c r="G198" s="226"/>
      <c r="H198" s="226"/>
      <c r="I198" s="226"/>
      <c r="J198" s="226"/>
      <c r="K198" s="226"/>
    </row>
    <row r="199" spans="1:11">
      <c r="A199" s="226"/>
      <c r="B199" s="237"/>
      <c r="C199" s="237"/>
      <c r="D199" s="226"/>
      <c r="E199" s="226"/>
      <c r="F199" s="226"/>
      <c r="G199" s="226"/>
      <c r="H199" s="226"/>
      <c r="I199" s="226"/>
      <c r="J199" s="226"/>
      <c r="K199" s="226"/>
    </row>
    <row r="200" spans="1:11">
      <c r="A200" s="226"/>
      <c r="B200" s="237"/>
      <c r="C200" s="237"/>
      <c r="D200" s="226"/>
      <c r="E200" s="226"/>
      <c r="F200" s="226"/>
      <c r="G200" s="226"/>
      <c r="H200" s="226"/>
      <c r="I200" s="226"/>
      <c r="J200" s="226"/>
      <c r="K200" s="226"/>
    </row>
    <row r="201" spans="1:11">
      <c r="A201" s="226"/>
      <c r="B201" s="237"/>
      <c r="C201" s="237"/>
      <c r="D201" s="226"/>
      <c r="E201" s="226"/>
      <c r="F201" s="226"/>
      <c r="G201" s="226"/>
      <c r="H201" s="226"/>
      <c r="I201" s="226"/>
      <c r="J201" s="226"/>
      <c r="K201" s="226"/>
    </row>
    <row r="202" spans="1:11">
      <c r="A202" s="226"/>
      <c r="B202" s="237"/>
      <c r="C202" s="237"/>
      <c r="D202" s="226"/>
      <c r="E202" s="226"/>
      <c r="F202" s="226"/>
      <c r="G202" s="226"/>
      <c r="H202" s="226"/>
      <c r="I202" s="226"/>
      <c r="J202" s="226"/>
      <c r="K202" s="226"/>
    </row>
    <row r="203" spans="1:11">
      <c r="A203" s="226"/>
      <c r="B203" s="237"/>
      <c r="C203" s="237"/>
      <c r="D203" s="226"/>
      <c r="E203" s="226"/>
      <c r="F203" s="226"/>
      <c r="G203" s="226"/>
      <c r="H203" s="226"/>
      <c r="I203" s="226"/>
      <c r="J203" s="226"/>
      <c r="K203" s="226"/>
    </row>
    <row r="204" spans="1:11">
      <c r="A204" s="226"/>
      <c r="B204" s="237"/>
      <c r="C204" s="237"/>
      <c r="D204" s="226"/>
      <c r="E204" s="226"/>
      <c r="F204" s="226"/>
      <c r="G204" s="226"/>
      <c r="H204" s="226"/>
      <c r="I204" s="226"/>
      <c r="J204" s="226"/>
      <c r="K204" s="226"/>
    </row>
    <row r="205" spans="1:11">
      <c r="A205" s="226"/>
      <c r="B205" s="237"/>
      <c r="C205" s="237"/>
      <c r="D205" s="226"/>
      <c r="E205" s="226"/>
      <c r="F205" s="226"/>
      <c r="G205" s="226"/>
      <c r="H205" s="226"/>
      <c r="I205" s="226"/>
      <c r="J205" s="226"/>
      <c r="K205" s="226"/>
    </row>
    <row r="206" spans="1:11">
      <c r="A206" s="226"/>
      <c r="B206" s="237"/>
      <c r="C206" s="237"/>
      <c r="D206" s="226"/>
      <c r="E206" s="226"/>
      <c r="F206" s="226"/>
      <c r="G206" s="226"/>
      <c r="H206" s="226"/>
      <c r="I206" s="226"/>
      <c r="J206" s="226"/>
      <c r="K206" s="226"/>
    </row>
    <row r="207" spans="1:11">
      <c r="A207" s="226"/>
      <c r="B207" s="237"/>
      <c r="C207" s="237"/>
      <c r="D207" s="226"/>
      <c r="E207" s="226"/>
      <c r="F207" s="226"/>
      <c r="G207" s="226"/>
      <c r="H207" s="226"/>
      <c r="I207" s="226"/>
      <c r="J207" s="226"/>
      <c r="K207" s="226"/>
    </row>
    <row r="208" spans="1:11">
      <c r="A208" s="226"/>
      <c r="B208" s="237"/>
      <c r="C208" s="237"/>
      <c r="D208" s="226"/>
      <c r="E208" s="226"/>
      <c r="F208" s="226"/>
      <c r="G208" s="226"/>
      <c r="H208" s="226"/>
      <c r="I208" s="226"/>
      <c r="J208" s="226"/>
      <c r="K208" s="226"/>
    </row>
    <row r="209" spans="1:11">
      <c r="A209" s="226"/>
      <c r="B209" s="237"/>
      <c r="C209" s="237"/>
      <c r="D209" s="226"/>
      <c r="E209" s="226"/>
      <c r="F209" s="226"/>
      <c r="G209" s="226"/>
      <c r="H209" s="226"/>
      <c r="I209" s="226"/>
      <c r="J209" s="226"/>
      <c r="K209" s="226"/>
    </row>
    <row r="210" spans="1:11">
      <c r="A210" s="226"/>
      <c r="B210" s="237"/>
      <c r="C210" s="237"/>
      <c r="D210" s="226"/>
      <c r="E210" s="226"/>
      <c r="F210" s="226"/>
      <c r="G210" s="226"/>
      <c r="H210" s="226"/>
      <c r="I210" s="226"/>
      <c r="J210" s="226"/>
      <c r="K210" s="226"/>
    </row>
    <row r="211" spans="1:11">
      <c r="A211" s="226"/>
      <c r="B211" s="237"/>
      <c r="C211" s="237"/>
      <c r="D211" s="226"/>
      <c r="E211" s="226"/>
      <c r="F211" s="226"/>
      <c r="G211" s="226"/>
      <c r="H211" s="226"/>
      <c r="I211" s="226"/>
      <c r="J211" s="226"/>
      <c r="K211" s="226"/>
    </row>
    <row r="212" spans="1:11">
      <c r="A212" s="226"/>
      <c r="B212" s="237"/>
      <c r="C212" s="237"/>
      <c r="D212" s="226"/>
      <c r="E212" s="226"/>
      <c r="F212" s="226"/>
      <c r="G212" s="226"/>
      <c r="H212" s="226"/>
      <c r="I212" s="226"/>
      <c r="J212" s="226"/>
      <c r="K212" s="226"/>
    </row>
    <row r="213" spans="1:11">
      <c r="A213" s="226"/>
      <c r="B213" s="237"/>
      <c r="C213" s="237"/>
      <c r="D213" s="226"/>
      <c r="E213" s="226"/>
      <c r="F213" s="226"/>
      <c r="G213" s="226"/>
      <c r="H213" s="226"/>
      <c r="I213" s="226"/>
      <c r="J213" s="226"/>
      <c r="K213" s="226"/>
    </row>
    <row r="214" spans="1:11">
      <c r="A214" s="226"/>
      <c r="B214" s="237"/>
      <c r="C214" s="237"/>
      <c r="D214" s="226"/>
      <c r="E214" s="226"/>
      <c r="F214" s="226"/>
      <c r="G214" s="226"/>
      <c r="H214" s="226"/>
      <c r="I214" s="226"/>
      <c r="J214" s="226"/>
      <c r="K214" s="226"/>
    </row>
    <row r="215" spans="1:11">
      <c r="A215" s="226"/>
      <c r="B215" s="237"/>
      <c r="C215" s="237"/>
      <c r="D215" s="226"/>
      <c r="E215" s="226"/>
      <c r="F215" s="226"/>
      <c r="G215" s="226"/>
      <c r="H215" s="226"/>
      <c r="I215" s="226"/>
      <c r="J215" s="226"/>
      <c r="K215" s="226"/>
    </row>
    <row r="216" spans="1:11">
      <c r="A216" s="226"/>
      <c r="B216" s="237"/>
      <c r="C216" s="237"/>
      <c r="D216" s="226"/>
      <c r="E216" s="226"/>
      <c r="F216" s="226"/>
      <c r="G216" s="226"/>
      <c r="H216" s="226"/>
      <c r="I216" s="226"/>
      <c r="J216" s="226"/>
      <c r="K216" s="226"/>
    </row>
    <row r="217" spans="1:11">
      <c r="A217" s="226"/>
      <c r="B217" s="237"/>
      <c r="C217" s="237"/>
      <c r="D217" s="226"/>
      <c r="E217" s="226"/>
      <c r="F217" s="226"/>
      <c r="G217" s="226"/>
      <c r="H217" s="226"/>
      <c r="I217" s="226"/>
      <c r="J217" s="226"/>
      <c r="K217" s="226"/>
    </row>
    <row r="218" spans="1:11">
      <c r="A218" s="226"/>
      <c r="B218" s="237"/>
      <c r="C218" s="237"/>
      <c r="D218" s="226"/>
      <c r="E218" s="226"/>
      <c r="F218" s="226"/>
      <c r="G218" s="226"/>
      <c r="H218" s="226"/>
      <c r="I218" s="226"/>
      <c r="J218" s="226"/>
      <c r="K218" s="226"/>
    </row>
    <row r="219" spans="1:11">
      <c r="A219" s="226"/>
      <c r="B219" s="237"/>
      <c r="C219" s="237"/>
      <c r="D219" s="226"/>
      <c r="E219" s="226"/>
      <c r="F219" s="226"/>
      <c r="G219" s="226"/>
      <c r="H219" s="226"/>
      <c r="I219" s="226"/>
      <c r="J219" s="226"/>
      <c r="K219" s="226"/>
    </row>
    <row r="220" spans="1:11">
      <c r="A220" s="226"/>
      <c r="B220" s="237"/>
      <c r="C220" s="237"/>
      <c r="D220" s="226"/>
      <c r="E220" s="226"/>
      <c r="F220" s="226"/>
      <c r="G220" s="226"/>
      <c r="H220" s="226"/>
      <c r="I220" s="226"/>
      <c r="J220" s="226"/>
      <c r="K220" s="226"/>
    </row>
    <row r="221" spans="1:11">
      <c r="A221" s="226"/>
      <c r="B221" s="237"/>
      <c r="C221" s="237"/>
      <c r="D221" s="226"/>
      <c r="E221" s="226"/>
      <c r="F221" s="226"/>
      <c r="G221" s="226"/>
      <c r="H221" s="226"/>
      <c r="I221" s="226"/>
      <c r="J221" s="226"/>
      <c r="K221" s="226"/>
    </row>
    <row r="222" spans="1:11">
      <c r="A222" s="226"/>
      <c r="B222" s="237"/>
      <c r="C222" s="237"/>
      <c r="D222" s="226"/>
      <c r="E222" s="226"/>
      <c r="F222" s="226"/>
      <c r="G222" s="226"/>
      <c r="H222" s="226"/>
      <c r="I222" s="226"/>
      <c r="J222" s="226"/>
      <c r="K222" s="226"/>
    </row>
    <row r="223" spans="1:11">
      <c r="A223" s="226"/>
      <c r="B223" s="237"/>
      <c r="C223" s="237"/>
      <c r="D223" s="226"/>
      <c r="E223" s="226"/>
      <c r="F223" s="226"/>
      <c r="G223" s="226"/>
      <c r="H223" s="226"/>
      <c r="I223" s="226"/>
      <c r="J223" s="226"/>
      <c r="K223" s="226"/>
    </row>
    <row r="224" spans="1:11">
      <c r="A224" s="226"/>
      <c r="B224" s="237"/>
      <c r="C224" s="237"/>
      <c r="D224" s="226"/>
      <c r="E224" s="226"/>
      <c r="F224" s="226"/>
      <c r="G224" s="226"/>
      <c r="H224" s="226"/>
      <c r="I224" s="226"/>
      <c r="J224" s="226"/>
      <c r="K224" s="226"/>
    </row>
    <row r="225" spans="1:11">
      <c r="A225" s="226"/>
      <c r="B225" s="237"/>
      <c r="C225" s="237"/>
      <c r="D225" s="226"/>
      <c r="E225" s="226"/>
      <c r="F225" s="226"/>
      <c r="G225" s="226"/>
      <c r="H225" s="226"/>
      <c r="I225" s="226"/>
      <c r="J225" s="226"/>
      <c r="K225" s="226"/>
    </row>
    <row r="226" spans="1:11">
      <c r="A226" s="226"/>
      <c r="B226" s="237"/>
      <c r="C226" s="237"/>
      <c r="D226" s="226"/>
      <c r="E226" s="226"/>
      <c r="F226" s="226"/>
      <c r="G226" s="226"/>
      <c r="H226" s="226"/>
      <c r="I226" s="226"/>
      <c r="J226" s="226"/>
      <c r="K226" s="226"/>
    </row>
    <row r="227" spans="1:11">
      <c r="A227" s="226"/>
      <c r="B227" s="237"/>
      <c r="C227" s="237"/>
      <c r="D227" s="226"/>
      <c r="E227" s="226"/>
      <c r="F227" s="226"/>
      <c r="G227" s="226"/>
      <c r="H227" s="226"/>
      <c r="I227" s="226"/>
      <c r="J227" s="226"/>
      <c r="K227" s="226"/>
    </row>
    <row r="228" spans="1:11">
      <c r="A228" s="226"/>
      <c r="B228" s="237"/>
      <c r="C228" s="237"/>
      <c r="D228" s="226"/>
      <c r="E228" s="226"/>
      <c r="F228" s="226"/>
      <c r="G228" s="226"/>
      <c r="H228" s="226"/>
      <c r="I228" s="226"/>
      <c r="J228" s="226"/>
      <c r="K228" s="226"/>
    </row>
    <row r="229" spans="1:11">
      <c r="A229" s="226"/>
      <c r="B229" s="237"/>
      <c r="C229" s="237"/>
      <c r="D229" s="226"/>
      <c r="E229" s="226"/>
      <c r="F229" s="226"/>
      <c r="G229" s="226"/>
      <c r="H229" s="226"/>
      <c r="I229" s="226"/>
      <c r="J229" s="226"/>
      <c r="K229" s="226"/>
    </row>
    <row r="230" spans="1:11">
      <c r="A230" s="226"/>
      <c r="B230" s="237"/>
      <c r="C230" s="237"/>
      <c r="D230" s="226"/>
      <c r="E230" s="226"/>
      <c r="F230" s="226"/>
      <c r="G230" s="226"/>
      <c r="H230" s="226"/>
      <c r="I230" s="226"/>
      <c r="J230" s="226"/>
      <c r="K230" s="226"/>
    </row>
    <row r="231" spans="1:11">
      <c r="A231" s="226"/>
      <c r="B231" s="237"/>
      <c r="C231" s="237"/>
      <c r="D231" s="226"/>
      <c r="E231" s="226"/>
      <c r="F231" s="226"/>
      <c r="G231" s="226"/>
      <c r="H231" s="226"/>
      <c r="I231" s="226"/>
      <c r="J231" s="226"/>
      <c r="K231" s="226"/>
    </row>
    <row r="232" spans="1:11">
      <c r="A232" s="226"/>
      <c r="B232" s="237"/>
      <c r="C232" s="237"/>
      <c r="D232" s="226"/>
      <c r="E232" s="226"/>
      <c r="F232" s="226"/>
      <c r="G232" s="226"/>
      <c r="H232" s="226"/>
      <c r="I232" s="226"/>
      <c r="J232" s="226"/>
      <c r="K232" s="226"/>
    </row>
    <row r="233" spans="1:11">
      <c r="A233" s="226"/>
      <c r="B233" s="237"/>
      <c r="C233" s="237"/>
      <c r="D233" s="226"/>
      <c r="E233" s="226"/>
      <c r="F233" s="226"/>
      <c r="G233" s="226"/>
      <c r="H233" s="226"/>
      <c r="I233" s="226"/>
      <c r="J233" s="226"/>
      <c r="K233" s="226"/>
    </row>
    <row r="234" spans="1:11">
      <c r="A234" s="226"/>
      <c r="B234" s="237"/>
      <c r="C234" s="237"/>
      <c r="D234" s="226"/>
      <c r="E234" s="226"/>
      <c r="F234" s="226"/>
      <c r="G234" s="226"/>
      <c r="H234" s="226"/>
      <c r="I234" s="226"/>
      <c r="J234" s="226"/>
      <c r="K234" s="226"/>
    </row>
    <row r="235" spans="1:11">
      <c r="A235" s="226"/>
      <c r="B235" s="237"/>
      <c r="C235" s="237"/>
      <c r="D235" s="226"/>
      <c r="E235" s="226"/>
      <c r="F235" s="226"/>
      <c r="G235" s="226"/>
      <c r="H235" s="226"/>
      <c r="I235" s="226"/>
      <c r="J235" s="226"/>
      <c r="K235" s="226"/>
    </row>
    <row r="236" spans="1:11">
      <c r="A236" s="226"/>
      <c r="B236" s="237"/>
      <c r="C236" s="237"/>
      <c r="D236" s="226"/>
      <c r="E236" s="226"/>
      <c r="F236" s="226"/>
      <c r="G236" s="226"/>
      <c r="H236" s="226"/>
      <c r="I236" s="226"/>
      <c r="J236" s="226"/>
      <c r="K236" s="226"/>
    </row>
    <row r="237" spans="1:11">
      <c r="A237" s="226"/>
      <c r="B237" s="237"/>
      <c r="C237" s="237"/>
      <c r="D237" s="226"/>
      <c r="E237" s="226"/>
      <c r="F237" s="226"/>
      <c r="G237" s="226"/>
      <c r="H237" s="226"/>
      <c r="I237" s="226"/>
      <c r="J237" s="226"/>
      <c r="K237" s="226"/>
    </row>
    <row r="238" spans="1:11">
      <c r="A238" s="226"/>
      <c r="B238" s="237"/>
      <c r="C238" s="237"/>
      <c r="D238" s="226"/>
      <c r="E238" s="226"/>
      <c r="F238" s="226"/>
      <c r="G238" s="226"/>
      <c r="H238" s="226"/>
      <c r="I238" s="226"/>
      <c r="J238" s="226"/>
      <c r="K238" s="226"/>
    </row>
    <row r="239" spans="1:11">
      <c r="A239" s="226"/>
      <c r="B239" s="237"/>
      <c r="C239" s="237"/>
      <c r="D239" s="226"/>
      <c r="E239" s="226"/>
      <c r="F239" s="226"/>
      <c r="G239" s="226"/>
      <c r="H239" s="226"/>
      <c r="I239" s="226"/>
      <c r="J239" s="226"/>
      <c r="K239" s="226"/>
    </row>
    <row r="240" spans="1:11">
      <c r="A240" s="226"/>
      <c r="B240" s="237"/>
      <c r="C240" s="237"/>
      <c r="D240" s="226"/>
      <c r="E240" s="226"/>
      <c r="F240" s="226"/>
      <c r="G240" s="226"/>
      <c r="H240" s="226"/>
      <c r="I240" s="226"/>
      <c r="J240" s="226"/>
      <c r="K240" s="226"/>
    </row>
    <row r="241" spans="1:11">
      <c r="A241" s="226"/>
      <c r="B241" s="237"/>
      <c r="C241" s="237"/>
      <c r="D241" s="226"/>
      <c r="E241" s="226"/>
      <c r="F241" s="226"/>
      <c r="G241" s="226"/>
      <c r="H241" s="226"/>
      <c r="I241" s="226"/>
      <c r="J241" s="226"/>
      <c r="K241" s="226"/>
    </row>
    <row r="242" spans="1:11">
      <c r="A242" s="226"/>
      <c r="B242" s="237"/>
      <c r="C242" s="237"/>
      <c r="D242" s="226"/>
      <c r="E242" s="226"/>
      <c r="F242" s="226"/>
      <c r="G242" s="226"/>
      <c r="H242" s="226"/>
      <c r="I242" s="226"/>
      <c r="J242" s="226"/>
      <c r="K242" s="226"/>
    </row>
    <row r="243" spans="1:11">
      <c r="A243" s="226"/>
      <c r="B243" s="237"/>
      <c r="C243" s="237"/>
      <c r="D243" s="226"/>
      <c r="E243" s="226"/>
      <c r="F243" s="226"/>
      <c r="G243" s="226"/>
      <c r="H243" s="226"/>
      <c r="I243" s="226"/>
      <c r="J243" s="226"/>
      <c r="K243" s="226"/>
    </row>
    <row r="244" spans="1:11">
      <c r="A244" s="226"/>
      <c r="B244" s="237"/>
      <c r="C244" s="237"/>
      <c r="D244" s="226"/>
      <c r="E244" s="226"/>
      <c r="F244" s="226"/>
      <c r="G244" s="226"/>
      <c r="H244" s="226"/>
      <c r="I244" s="226"/>
      <c r="J244" s="226"/>
      <c r="K244" s="226"/>
    </row>
    <row r="245" spans="1:11">
      <c r="A245" s="226"/>
      <c r="B245" s="237"/>
      <c r="C245" s="237"/>
      <c r="D245" s="226"/>
      <c r="E245" s="226"/>
      <c r="F245" s="226"/>
      <c r="G245" s="226"/>
      <c r="H245" s="226"/>
      <c r="I245" s="226"/>
      <c r="J245" s="226"/>
      <c r="K245" s="226"/>
    </row>
    <row r="246" spans="1:11">
      <c r="A246" s="226"/>
      <c r="B246" s="237"/>
      <c r="C246" s="237"/>
      <c r="D246" s="226"/>
      <c r="E246" s="226"/>
      <c r="F246" s="226"/>
      <c r="G246" s="226"/>
      <c r="H246" s="226"/>
      <c r="I246" s="226"/>
      <c r="J246" s="226"/>
      <c r="K246" s="226"/>
    </row>
    <row r="247" spans="1:11">
      <c r="A247" s="226"/>
      <c r="B247" s="237"/>
      <c r="C247" s="237"/>
      <c r="D247" s="226"/>
      <c r="E247" s="226"/>
      <c r="F247" s="226"/>
      <c r="G247" s="226"/>
      <c r="H247" s="226"/>
      <c r="I247" s="226"/>
      <c r="J247" s="226"/>
      <c r="K247" s="226"/>
    </row>
    <row r="248" spans="1:11">
      <c r="A248" s="226"/>
      <c r="B248" s="237"/>
      <c r="C248" s="237"/>
      <c r="D248" s="226"/>
      <c r="E248" s="226"/>
      <c r="F248" s="226"/>
      <c r="G248" s="226"/>
      <c r="H248" s="226"/>
      <c r="I248" s="226"/>
      <c r="J248" s="226"/>
      <c r="K248" s="226"/>
    </row>
    <row r="249" spans="1:11">
      <c r="A249" s="226"/>
      <c r="B249" s="237"/>
      <c r="C249" s="237"/>
      <c r="D249" s="226"/>
      <c r="E249" s="226"/>
      <c r="F249" s="226"/>
      <c r="G249" s="226"/>
      <c r="H249" s="226"/>
      <c r="I249" s="226"/>
      <c r="J249" s="226"/>
      <c r="K249" s="226"/>
    </row>
    <row r="250" spans="1:11">
      <c r="A250" s="226"/>
      <c r="B250" s="237"/>
      <c r="C250" s="237"/>
      <c r="D250" s="226"/>
      <c r="E250" s="226"/>
      <c r="F250" s="226"/>
      <c r="G250" s="226"/>
      <c r="H250" s="226"/>
      <c r="I250" s="226"/>
      <c r="J250" s="226"/>
      <c r="K250" s="226"/>
    </row>
    <row r="251" spans="1:11">
      <c r="A251" s="226"/>
      <c r="B251" s="237"/>
      <c r="C251" s="237"/>
      <c r="D251" s="226"/>
      <c r="E251" s="226"/>
      <c r="F251" s="226"/>
      <c r="G251" s="226"/>
      <c r="H251" s="226"/>
      <c r="I251" s="226"/>
      <c r="J251" s="226"/>
      <c r="K251" s="226"/>
    </row>
    <row r="252" spans="1:11">
      <c r="A252" s="226"/>
      <c r="B252" s="237"/>
      <c r="C252" s="237"/>
      <c r="D252" s="226"/>
      <c r="E252" s="226"/>
      <c r="F252" s="226"/>
      <c r="G252" s="226"/>
      <c r="H252" s="226"/>
      <c r="I252" s="226"/>
      <c r="J252" s="226"/>
      <c r="K252" s="226"/>
    </row>
    <row r="253" spans="1:11">
      <c r="A253" s="226"/>
      <c r="B253" s="237"/>
      <c r="C253" s="237"/>
      <c r="D253" s="226"/>
      <c r="E253" s="226"/>
      <c r="F253" s="226"/>
      <c r="G253" s="226"/>
      <c r="H253" s="226"/>
      <c r="I253" s="226"/>
      <c r="J253" s="226"/>
      <c r="K253" s="226"/>
    </row>
    <row r="254" spans="1:11">
      <c r="A254" s="226"/>
      <c r="B254" s="237"/>
      <c r="C254" s="237"/>
      <c r="D254" s="226"/>
      <c r="E254" s="226"/>
      <c r="F254" s="226"/>
      <c r="G254" s="226"/>
      <c r="H254" s="226"/>
      <c r="I254" s="226"/>
      <c r="J254" s="226"/>
      <c r="K254" s="226"/>
    </row>
    <row r="255" spans="1:11">
      <c r="A255" s="226"/>
      <c r="B255" s="237"/>
      <c r="C255" s="237"/>
      <c r="D255" s="226"/>
      <c r="E255" s="226"/>
      <c r="F255" s="226"/>
      <c r="G255" s="226"/>
      <c r="H255" s="226"/>
      <c r="I255" s="226"/>
      <c r="J255" s="226"/>
      <c r="K255" s="226"/>
    </row>
    <row r="256" spans="1:11">
      <c r="A256" s="226"/>
      <c r="B256" s="237"/>
      <c r="C256" s="237"/>
      <c r="D256" s="226"/>
      <c r="E256" s="226"/>
      <c r="F256" s="226"/>
      <c r="G256" s="226"/>
      <c r="H256" s="226"/>
      <c r="I256" s="226"/>
      <c r="J256" s="226"/>
      <c r="K256" s="226"/>
    </row>
    <row r="257" spans="1:11">
      <c r="A257" s="226"/>
      <c r="B257" s="237"/>
      <c r="C257" s="237"/>
      <c r="D257" s="226"/>
      <c r="E257" s="226"/>
      <c r="F257" s="226"/>
      <c r="G257" s="226"/>
      <c r="H257" s="226"/>
      <c r="I257" s="226"/>
      <c r="J257" s="226"/>
      <c r="K257" s="226"/>
    </row>
    <row r="258" spans="1:11">
      <c r="A258" s="226"/>
      <c r="B258" s="237"/>
      <c r="C258" s="237"/>
      <c r="D258" s="226"/>
      <c r="E258" s="226"/>
      <c r="F258" s="226"/>
      <c r="G258" s="226"/>
      <c r="H258" s="226"/>
      <c r="I258" s="226"/>
      <c r="J258" s="226"/>
      <c r="K258" s="226"/>
    </row>
    <row r="259" spans="1:11">
      <c r="A259" s="226"/>
      <c r="B259" s="237"/>
      <c r="C259" s="237"/>
      <c r="D259" s="226"/>
      <c r="E259" s="226"/>
      <c r="F259" s="226"/>
      <c r="G259" s="226"/>
      <c r="H259" s="226"/>
      <c r="I259" s="226"/>
      <c r="J259" s="226"/>
      <c r="K259" s="226"/>
    </row>
    <row r="260" spans="1:11">
      <c r="A260" s="226"/>
      <c r="B260" s="237"/>
      <c r="C260" s="237"/>
      <c r="D260" s="226"/>
      <c r="E260" s="226"/>
      <c r="F260" s="226"/>
      <c r="G260" s="226"/>
      <c r="H260" s="226"/>
      <c r="I260" s="226"/>
      <c r="J260" s="226"/>
      <c r="K260" s="226"/>
    </row>
    <row r="261" spans="1:11">
      <c r="A261" s="226"/>
      <c r="B261" s="237"/>
      <c r="C261" s="237"/>
      <c r="D261" s="226"/>
      <c r="E261" s="226"/>
      <c r="F261" s="226"/>
      <c r="G261" s="226"/>
      <c r="H261" s="226"/>
      <c r="I261" s="226"/>
      <c r="J261" s="226"/>
      <c r="K261" s="226"/>
    </row>
    <row r="262" spans="1:11">
      <c r="A262" s="226"/>
      <c r="B262" s="237"/>
      <c r="C262" s="237"/>
      <c r="D262" s="226"/>
      <c r="E262" s="226"/>
      <c r="F262" s="226"/>
      <c r="G262" s="226"/>
      <c r="H262" s="226"/>
      <c r="I262" s="226"/>
      <c r="J262" s="226"/>
      <c r="K262" s="226"/>
    </row>
    <row r="263" spans="1:11">
      <c r="A263" s="226"/>
      <c r="B263" s="237"/>
      <c r="C263" s="237"/>
      <c r="D263" s="226"/>
      <c r="E263" s="226"/>
      <c r="F263" s="226"/>
      <c r="G263" s="226"/>
      <c r="H263" s="226"/>
      <c r="I263" s="226"/>
      <c r="J263" s="226"/>
      <c r="K263" s="226"/>
    </row>
    <row r="264" spans="1:11">
      <c r="A264" s="226"/>
      <c r="B264" s="237"/>
      <c r="C264" s="237"/>
      <c r="D264" s="226"/>
      <c r="E264" s="226"/>
      <c r="F264" s="226"/>
      <c r="G264" s="226"/>
      <c r="H264" s="226"/>
      <c r="I264" s="226"/>
      <c r="J264" s="226"/>
      <c r="K264" s="226"/>
    </row>
    <row r="265" spans="1:11">
      <c r="A265" s="226"/>
      <c r="B265" s="237"/>
      <c r="C265" s="237"/>
      <c r="D265" s="226"/>
      <c r="E265" s="226"/>
      <c r="F265" s="226"/>
      <c r="G265" s="226"/>
      <c r="H265" s="226"/>
      <c r="I265" s="226"/>
      <c r="J265" s="226"/>
      <c r="K265" s="226"/>
    </row>
    <row r="266" spans="1:11">
      <c r="A266" s="226"/>
      <c r="B266" s="237"/>
      <c r="C266" s="237"/>
      <c r="D266" s="226"/>
      <c r="E266" s="226"/>
      <c r="F266" s="226"/>
      <c r="G266" s="226"/>
      <c r="H266" s="226"/>
      <c r="I266" s="226"/>
      <c r="J266" s="226"/>
      <c r="K266" s="226"/>
    </row>
    <row r="267" spans="1:11">
      <c r="A267" s="226"/>
      <c r="B267" s="237"/>
      <c r="C267" s="237"/>
      <c r="D267" s="226"/>
      <c r="E267" s="226"/>
      <c r="F267" s="226"/>
      <c r="G267" s="226"/>
      <c r="H267" s="226"/>
      <c r="I267" s="226"/>
      <c r="J267" s="226"/>
      <c r="K267" s="226"/>
    </row>
    <row r="268" spans="1:11">
      <c r="A268" s="226"/>
      <c r="B268" s="237"/>
      <c r="C268" s="237"/>
      <c r="D268" s="226"/>
      <c r="E268" s="226"/>
      <c r="F268" s="226"/>
      <c r="G268" s="226"/>
      <c r="H268" s="226"/>
      <c r="I268" s="226"/>
      <c r="J268" s="226"/>
      <c r="K268" s="226"/>
    </row>
    <row r="269" spans="1:11">
      <c r="A269" s="226"/>
      <c r="B269" s="237"/>
      <c r="C269" s="237"/>
      <c r="D269" s="226"/>
      <c r="E269" s="226"/>
      <c r="F269" s="226"/>
      <c r="G269" s="226"/>
      <c r="H269" s="226"/>
      <c r="I269" s="226"/>
      <c r="J269" s="226"/>
      <c r="K269" s="226"/>
    </row>
    <row r="270" spans="1:11">
      <c r="A270" s="226"/>
      <c r="B270" s="237"/>
      <c r="C270" s="237"/>
      <c r="D270" s="226"/>
      <c r="E270" s="226"/>
      <c r="F270" s="226"/>
      <c r="G270" s="226"/>
      <c r="H270" s="226"/>
      <c r="I270" s="226"/>
      <c r="J270" s="226"/>
      <c r="K270" s="226"/>
    </row>
    <row r="271" spans="1:11">
      <c r="A271" s="226"/>
      <c r="B271" s="237"/>
      <c r="C271" s="237"/>
      <c r="D271" s="226"/>
      <c r="E271" s="226"/>
      <c r="F271" s="226"/>
      <c r="G271" s="226"/>
      <c r="H271" s="226"/>
      <c r="I271" s="226"/>
      <c r="J271" s="226"/>
      <c r="K271" s="226"/>
    </row>
    <row r="272" spans="1:11">
      <c r="A272" s="226"/>
      <c r="B272" s="237"/>
      <c r="C272" s="237"/>
      <c r="D272" s="226"/>
      <c r="E272" s="226"/>
      <c r="F272" s="226"/>
      <c r="G272" s="226"/>
      <c r="H272" s="226"/>
      <c r="I272" s="226"/>
      <c r="J272" s="226"/>
      <c r="K272" s="226"/>
    </row>
    <row r="273" spans="1:11">
      <c r="A273" s="226"/>
      <c r="B273" s="237"/>
      <c r="C273" s="237"/>
      <c r="D273" s="226"/>
      <c r="E273" s="226"/>
      <c r="F273" s="226"/>
      <c r="G273" s="226"/>
      <c r="H273" s="226"/>
      <c r="I273" s="226"/>
      <c r="J273" s="226"/>
      <c r="K273" s="226"/>
    </row>
    <row r="274" spans="1:11">
      <c r="A274" s="226"/>
      <c r="B274" s="237"/>
      <c r="C274" s="237"/>
      <c r="D274" s="226"/>
      <c r="E274" s="226"/>
      <c r="F274" s="226"/>
      <c r="G274" s="226"/>
      <c r="H274" s="226"/>
      <c r="I274" s="226"/>
      <c r="J274" s="226"/>
      <c r="K274" s="226"/>
    </row>
    <row r="275" spans="1:11">
      <c r="A275" s="226"/>
      <c r="B275" s="237"/>
      <c r="C275" s="237"/>
      <c r="D275" s="226"/>
      <c r="E275" s="226"/>
      <c r="F275" s="226"/>
      <c r="G275" s="226"/>
      <c r="H275" s="226"/>
      <c r="I275" s="226"/>
      <c r="J275" s="226"/>
      <c r="K275" s="226"/>
    </row>
    <row r="276" spans="1:11">
      <c r="A276" s="226"/>
      <c r="B276" s="237"/>
      <c r="C276" s="237"/>
      <c r="D276" s="226"/>
      <c r="E276" s="226"/>
      <c r="F276" s="226"/>
      <c r="G276" s="226"/>
      <c r="H276" s="226"/>
      <c r="I276" s="226"/>
      <c r="J276" s="226"/>
      <c r="K276" s="226"/>
    </row>
    <row r="277" spans="1:11">
      <c r="A277" s="226"/>
      <c r="B277" s="237"/>
      <c r="C277" s="237"/>
      <c r="D277" s="226"/>
      <c r="E277" s="226"/>
      <c r="F277" s="226"/>
      <c r="G277" s="226"/>
      <c r="H277" s="226"/>
      <c r="I277" s="226"/>
      <c r="J277" s="226"/>
      <c r="K277" s="226"/>
    </row>
    <row r="278" spans="1:11">
      <c r="A278" s="226"/>
      <c r="B278" s="237"/>
      <c r="C278" s="237"/>
      <c r="D278" s="226"/>
      <c r="E278" s="226"/>
      <c r="F278" s="226"/>
      <c r="G278" s="226"/>
      <c r="H278" s="226"/>
      <c r="I278" s="226"/>
      <c r="J278" s="226"/>
      <c r="K278" s="226"/>
    </row>
    <row r="279" spans="1:11">
      <c r="A279" s="226"/>
      <c r="B279" s="237"/>
      <c r="C279" s="237"/>
      <c r="D279" s="226"/>
      <c r="E279" s="226"/>
      <c r="F279" s="226"/>
      <c r="G279" s="226"/>
      <c r="H279" s="226"/>
      <c r="I279" s="226"/>
      <c r="J279" s="226"/>
      <c r="K279" s="226"/>
    </row>
    <row r="280" spans="1:11">
      <c r="A280" s="226"/>
      <c r="B280" s="237"/>
      <c r="C280" s="237"/>
      <c r="D280" s="226"/>
      <c r="E280" s="226"/>
      <c r="F280" s="226"/>
      <c r="G280" s="226"/>
      <c r="H280" s="226"/>
      <c r="I280" s="226"/>
      <c r="J280" s="226"/>
      <c r="K280" s="226"/>
    </row>
    <row r="281" spans="1:11">
      <c r="A281" s="226"/>
      <c r="B281" s="237"/>
      <c r="C281" s="237"/>
      <c r="D281" s="226"/>
      <c r="E281" s="226"/>
      <c r="F281" s="226"/>
      <c r="G281" s="226"/>
      <c r="H281" s="226"/>
      <c r="I281" s="226"/>
      <c r="J281" s="226"/>
      <c r="K281" s="226"/>
    </row>
    <row r="282" spans="1:11">
      <c r="A282" s="226"/>
      <c r="B282" s="237"/>
      <c r="C282" s="237"/>
      <c r="D282" s="226"/>
      <c r="E282" s="226"/>
      <c r="F282" s="226"/>
      <c r="G282" s="226"/>
      <c r="H282" s="226"/>
      <c r="I282" s="226"/>
      <c r="J282" s="226"/>
      <c r="K282" s="226"/>
    </row>
    <row r="283" spans="1:11">
      <c r="A283" s="226"/>
      <c r="B283" s="237"/>
      <c r="C283" s="237"/>
      <c r="D283" s="226"/>
      <c r="E283" s="226"/>
      <c r="F283" s="226"/>
      <c r="G283" s="226"/>
      <c r="H283" s="226"/>
      <c r="I283" s="226"/>
      <c r="J283" s="226"/>
      <c r="K283" s="226"/>
    </row>
    <row r="284" spans="1:11">
      <c r="A284" s="226"/>
      <c r="B284" s="237"/>
      <c r="C284" s="237"/>
      <c r="D284" s="226"/>
      <c r="E284" s="226"/>
      <c r="F284" s="226"/>
      <c r="G284" s="226"/>
      <c r="H284" s="226"/>
      <c r="I284" s="226"/>
      <c r="J284" s="226"/>
      <c r="K284" s="226"/>
    </row>
    <row r="285" spans="1:11">
      <c r="A285" s="226"/>
      <c r="B285" s="237"/>
      <c r="C285" s="237"/>
      <c r="D285" s="226"/>
      <c r="E285" s="226"/>
      <c r="F285" s="226"/>
      <c r="G285" s="226"/>
      <c r="H285" s="226"/>
      <c r="I285" s="226"/>
      <c r="J285" s="226"/>
      <c r="K285" s="226"/>
    </row>
    <row r="286" spans="1:11">
      <c r="A286" s="226"/>
      <c r="B286" s="237"/>
      <c r="C286" s="237"/>
      <c r="D286" s="226"/>
      <c r="E286" s="226"/>
      <c r="F286" s="226"/>
      <c r="G286" s="226"/>
      <c r="H286" s="226"/>
      <c r="I286" s="226"/>
      <c r="J286" s="226"/>
      <c r="K286" s="226"/>
    </row>
    <row r="287" spans="1:11">
      <c r="A287" s="226"/>
      <c r="B287" s="237"/>
      <c r="C287" s="237"/>
      <c r="D287" s="226"/>
      <c r="E287" s="226"/>
      <c r="F287" s="226"/>
      <c r="G287" s="226"/>
      <c r="H287" s="226"/>
      <c r="I287" s="226"/>
      <c r="J287" s="226"/>
      <c r="K287" s="226"/>
    </row>
    <row r="288" spans="1:11">
      <c r="A288" s="226"/>
      <c r="B288" s="237"/>
      <c r="C288" s="237"/>
      <c r="D288" s="226"/>
      <c r="E288" s="226"/>
      <c r="F288" s="226"/>
      <c r="G288" s="226"/>
      <c r="H288" s="226"/>
      <c r="I288" s="226"/>
      <c r="J288" s="226"/>
      <c r="K288" s="226"/>
    </row>
    <row r="289" spans="1:11">
      <c r="A289" s="226"/>
      <c r="B289" s="237"/>
      <c r="C289" s="237"/>
      <c r="D289" s="226"/>
      <c r="E289" s="226"/>
      <c r="F289" s="226"/>
      <c r="G289" s="226"/>
      <c r="H289" s="226"/>
      <c r="I289" s="226"/>
      <c r="J289" s="226"/>
      <c r="K289" s="226"/>
    </row>
    <row r="290" spans="1:11">
      <c r="A290" s="226"/>
      <c r="B290" s="237"/>
      <c r="C290" s="237"/>
      <c r="D290" s="226"/>
      <c r="E290" s="226"/>
      <c r="F290" s="226"/>
      <c r="G290" s="226"/>
      <c r="H290" s="226"/>
      <c r="I290" s="226"/>
      <c r="J290" s="226"/>
      <c r="K290" s="226"/>
    </row>
    <row r="291" spans="1:11">
      <c r="A291" s="226"/>
      <c r="B291" s="237"/>
      <c r="C291" s="237"/>
      <c r="D291" s="226"/>
      <c r="E291" s="226"/>
      <c r="F291" s="226"/>
      <c r="G291" s="226"/>
      <c r="H291" s="226"/>
      <c r="I291" s="226"/>
      <c r="J291" s="226"/>
      <c r="K291" s="226"/>
    </row>
    <row r="292" spans="1:11">
      <c r="A292" s="226"/>
      <c r="B292" s="237"/>
      <c r="C292" s="237"/>
      <c r="D292" s="226"/>
      <c r="E292" s="226"/>
      <c r="F292" s="226"/>
      <c r="G292" s="226"/>
      <c r="H292" s="226"/>
      <c r="I292" s="226"/>
      <c r="J292" s="226"/>
      <c r="K292" s="226"/>
    </row>
    <row r="293" spans="1:11">
      <c r="A293" s="226"/>
      <c r="B293" s="237"/>
      <c r="C293" s="237"/>
      <c r="D293" s="226"/>
      <c r="E293" s="226"/>
      <c r="F293" s="226"/>
      <c r="G293" s="226"/>
      <c r="H293" s="226"/>
      <c r="I293" s="226"/>
      <c r="J293" s="226"/>
      <c r="K293" s="226"/>
    </row>
    <row r="294" spans="1:11">
      <c r="A294" s="226"/>
      <c r="B294" s="237"/>
      <c r="C294" s="237"/>
      <c r="D294" s="226"/>
      <c r="E294" s="226"/>
      <c r="F294" s="226"/>
      <c r="G294" s="226"/>
      <c r="H294" s="226"/>
      <c r="I294" s="226"/>
      <c r="J294" s="226"/>
      <c r="K294" s="226"/>
    </row>
    <row r="295" spans="1:11">
      <c r="A295" s="226"/>
      <c r="B295" s="237"/>
      <c r="C295" s="237"/>
      <c r="D295" s="226"/>
      <c r="E295" s="226"/>
      <c r="F295" s="226"/>
      <c r="G295" s="226"/>
      <c r="H295" s="226"/>
      <c r="I295" s="226"/>
      <c r="J295" s="226"/>
      <c r="K295" s="226"/>
    </row>
    <row r="296" spans="1:11">
      <c r="A296" s="226"/>
      <c r="B296" s="237"/>
      <c r="C296" s="237"/>
      <c r="D296" s="226"/>
      <c r="E296" s="226"/>
      <c r="F296" s="226"/>
      <c r="G296" s="226"/>
      <c r="H296" s="226"/>
      <c r="I296" s="226"/>
      <c r="J296" s="226"/>
      <c r="K296" s="226"/>
    </row>
    <row r="297" spans="1:11">
      <c r="A297" s="226"/>
      <c r="B297" s="237"/>
      <c r="C297" s="237"/>
      <c r="D297" s="226"/>
      <c r="E297" s="226"/>
      <c r="F297" s="226"/>
      <c r="G297" s="226"/>
      <c r="H297" s="226"/>
      <c r="I297" s="226"/>
      <c r="J297" s="226"/>
      <c r="K297" s="226"/>
    </row>
    <row r="298" spans="1:11">
      <c r="A298" s="226"/>
      <c r="B298" s="237"/>
      <c r="C298" s="237"/>
      <c r="D298" s="226"/>
      <c r="E298" s="226"/>
      <c r="F298" s="226"/>
      <c r="G298" s="226"/>
      <c r="H298" s="226"/>
      <c r="I298" s="226"/>
      <c r="J298" s="226"/>
      <c r="K298" s="226"/>
    </row>
    <row r="299" spans="1:11">
      <c r="A299" s="226"/>
      <c r="B299" s="237"/>
      <c r="C299" s="237"/>
      <c r="D299" s="226"/>
      <c r="E299" s="226"/>
      <c r="F299" s="226"/>
      <c r="G299" s="226"/>
      <c r="H299" s="226"/>
      <c r="I299" s="226"/>
      <c r="J299" s="226"/>
      <c r="K299" s="226"/>
    </row>
    <row r="300" spans="1:11">
      <c r="A300" s="226"/>
      <c r="B300" s="237"/>
      <c r="C300" s="237"/>
      <c r="D300" s="226"/>
      <c r="E300" s="226"/>
      <c r="F300" s="226"/>
      <c r="G300" s="226"/>
      <c r="H300" s="226"/>
      <c r="I300" s="226"/>
      <c r="J300" s="226"/>
      <c r="K300" s="226"/>
    </row>
    <row r="301" spans="1:11">
      <c r="A301" s="226"/>
      <c r="B301" s="237"/>
      <c r="C301" s="237"/>
      <c r="D301" s="226"/>
      <c r="E301" s="226"/>
      <c r="F301" s="226"/>
      <c r="G301" s="226"/>
      <c r="H301" s="226"/>
      <c r="I301" s="226"/>
      <c r="J301" s="226"/>
      <c r="K301" s="226"/>
    </row>
    <row r="302" spans="1:11">
      <c r="A302" s="226"/>
      <c r="B302" s="237"/>
      <c r="C302" s="237"/>
      <c r="D302" s="226"/>
      <c r="E302" s="226"/>
      <c r="F302" s="226"/>
      <c r="G302" s="226"/>
      <c r="H302" s="226"/>
      <c r="I302" s="226"/>
      <c r="J302" s="226"/>
      <c r="K302" s="226"/>
    </row>
    <row r="303" spans="1:11">
      <c r="A303" s="226"/>
      <c r="B303" s="237"/>
      <c r="C303" s="237"/>
      <c r="D303" s="226"/>
      <c r="E303" s="226"/>
      <c r="F303" s="226"/>
      <c r="G303" s="226"/>
      <c r="H303" s="226"/>
      <c r="I303" s="226"/>
      <c r="J303" s="226"/>
      <c r="K303" s="226"/>
    </row>
    <row r="304" spans="1:11">
      <c r="A304" s="226"/>
      <c r="B304" s="237"/>
      <c r="C304" s="237"/>
      <c r="D304" s="226"/>
      <c r="E304" s="226"/>
      <c r="F304" s="226"/>
      <c r="G304" s="226"/>
      <c r="H304" s="226"/>
      <c r="I304" s="226"/>
      <c r="J304" s="226"/>
      <c r="K304" s="226"/>
    </row>
    <row r="305" spans="1:11">
      <c r="A305" s="226"/>
      <c r="B305" s="237"/>
      <c r="C305" s="237"/>
      <c r="D305" s="226"/>
      <c r="E305" s="226"/>
      <c r="F305" s="226"/>
      <c r="G305" s="226"/>
      <c r="H305" s="226"/>
      <c r="I305" s="226"/>
      <c r="J305" s="226"/>
      <c r="K305" s="226"/>
    </row>
    <row r="306" spans="1:11">
      <c r="A306" s="226"/>
      <c r="B306" s="237"/>
      <c r="C306" s="237"/>
      <c r="D306" s="226"/>
      <c r="E306" s="226"/>
      <c r="F306" s="226"/>
      <c r="G306" s="226"/>
      <c r="H306" s="226"/>
      <c r="I306" s="226"/>
      <c r="J306" s="226"/>
      <c r="K306" s="226"/>
    </row>
    <row r="307" spans="1:11">
      <c r="A307" s="226"/>
      <c r="B307" s="237"/>
      <c r="C307" s="237"/>
      <c r="D307" s="226"/>
      <c r="E307" s="226"/>
      <c r="F307" s="226"/>
      <c r="G307" s="226"/>
      <c r="H307" s="226"/>
      <c r="I307" s="226"/>
      <c r="J307" s="226"/>
      <c r="K307" s="226"/>
    </row>
    <row r="308" spans="1:11">
      <c r="A308" s="226"/>
      <c r="B308" s="237"/>
      <c r="C308" s="237"/>
      <c r="D308" s="226"/>
      <c r="E308" s="226"/>
      <c r="F308" s="226"/>
      <c r="G308" s="226"/>
      <c r="H308" s="226"/>
      <c r="I308" s="226"/>
      <c r="J308" s="226"/>
      <c r="K308" s="226"/>
    </row>
    <row r="309" spans="1:11">
      <c r="A309" s="226"/>
      <c r="B309" s="237"/>
      <c r="C309" s="237"/>
      <c r="D309" s="226"/>
      <c r="E309" s="226"/>
      <c r="F309" s="226"/>
      <c r="G309" s="226"/>
      <c r="H309" s="226"/>
      <c r="I309" s="226"/>
      <c r="J309" s="226"/>
      <c r="K309" s="226"/>
    </row>
    <row r="310" spans="1:11">
      <c r="A310" s="226"/>
      <c r="B310" s="237"/>
      <c r="C310" s="237"/>
      <c r="D310" s="226"/>
      <c r="E310" s="226"/>
      <c r="F310" s="226"/>
      <c r="G310" s="226"/>
      <c r="H310" s="226"/>
      <c r="I310" s="226"/>
      <c r="J310" s="226"/>
      <c r="K310" s="226"/>
    </row>
    <row r="311" spans="1:11">
      <c r="A311" s="226"/>
      <c r="B311" s="237"/>
      <c r="C311" s="237"/>
      <c r="D311" s="226"/>
      <c r="E311" s="226"/>
      <c r="F311" s="226"/>
      <c r="G311" s="226"/>
      <c r="H311" s="226"/>
      <c r="I311" s="226"/>
      <c r="J311" s="226"/>
      <c r="K311" s="226"/>
    </row>
    <row r="312" spans="1:11">
      <c r="A312" s="226"/>
      <c r="B312" s="237"/>
      <c r="C312" s="237"/>
      <c r="D312" s="226"/>
      <c r="E312" s="226"/>
      <c r="F312" s="226"/>
      <c r="G312" s="226"/>
      <c r="H312" s="226"/>
      <c r="I312" s="226"/>
      <c r="J312" s="226"/>
      <c r="K312" s="226"/>
    </row>
    <row r="313" spans="1:11">
      <c r="A313" s="226"/>
      <c r="B313" s="237"/>
      <c r="C313" s="237"/>
      <c r="D313" s="226"/>
      <c r="E313" s="226"/>
      <c r="F313" s="226"/>
      <c r="G313" s="226"/>
      <c r="H313" s="226"/>
      <c r="I313" s="226"/>
      <c r="J313" s="226"/>
      <c r="K313" s="226"/>
    </row>
    <row r="314" spans="1:11">
      <c r="A314" s="226"/>
      <c r="B314" s="237"/>
      <c r="C314" s="237"/>
      <c r="D314" s="226"/>
      <c r="E314" s="226"/>
      <c r="F314" s="226"/>
      <c r="G314" s="226"/>
      <c r="H314" s="226"/>
      <c r="I314" s="226"/>
      <c r="J314" s="226"/>
      <c r="K314" s="226"/>
    </row>
    <row r="315" spans="1:11">
      <c r="A315" s="226"/>
      <c r="B315" s="237"/>
      <c r="C315" s="237"/>
      <c r="D315" s="226"/>
      <c r="E315" s="226"/>
      <c r="F315" s="226"/>
      <c r="G315" s="226"/>
      <c r="H315" s="226"/>
      <c r="I315" s="226"/>
      <c r="J315" s="226"/>
      <c r="K315" s="226"/>
    </row>
    <row r="316" spans="1:11">
      <c r="A316" s="226"/>
      <c r="B316" s="237"/>
      <c r="C316" s="237"/>
      <c r="D316" s="226"/>
      <c r="E316" s="226"/>
      <c r="F316" s="226"/>
      <c r="G316" s="226"/>
      <c r="H316" s="226"/>
      <c r="I316" s="226"/>
      <c r="J316" s="226"/>
      <c r="K316" s="226"/>
    </row>
    <row r="317" spans="1:11">
      <c r="A317" s="226"/>
      <c r="B317" s="237"/>
      <c r="C317" s="237"/>
      <c r="D317" s="226"/>
      <c r="E317" s="226"/>
      <c r="F317" s="226"/>
      <c r="G317" s="226"/>
      <c r="H317" s="226"/>
      <c r="I317" s="226"/>
      <c r="J317" s="226"/>
      <c r="K317" s="226"/>
    </row>
    <row r="318" spans="1:11">
      <c r="A318" s="226"/>
      <c r="B318" s="237"/>
      <c r="C318" s="237"/>
      <c r="D318" s="226"/>
      <c r="E318" s="226"/>
      <c r="F318" s="226"/>
      <c r="G318" s="226"/>
      <c r="H318" s="226"/>
      <c r="I318" s="226"/>
      <c r="J318" s="226"/>
      <c r="K318" s="226"/>
    </row>
    <row r="319" spans="1:11">
      <c r="A319" s="226"/>
      <c r="B319" s="237"/>
      <c r="C319" s="237"/>
      <c r="D319" s="226"/>
      <c r="E319" s="226"/>
      <c r="F319" s="226"/>
      <c r="G319" s="226"/>
      <c r="H319" s="226"/>
      <c r="I319" s="226"/>
      <c r="J319" s="226"/>
      <c r="K319" s="226"/>
    </row>
    <row r="320" spans="1:11">
      <c r="A320" s="226"/>
      <c r="B320" s="237"/>
      <c r="C320" s="237"/>
      <c r="D320" s="226"/>
      <c r="E320" s="226"/>
      <c r="F320" s="226"/>
      <c r="G320" s="226"/>
      <c r="H320" s="226"/>
      <c r="I320" s="226"/>
      <c r="J320" s="226"/>
      <c r="K320" s="226"/>
    </row>
    <row r="321" spans="1:11">
      <c r="A321" s="226"/>
      <c r="B321" s="237"/>
      <c r="C321" s="237"/>
      <c r="D321" s="226"/>
      <c r="E321" s="226"/>
      <c r="F321" s="226"/>
      <c r="G321" s="226"/>
      <c r="H321" s="226"/>
      <c r="I321" s="226"/>
      <c r="J321" s="226"/>
      <c r="K321" s="226"/>
    </row>
    <row r="322" spans="1:11">
      <c r="A322" s="226"/>
      <c r="B322" s="237"/>
      <c r="C322" s="237"/>
      <c r="D322" s="226"/>
      <c r="E322" s="226"/>
      <c r="F322" s="226"/>
      <c r="G322" s="226"/>
      <c r="H322" s="226"/>
      <c r="I322" s="226"/>
      <c r="J322" s="226"/>
      <c r="K322" s="226"/>
    </row>
    <row r="323" spans="1:11">
      <c r="A323" s="226"/>
      <c r="B323" s="237"/>
      <c r="C323" s="237"/>
      <c r="D323" s="226"/>
      <c r="E323" s="226"/>
      <c r="F323" s="226"/>
      <c r="G323" s="226"/>
      <c r="H323" s="226"/>
      <c r="I323" s="226"/>
      <c r="J323" s="226"/>
      <c r="K323" s="226"/>
    </row>
    <row r="324" spans="1:11">
      <c r="A324" s="226"/>
      <c r="B324" s="237"/>
      <c r="C324" s="237"/>
      <c r="D324" s="226"/>
      <c r="E324" s="226"/>
      <c r="F324" s="226"/>
      <c r="G324" s="226"/>
      <c r="H324" s="226"/>
      <c r="I324" s="226"/>
      <c r="J324" s="226"/>
      <c r="K324" s="226"/>
    </row>
    <row r="325" spans="1:11">
      <c r="A325" s="226"/>
      <c r="B325" s="237"/>
      <c r="C325" s="237"/>
      <c r="D325" s="226"/>
      <c r="E325" s="226"/>
      <c r="F325" s="226"/>
      <c r="G325" s="226"/>
      <c r="H325" s="226"/>
      <c r="I325" s="226"/>
      <c r="J325" s="226"/>
      <c r="K325" s="226"/>
    </row>
    <row r="326" spans="1:11">
      <c r="A326" s="226"/>
      <c r="B326" s="237"/>
      <c r="C326" s="237"/>
      <c r="D326" s="226"/>
      <c r="E326" s="226"/>
      <c r="F326" s="226"/>
      <c r="G326" s="226"/>
      <c r="H326" s="226"/>
      <c r="I326" s="226"/>
      <c r="J326" s="226"/>
      <c r="K326" s="226"/>
    </row>
    <row r="327" spans="1:11">
      <c r="A327" s="226"/>
      <c r="B327" s="237"/>
      <c r="C327" s="237"/>
      <c r="D327" s="226"/>
      <c r="E327" s="226"/>
      <c r="F327" s="226"/>
      <c r="G327" s="226"/>
      <c r="H327" s="226"/>
      <c r="I327" s="226"/>
      <c r="J327" s="226"/>
      <c r="K327" s="226"/>
    </row>
    <row r="328" spans="1:11">
      <c r="A328" s="226"/>
      <c r="B328" s="237"/>
      <c r="C328" s="237"/>
      <c r="D328" s="226"/>
      <c r="E328" s="226"/>
      <c r="F328" s="226"/>
      <c r="G328" s="226"/>
      <c r="H328" s="226"/>
      <c r="I328" s="226"/>
      <c r="J328" s="226"/>
      <c r="K328" s="226"/>
    </row>
    <row r="329" spans="1:11">
      <c r="A329" s="226"/>
      <c r="B329" s="237"/>
      <c r="C329" s="237"/>
      <c r="D329" s="226"/>
      <c r="E329" s="226"/>
      <c r="F329" s="226"/>
      <c r="G329" s="226"/>
      <c r="H329" s="226"/>
      <c r="I329" s="226"/>
      <c r="J329" s="226"/>
      <c r="K329" s="226"/>
    </row>
    <row r="330" spans="1:11">
      <c r="A330" s="226"/>
      <c r="B330" s="237"/>
      <c r="C330" s="237"/>
      <c r="D330" s="226"/>
      <c r="E330" s="226"/>
      <c r="F330" s="226"/>
      <c r="G330" s="226"/>
      <c r="H330" s="226"/>
      <c r="I330" s="226"/>
      <c r="J330" s="226"/>
      <c r="K330" s="226"/>
    </row>
    <row r="331" spans="1:11">
      <c r="A331" s="226"/>
      <c r="B331" s="237"/>
      <c r="C331" s="237"/>
      <c r="D331" s="226"/>
      <c r="E331" s="226"/>
      <c r="F331" s="226"/>
      <c r="G331" s="226"/>
      <c r="H331" s="226"/>
      <c r="I331" s="226"/>
      <c r="J331" s="226"/>
      <c r="K331" s="226"/>
    </row>
    <row r="332" spans="1:11">
      <c r="A332" s="226"/>
      <c r="B332" s="237"/>
      <c r="C332" s="237"/>
      <c r="D332" s="226"/>
      <c r="E332" s="226"/>
      <c r="F332" s="226"/>
      <c r="G332" s="226"/>
      <c r="H332" s="226"/>
      <c r="I332" s="226"/>
      <c r="J332" s="226"/>
      <c r="K332" s="226"/>
    </row>
    <row r="333" spans="1:11">
      <c r="A333" s="226"/>
      <c r="B333" s="237"/>
      <c r="C333" s="237"/>
      <c r="D333" s="226"/>
      <c r="E333" s="226"/>
      <c r="F333" s="226"/>
      <c r="G333" s="226"/>
      <c r="H333" s="226"/>
      <c r="I333" s="226"/>
      <c r="J333" s="226"/>
      <c r="K333" s="226"/>
    </row>
    <row r="334" spans="1:11">
      <c r="A334" s="226"/>
      <c r="B334" s="237"/>
      <c r="C334" s="237"/>
      <c r="D334" s="226"/>
      <c r="E334" s="226"/>
      <c r="F334" s="226"/>
      <c r="G334" s="226"/>
      <c r="H334" s="226"/>
      <c r="I334" s="226"/>
      <c r="J334" s="226"/>
      <c r="K334" s="226"/>
    </row>
    <row r="335" spans="1:11">
      <c r="A335" s="226"/>
      <c r="B335" s="237"/>
      <c r="C335" s="237"/>
      <c r="D335" s="226"/>
      <c r="E335" s="226"/>
      <c r="F335" s="226"/>
      <c r="G335" s="226"/>
      <c r="H335" s="226"/>
      <c r="I335" s="226"/>
      <c r="J335" s="226"/>
      <c r="K335" s="226"/>
    </row>
    <row r="336" spans="1:11">
      <c r="A336" s="226"/>
      <c r="B336" s="237"/>
      <c r="C336" s="237"/>
      <c r="D336" s="226"/>
      <c r="E336" s="226"/>
      <c r="F336" s="226"/>
      <c r="G336" s="226"/>
      <c r="H336" s="226"/>
      <c r="I336" s="226"/>
      <c r="J336" s="226"/>
      <c r="K336" s="226"/>
    </row>
    <row r="337" spans="1:11">
      <c r="A337" s="226"/>
      <c r="B337" s="237"/>
      <c r="C337" s="237"/>
      <c r="D337" s="226"/>
      <c r="E337" s="226"/>
      <c r="F337" s="226"/>
      <c r="G337" s="226"/>
      <c r="H337" s="226"/>
      <c r="I337" s="226"/>
      <c r="J337" s="226"/>
      <c r="K337" s="226"/>
    </row>
    <row r="338" spans="1:11">
      <c r="A338" s="226"/>
      <c r="B338" s="237"/>
      <c r="C338" s="237"/>
      <c r="D338" s="226"/>
      <c r="E338" s="226"/>
      <c r="F338" s="226"/>
      <c r="G338" s="226"/>
      <c r="H338" s="226"/>
      <c r="I338" s="226"/>
      <c r="J338" s="226"/>
      <c r="K338" s="226"/>
    </row>
    <row r="339" spans="1:11">
      <c r="A339" s="226"/>
      <c r="B339" s="237"/>
      <c r="C339" s="237"/>
      <c r="D339" s="226"/>
      <c r="E339" s="226"/>
      <c r="F339" s="226"/>
      <c r="G339" s="226"/>
      <c r="H339" s="226"/>
      <c r="I339" s="226"/>
      <c r="J339" s="226"/>
      <c r="K339" s="226"/>
    </row>
    <row r="340" spans="1:11">
      <c r="A340" s="226"/>
      <c r="B340" s="237"/>
      <c r="C340" s="237"/>
      <c r="D340" s="226"/>
      <c r="E340" s="226"/>
      <c r="F340" s="226"/>
      <c r="G340" s="226"/>
      <c r="H340" s="226"/>
      <c r="I340" s="226"/>
      <c r="J340" s="226"/>
      <c r="K340" s="226"/>
    </row>
    <row r="341" spans="1:11">
      <c r="A341" s="226"/>
      <c r="B341" s="237"/>
      <c r="C341" s="237"/>
      <c r="D341" s="226"/>
      <c r="E341" s="226"/>
      <c r="F341" s="226"/>
      <c r="G341" s="226"/>
      <c r="H341" s="226"/>
      <c r="I341" s="226"/>
      <c r="J341" s="226"/>
      <c r="K341" s="226"/>
    </row>
    <row r="342" spans="1:11">
      <c r="A342" s="226"/>
      <c r="B342" s="237"/>
      <c r="C342" s="237"/>
      <c r="D342" s="226"/>
      <c r="E342" s="226"/>
      <c r="F342" s="226"/>
      <c r="G342" s="226"/>
      <c r="H342" s="226"/>
      <c r="I342" s="226"/>
      <c r="J342" s="226"/>
      <c r="K342" s="226"/>
    </row>
    <row r="343" spans="1:11">
      <c r="A343" s="226"/>
      <c r="B343" s="237"/>
      <c r="C343" s="237"/>
      <c r="D343" s="226"/>
      <c r="E343" s="226"/>
      <c r="F343" s="226"/>
      <c r="G343" s="226"/>
      <c r="H343" s="226"/>
      <c r="I343" s="226"/>
      <c r="J343" s="226"/>
      <c r="K343" s="226"/>
    </row>
    <row r="344" spans="1:11">
      <c r="A344" s="226"/>
      <c r="B344" s="237"/>
      <c r="C344" s="237"/>
      <c r="D344" s="226"/>
      <c r="E344" s="226"/>
      <c r="F344" s="226"/>
      <c r="G344" s="226"/>
      <c r="H344" s="226"/>
      <c r="I344" s="226"/>
      <c r="J344" s="226"/>
      <c r="K344" s="226"/>
    </row>
    <row r="345" spans="1:11">
      <c r="A345" s="226"/>
      <c r="B345" s="237"/>
      <c r="C345" s="237"/>
      <c r="D345" s="226"/>
      <c r="E345" s="226"/>
      <c r="F345" s="226"/>
      <c r="G345" s="226"/>
      <c r="H345" s="226"/>
      <c r="I345" s="226"/>
      <c r="J345" s="226"/>
      <c r="K345" s="226"/>
    </row>
    <row r="346" spans="1:11">
      <c r="A346" s="226"/>
      <c r="B346" s="237"/>
      <c r="C346" s="237"/>
      <c r="D346" s="226"/>
      <c r="E346" s="226"/>
      <c r="F346" s="226"/>
      <c r="G346" s="226"/>
      <c r="H346" s="226"/>
      <c r="I346" s="226"/>
      <c r="J346" s="226"/>
      <c r="K346" s="226"/>
    </row>
    <row r="347" spans="1:11">
      <c r="A347" s="226"/>
      <c r="B347" s="237"/>
      <c r="C347" s="237"/>
      <c r="D347" s="226"/>
      <c r="E347" s="226"/>
      <c r="F347" s="226"/>
      <c r="G347" s="226"/>
      <c r="H347" s="226"/>
      <c r="I347" s="226"/>
      <c r="J347" s="226"/>
      <c r="K347" s="226"/>
    </row>
    <row r="348" spans="1:11">
      <c r="A348" s="226"/>
      <c r="B348" s="237"/>
      <c r="C348" s="237"/>
      <c r="D348" s="226"/>
      <c r="E348" s="226"/>
      <c r="F348" s="226"/>
      <c r="G348" s="226"/>
      <c r="H348" s="226"/>
      <c r="I348" s="226"/>
      <c r="J348" s="226"/>
      <c r="K348" s="226"/>
    </row>
    <row r="349" spans="1:11">
      <c r="A349" s="226"/>
      <c r="B349" s="237"/>
      <c r="C349" s="237"/>
      <c r="D349" s="226"/>
      <c r="E349" s="226"/>
      <c r="F349" s="226"/>
      <c r="G349" s="226"/>
      <c r="H349" s="226"/>
      <c r="I349" s="226"/>
      <c r="J349" s="226"/>
      <c r="K349" s="226"/>
    </row>
    <row r="350" spans="1:11">
      <c r="A350" s="226"/>
      <c r="B350" s="237"/>
      <c r="C350" s="237"/>
      <c r="D350" s="226"/>
      <c r="E350" s="226"/>
      <c r="F350" s="226"/>
      <c r="G350" s="226"/>
      <c r="H350" s="226"/>
      <c r="I350" s="226"/>
      <c r="J350" s="226"/>
      <c r="K350" s="226"/>
    </row>
    <row r="351" spans="1:11">
      <c r="A351" s="226"/>
      <c r="B351" s="237"/>
      <c r="C351" s="237"/>
      <c r="D351" s="226"/>
      <c r="E351" s="226"/>
      <c r="F351" s="226"/>
      <c r="G351" s="226"/>
      <c r="H351" s="226"/>
      <c r="I351" s="226"/>
      <c r="J351" s="226"/>
      <c r="K351" s="226"/>
    </row>
    <row r="352" spans="1:11">
      <c r="A352" s="226"/>
      <c r="B352" s="237"/>
      <c r="C352" s="237"/>
      <c r="D352" s="226"/>
      <c r="E352" s="226"/>
      <c r="F352" s="226"/>
      <c r="G352" s="226"/>
      <c r="H352" s="226"/>
      <c r="I352" s="226"/>
      <c r="J352" s="226"/>
      <c r="K352" s="226"/>
    </row>
    <row r="353" spans="1:11">
      <c r="A353" s="226"/>
      <c r="B353" s="237"/>
      <c r="C353" s="237"/>
      <c r="D353" s="226"/>
      <c r="E353" s="226"/>
      <c r="F353" s="226"/>
      <c r="G353" s="226"/>
      <c r="H353" s="226"/>
      <c r="I353" s="226"/>
      <c r="J353" s="226"/>
      <c r="K353" s="226"/>
    </row>
    <row r="354" spans="1:11">
      <c r="A354" s="226"/>
      <c r="B354" s="237"/>
      <c r="C354" s="237"/>
      <c r="D354" s="226"/>
      <c r="E354" s="226"/>
      <c r="F354" s="226"/>
      <c r="G354" s="226"/>
      <c r="H354" s="226"/>
      <c r="I354" s="226"/>
      <c r="J354" s="226"/>
      <c r="K354" s="226"/>
    </row>
    <row r="355" spans="1:11">
      <c r="A355" s="226"/>
      <c r="B355" s="237"/>
      <c r="C355" s="237"/>
      <c r="D355" s="226"/>
      <c r="E355" s="226"/>
      <c r="F355" s="226"/>
      <c r="G355" s="226"/>
      <c r="H355" s="226"/>
      <c r="I355" s="226"/>
      <c r="J355" s="226"/>
      <c r="K355" s="226"/>
    </row>
    <row r="356" spans="1:11">
      <c r="A356" s="226"/>
      <c r="B356" s="237"/>
      <c r="C356" s="237"/>
      <c r="D356" s="226"/>
      <c r="E356" s="226"/>
      <c r="F356" s="226"/>
      <c r="G356" s="226"/>
      <c r="H356" s="226"/>
      <c r="I356" s="226"/>
      <c r="J356" s="226"/>
      <c r="K356" s="226"/>
    </row>
    <row r="357" spans="1:11">
      <c r="A357" s="226"/>
      <c r="B357" s="237"/>
      <c r="C357" s="237"/>
      <c r="D357" s="226"/>
      <c r="E357" s="226"/>
      <c r="F357" s="226"/>
      <c r="G357" s="226"/>
      <c r="H357" s="226"/>
      <c r="I357" s="226"/>
      <c r="J357" s="226"/>
      <c r="K357" s="226"/>
    </row>
    <row r="358" spans="1:11">
      <c r="A358" s="226"/>
      <c r="B358" s="237"/>
      <c r="C358" s="237"/>
      <c r="D358" s="226"/>
      <c r="E358" s="226"/>
      <c r="F358" s="226"/>
      <c r="G358" s="226"/>
      <c r="H358" s="226"/>
      <c r="I358" s="226"/>
      <c r="J358" s="226"/>
      <c r="K358" s="226"/>
    </row>
    <row r="359" spans="1:11">
      <c r="A359" s="226"/>
      <c r="B359" s="237"/>
      <c r="C359" s="237"/>
      <c r="D359" s="226"/>
      <c r="E359" s="226"/>
      <c r="F359" s="226"/>
      <c r="G359" s="226"/>
      <c r="H359" s="226"/>
      <c r="I359" s="226"/>
      <c r="J359" s="226"/>
      <c r="K359" s="226"/>
    </row>
    <row r="360" spans="1:11">
      <c r="A360" s="226"/>
      <c r="B360" s="237"/>
      <c r="C360" s="237"/>
      <c r="D360" s="226"/>
      <c r="E360" s="226"/>
      <c r="F360" s="226"/>
      <c r="G360" s="226"/>
      <c r="H360" s="226"/>
      <c r="I360" s="226"/>
      <c r="J360" s="226"/>
      <c r="K360" s="226"/>
    </row>
    <row r="361" spans="1:11">
      <c r="A361" s="226"/>
      <c r="B361" s="237"/>
      <c r="C361" s="237"/>
      <c r="D361" s="226"/>
      <c r="E361" s="226"/>
      <c r="F361" s="226"/>
      <c r="G361" s="226"/>
      <c r="H361" s="226"/>
      <c r="I361" s="226"/>
      <c r="J361" s="226"/>
      <c r="K361" s="226"/>
    </row>
    <row r="362" spans="1:11">
      <c r="A362" s="226"/>
      <c r="B362" s="237"/>
      <c r="C362" s="237"/>
      <c r="D362" s="226"/>
      <c r="E362" s="226"/>
      <c r="F362" s="226"/>
      <c r="G362" s="226"/>
      <c r="H362" s="226"/>
      <c r="I362" s="226"/>
      <c r="J362" s="226"/>
      <c r="K362" s="226"/>
    </row>
    <row r="363" spans="1:11">
      <c r="A363" s="226"/>
      <c r="B363" s="237"/>
      <c r="C363" s="237"/>
      <c r="D363" s="226"/>
      <c r="E363" s="226"/>
      <c r="F363" s="226"/>
      <c r="G363" s="226"/>
      <c r="H363" s="226"/>
      <c r="I363" s="226"/>
      <c r="J363" s="226"/>
      <c r="K363" s="226"/>
    </row>
    <row r="364" spans="1:11">
      <c r="A364" s="226"/>
      <c r="B364" s="237"/>
      <c r="C364" s="237"/>
      <c r="D364" s="226"/>
      <c r="E364" s="226"/>
      <c r="F364" s="226"/>
      <c r="G364" s="226"/>
      <c r="H364" s="226"/>
      <c r="I364" s="226"/>
      <c r="J364" s="226"/>
      <c r="K364" s="226"/>
    </row>
    <row r="365" spans="1:11">
      <c r="A365" s="226"/>
      <c r="B365" s="237"/>
      <c r="C365" s="237"/>
      <c r="D365" s="226"/>
      <c r="E365" s="226"/>
      <c r="F365" s="226"/>
      <c r="G365" s="226"/>
      <c r="H365" s="226"/>
      <c r="I365" s="226"/>
      <c r="J365" s="226"/>
      <c r="K365" s="226"/>
    </row>
    <row r="366" spans="1:11">
      <c r="A366" s="226"/>
      <c r="B366" s="237"/>
      <c r="C366" s="237"/>
      <c r="D366" s="226"/>
      <c r="E366" s="226"/>
      <c r="F366" s="226"/>
      <c r="G366" s="226"/>
      <c r="H366" s="226"/>
      <c r="I366" s="226"/>
      <c r="J366" s="226"/>
      <c r="K366" s="226"/>
    </row>
    <row r="367" spans="1:11">
      <c r="A367" s="226"/>
      <c r="B367" s="237"/>
      <c r="C367" s="237"/>
      <c r="D367" s="226"/>
      <c r="E367" s="226"/>
      <c r="F367" s="226"/>
      <c r="G367" s="226"/>
      <c r="H367" s="226"/>
      <c r="I367" s="226"/>
      <c r="J367" s="226"/>
      <c r="K367" s="226"/>
    </row>
    <row r="368" spans="1:11">
      <c r="A368" s="226"/>
      <c r="B368" s="237"/>
      <c r="C368" s="237"/>
      <c r="D368" s="226"/>
      <c r="E368" s="226"/>
      <c r="F368" s="226"/>
      <c r="G368" s="226"/>
      <c r="H368" s="226"/>
      <c r="I368" s="226"/>
      <c r="J368" s="226"/>
      <c r="K368" s="226"/>
    </row>
    <row r="369" spans="1:11">
      <c r="A369" s="226"/>
      <c r="B369" s="237"/>
      <c r="C369" s="237"/>
      <c r="D369" s="226"/>
      <c r="E369" s="226"/>
      <c r="F369" s="226"/>
      <c r="G369" s="226"/>
      <c r="H369" s="226"/>
      <c r="I369" s="226"/>
      <c r="J369" s="226"/>
      <c r="K369" s="226"/>
    </row>
    <row r="370" spans="1:11">
      <c r="A370" s="226"/>
      <c r="B370" s="237"/>
      <c r="C370" s="237"/>
      <c r="D370" s="226"/>
      <c r="E370" s="226"/>
      <c r="F370" s="226"/>
      <c r="G370" s="226"/>
      <c r="H370" s="226"/>
      <c r="I370" s="226"/>
      <c r="J370" s="226"/>
      <c r="K370" s="226"/>
    </row>
    <row r="371" spans="1:11">
      <c r="A371" s="226"/>
      <c r="B371" s="237"/>
      <c r="C371" s="237"/>
      <c r="D371" s="226"/>
      <c r="E371" s="226"/>
      <c r="F371" s="226"/>
      <c r="G371" s="226"/>
      <c r="H371" s="226"/>
      <c r="I371" s="226"/>
      <c r="J371" s="226"/>
      <c r="K371" s="226"/>
    </row>
    <row r="372" spans="1:11">
      <c r="A372" s="226"/>
      <c r="B372" s="237"/>
      <c r="C372" s="237"/>
      <c r="D372" s="226"/>
      <c r="E372" s="226"/>
      <c r="F372" s="226"/>
      <c r="G372" s="226"/>
      <c r="H372" s="226"/>
      <c r="I372" s="226"/>
      <c r="J372" s="226"/>
      <c r="K372" s="226"/>
    </row>
    <row r="373" spans="1:11">
      <c r="A373" s="226"/>
      <c r="B373" s="237"/>
      <c r="C373" s="237"/>
      <c r="D373" s="226"/>
      <c r="E373" s="226"/>
      <c r="F373" s="226"/>
      <c r="G373" s="226"/>
      <c r="H373" s="226"/>
      <c r="I373" s="226"/>
      <c r="J373" s="226"/>
      <c r="K373" s="226"/>
    </row>
    <row r="374" spans="1:11">
      <c r="A374" s="226"/>
      <c r="B374" s="237"/>
      <c r="C374" s="237"/>
      <c r="D374" s="226"/>
      <c r="E374" s="226"/>
      <c r="F374" s="226"/>
      <c r="G374" s="226"/>
      <c r="H374" s="226"/>
      <c r="I374" s="226"/>
      <c r="J374" s="226"/>
      <c r="K374" s="226"/>
    </row>
    <row r="375" spans="1:11">
      <c r="A375" s="226"/>
      <c r="B375" s="237"/>
      <c r="C375" s="237"/>
      <c r="D375" s="226"/>
      <c r="E375" s="226"/>
      <c r="F375" s="226"/>
      <c r="G375" s="226"/>
      <c r="H375" s="226"/>
      <c r="I375" s="226"/>
      <c r="J375" s="226"/>
      <c r="K375" s="226"/>
    </row>
    <row r="376" spans="1:11">
      <c r="A376" s="226"/>
      <c r="B376" s="237"/>
      <c r="C376" s="237"/>
      <c r="D376" s="226"/>
      <c r="E376" s="226"/>
      <c r="F376" s="226"/>
      <c r="G376" s="226"/>
      <c r="H376" s="226"/>
      <c r="I376" s="226"/>
      <c r="J376" s="226"/>
      <c r="K376" s="226"/>
    </row>
    <row r="377" spans="1:11">
      <c r="A377" s="226"/>
      <c r="B377" s="237"/>
      <c r="C377" s="237"/>
      <c r="D377" s="226"/>
      <c r="E377" s="226"/>
      <c r="F377" s="226"/>
      <c r="G377" s="226"/>
      <c r="H377" s="226"/>
      <c r="I377" s="226"/>
      <c r="J377" s="226"/>
      <c r="K377" s="226"/>
    </row>
    <row r="378" spans="1:11">
      <c r="A378" s="226"/>
      <c r="B378" s="237"/>
      <c r="C378" s="237"/>
      <c r="D378" s="226"/>
      <c r="E378" s="226"/>
      <c r="F378" s="226"/>
      <c r="G378" s="226"/>
      <c r="H378" s="226"/>
      <c r="I378" s="226"/>
      <c r="J378" s="226"/>
      <c r="K378" s="226"/>
    </row>
    <row r="379" spans="1:11">
      <c r="A379" s="226"/>
      <c r="B379" s="237"/>
      <c r="C379" s="237"/>
      <c r="D379" s="226"/>
      <c r="E379" s="226"/>
      <c r="F379" s="226"/>
      <c r="G379" s="226"/>
      <c r="H379" s="226"/>
      <c r="I379" s="226"/>
      <c r="J379" s="226"/>
      <c r="K379" s="226"/>
    </row>
    <row r="380" spans="1:11">
      <c r="A380" s="226"/>
      <c r="B380" s="237"/>
      <c r="C380" s="237"/>
      <c r="D380" s="226"/>
      <c r="E380" s="226"/>
      <c r="F380" s="226"/>
      <c r="G380" s="226"/>
      <c r="H380" s="226"/>
      <c r="I380" s="226"/>
      <c r="J380" s="226"/>
      <c r="K380" s="226"/>
    </row>
    <row r="381" spans="1:11">
      <c r="A381" s="226"/>
      <c r="B381" s="237"/>
      <c r="C381" s="237"/>
      <c r="D381" s="226"/>
      <c r="E381" s="226"/>
      <c r="F381" s="226"/>
      <c r="G381" s="226"/>
      <c r="H381" s="226"/>
      <c r="I381" s="226"/>
      <c r="J381" s="226"/>
      <c r="K381" s="226"/>
    </row>
    <row r="382" spans="1:11">
      <c r="A382" s="226"/>
      <c r="B382" s="237"/>
      <c r="C382" s="237"/>
      <c r="D382" s="226"/>
      <c r="E382" s="226"/>
      <c r="F382" s="226"/>
      <c r="G382" s="226"/>
      <c r="H382" s="226"/>
      <c r="I382" s="226"/>
      <c r="J382" s="226"/>
      <c r="K382" s="226"/>
    </row>
    <row r="383" spans="1:11">
      <c r="A383" s="226"/>
      <c r="B383" s="237"/>
      <c r="C383" s="237"/>
      <c r="D383" s="226"/>
      <c r="E383" s="226"/>
      <c r="F383" s="226"/>
      <c r="G383" s="226"/>
      <c r="H383" s="226"/>
      <c r="I383" s="226"/>
      <c r="J383" s="226"/>
      <c r="K383" s="226"/>
    </row>
    <row r="384" spans="1:11">
      <c r="A384" s="226"/>
      <c r="B384" s="237"/>
      <c r="C384" s="237"/>
      <c r="D384" s="226"/>
      <c r="E384" s="226"/>
      <c r="F384" s="226"/>
      <c r="G384" s="226"/>
      <c r="H384" s="226"/>
      <c r="I384" s="226"/>
      <c r="J384" s="226"/>
      <c r="K384" s="226"/>
    </row>
    <row r="385" spans="1:11">
      <c r="A385" s="226"/>
      <c r="B385" s="237"/>
      <c r="C385" s="237"/>
      <c r="D385" s="226"/>
      <c r="E385" s="226"/>
      <c r="F385" s="226"/>
      <c r="G385" s="226"/>
      <c r="H385" s="226"/>
      <c r="I385" s="226"/>
      <c r="J385" s="226"/>
      <c r="K385" s="226"/>
    </row>
    <row r="386" spans="1:11">
      <c r="A386" s="226"/>
      <c r="B386" s="237"/>
      <c r="C386" s="237"/>
      <c r="D386" s="226"/>
      <c r="E386" s="226"/>
      <c r="F386" s="226"/>
      <c r="G386" s="226"/>
      <c r="H386" s="226"/>
      <c r="I386" s="226"/>
      <c r="J386" s="226"/>
      <c r="K386" s="226"/>
    </row>
    <row r="387" spans="1:11">
      <c r="A387" s="226"/>
      <c r="B387" s="237"/>
      <c r="C387" s="237"/>
      <c r="D387" s="226"/>
      <c r="E387" s="226"/>
      <c r="F387" s="226"/>
      <c r="G387" s="226"/>
      <c r="H387" s="226"/>
      <c r="I387" s="226"/>
      <c r="J387" s="226"/>
      <c r="K387" s="226"/>
    </row>
    <row r="388" spans="1:11">
      <c r="A388" s="226"/>
      <c r="B388" s="237"/>
      <c r="C388" s="237"/>
      <c r="D388" s="226"/>
      <c r="E388" s="226"/>
      <c r="F388" s="226"/>
      <c r="G388" s="226"/>
      <c r="H388" s="226"/>
      <c r="I388" s="226"/>
      <c r="J388" s="226"/>
      <c r="K388" s="226"/>
    </row>
    <row r="389" spans="1:11">
      <c r="A389" s="226"/>
      <c r="B389" s="237"/>
      <c r="C389" s="237"/>
      <c r="D389" s="226"/>
      <c r="E389" s="226"/>
      <c r="F389" s="226"/>
      <c r="G389" s="226"/>
      <c r="H389" s="226"/>
      <c r="I389" s="226"/>
      <c r="J389" s="226"/>
      <c r="K389" s="226"/>
    </row>
    <row r="390" spans="1:11">
      <c r="A390" s="226"/>
      <c r="B390" s="237"/>
      <c r="C390" s="237"/>
      <c r="D390" s="226"/>
      <c r="E390" s="226"/>
      <c r="F390" s="226"/>
      <c r="G390" s="226"/>
      <c r="H390" s="226"/>
      <c r="I390" s="226"/>
      <c r="J390" s="226"/>
      <c r="K390" s="226"/>
    </row>
    <row r="391" spans="1:11">
      <c r="A391" s="226"/>
      <c r="B391" s="237"/>
      <c r="C391" s="237"/>
      <c r="D391" s="226"/>
      <c r="E391" s="226"/>
      <c r="F391" s="226"/>
      <c r="G391" s="226"/>
      <c r="H391" s="226"/>
      <c r="I391" s="226"/>
      <c r="J391" s="226"/>
      <c r="K391" s="226"/>
    </row>
    <row r="392" spans="1:11">
      <c r="A392" s="226"/>
      <c r="B392" s="237"/>
      <c r="C392" s="237"/>
      <c r="D392" s="226"/>
      <c r="E392" s="226"/>
      <c r="F392" s="226"/>
      <c r="G392" s="226"/>
      <c r="H392" s="226"/>
      <c r="I392" s="226"/>
      <c r="J392" s="226"/>
      <c r="K392" s="226"/>
    </row>
    <row r="393" spans="1:11">
      <c r="A393" s="226"/>
      <c r="B393" s="237"/>
      <c r="C393" s="237"/>
      <c r="D393" s="226"/>
      <c r="E393" s="226"/>
      <c r="F393" s="226"/>
      <c r="G393" s="226"/>
      <c r="H393" s="226"/>
      <c r="I393" s="226"/>
      <c r="J393" s="226"/>
      <c r="K393" s="226"/>
    </row>
    <row r="394" spans="1:11">
      <c r="A394" s="226"/>
      <c r="B394" s="237"/>
      <c r="C394" s="237"/>
      <c r="D394" s="226"/>
      <c r="E394" s="226"/>
      <c r="F394" s="226"/>
      <c r="G394" s="226"/>
      <c r="H394" s="226"/>
      <c r="I394" s="226"/>
      <c r="J394" s="226"/>
      <c r="K394" s="226"/>
    </row>
    <row r="395" spans="1:11">
      <c r="A395" s="226"/>
      <c r="B395" s="237"/>
      <c r="C395" s="237"/>
      <c r="D395" s="226"/>
      <c r="E395" s="226"/>
      <c r="F395" s="226"/>
      <c r="G395" s="226"/>
      <c r="H395" s="226"/>
      <c r="I395" s="226"/>
      <c r="J395" s="226"/>
      <c r="K395" s="226"/>
    </row>
    <row r="396" spans="1:11">
      <c r="A396" s="226"/>
      <c r="B396" s="237"/>
      <c r="C396" s="237"/>
      <c r="D396" s="226"/>
      <c r="E396" s="226"/>
      <c r="F396" s="226"/>
      <c r="G396" s="226"/>
      <c r="H396" s="226"/>
      <c r="I396" s="226"/>
      <c r="J396" s="226"/>
      <c r="K396" s="226"/>
    </row>
    <row r="397" spans="1:11">
      <c r="A397" s="226"/>
      <c r="B397" s="237"/>
      <c r="C397" s="237"/>
      <c r="D397" s="226"/>
      <c r="E397" s="226"/>
      <c r="F397" s="226"/>
      <c r="G397" s="226"/>
      <c r="H397" s="226"/>
      <c r="I397" s="226"/>
      <c r="J397" s="226"/>
      <c r="K397" s="226"/>
    </row>
    <row r="398" spans="1:11">
      <c r="A398" s="226"/>
      <c r="B398" s="237"/>
      <c r="C398" s="237"/>
      <c r="D398" s="226"/>
      <c r="E398" s="226"/>
      <c r="F398" s="226"/>
      <c r="G398" s="226"/>
      <c r="H398" s="226"/>
      <c r="I398" s="226"/>
      <c r="J398" s="226"/>
      <c r="K398" s="226"/>
    </row>
    <row r="399" spans="1:11">
      <c r="A399" s="226"/>
      <c r="B399" s="237"/>
      <c r="C399" s="237"/>
      <c r="D399" s="226"/>
      <c r="E399" s="226"/>
      <c r="F399" s="226"/>
      <c r="G399" s="226"/>
      <c r="H399" s="226"/>
      <c r="I399" s="226"/>
      <c r="J399" s="226"/>
      <c r="K399" s="226"/>
    </row>
    <row r="400" spans="1:11">
      <c r="A400" s="226"/>
      <c r="B400" s="237"/>
      <c r="C400" s="237"/>
      <c r="D400" s="226"/>
      <c r="E400" s="226"/>
      <c r="F400" s="226"/>
      <c r="G400" s="226"/>
      <c r="H400" s="226"/>
      <c r="I400" s="226"/>
      <c r="J400" s="226"/>
      <c r="K400" s="226"/>
    </row>
    <row r="401" spans="1:11">
      <c r="A401" s="226"/>
      <c r="B401" s="237"/>
      <c r="C401" s="237"/>
      <c r="D401" s="226"/>
      <c r="E401" s="226"/>
      <c r="F401" s="226"/>
      <c r="G401" s="226"/>
      <c r="H401" s="226"/>
      <c r="I401" s="226"/>
      <c r="J401" s="226"/>
      <c r="K401" s="226"/>
    </row>
    <row r="402" spans="1:11">
      <c r="A402" s="226"/>
      <c r="B402" s="237"/>
      <c r="C402" s="237"/>
      <c r="D402" s="226"/>
      <c r="E402" s="226"/>
      <c r="F402" s="226"/>
      <c r="G402" s="226"/>
      <c r="H402" s="226"/>
      <c r="I402" s="226"/>
      <c r="J402" s="226"/>
      <c r="K402" s="226"/>
    </row>
    <row r="403" spans="1:11">
      <c r="A403" s="226"/>
      <c r="B403" s="237"/>
      <c r="C403" s="237"/>
      <c r="D403" s="226"/>
      <c r="E403" s="226"/>
      <c r="F403" s="226"/>
      <c r="G403" s="226"/>
      <c r="H403" s="226"/>
      <c r="I403" s="226"/>
      <c r="J403" s="226"/>
      <c r="K403" s="226"/>
    </row>
    <row r="404" spans="1:11">
      <c r="A404" s="226"/>
      <c r="B404" s="237"/>
      <c r="C404" s="237"/>
      <c r="D404" s="226"/>
      <c r="E404" s="226"/>
      <c r="F404" s="226"/>
      <c r="G404" s="226"/>
      <c r="H404" s="226"/>
      <c r="I404" s="226"/>
      <c r="J404" s="226"/>
      <c r="K404" s="226"/>
    </row>
    <row r="405" spans="1:11">
      <c r="A405" s="226"/>
      <c r="B405" s="237"/>
      <c r="C405" s="237"/>
      <c r="D405" s="226"/>
      <c r="E405" s="226"/>
      <c r="F405" s="226"/>
      <c r="G405" s="226"/>
      <c r="H405" s="226"/>
      <c r="I405" s="226"/>
      <c r="J405" s="226"/>
      <c r="K405" s="226"/>
    </row>
    <row r="406" spans="1:11">
      <c r="A406" s="226"/>
      <c r="B406" s="237"/>
      <c r="C406" s="237"/>
      <c r="D406" s="226"/>
      <c r="E406" s="226"/>
      <c r="F406" s="226"/>
      <c r="G406" s="226"/>
      <c r="H406" s="226"/>
      <c r="I406" s="226"/>
      <c r="J406" s="226"/>
      <c r="K406" s="226"/>
    </row>
    <row r="407" spans="1:11">
      <c r="A407" s="226"/>
      <c r="B407" s="237"/>
      <c r="C407" s="237"/>
      <c r="D407" s="226"/>
      <c r="E407" s="226"/>
      <c r="F407" s="226"/>
      <c r="G407" s="226"/>
      <c r="H407" s="226"/>
      <c r="I407" s="226"/>
      <c r="J407" s="226"/>
      <c r="K407" s="226"/>
    </row>
    <row r="408" spans="1:11">
      <c r="A408" s="226"/>
      <c r="B408" s="237"/>
      <c r="C408" s="237"/>
      <c r="D408" s="226"/>
      <c r="E408" s="226"/>
      <c r="F408" s="226"/>
      <c r="G408" s="226"/>
      <c r="H408" s="226"/>
      <c r="I408" s="226"/>
      <c r="J408" s="226"/>
      <c r="K408" s="226"/>
    </row>
    <row r="409" spans="1:11">
      <c r="A409" s="226"/>
      <c r="B409" s="237"/>
      <c r="C409" s="237"/>
      <c r="D409" s="226"/>
      <c r="E409" s="226"/>
      <c r="F409" s="226"/>
      <c r="G409" s="226"/>
      <c r="H409" s="226"/>
      <c r="I409" s="226"/>
      <c r="J409" s="226"/>
      <c r="K409" s="226"/>
    </row>
    <row r="410" spans="1:11">
      <c r="A410" s="226"/>
      <c r="B410" s="237"/>
      <c r="C410" s="237"/>
      <c r="D410" s="226"/>
      <c r="E410" s="226"/>
      <c r="F410" s="226"/>
      <c r="G410" s="226"/>
      <c r="H410" s="226"/>
      <c r="I410" s="226"/>
      <c r="J410" s="226"/>
      <c r="K410" s="226"/>
    </row>
    <row r="411" spans="1:11">
      <c r="A411" s="226"/>
      <c r="B411" s="237"/>
      <c r="C411" s="237"/>
      <c r="D411" s="226"/>
      <c r="E411" s="226"/>
      <c r="F411" s="226"/>
      <c r="G411" s="226"/>
      <c r="H411" s="226"/>
      <c r="I411" s="226"/>
      <c r="J411" s="226"/>
      <c r="K411" s="226"/>
    </row>
    <row r="412" spans="1:11">
      <c r="A412" s="226"/>
      <c r="B412" s="237"/>
      <c r="C412" s="237"/>
      <c r="D412" s="226"/>
      <c r="E412" s="226"/>
      <c r="F412" s="226"/>
      <c r="G412" s="226"/>
      <c r="H412" s="226"/>
      <c r="I412" s="226"/>
      <c r="J412" s="226"/>
      <c r="K412" s="226"/>
    </row>
    <row r="413" spans="1:11">
      <c r="A413" s="226"/>
      <c r="B413" s="237"/>
      <c r="C413" s="237"/>
      <c r="D413" s="226"/>
      <c r="E413" s="226"/>
      <c r="F413" s="226"/>
      <c r="G413" s="226"/>
      <c r="H413" s="226"/>
      <c r="I413" s="226"/>
      <c r="J413" s="226"/>
      <c r="K413" s="226"/>
    </row>
    <row r="414" spans="1:11">
      <c r="A414" s="226"/>
      <c r="B414" s="237"/>
      <c r="C414" s="237"/>
      <c r="D414" s="226"/>
      <c r="E414" s="226"/>
      <c r="F414" s="226"/>
      <c r="G414" s="226"/>
      <c r="H414" s="226"/>
      <c r="I414" s="226"/>
      <c r="J414" s="226"/>
      <c r="K414" s="226"/>
    </row>
    <row r="415" spans="1:11">
      <c r="A415" s="226"/>
      <c r="B415" s="237"/>
      <c r="C415" s="237"/>
      <c r="D415" s="226"/>
      <c r="E415" s="226"/>
      <c r="F415" s="226"/>
      <c r="G415" s="226"/>
      <c r="H415" s="226"/>
      <c r="I415" s="226"/>
      <c r="J415" s="226"/>
      <c r="K415" s="226"/>
    </row>
    <row r="416" spans="1:11">
      <c r="A416" s="226"/>
      <c r="B416" s="237"/>
      <c r="C416" s="237"/>
      <c r="D416" s="226"/>
      <c r="E416" s="226"/>
      <c r="F416" s="226"/>
      <c r="G416" s="226"/>
      <c r="H416" s="226"/>
      <c r="I416" s="226"/>
      <c r="J416" s="226"/>
      <c r="K416" s="226"/>
    </row>
    <row r="417" spans="1:11">
      <c r="A417" s="226"/>
      <c r="B417" s="237"/>
      <c r="C417" s="237"/>
      <c r="D417" s="226"/>
      <c r="E417" s="226"/>
      <c r="F417" s="226"/>
      <c r="G417" s="226"/>
      <c r="H417" s="226"/>
      <c r="I417" s="226"/>
      <c r="J417" s="226"/>
      <c r="K417" s="226"/>
    </row>
    <row r="418" spans="1:11">
      <c r="A418" s="226"/>
      <c r="B418" s="237"/>
      <c r="C418" s="237"/>
      <c r="D418" s="226"/>
      <c r="E418" s="226"/>
      <c r="F418" s="226"/>
      <c r="G418" s="226"/>
      <c r="H418" s="226"/>
      <c r="I418" s="226"/>
      <c r="J418" s="226"/>
      <c r="K418" s="226"/>
    </row>
    <row r="419" spans="1:11">
      <c r="A419" s="226"/>
      <c r="B419" s="237"/>
      <c r="C419" s="237"/>
      <c r="D419" s="226"/>
      <c r="E419" s="226"/>
      <c r="F419" s="226"/>
      <c r="G419" s="226"/>
      <c r="H419" s="226"/>
      <c r="I419" s="226"/>
      <c r="J419" s="226"/>
      <c r="K419" s="226"/>
    </row>
    <row r="420" spans="1:11">
      <c r="A420" s="226"/>
      <c r="B420" s="237"/>
      <c r="C420" s="237"/>
      <c r="D420" s="226"/>
      <c r="E420" s="226"/>
      <c r="F420" s="226"/>
      <c r="G420" s="226"/>
      <c r="H420" s="226"/>
      <c r="I420" s="226"/>
      <c r="J420" s="226"/>
      <c r="K420" s="226"/>
    </row>
    <row r="421" spans="1:11">
      <c r="A421" s="226"/>
      <c r="B421" s="237"/>
      <c r="C421" s="237"/>
      <c r="D421" s="226"/>
      <c r="E421" s="226"/>
      <c r="F421" s="226"/>
      <c r="G421" s="226"/>
      <c r="H421" s="226"/>
      <c r="I421" s="226"/>
      <c r="J421" s="226"/>
      <c r="K421" s="226"/>
    </row>
    <row r="422" spans="1:11">
      <c r="A422" s="226"/>
      <c r="B422" s="237"/>
      <c r="C422" s="237"/>
      <c r="D422" s="226"/>
      <c r="E422" s="226"/>
      <c r="F422" s="226"/>
      <c r="G422" s="226"/>
      <c r="H422" s="226"/>
      <c r="I422" s="226"/>
      <c r="J422" s="226"/>
      <c r="K422" s="226"/>
    </row>
    <row r="423" spans="1:11">
      <c r="A423" s="226"/>
      <c r="B423" s="237"/>
      <c r="C423" s="237"/>
      <c r="D423" s="226"/>
      <c r="E423" s="226"/>
      <c r="F423" s="226"/>
      <c r="G423" s="226"/>
      <c r="H423" s="226"/>
      <c r="I423" s="226"/>
      <c r="J423" s="226"/>
      <c r="K423" s="226"/>
    </row>
    <row r="424" spans="1:11">
      <c r="A424" s="226"/>
      <c r="B424" s="237"/>
      <c r="C424" s="237"/>
      <c r="D424" s="226"/>
      <c r="E424" s="226"/>
      <c r="F424" s="226"/>
      <c r="G424" s="226"/>
      <c r="H424" s="226"/>
      <c r="I424" s="226"/>
      <c r="J424" s="226"/>
      <c r="K424" s="226"/>
    </row>
    <row r="425" spans="1:11">
      <c r="A425" s="226"/>
      <c r="B425" s="237"/>
      <c r="C425" s="237"/>
      <c r="D425" s="226"/>
      <c r="E425" s="226"/>
      <c r="F425" s="226"/>
      <c r="G425" s="226"/>
      <c r="H425" s="226"/>
      <c r="I425" s="226"/>
      <c r="J425" s="226"/>
      <c r="K425" s="226"/>
    </row>
    <row r="426" spans="1:11">
      <c r="A426" s="226"/>
      <c r="B426" s="237"/>
      <c r="C426" s="237"/>
      <c r="D426" s="226"/>
      <c r="E426" s="226"/>
      <c r="F426" s="226"/>
      <c r="G426" s="226"/>
      <c r="H426" s="226"/>
      <c r="I426" s="226"/>
      <c r="J426" s="226"/>
      <c r="K426" s="226"/>
    </row>
    <row r="427" spans="1:11">
      <c r="A427" s="226"/>
      <c r="B427" s="237"/>
      <c r="C427" s="237"/>
      <c r="D427" s="226"/>
      <c r="E427" s="226"/>
      <c r="F427" s="226"/>
      <c r="G427" s="226"/>
      <c r="H427" s="226"/>
      <c r="I427" s="226"/>
      <c r="J427" s="226"/>
      <c r="K427" s="226"/>
    </row>
    <row r="428" spans="1:11">
      <c r="A428" s="226"/>
      <c r="B428" s="237"/>
      <c r="C428" s="237"/>
      <c r="D428" s="226"/>
      <c r="E428" s="226"/>
      <c r="F428" s="226"/>
      <c r="G428" s="226"/>
      <c r="H428" s="226"/>
      <c r="I428" s="226"/>
      <c r="J428" s="226"/>
      <c r="K428" s="226"/>
    </row>
    <row r="429" spans="1:11">
      <c r="A429" s="226"/>
      <c r="B429" s="237"/>
      <c r="C429" s="237"/>
      <c r="D429" s="226"/>
      <c r="E429" s="226"/>
      <c r="F429" s="226"/>
      <c r="G429" s="226"/>
      <c r="H429" s="226"/>
      <c r="I429" s="226"/>
      <c r="J429" s="226"/>
      <c r="K429" s="226"/>
    </row>
    <row r="430" spans="1:11">
      <c r="A430" s="226"/>
      <c r="B430" s="237"/>
      <c r="C430" s="237"/>
      <c r="D430" s="226"/>
      <c r="E430" s="226"/>
      <c r="F430" s="226"/>
      <c r="G430" s="226"/>
      <c r="H430" s="226"/>
      <c r="I430" s="226"/>
      <c r="J430" s="226"/>
      <c r="K430" s="226"/>
    </row>
    <row r="431" spans="1:11">
      <c r="A431" s="226"/>
      <c r="B431" s="237"/>
      <c r="C431" s="237"/>
      <c r="D431" s="226"/>
      <c r="E431" s="226"/>
      <c r="F431" s="226"/>
      <c r="G431" s="226"/>
      <c r="H431" s="226"/>
      <c r="I431" s="226"/>
      <c r="J431" s="226"/>
      <c r="K431" s="226"/>
    </row>
    <row r="432" spans="1:11">
      <c r="A432" s="226"/>
      <c r="B432" s="237"/>
      <c r="C432" s="237"/>
      <c r="D432" s="226"/>
      <c r="E432" s="226"/>
      <c r="F432" s="226"/>
      <c r="G432" s="226"/>
      <c r="H432" s="226"/>
      <c r="I432" s="226"/>
      <c r="J432" s="226"/>
      <c r="K432" s="226"/>
    </row>
    <row r="433" spans="1:11">
      <c r="A433" s="226"/>
      <c r="B433" s="237"/>
      <c r="C433" s="237"/>
      <c r="D433" s="226"/>
      <c r="E433" s="226"/>
      <c r="F433" s="226"/>
      <c r="G433" s="226"/>
      <c r="H433" s="226"/>
      <c r="I433" s="226"/>
      <c r="J433" s="226"/>
      <c r="K433" s="226"/>
    </row>
    <row r="434" spans="1:11">
      <c r="A434" s="226"/>
      <c r="B434" s="237"/>
      <c r="C434" s="237"/>
      <c r="D434" s="226"/>
      <c r="E434" s="226"/>
      <c r="F434" s="226"/>
      <c r="G434" s="226"/>
      <c r="H434" s="226"/>
      <c r="I434" s="226"/>
      <c r="J434" s="226"/>
      <c r="K434" s="226"/>
    </row>
    <row r="435" spans="1:11">
      <c r="A435" s="226"/>
      <c r="B435" s="237"/>
      <c r="C435" s="237"/>
      <c r="D435" s="226"/>
      <c r="E435" s="226"/>
      <c r="F435" s="226"/>
      <c r="G435" s="226"/>
      <c r="H435" s="226"/>
      <c r="I435" s="226"/>
      <c r="J435" s="226"/>
      <c r="K435" s="226"/>
    </row>
    <row r="436" spans="1:11">
      <c r="A436" s="226"/>
      <c r="B436" s="237"/>
      <c r="C436" s="237"/>
      <c r="D436" s="226"/>
      <c r="E436" s="226"/>
      <c r="F436" s="226"/>
      <c r="G436" s="226"/>
      <c r="H436" s="226"/>
      <c r="I436" s="226"/>
      <c r="J436" s="226"/>
      <c r="K436" s="226"/>
    </row>
    <row r="437" spans="1:11">
      <c r="A437" s="226"/>
      <c r="B437" s="237"/>
      <c r="C437" s="237"/>
      <c r="D437" s="226"/>
      <c r="E437" s="226"/>
      <c r="F437" s="226"/>
      <c r="G437" s="226"/>
      <c r="H437" s="226"/>
      <c r="I437" s="226"/>
      <c r="J437" s="226"/>
      <c r="K437" s="226"/>
    </row>
    <row r="438" spans="1:11">
      <c r="A438" s="226"/>
      <c r="B438" s="237"/>
      <c r="C438" s="237"/>
      <c r="D438" s="226"/>
      <c r="E438" s="226"/>
      <c r="F438" s="226"/>
      <c r="G438" s="226"/>
      <c r="H438" s="226"/>
      <c r="I438" s="226"/>
      <c r="J438" s="226"/>
      <c r="K438" s="226"/>
    </row>
    <row r="439" spans="1:11">
      <c r="A439" s="226"/>
      <c r="B439" s="237"/>
      <c r="C439" s="237"/>
      <c r="D439" s="226"/>
      <c r="E439" s="226"/>
      <c r="F439" s="226"/>
      <c r="G439" s="226"/>
      <c r="H439" s="226"/>
      <c r="I439" s="226"/>
      <c r="J439" s="226"/>
      <c r="K439" s="226"/>
    </row>
    <row r="440" spans="1:11">
      <c r="A440" s="226"/>
      <c r="B440" s="237"/>
      <c r="C440" s="237"/>
      <c r="D440" s="226"/>
      <c r="E440" s="226"/>
      <c r="F440" s="226"/>
      <c r="G440" s="226"/>
      <c r="H440" s="226"/>
      <c r="I440" s="226"/>
      <c r="J440" s="226"/>
      <c r="K440" s="226"/>
    </row>
    <row r="441" spans="1:11">
      <c r="A441" s="226"/>
      <c r="B441" s="237"/>
      <c r="C441" s="237"/>
      <c r="D441" s="226"/>
      <c r="E441" s="226"/>
      <c r="F441" s="226"/>
      <c r="G441" s="226"/>
      <c r="H441" s="226"/>
      <c r="I441" s="226"/>
      <c r="J441" s="226"/>
      <c r="K441" s="226"/>
    </row>
    <row r="442" spans="1:11">
      <c r="A442" s="226"/>
      <c r="B442" s="237"/>
      <c r="C442" s="237"/>
      <c r="D442" s="226"/>
      <c r="E442" s="226"/>
      <c r="F442" s="226"/>
      <c r="G442" s="226"/>
      <c r="H442" s="226"/>
      <c r="I442" s="226"/>
      <c r="J442" s="226"/>
      <c r="K442" s="226"/>
    </row>
    <row r="443" spans="1:11">
      <c r="A443" s="226"/>
      <c r="B443" s="237"/>
      <c r="C443" s="237"/>
      <c r="D443" s="226"/>
      <c r="E443" s="226"/>
      <c r="F443" s="226"/>
      <c r="G443" s="226"/>
      <c r="H443" s="226"/>
      <c r="I443" s="226"/>
      <c r="J443" s="226"/>
      <c r="K443" s="226"/>
    </row>
    <row r="444" spans="1:11">
      <c r="A444" s="226"/>
      <c r="B444" s="237"/>
      <c r="C444" s="237"/>
      <c r="D444" s="226"/>
      <c r="E444" s="226"/>
      <c r="F444" s="226"/>
      <c r="G444" s="226"/>
      <c r="H444" s="226"/>
      <c r="I444" s="226"/>
      <c r="J444" s="226"/>
      <c r="K444" s="226"/>
    </row>
    <row r="445" spans="1:11">
      <c r="A445" s="226"/>
      <c r="B445" s="237"/>
      <c r="C445" s="237"/>
      <c r="D445" s="226"/>
      <c r="E445" s="226"/>
      <c r="F445" s="226"/>
      <c r="G445" s="226"/>
      <c r="H445" s="226"/>
      <c r="I445" s="226"/>
      <c r="J445" s="226"/>
      <c r="K445" s="226"/>
    </row>
    <row r="446" spans="1:11">
      <c r="A446" s="226"/>
      <c r="B446" s="237"/>
      <c r="C446" s="237"/>
      <c r="D446" s="226"/>
      <c r="E446" s="226"/>
      <c r="F446" s="226"/>
      <c r="G446" s="226"/>
      <c r="H446" s="226"/>
      <c r="I446" s="226"/>
      <c r="J446" s="226"/>
      <c r="K446" s="226"/>
    </row>
    <row r="447" spans="1:11">
      <c r="A447" s="226"/>
      <c r="B447" s="237"/>
      <c r="C447" s="237"/>
      <c r="D447" s="226"/>
      <c r="E447" s="226"/>
      <c r="F447" s="226"/>
      <c r="G447" s="226"/>
      <c r="H447" s="226"/>
      <c r="I447" s="226"/>
      <c r="J447" s="226"/>
      <c r="K447" s="226"/>
    </row>
    <row r="448" spans="1:11">
      <c r="A448" s="226"/>
      <c r="B448" s="237"/>
      <c r="C448" s="237"/>
      <c r="D448" s="226"/>
      <c r="E448" s="226"/>
      <c r="F448" s="226"/>
      <c r="G448" s="226"/>
      <c r="H448" s="226"/>
      <c r="I448" s="226"/>
      <c r="J448" s="226"/>
      <c r="K448" s="226"/>
    </row>
    <row r="449" spans="1:11">
      <c r="A449" s="226"/>
      <c r="B449" s="237"/>
      <c r="C449" s="237"/>
      <c r="D449" s="226"/>
      <c r="E449" s="226"/>
      <c r="F449" s="226"/>
      <c r="G449" s="226"/>
      <c r="H449" s="226"/>
      <c r="I449" s="226"/>
      <c r="J449" s="226"/>
      <c r="K449" s="226"/>
    </row>
    <row r="450" spans="1:11">
      <c r="A450" s="226"/>
      <c r="B450" s="237"/>
      <c r="C450" s="237"/>
      <c r="D450" s="226"/>
      <c r="E450" s="226"/>
      <c r="F450" s="226"/>
      <c r="G450" s="226"/>
      <c r="H450" s="226"/>
      <c r="I450" s="226"/>
      <c r="J450" s="226"/>
      <c r="K450" s="226"/>
    </row>
    <row r="451" spans="1:11">
      <c r="A451" s="226"/>
      <c r="B451" s="237"/>
      <c r="C451" s="237"/>
      <c r="D451" s="226"/>
      <c r="E451" s="226"/>
      <c r="F451" s="226"/>
      <c r="G451" s="226"/>
      <c r="H451" s="226"/>
      <c r="I451" s="226"/>
      <c r="J451" s="226"/>
      <c r="K451" s="226"/>
    </row>
    <row r="452" spans="1:11">
      <c r="A452" s="226"/>
      <c r="B452" s="237"/>
      <c r="C452" s="237"/>
      <c r="D452" s="226"/>
      <c r="E452" s="226"/>
      <c r="F452" s="226"/>
      <c r="G452" s="226"/>
      <c r="H452" s="226"/>
      <c r="I452" s="226"/>
      <c r="J452" s="226"/>
      <c r="K452" s="226"/>
    </row>
    <row r="453" spans="1:11">
      <c r="A453" s="226"/>
      <c r="B453" s="237"/>
      <c r="C453" s="237"/>
      <c r="D453" s="226"/>
      <c r="E453" s="226"/>
      <c r="F453" s="226"/>
      <c r="G453" s="226"/>
      <c r="H453" s="226"/>
      <c r="I453" s="226"/>
      <c r="J453" s="226"/>
      <c r="K453" s="226"/>
    </row>
    <row r="454" spans="1:11">
      <c r="A454" s="226"/>
      <c r="B454" s="237"/>
      <c r="C454" s="237"/>
      <c r="D454" s="226"/>
      <c r="E454" s="226"/>
      <c r="F454" s="226"/>
      <c r="G454" s="226"/>
      <c r="H454" s="226"/>
      <c r="I454" s="226"/>
      <c r="J454" s="226"/>
      <c r="K454" s="226"/>
    </row>
    <row r="455" spans="1:11">
      <c r="A455" s="226"/>
      <c r="B455" s="237"/>
      <c r="C455" s="237"/>
      <c r="D455" s="226"/>
      <c r="E455" s="226"/>
      <c r="F455" s="226"/>
      <c r="G455" s="226"/>
      <c r="H455" s="226"/>
      <c r="I455" s="226"/>
      <c r="J455" s="226"/>
      <c r="K455" s="226"/>
    </row>
    <row r="456" spans="1:11">
      <c r="A456" s="226"/>
      <c r="B456" s="237"/>
      <c r="C456" s="237"/>
      <c r="D456" s="226"/>
      <c r="E456" s="226"/>
      <c r="F456" s="226"/>
      <c r="G456" s="226"/>
      <c r="H456" s="226"/>
      <c r="I456" s="226"/>
      <c r="J456" s="226"/>
      <c r="K456" s="226"/>
    </row>
    <row r="457" spans="1:11">
      <c r="A457" s="226"/>
      <c r="B457" s="237"/>
      <c r="C457" s="237"/>
      <c r="D457" s="226"/>
      <c r="E457" s="226"/>
      <c r="F457" s="226"/>
      <c r="G457" s="226"/>
      <c r="H457" s="226"/>
      <c r="I457" s="226"/>
      <c r="J457" s="226"/>
      <c r="K457" s="226"/>
    </row>
    <row r="458" spans="1:11">
      <c r="A458" s="226"/>
      <c r="B458" s="237"/>
      <c r="C458" s="237"/>
      <c r="D458" s="226"/>
      <c r="E458" s="226"/>
      <c r="F458" s="226"/>
      <c r="G458" s="226"/>
      <c r="H458" s="226"/>
      <c r="I458" s="226"/>
      <c r="J458" s="226"/>
      <c r="K458" s="226"/>
    </row>
    <row r="459" spans="1:11">
      <c r="A459" s="226"/>
      <c r="B459" s="237"/>
      <c r="C459" s="237"/>
      <c r="D459" s="226"/>
      <c r="E459" s="226"/>
      <c r="F459" s="226"/>
      <c r="G459" s="226"/>
      <c r="H459" s="226"/>
      <c r="I459" s="226"/>
      <c r="J459" s="226"/>
      <c r="K459" s="226"/>
    </row>
    <row r="460" spans="1:11">
      <c r="A460" s="226"/>
      <c r="B460" s="237"/>
      <c r="C460" s="237"/>
      <c r="D460" s="226"/>
      <c r="E460" s="226"/>
      <c r="F460" s="226"/>
      <c r="G460" s="226"/>
      <c r="H460" s="226"/>
      <c r="I460" s="226"/>
      <c r="J460" s="226"/>
      <c r="K460" s="226"/>
    </row>
    <row r="461" spans="1:11">
      <c r="A461" s="226"/>
      <c r="B461" s="237"/>
      <c r="C461" s="237"/>
      <c r="D461" s="226"/>
      <c r="E461" s="226"/>
      <c r="F461" s="226"/>
      <c r="G461" s="226"/>
      <c r="H461" s="226"/>
      <c r="I461" s="226"/>
      <c r="J461" s="226"/>
      <c r="K461" s="226"/>
    </row>
    <row r="462" spans="1:11">
      <c r="A462" s="226"/>
      <c r="B462" s="237"/>
      <c r="C462" s="237"/>
      <c r="D462" s="226"/>
      <c r="E462" s="226"/>
      <c r="F462" s="226"/>
      <c r="G462" s="226"/>
      <c r="H462" s="226"/>
      <c r="I462" s="226"/>
      <c r="J462" s="226"/>
      <c r="K462" s="226"/>
    </row>
    <row r="463" spans="1:11">
      <c r="A463" s="226"/>
      <c r="B463" s="237"/>
      <c r="C463" s="237"/>
      <c r="D463" s="226"/>
      <c r="E463" s="226"/>
      <c r="F463" s="226"/>
      <c r="G463" s="226"/>
      <c r="H463" s="226"/>
      <c r="I463" s="226"/>
      <c r="J463" s="226"/>
      <c r="K463" s="226"/>
    </row>
    <row r="464" spans="1:11">
      <c r="A464" s="226"/>
      <c r="B464" s="237"/>
      <c r="C464" s="237"/>
      <c r="D464" s="226"/>
      <c r="E464" s="226"/>
      <c r="F464" s="226"/>
      <c r="G464" s="226"/>
      <c r="H464" s="226"/>
      <c r="I464" s="226"/>
      <c r="J464" s="226"/>
      <c r="K464" s="226"/>
    </row>
    <row r="465" spans="1:11">
      <c r="A465" s="226"/>
      <c r="B465" s="237"/>
      <c r="C465" s="237"/>
      <c r="D465" s="226"/>
      <c r="E465" s="226"/>
      <c r="F465" s="226"/>
      <c r="G465" s="226"/>
      <c r="H465" s="226"/>
      <c r="I465" s="226"/>
      <c r="J465" s="226"/>
      <c r="K465" s="226"/>
    </row>
    <row r="466" spans="1:11">
      <c r="A466" s="226"/>
      <c r="B466" s="237"/>
      <c r="C466" s="237"/>
      <c r="D466" s="226"/>
      <c r="E466" s="226"/>
      <c r="F466" s="226"/>
      <c r="G466" s="226"/>
      <c r="H466" s="226"/>
      <c r="I466" s="226"/>
      <c r="J466" s="226"/>
      <c r="K466" s="226"/>
    </row>
    <row r="467" spans="1:11">
      <c r="A467" s="226"/>
      <c r="B467" s="237"/>
      <c r="C467" s="237"/>
      <c r="D467" s="226"/>
      <c r="E467" s="226"/>
      <c r="F467" s="226"/>
      <c r="G467" s="226"/>
      <c r="H467" s="226"/>
      <c r="I467" s="226"/>
      <c r="J467" s="226"/>
      <c r="K467" s="226"/>
    </row>
    <row r="468" spans="1:11">
      <c r="A468" s="226"/>
      <c r="B468" s="237"/>
      <c r="C468" s="237"/>
      <c r="D468" s="226"/>
      <c r="E468" s="226"/>
      <c r="F468" s="226"/>
      <c r="G468" s="226"/>
      <c r="H468" s="226"/>
      <c r="I468" s="226"/>
      <c r="J468" s="226"/>
      <c r="K468" s="226"/>
    </row>
    <row r="469" spans="1:11">
      <c r="A469" s="226"/>
      <c r="B469" s="237"/>
      <c r="C469" s="237"/>
      <c r="D469" s="226"/>
      <c r="E469" s="226"/>
      <c r="F469" s="226"/>
      <c r="G469" s="226"/>
      <c r="H469" s="226"/>
      <c r="I469" s="226"/>
      <c r="J469" s="226"/>
      <c r="K469" s="226"/>
    </row>
    <row r="470" spans="1:11">
      <c r="A470" s="226"/>
      <c r="B470" s="237"/>
      <c r="C470" s="237"/>
      <c r="D470" s="226"/>
      <c r="E470" s="226"/>
      <c r="F470" s="226"/>
      <c r="G470" s="226"/>
      <c r="H470" s="226"/>
      <c r="I470" s="226"/>
      <c r="J470" s="226"/>
      <c r="K470" s="226"/>
    </row>
    <row r="471" spans="1:11">
      <c r="A471" s="226"/>
      <c r="B471" s="237"/>
      <c r="C471" s="237"/>
      <c r="D471" s="226"/>
      <c r="E471" s="226"/>
      <c r="F471" s="226"/>
      <c r="G471" s="226"/>
      <c r="H471" s="226"/>
      <c r="I471" s="226"/>
      <c r="J471" s="226"/>
      <c r="K471" s="226"/>
    </row>
    <row r="472" spans="1:11">
      <c r="A472" s="226"/>
      <c r="B472" s="237"/>
      <c r="C472" s="237"/>
      <c r="D472" s="226"/>
      <c r="E472" s="226"/>
      <c r="F472" s="226"/>
      <c r="G472" s="226"/>
      <c r="H472" s="226"/>
      <c r="I472" s="226"/>
      <c r="J472" s="226"/>
      <c r="K472" s="226"/>
    </row>
    <row r="473" spans="1:11">
      <c r="A473" s="226"/>
      <c r="B473" s="237"/>
      <c r="C473" s="237"/>
      <c r="D473" s="226"/>
      <c r="E473" s="226"/>
      <c r="F473" s="226"/>
      <c r="G473" s="226"/>
      <c r="H473" s="226"/>
      <c r="I473" s="226"/>
      <c r="J473" s="226"/>
      <c r="K473" s="226"/>
    </row>
    <row r="474" spans="1:11">
      <c r="A474" s="226"/>
      <c r="B474" s="237"/>
      <c r="C474" s="237"/>
      <c r="D474" s="226"/>
      <c r="E474" s="226"/>
      <c r="F474" s="226"/>
      <c r="G474" s="226"/>
      <c r="H474" s="226"/>
      <c r="I474" s="226"/>
      <c r="J474" s="226"/>
      <c r="K474" s="226"/>
    </row>
    <row r="475" spans="1:11">
      <c r="A475" s="226"/>
      <c r="B475" s="237"/>
      <c r="C475" s="237"/>
      <c r="D475" s="226"/>
      <c r="E475" s="226"/>
      <c r="F475" s="226"/>
      <c r="G475" s="226"/>
      <c r="H475" s="226"/>
      <c r="I475" s="226"/>
      <c r="J475" s="226"/>
      <c r="K475" s="226"/>
    </row>
    <row r="476" spans="1:11">
      <c r="A476" s="226"/>
      <c r="B476" s="237"/>
      <c r="C476" s="237"/>
      <c r="D476" s="226"/>
      <c r="E476" s="226"/>
      <c r="F476" s="226"/>
      <c r="G476" s="226"/>
      <c r="H476" s="226"/>
      <c r="I476" s="226"/>
      <c r="J476" s="226"/>
      <c r="K476" s="226"/>
    </row>
    <row r="477" spans="1:11">
      <c r="A477" s="226"/>
      <c r="B477" s="237"/>
      <c r="C477" s="237"/>
      <c r="D477" s="226"/>
      <c r="E477" s="226"/>
      <c r="F477" s="226"/>
      <c r="G477" s="226"/>
      <c r="H477" s="226"/>
      <c r="I477" s="226"/>
      <c r="J477" s="226"/>
      <c r="K477" s="226"/>
    </row>
    <row r="478" spans="1:11">
      <c r="A478" s="226"/>
      <c r="B478" s="237"/>
      <c r="C478" s="237"/>
      <c r="D478" s="226"/>
      <c r="E478" s="226"/>
      <c r="F478" s="226"/>
      <c r="G478" s="226"/>
      <c r="H478" s="226"/>
      <c r="I478" s="226"/>
      <c r="J478" s="226"/>
      <c r="K478" s="226"/>
    </row>
    <row r="479" spans="1:11">
      <c r="A479" s="226"/>
      <c r="B479" s="237"/>
      <c r="C479" s="237"/>
      <c r="D479" s="226"/>
      <c r="E479" s="226"/>
      <c r="F479" s="226"/>
      <c r="G479" s="226"/>
      <c r="H479" s="226"/>
      <c r="I479" s="226"/>
      <c r="J479" s="226"/>
      <c r="K479" s="226"/>
    </row>
    <row r="480" spans="1:11">
      <c r="A480" s="226"/>
      <c r="B480" s="237"/>
      <c r="C480" s="237"/>
      <c r="D480" s="226"/>
      <c r="E480" s="226"/>
      <c r="F480" s="226"/>
      <c r="G480" s="226"/>
      <c r="H480" s="226"/>
      <c r="I480" s="226"/>
      <c r="J480" s="226"/>
      <c r="K480" s="226"/>
    </row>
    <row r="481" spans="1:11">
      <c r="A481" s="226"/>
      <c r="B481" s="237"/>
      <c r="C481" s="237"/>
      <c r="D481" s="226"/>
      <c r="E481" s="226"/>
      <c r="F481" s="226"/>
      <c r="G481" s="226"/>
      <c r="H481" s="226"/>
      <c r="I481" s="226"/>
      <c r="J481" s="226"/>
      <c r="K481" s="226"/>
    </row>
  </sheetData>
  <mergeCells count="1">
    <mergeCell ref="R27:S27"/>
  </mergeCells>
  <phoneticPr fontId="0" type="noConversion"/>
  <pageMargins left="0.25" right="0.25" top="0.75" bottom="0.75" header="0.3" footer="0.3"/>
  <pageSetup orientation="landscape" r:id="rId1"/>
  <headerFooter alignWithMargins="0">
    <oddFooter>&amp;L&amp;10&amp;F &amp;A&amp;R&amp;10Resource Planning
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9">
    <tabColor rgb="FFFFFF00"/>
    <pageSetUpPr fitToPage="1"/>
  </sheetPr>
  <dimension ref="A1:V56"/>
  <sheetViews>
    <sheetView tabSelected="1" zoomScaleNormal="100" workbookViewId="0">
      <selection activeCell="A5" sqref="A5:B5"/>
    </sheetView>
  </sheetViews>
  <sheetFormatPr defaultColWidth="8.88671875" defaultRowHeight="12.95" customHeight="1"/>
  <cols>
    <col min="1" max="1" width="4.5546875" style="1" customWidth="1"/>
    <col min="2" max="3" width="3.5546875" style="1" bestFit="1" customWidth="1"/>
    <col min="4" max="4" width="7.33203125" style="1" bestFit="1" customWidth="1"/>
    <col min="5" max="5" width="6.21875" style="1" bestFit="1" customWidth="1"/>
    <col min="6" max="6" width="3" style="1" bestFit="1" customWidth="1"/>
    <col min="7" max="7" width="2.109375" style="1" bestFit="1" customWidth="1"/>
    <col min="8" max="8" width="5.6640625" style="1" bestFit="1" customWidth="1"/>
    <col min="9" max="9" width="5.88671875" style="1" bestFit="1" customWidth="1"/>
    <col min="10" max="10" width="1.88671875" style="1" customWidth="1"/>
    <col min="11" max="11" width="6.77734375" style="1" bestFit="1" customWidth="1"/>
    <col min="12" max="12" width="4.77734375" style="1" bestFit="1" customWidth="1"/>
    <col min="13" max="14" width="1.88671875" style="1" customWidth="1"/>
    <col min="15" max="15" width="6" style="1" customWidth="1"/>
    <col min="16" max="16" width="4.44140625" style="1" bestFit="1" customWidth="1"/>
    <col min="17" max="17" width="1.88671875" style="1" customWidth="1"/>
    <col min="18" max="18" width="7.6640625" style="1" customWidth="1"/>
    <col min="19" max="19" width="5.33203125" style="1" bestFit="1" customWidth="1"/>
    <col min="20" max="20" width="1.88671875" style="1" customWidth="1"/>
    <col min="21" max="21" width="7.6640625" style="1" bestFit="1" customWidth="1"/>
    <col min="22" max="22" width="8.88671875" style="1" customWidth="1"/>
    <col min="23" max="23" width="1.6640625" style="1" customWidth="1"/>
    <col min="24" max="16384" width="8.88671875" style="1"/>
  </cols>
  <sheetData>
    <row r="1" spans="1:22" ht="12.95" customHeight="1">
      <c r="B1" s="10"/>
      <c r="C1" s="10"/>
      <c r="H1" s="191" t="s">
        <v>24</v>
      </c>
      <c r="I1" s="9"/>
      <c r="J1" s="9"/>
      <c r="K1" s="9"/>
      <c r="L1" s="5"/>
      <c r="O1" s="195" t="s">
        <v>24</v>
      </c>
      <c r="P1" s="9"/>
      <c r="Q1" s="9"/>
      <c r="R1" s="9"/>
      <c r="S1" s="9"/>
      <c r="T1" s="9"/>
      <c r="U1" s="9"/>
      <c r="V1" s="5"/>
    </row>
    <row r="2" spans="1:22" ht="12.95" customHeight="1">
      <c r="A2" s="10"/>
      <c r="B2" s="10"/>
      <c r="C2" s="10"/>
      <c r="H2" s="7" t="s">
        <v>3</v>
      </c>
      <c r="L2" s="2"/>
      <c r="O2" s="7" t="s">
        <v>73</v>
      </c>
      <c r="U2" s="247" t="s">
        <v>117</v>
      </c>
      <c r="V2" s="2"/>
    </row>
    <row r="3" spans="1:22" ht="12.95" customHeight="1">
      <c r="A3" s="10"/>
      <c r="D3" s="264"/>
      <c r="E3" s="265"/>
      <c r="H3" s="37"/>
      <c r="I3" s="1" t="s">
        <v>7</v>
      </c>
      <c r="K3" s="36"/>
      <c r="L3" s="2" t="s">
        <v>7</v>
      </c>
      <c r="O3" s="7" t="s">
        <v>20</v>
      </c>
      <c r="V3" s="2"/>
    </row>
    <row r="4" spans="1:22" ht="12.95" customHeight="1">
      <c r="A4" s="10"/>
      <c r="C4" s="188"/>
      <c r="D4" s="188"/>
      <c r="E4" s="266"/>
      <c r="H4" s="190">
        <v>0</v>
      </c>
      <c r="I4" s="192"/>
      <c r="J4" s="193"/>
      <c r="K4" s="3">
        <v>0</v>
      </c>
      <c r="L4" s="194"/>
      <c r="O4" s="190">
        <v>0</v>
      </c>
      <c r="P4" s="192">
        <v>0</v>
      </c>
      <c r="Q4" s="193"/>
      <c r="R4" s="3">
        <v>0</v>
      </c>
      <c r="S4" s="192">
        <v>0</v>
      </c>
      <c r="T4" s="193"/>
      <c r="U4" s="3">
        <v>216</v>
      </c>
      <c r="V4" s="194">
        <f>'AC Cost'!$O$9</f>
        <v>0.111</v>
      </c>
    </row>
    <row r="5" spans="1:22" ht="12.95" customHeight="1">
      <c r="A5" s="290" t="s">
        <v>66</v>
      </c>
      <c r="B5" s="290"/>
    </row>
    <row r="6" spans="1:22" s="6" customFormat="1" ht="12.95" customHeight="1">
      <c r="A6" s="6" t="s">
        <v>113</v>
      </c>
      <c r="B6" s="254" t="s">
        <v>24</v>
      </c>
      <c r="C6" s="8"/>
      <c r="E6" s="8"/>
      <c r="H6" s="189" t="s">
        <v>5</v>
      </c>
      <c r="I6" s="8" t="s">
        <v>6</v>
      </c>
      <c r="K6" s="189" t="s">
        <v>5</v>
      </c>
      <c r="L6" s="8" t="s">
        <v>6</v>
      </c>
      <c r="O6" s="189" t="s">
        <v>5</v>
      </c>
      <c r="P6" s="8" t="s">
        <v>6</v>
      </c>
      <c r="R6" s="189" t="s">
        <v>5</v>
      </c>
      <c r="S6" s="8" t="s">
        <v>6</v>
      </c>
      <c r="U6" s="189" t="s">
        <v>5</v>
      </c>
      <c r="V6" s="8" t="s">
        <v>6</v>
      </c>
    </row>
    <row r="7" spans="1:22" ht="12.95" customHeight="1">
      <c r="C7" s="1">
        <v>2010</v>
      </c>
      <c r="D7" s="267"/>
      <c r="E7" s="268"/>
      <c r="H7" s="286"/>
      <c r="K7" s="270"/>
      <c r="S7" s="4"/>
    </row>
    <row r="8" spans="1:22" ht="12.95" customHeight="1">
      <c r="C8" s="1">
        <v>2012</v>
      </c>
      <c r="D8" s="269">
        <v>0</v>
      </c>
      <c r="E8" s="4">
        <f t="shared" ref="E8:E38" si="0">ROUND(D8*$D$4*$E$4,-2)</f>
        <v>0</v>
      </c>
      <c r="G8" s="4"/>
      <c r="H8" s="271">
        <v>0</v>
      </c>
      <c r="I8" s="4">
        <f t="shared" ref="I8:I38" si="1">ROUND(H8*$H$4*$I$4,-2)</f>
        <v>0</v>
      </c>
      <c r="K8" s="271">
        <v>0</v>
      </c>
      <c r="L8" s="4">
        <f t="shared" ref="L8:L38" si="2">ROUND(K8*$K$4*$L$4,-2)</f>
        <v>0</v>
      </c>
      <c r="O8" s="267">
        <v>0</v>
      </c>
      <c r="P8" s="4">
        <f t="shared" ref="P8:P38" si="3">ROUND(O8*$O$4*$P$4,-2)</f>
        <v>0</v>
      </c>
      <c r="R8" s="267">
        <v>0</v>
      </c>
      <c r="S8" s="4">
        <f t="shared" ref="S8:S38" si="4">ROUND(R8*$R$4*$S$4,-2)</f>
        <v>0</v>
      </c>
      <c r="U8" s="267"/>
      <c r="V8" s="4">
        <f t="shared" ref="V8:V38" si="5">ROUND(U8*$U$4*$V$4,-2)</f>
        <v>0</v>
      </c>
    </row>
    <row r="9" spans="1:22" ht="12.95" customHeight="1">
      <c r="C9" s="1">
        <f t="shared" ref="C9:C56" si="6">C8+1</f>
        <v>2013</v>
      </c>
      <c r="D9" s="4">
        <f t="shared" ref="D9:D56" si="7">D8*(($A9/100)+1)</f>
        <v>0</v>
      </c>
      <c r="E9" s="4">
        <f t="shared" si="0"/>
        <v>0</v>
      </c>
      <c r="G9" s="4"/>
      <c r="H9" s="267">
        <f t="shared" ref="H9:H56" si="8">H8*(($B9/100)+1)</f>
        <v>0</v>
      </c>
      <c r="I9" s="4">
        <f t="shared" si="1"/>
        <v>0</v>
      </c>
      <c r="K9" s="267">
        <f t="shared" ref="K9:K56" si="9">K8*(($B9/100)+1)</f>
        <v>0</v>
      </c>
      <c r="L9" s="4">
        <f t="shared" si="2"/>
        <v>0</v>
      </c>
      <c r="O9" s="267">
        <v>0</v>
      </c>
      <c r="P9" s="4">
        <f t="shared" si="3"/>
        <v>0</v>
      </c>
      <c r="R9" s="267">
        <v>0</v>
      </c>
      <c r="S9" s="4">
        <f t="shared" si="4"/>
        <v>0</v>
      </c>
      <c r="U9" s="267"/>
      <c r="V9" s="4">
        <f t="shared" si="5"/>
        <v>0</v>
      </c>
    </row>
    <row r="10" spans="1:22" ht="12.95" customHeight="1">
      <c r="C10" s="1">
        <f t="shared" si="6"/>
        <v>2014</v>
      </c>
      <c r="D10" s="4">
        <f t="shared" si="7"/>
        <v>0</v>
      </c>
      <c r="E10" s="4">
        <f t="shared" si="0"/>
        <v>0</v>
      </c>
      <c r="G10" s="4"/>
      <c r="H10" s="267">
        <f t="shared" si="8"/>
        <v>0</v>
      </c>
      <c r="I10" s="4">
        <f t="shared" si="1"/>
        <v>0</v>
      </c>
      <c r="K10" s="267">
        <f t="shared" si="9"/>
        <v>0</v>
      </c>
      <c r="L10" s="4">
        <f t="shared" si="2"/>
        <v>0</v>
      </c>
      <c r="O10" s="267">
        <v>0</v>
      </c>
      <c r="P10" s="4">
        <f t="shared" si="3"/>
        <v>0</v>
      </c>
      <c r="R10" s="267">
        <v>0</v>
      </c>
      <c r="S10" s="4">
        <f t="shared" si="4"/>
        <v>0</v>
      </c>
      <c r="U10" s="267"/>
      <c r="V10" s="4">
        <f t="shared" si="5"/>
        <v>0</v>
      </c>
    </row>
    <row r="11" spans="1:22" ht="12.95" customHeight="1">
      <c r="C11" s="1">
        <f t="shared" si="6"/>
        <v>2015</v>
      </c>
      <c r="D11" s="4">
        <f t="shared" si="7"/>
        <v>0</v>
      </c>
      <c r="E11" s="4">
        <f t="shared" si="0"/>
        <v>0</v>
      </c>
      <c r="G11" s="4"/>
      <c r="H11" s="267">
        <f t="shared" si="8"/>
        <v>0</v>
      </c>
      <c r="I11" s="4">
        <f t="shared" si="1"/>
        <v>0</v>
      </c>
      <c r="K11" s="267">
        <f t="shared" si="9"/>
        <v>0</v>
      </c>
      <c r="L11" s="4">
        <f t="shared" si="2"/>
        <v>0</v>
      </c>
      <c r="O11" s="267">
        <v>0</v>
      </c>
      <c r="P11" s="4">
        <f t="shared" si="3"/>
        <v>0</v>
      </c>
      <c r="R11" s="267">
        <v>0</v>
      </c>
      <c r="S11" s="4">
        <f t="shared" si="4"/>
        <v>0</v>
      </c>
      <c r="U11" s="267"/>
      <c r="V11" s="4">
        <f t="shared" si="5"/>
        <v>0</v>
      </c>
    </row>
    <row r="12" spans="1:22" ht="12.95" customHeight="1">
      <c r="C12" s="1">
        <f t="shared" si="6"/>
        <v>2016</v>
      </c>
      <c r="D12" s="4">
        <f t="shared" si="7"/>
        <v>0</v>
      </c>
      <c r="E12" s="4">
        <f t="shared" si="0"/>
        <v>0</v>
      </c>
      <c r="G12" s="4"/>
      <c r="H12" s="267">
        <f t="shared" si="8"/>
        <v>0</v>
      </c>
      <c r="I12" s="4">
        <f t="shared" si="1"/>
        <v>0</v>
      </c>
      <c r="K12" s="267">
        <f t="shared" si="9"/>
        <v>0</v>
      </c>
      <c r="L12" s="4">
        <f t="shared" si="2"/>
        <v>0</v>
      </c>
      <c r="O12" s="267">
        <v>0</v>
      </c>
      <c r="P12" s="4">
        <f t="shared" si="3"/>
        <v>0</v>
      </c>
      <c r="R12" s="267">
        <v>0</v>
      </c>
      <c r="S12" s="4">
        <f t="shared" si="4"/>
        <v>0</v>
      </c>
      <c r="U12" s="267"/>
      <c r="V12" s="4">
        <f t="shared" si="5"/>
        <v>0</v>
      </c>
    </row>
    <row r="13" spans="1:22" ht="12.95" customHeight="1">
      <c r="C13" s="1">
        <f t="shared" si="6"/>
        <v>2017</v>
      </c>
      <c r="D13" s="4">
        <f t="shared" si="7"/>
        <v>0</v>
      </c>
      <c r="E13" s="4">
        <f t="shared" si="0"/>
        <v>0</v>
      </c>
      <c r="G13" s="4"/>
      <c r="H13" s="267">
        <f t="shared" si="8"/>
        <v>0</v>
      </c>
      <c r="I13" s="4">
        <f t="shared" si="1"/>
        <v>0</v>
      </c>
      <c r="K13" s="267">
        <f t="shared" si="9"/>
        <v>0</v>
      </c>
      <c r="L13" s="4">
        <f t="shared" si="2"/>
        <v>0</v>
      </c>
      <c r="O13" s="267">
        <v>0</v>
      </c>
      <c r="P13" s="4">
        <f t="shared" si="3"/>
        <v>0</v>
      </c>
      <c r="R13" s="267">
        <v>0</v>
      </c>
      <c r="S13" s="4">
        <f t="shared" si="4"/>
        <v>0</v>
      </c>
      <c r="U13" s="267"/>
      <c r="V13" s="4">
        <f t="shared" si="5"/>
        <v>0</v>
      </c>
    </row>
    <row r="14" spans="1:22" ht="12.95" customHeight="1">
      <c r="C14" s="1">
        <f t="shared" si="6"/>
        <v>2018</v>
      </c>
      <c r="D14" s="4">
        <f t="shared" si="7"/>
        <v>0</v>
      </c>
      <c r="E14" s="4">
        <f t="shared" si="0"/>
        <v>0</v>
      </c>
      <c r="G14" s="4"/>
      <c r="H14" s="267">
        <f t="shared" si="8"/>
        <v>0</v>
      </c>
      <c r="I14" s="4">
        <f t="shared" si="1"/>
        <v>0</v>
      </c>
      <c r="K14" s="267">
        <f t="shared" si="9"/>
        <v>0</v>
      </c>
      <c r="L14" s="4">
        <f t="shared" si="2"/>
        <v>0</v>
      </c>
      <c r="O14" s="267">
        <v>0</v>
      </c>
      <c r="P14" s="4">
        <f t="shared" si="3"/>
        <v>0</v>
      </c>
      <c r="R14" s="267">
        <v>0</v>
      </c>
      <c r="S14" s="4">
        <f t="shared" si="4"/>
        <v>0</v>
      </c>
      <c r="U14" s="267"/>
      <c r="V14" s="4">
        <f t="shared" si="5"/>
        <v>0</v>
      </c>
    </row>
    <row r="15" spans="1:22" ht="12.95" customHeight="1">
      <c r="C15" s="1">
        <f t="shared" si="6"/>
        <v>2019</v>
      </c>
      <c r="D15" s="4">
        <f t="shared" si="7"/>
        <v>0</v>
      </c>
      <c r="E15" s="4">
        <f t="shared" si="0"/>
        <v>0</v>
      </c>
      <c r="G15" s="4"/>
      <c r="H15" s="267">
        <f t="shared" si="8"/>
        <v>0</v>
      </c>
      <c r="I15" s="4">
        <f t="shared" si="1"/>
        <v>0</v>
      </c>
      <c r="K15" s="267">
        <f t="shared" si="9"/>
        <v>0</v>
      </c>
      <c r="L15" s="4">
        <f t="shared" si="2"/>
        <v>0</v>
      </c>
      <c r="O15" s="267">
        <v>0</v>
      </c>
      <c r="P15" s="4">
        <f t="shared" si="3"/>
        <v>0</v>
      </c>
      <c r="R15" s="267">
        <v>0</v>
      </c>
      <c r="S15" s="4">
        <f t="shared" si="4"/>
        <v>0</v>
      </c>
      <c r="U15" s="267"/>
      <c r="V15" s="4">
        <f t="shared" si="5"/>
        <v>0</v>
      </c>
    </row>
    <row r="16" spans="1:22" ht="12.95" customHeight="1">
      <c r="C16" s="1">
        <f t="shared" si="6"/>
        <v>2020</v>
      </c>
      <c r="D16" s="4">
        <f t="shared" si="7"/>
        <v>0</v>
      </c>
      <c r="E16" s="4">
        <f t="shared" si="0"/>
        <v>0</v>
      </c>
      <c r="G16" s="4"/>
      <c r="H16" s="267">
        <f t="shared" si="8"/>
        <v>0</v>
      </c>
      <c r="I16" s="4">
        <f t="shared" si="1"/>
        <v>0</v>
      </c>
      <c r="K16" s="267">
        <f t="shared" si="9"/>
        <v>0</v>
      </c>
      <c r="L16" s="4">
        <f t="shared" si="2"/>
        <v>0</v>
      </c>
      <c r="O16" s="267">
        <v>0</v>
      </c>
      <c r="P16" s="4">
        <f t="shared" si="3"/>
        <v>0</v>
      </c>
      <c r="R16" s="267">
        <v>0</v>
      </c>
      <c r="S16" s="4">
        <f t="shared" si="4"/>
        <v>0</v>
      </c>
      <c r="U16" s="267"/>
      <c r="V16" s="4">
        <f t="shared" si="5"/>
        <v>0</v>
      </c>
    </row>
    <row r="17" spans="1:22" ht="12.95" customHeight="1">
      <c r="C17" s="1">
        <f t="shared" si="6"/>
        <v>2021</v>
      </c>
      <c r="D17" s="4">
        <f t="shared" si="7"/>
        <v>0</v>
      </c>
      <c r="E17" s="4">
        <f t="shared" si="0"/>
        <v>0</v>
      </c>
      <c r="G17" s="4"/>
      <c r="H17" s="267">
        <f t="shared" si="8"/>
        <v>0</v>
      </c>
      <c r="I17" s="4">
        <f t="shared" si="1"/>
        <v>0</v>
      </c>
      <c r="K17" s="267">
        <f t="shared" si="9"/>
        <v>0</v>
      </c>
      <c r="L17" s="4">
        <f t="shared" si="2"/>
        <v>0</v>
      </c>
      <c r="O17" s="267">
        <v>0</v>
      </c>
      <c r="P17" s="4">
        <f t="shared" si="3"/>
        <v>0</v>
      </c>
      <c r="R17" s="267">
        <v>0</v>
      </c>
      <c r="S17" s="4">
        <f t="shared" si="4"/>
        <v>0</v>
      </c>
      <c r="U17" s="267"/>
      <c r="V17" s="4">
        <f t="shared" si="5"/>
        <v>0</v>
      </c>
    </row>
    <row r="18" spans="1:22" ht="12.95" customHeight="1">
      <c r="C18" s="1">
        <f t="shared" si="6"/>
        <v>2022</v>
      </c>
      <c r="D18" s="4">
        <f t="shared" si="7"/>
        <v>0</v>
      </c>
      <c r="E18" s="4">
        <f t="shared" si="0"/>
        <v>0</v>
      </c>
      <c r="G18" s="4"/>
      <c r="H18" s="267">
        <f t="shared" si="8"/>
        <v>0</v>
      </c>
      <c r="I18" s="4">
        <f t="shared" si="1"/>
        <v>0</v>
      </c>
      <c r="K18" s="267">
        <f t="shared" si="9"/>
        <v>0</v>
      </c>
      <c r="L18" s="4">
        <f t="shared" si="2"/>
        <v>0</v>
      </c>
      <c r="O18" s="267">
        <v>0</v>
      </c>
      <c r="P18" s="4">
        <f t="shared" si="3"/>
        <v>0</v>
      </c>
      <c r="R18" s="267">
        <v>0</v>
      </c>
      <c r="S18" s="4">
        <f t="shared" si="4"/>
        <v>0</v>
      </c>
      <c r="U18" s="267"/>
      <c r="V18" s="4">
        <f t="shared" si="5"/>
        <v>0</v>
      </c>
    </row>
    <row r="19" spans="1:22" ht="12.95" customHeight="1">
      <c r="C19" s="1">
        <f t="shared" si="6"/>
        <v>2023</v>
      </c>
      <c r="D19" s="4">
        <f t="shared" si="7"/>
        <v>0</v>
      </c>
      <c r="E19" s="4">
        <f t="shared" si="0"/>
        <v>0</v>
      </c>
      <c r="G19" s="4"/>
      <c r="H19" s="267">
        <f t="shared" si="8"/>
        <v>0</v>
      </c>
      <c r="I19" s="4">
        <f t="shared" si="1"/>
        <v>0</v>
      </c>
      <c r="K19" s="267">
        <f t="shared" si="9"/>
        <v>0</v>
      </c>
      <c r="L19" s="4">
        <f t="shared" si="2"/>
        <v>0</v>
      </c>
      <c r="O19" s="267">
        <v>0</v>
      </c>
      <c r="P19" s="4">
        <f t="shared" si="3"/>
        <v>0</v>
      </c>
      <c r="R19" s="267">
        <v>0</v>
      </c>
      <c r="S19" s="4">
        <f t="shared" si="4"/>
        <v>0</v>
      </c>
      <c r="U19" s="267"/>
      <c r="V19" s="4">
        <f t="shared" si="5"/>
        <v>0</v>
      </c>
    </row>
    <row r="20" spans="1:22" ht="12.95" customHeight="1">
      <c r="A20" s="248">
        <v>2.4</v>
      </c>
      <c r="B20" s="248">
        <v>2.4</v>
      </c>
      <c r="C20" s="249">
        <f t="shared" si="6"/>
        <v>2024</v>
      </c>
      <c r="D20" s="250">
        <f t="shared" si="7"/>
        <v>0</v>
      </c>
      <c r="E20" s="250">
        <f t="shared" si="0"/>
        <v>0</v>
      </c>
      <c r="F20" s="252"/>
      <c r="G20" s="250"/>
      <c r="H20" s="251">
        <f t="shared" si="8"/>
        <v>0</v>
      </c>
      <c r="I20" s="250">
        <f t="shared" si="1"/>
        <v>0</v>
      </c>
      <c r="J20" s="252"/>
      <c r="K20" s="251">
        <f t="shared" si="9"/>
        <v>0</v>
      </c>
      <c r="L20" s="250">
        <f t="shared" si="2"/>
        <v>0</v>
      </c>
      <c r="M20" s="252"/>
      <c r="N20" s="252"/>
      <c r="O20" s="251">
        <v>0</v>
      </c>
      <c r="P20" s="250">
        <f t="shared" si="3"/>
        <v>0</v>
      </c>
      <c r="Q20" s="252"/>
      <c r="R20" s="251">
        <v>0</v>
      </c>
      <c r="S20" s="250">
        <f t="shared" si="4"/>
        <v>0</v>
      </c>
      <c r="T20" s="252"/>
      <c r="U20" s="253">
        <v>2200</v>
      </c>
      <c r="V20" s="250">
        <f t="shared" si="5"/>
        <v>52700</v>
      </c>
    </row>
    <row r="21" spans="1:22" ht="12.95" customHeight="1">
      <c r="A21" s="248">
        <v>2.4</v>
      </c>
      <c r="B21" s="248">
        <v>2.4</v>
      </c>
      <c r="C21" s="249">
        <f t="shared" si="6"/>
        <v>2025</v>
      </c>
      <c r="D21" s="250">
        <f t="shared" si="7"/>
        <v>0</v>
      </c>
      <c r="E21" s="250">
        <f t="shared" si="0"/>
        <v>0</v>
      </c>
      <c r="F21" s="252"/>
      <c r="G21" s="250"/>
      <c r="H21" s="251">
        <f t="shared" si="8"/>
        <v>0</v>
      </c>
      <c r="I21" s="250">
        <f t="shared" si="1"/>
        <v>0</v>
      </c>
      <c r="J21" s="252"/>
      <c r="K21" s="251">
        <f t="shared" si="9"/>
        <v>0</v>
      </c>
      <c r="L21" s="250">
        <f t="shared" si="2"/>
        <v>0</v>
      </c>
      <c r="M21" s="252"/>
      <c r="N21" s="252"/>
      <c r="O21" s="251">
        <v>0</v>
      </c>
      <c r="P21" s="250">
        <f t="shared" si="3"/>
        <v>0</v>
      </c>
      <c r="Q21" s="252"/>
      <c r="R21" s="251">
        <v>0</v>
      </c>
      <c r="S21" s="250">
        <f t="shared" si="4"/>
        <v>0</v>
      </c>
      <c r="T21" s="252"/>
      <c r="U21" s="251">
        <f t="shared" ref="U21:U56" si="10">U20*(($B21/100)+1)</f>
        <v>2252.8000000000002</v>
      </c>
      <c r="V21" s="250">
        <f t="shared" si="5"/>
        <v>54000</v>
      </c>
    </row>
    <row r="22" spans="1:22" ht="12.95" customHeight="1">
      <c r="A22" s="248">
        <v>2.4</v>
      </c>
      <c r="B22" s="248">
        <v>2.4</v>
      </c>
      <c r="C22" s="249">
        <f t="shared" si="6"/>
        <v>2026</v>
      </c>
      <c r="D22" s="250">
        <f t="shared" si="7"/>
        <v>0</v>
      </c>
      <c r="E22" s="250">
        <f t="shared" si="0"/>
        <v>0</v>
      </c>
      <c r="F22" s="252"/>
      <c r="G22" s="250"/>
      <c r="H22" s="251">
        <f t="shared" si="8"/>
        <v>0</v>
      </c>
      <c r="I22" s="250">
        <f t="shared" si="1"/>
        <v>0</v>
      </c>
      <c r="J22" s="252"/>
      <c r="K22" s="251">
        <f t="shared" si="9"/>
        <v>0</v>
      </c>
      <c r="L22" s="250">
        <f t="shared" si="2"/>
        <v>0</v>
      </c>
      <c r="M22" s="252"/>
      <c r="N22" s="252"/>
      <c r="O22" s="251">
        <v>0</v>
      </c>
      <c r="P22" s="250">
        <f t="shared" si="3"/>
        <v>0</v>
      </c>
      <c r="Q22" s="252"/>
      <c r="R22" s="251">
        <v>0</v>
      </c>
      <c r="S22" s="250">
        <f t="shared" si="4"/>
        <v>0</v>
      </c>
      <c r="T22" s="252"/>
      <c r="U22" s="251">
        <f t="shared" si="10"/>
        <v>2306.8672000000001</v>
      </c>
      <c r="V22" s="250">
        <f t="shared" si="5"/>
        <v>55300</v>
      </c>
    </row>
    <row r="23" spans="1:22" ht="12.95" customHeight="1">
      <c r="A23" s="248">
        <v>2.4</v>
      </c>
      <c r="B23" s="248">
        <v>2.4</v>
      </c>
      <c r="C23" s="249">
        <f t="shared" si="6"/>
        <v>2027</v>
      </c>
      <c r="D23" s="250">
        <f t="shared" si="7"/>
        <v>0</v>
      </c>
      <c r="E23" s="250">
        <f t="shared" si="0"/>
        <v>0</v>
      </c>
      <c r="F23" s="252"/>
      <c r="G23" s="250"/>
      <c r="H23" s="251">
        <f t="shared" si="8"/>
        <v>0</v>
      </c>
      <c r="I23" s="250">
        <f t="shared" si="1"/>
        <v>0</v>
      </c>
      <c r="J23" s="252"/>
      <c r="K23" s="251">
        <f t="shared" si="9"/>
        <v>0</v>
      </c>
      <c r="L23" s="250">
        <f t="shared" si="2"/>
        <v>0</v>
      </c>
      <c r="M23" s="252"/>
      <c r="N23" s="252"/>
      <c r="O23" s="251">
        <v>0</v>
      </c>
      <c r="P23" s="250">
        <f t="shared" si="3"/>
        <v>0</v>
      </c>
      <c r="Q23" s="252"/>
      <c r="R23" s="251">
        <v>0</v>
      </c>
      <c r="S23" s="250">
        <f t="shared" si="4"/>
        <v>0</v>
      </c>
      <c r="T23" s="252"/>
      <c r="U23" s="251">
        <f t="shared" si="10"/>
        <v>2362.2320128000001</v>
      </c>
      <c r="V23" s="250">
        <f t="shared" si="5"/>
        <v>56600</v>
      </c>
    </row>
    <row r="24" spans="1:22" ht="12.95" customHeight="1">
      <c r="A24" s="248">
        <v>2.4</v>
      </c>
      <c r="B24" s="248">
        <v>2.4</v>
      </c>
      <c r="C24" s="249">
        <f t="shared" si="6"/>
        <v>2028</v>
      </c>
      <c r="D24" s="250">
        <f t="shared" si="7"/>
        <v>0</v>
      </c>
      <c r="E24" s="250">
        <f t="shared" si="0"/>
        <v>0</v>
      </c>
      <c r="F24" s="252"/>
      <c r="G24" s="250"/>
      <c r="H24" s="251">
        <f t="shared" si="8"/>
        <v>0</v>
      </c>
      <c r="I24" s="250">
        <f t="shared" si="1"/>
        <v>0</v>
      </c>
      <c r="J24" s="252"/>
      <c r="K24" s="251">
        <f t="shared" si="9"/>
        <v>0</v>
      </c>
      <c r="L24" s="250">
        <f t="shared" si="2"/>
        <v>0</v>
      </c>
      <c r="M24" s="252"/>
      <c r="N24" s="252"/>
      <c r="O24" s="251">
        <v>0</v>
      </c>
      <c r="P24" s="250">
        <f t="shared" si="3"/>
        <v>0</v>
      </c>
      <c r="Q24" s="252"/>
      <c r="R24" s="251">
        <v>0</v>
      </c>
      <c r="S24" s="250">
        <f t="shared" si="4"/>
        <v>0</v>
      </c>
      <c r="T24" s="252"/>
      <c r="U24" s="251">
        <f t="shared" si="10"/>
        <v>2418.9255811072003</v>
      </c>
      <c r="V24" s="250">
        <f t="shared" si="5"/>
        <v>58000</v>
      </c>
    </row>
    <row r="25" spans="1:22" ht="12.95" customHeight="1">
      <c r="A25" s="248">
        <v>2.4</v>
      </c>
      <c r="B25" s="248">
        <v>2.4</v>
      </c>
      <c r="C25" s="249">
        <f t="shared" si="6"/>
        <v>2029</v>
      </c>
      <c r="D25" s="250">
        <f t="shared" si="7"/>
        <v>0</v>
      </c>
      <c r="E25" s="250">
        <f t="shared" si="0"/>
        <v>0</v>
      </c>
      <c r="F25" s="252"/>
      <c r="G25" s="252"/>
      <c r="H25" s="251">
        <f t="shared" si="8"/>
        <v>0</v>
      </c>
      <c r="I25" s="250">
        <f t="shared" si="1"/>
        <v>0</v>
      </c>
      <c r="J25" s="252"/>
      <c r="K25" s="251">
        <f t="shared" si="9"/>
        <v>0</v>
      </c>
      <c r="L25" s="250">
        <f t="shared" si="2"/>
        <v>0</v>
      </c>
      <c r="M25" s="252"/>
      <c r="N25" s="252"/>
      <c r="O25" s="251">
        <v>0</v>
      </c>
      <c r="P25" s="250">
        <f t="shared" si="3"/>
        <v>0</v>
      </c>
      <c r="Q25" s="252"/>
      <c r="R25" s="251">
        <v>0</v>
      </c>
      <c r="S25" s="250">
        <f t="shared" si="4"/>
        <v>0</v>
      </c>
      <c r="T25" s="252"/>
      <c r="U25" s="251">
        <f t="shared" si="10"/>
        <v>2476.9797950537732</v>
      </c>
      <c r="V25" s="250">
        <f t="shared" si="5"/>
        <v>59400</v>
      </c>
    </row>
    <row r="26" spans="1:22" ht="12.95" customHeight="1">
      <c r="A26" s="248">
        <v>2.4</v>
      </c>
      <c r="B26" s="248">
        <v>2.4</v>
      </c>
      <c r="C26" s="249">
        <f t="shared" si="6"/>
        <v>2030</v>
      </c>
      <c r="D26" s="250">
        <f t="shared" si="7"/>
        <v>0</v>
      </c>
      <c r="E26" s="250">
        <f t="shared" si="0"/>
        <v>0</v>
      </c>
      <c r="F26" s="252"/>
      <c r="G26" s="252"/>
      <c r="H26" s="251">
        <f t="shared" si="8"/>
        <v>0</v>
      </c>
      <c r="I26" s="250">
        <f t="shared" si="1"/>
        <v>0</v>
      </c>
      <c r="J26" s="252"/>
      <c r="K26" s="251">
        <f t="shared" si="9"/>
        <v>0</v>
      </c>
      <c r="L26" s="250">
        <f t="shared" si="2"/>
        <v>0</v>
      </c>
      <c r="M26" s="252"/>
      <c r="N26" s="252"/>
      <c r="O26" s="251">
        <v>0</v>
      </c>
      <c r="P26" s="250">
        <f t="shared" si="3"/>
        <v>0</v>
      </c>
      <c r="Q26" s="252"/>
      <c r="R26" s="251">
        <v>0</v>
      </c>
      <c r="S26" s="250">
        <f t="shared" si="4"/>
        <v>0</v>
      </c>
      <c r="T26" s="252"/>
      <c r="U26" s="251">
        <f t="shared" si="10"/>
        <v>2536.4273101350636</v>
      </c>
      <c r="V26" s="250">
        <f t="shared" si="5"/>
        <v>60800</v>
      </c>
    </row>
    <row r="27" spans="1:22" ht="12.95" customHeight="1">
      <c r="A27" s="248">
        <v>2.4</v>
      </c>
      <c r="B27" s="248">
        <v>2.4</v>
      </c>
      <c r="C27" s="249">
        <f t="shared" si="6"/>
        <v>2031</v>
      </c>
      <c r="D27" s="250">
        <f t="shared" si="7"/>
        <v>0</v>
      </c>
      <c r="E27" s="250">
        <f t="shared" si="0"/>
        <v>0</v>
      </c>
      <c r="F27" s="252"/>
      <c r="G27" s="252"/>
      <c r="H27" s="251">
        <f t="shared" si="8"/>
        <v>0</v>
      </c>
      <c r="I27" s="250">
        <f t="shared" si="1"/>
        <v>0</v>
      </c>
      <c r="J27" s="252"/>
      <c r="K27" s="251">
        <f t="shared" si="9"/>
        <v>0</v>
      </c>
      <c r="L27" s="250">
        <f t="shared" si="2"/>
        <v>0</v>
      </c>
      <c r="M27" s="252"/>
      <c r="N27" s="252"/>
      <c r="O27" s="251">
        <v>0</v>
      </c>
      <c r="P27" s="250">
        <f t="shared" si="3"/>
        <v>0</v>
      </c>
      <c r="Q27" s="252"/>
      <c r="R27" s="251">
        <v>0</v>
      </c>
      <c r="S27" s="250">
        <f t="shared" si="4"/>
        <v>0</v>
      </c>
      <c r="T27" s="252"/>
      <c r="U27" s="251">
        <f t="shared" si="10"/>
        <v>2597.3015655783051</v>
      </c>
      <c r="V27" s="250">
        <f t="shared" si="5"/>
        <v>62300</v>
      </c>
    </row>
    <row r="28" spans="1:22" ht="12.95" customHeight="1">
      <c r="A28" s="248">
        <v>2.4</v>
      </c>
      <c r="B28" s="248">
        <v>2.4</v>
      </c>
      <c r="C28" s="249">
        <f t="shared" si="6"/>
        <v>2032</v>
      </c>
      <c r="D28" s="250">
        <f t="shared" si="7"/>
        <v>0</v>
      </c>
      <c r="E28" s="250">
        <f t="shared" si="0"/>
        <v>0</v>
      </c>
      <c r="F28" s="252"/>
      <c r="G28" s="252"/>
      <c r="H28" s="251">
        <f t="shared" si="8"/>
        <v>0</v>
      </c>
      <c r="I28" s="250">
        <f t="shared" si="1"/>
        <v>0</v>
      </c>
      <c r="J28" s="252"/>
      <c r="K28" s="251">
        <f t="shared" si="9"/>
        <v>0</v>
      </c>
      <c r="L28" s="250">
        <f t="shared" si="2"/>
        <v>0</v>
      </c>
      <c r="M28" s="252"/>
      <c r="N28" s="252"/>
      <c r="O28" s="251">
        <v>0</v>
      </c>
      <c r="P28" s="250">
        <f t="shared" si="3"/>
        <v>0</v>
      </c>
      <c r="Q28" s="252"/>
      <c r="R28" s="251">
        <v>0</v>
      </c>
      <c r="S28" s="250">
        <f t="shared" si="4"/>
        <v>0</v>
      </c>
      <c r="T28" s="252"/>
      <c r="U28" s="251">
        <f t="shared" si="10"/>
        <v>2659.6368031521847</v>
      </c>
      <c r="V28" s="250">
        <f t="shared" si="5"/>
        <v>63800</v>
      </c>
    </row>
    <row r="29" spans="1:22" ht="12.95" customHeight="1">
      <c r="A29" s="248">
        <v>2.4</v>
      </c>
      <c r="B29" s="248">
        <v>2.4</v>
      </c>
      <c r="C29" s="249">
        <f t="shared" si="6"/>
        <v>2033</v>
      </c>
      <c r="D29" s="250">
        <f t="shared" si="7"/>
        <v>0</v>
      </c>
      <c r="E29" s="250">
        <f t="shared" si="0"/>
        <v>0</v>
      </c>
      <c r="F29" s="252"/>
      <c r="G29" s="252"/>
      <c r="H29" s="251">
        <f t="shared" si="8"/>
        <v>0</v>
      </c>
      <c r="I29" s="250">
        <f t="shared" si="1"/>
        <v>0</v>
      </c>
      <c r="J29" s="252"/>
      <c r="K29" s="251">
        <f t="shared" si="9"/>
        <v>0</v>
      </c>
      <c r="L29" s="250">
        <f t="shared" si="2"/>
        <v>0</v>
      </c>
      <c r="M29" s="252"/>
      <c r="N29" s="252"/>
      <c r="O29" s="251">
        <v>0</v>
      </c>
      <c r="P29" s="250">
        <f t="shared" si="3"/>
        <v>0</v>
      </c>
      <c r="Q29" s="252"/>
      <c r="R29" s="251">
        <v>0</v>
      </c>
      <c r="S29" s="250">
        <f t="shared" si="4"/>
        <v>0</v>
      </c>
      <c r="T29" s="252"/>
      <c r="U29" s="251">
        <f t="shared" si="10"/>
        <v>2723.4680864278371</v>
      </c>
      <c r="V29" s="250">
        <f t="shared" si="5"/>
        <v>65300</v>
      </c>
    </row>
    <row r="30" spans="1:22" ht="12.95" customHeight="1">
      <c r="A30" s="248">
        <v>2.4</v>
      </c>
      <c r="B30" s="248">
        <v>2.4</v>
      </c>
      <c r="C30" s="249">
        <f t="shared" si="6"/>
        <v>2034</v>
      </c>
      <c r="D30" s="250">
        <f t="shared" si="7"/>
        <v>0</v>
      </c>
      <c r="E30" s="250">
        <f t="shared" si="0"/>
        <v>0</v>
      </c>
      <c r="F30" s="252"/>
      <c r="G30" s="252"/>
      <c r="H30" s="251">
        <f t="shared" si="8"/>
        <v>0</v>
      </c>
      <c r="I30" s="250">
        <f t="shared" si="1"/>
        <v>0</v>
      </c>
      <c r="J30" s="252"/>
      <c r="K30" s="251">
        <f t="shared" si="9"/>
        <v>0</v>
      </c>
      <c r="L30" s="250">
        <f t="shared" si="2"/>
        <v>0</v>
      </c>
      <c r="M30" s="252"/>
      <c r="N30" s="252"/>
      <c r="O30" s="251">
        <v>0</v>
      </c>
      <c r="P30" s="250">
        <f t="shared" si="3"/>
        <v>0</v>
      </c>
      <c r="Q30" s="252"/>
      <c r="R30" s="251">
        <v>0</v>
      </c>
      <c r="S30" s="250">
        <f t="shared" si="4"/>
        <v>0</v>
      </c>
      <c r="T30" s="252"/>
      <c r="U30" s="251">
        <f t="shared" si="10"/>
        <v>2788.8313205021054</v>
      </c>
      <c r="V30" s="250">
        <f t="shared" si="5"/>
        <v>66900</v>
      </c>
    </row>
    <row r="31" spans="1:22" ht="12.95" customHeight="1">
      <c r="A31" s="248">
        <v>2.4</v>
      </c>
      <c r="B31" s="248">
        <v>2.4</v>
      </c>
      <c r="C31" s="249">
        <f t="shared" si="6"/>
        <v>2035</v>
      </c>
      <c r="D31" s="250">
        <f t="shared" si="7"/>
        <v>0</v>
      </c>
      <c r="E31" s="250">
        <f t="shared" si="0"/>
        <v>0</v>
      </c>
      <c r="F31" s="252"/>
      <c r="G31" s="252"/>
      <c r="H31" s="251">
        <f t="shared" si="8"/>
        <v>0</v>
      </c>
      <c r="I31" s="250">
        <f t="shared" si="1"/>
        <v>0</v>
      </c>
      <c r="J31" s="252"/>
      <c r="K31" s="251">
        <f t="shared" si="9"/>
        <v>0</v>
      </c>
      <c r="L31" s="250">
        <f t="shared" si="2"/>
        <v>0</v>
      </c>
      <c r="M31" s="252"/>
      <c r="N31" s="252"/>
      <c r="O31" s="251">
        <v>0</v>
      </c>
      <c r="P31" s="250">
        <f t="shared" si="3"/>
        <v>0</v>
      </c>
      <c r="Q31" s="252"/>
      <c r="R31" s="251">
        <v>0</v>
      </c>
      <c r="S31" s="250">
        <f t="shared" si="4"/>
        <v>0</v>
      </c>
      <c r="T31" s="252"/>
      <c r="U31" s="251">
        <f t="shared" si="10"/>
        <v>2855.7632721941559</v>
      </c>
      <c r="V31" s="250">
        <f t="shared" si="5"/>
        <v>68500</v>
      </c>
    </row>
    <row r="32" spans="1:22" ht="12.95" customHeight="1">
      <c r="A32" s="248">
        <v>2.4</v>
      </c>
      <c r="B32" s="248">
        <v>2.4</v>
      </c>
      <c r="C32" s="249">
        <f t="shared" si="6"/>
        <v>2036</v>
      </c>
      <c r="D32" s="250">
        <f t="shared" si="7"/>
        <v>0</v>
      </c>
      <c r="E32" s="250">
        <f t="shared" si="0"/>
        <v>0</v>
      </c>
      <c r="F32" s="252"/>
      <c r="G32" s="252"/>
      <c r="H32" s="251">
        <f t="shared" si="8"/>
        <v>0</v>
      </c>
      <c r="I32" s="250">
        <f t="shared" si="1"/>
        <v>0</v>
      </c>
      <c r="J32" s="252"/>
      <c r="K32" s="251">
        <f t="shared" si="9"/>
        <v>0</v>
      </c>
      <c r="L32" s="250">
        <f t="shared" si="2"/>
        <v>0</v>
      </c>
      <c r="M32" s="252"/>
      <c r="N32" s="252"/>
      <c r="O32" s="251">
        <v>0</v>
      </c>
      <c r="P32" s="250">
        <f t="shared" si="3"/>
        <v>0</v>
      </c>
      <c r="Q32" s="252"/>
      <c r="R32" s="251">
        <v>0</v>
      </c>
      <c r="S32" s="250">
        <f t="shared" si="4"/>
        <v>0</v>
      </c>
      <c r="T32" s="252"/>
      <c r="U32" s="251">
        <f t="shared" si="10"/>
        <v>2924.3015907268159</v>
      </c>
      <c r="V32" s="250">
        <f t="shared" si="5"/>
        <v>70100</v>
      </c>
    </row>
    <row r="33" spans="1:22" ht="12.95" customHeight="1">
      <c r="A33" s="248">
        <v>2.4</v>
      </c>
      <c r="B33" s="248">
        <v>2.4</v>
      </c>
      <c r="C33" s="249">
        <f t="shared" si="6"/>
        <v>2037</v>
      </c>
      <c r="D33" s="250">
        <f t="shared" si="7"/>
        <v>0</v>
      </c>
      <c r="E33" s="250">
        <f t="shared" si="0"/>
        <v>0</v>
      </c>
      <c r="F33" s="252"/>
      <c r="G33" s="252"/>
      <c r="H33" s="251">
        <f t="shared" si="8"/>
        <v>0</v>
      </c>
      <c r="I33" s="250">
        <f t="shared" si="1"/>
        <v>0</v>
      </c>
      <c r="J33" s="252"/>
      <c r="K33" s="251">
        <f t="shared" si="9"/>
        <v>0</v>
      </c>
      <c r="L33" s="250">
        <f t="shared" si="2"/>
        <v>0</v>
      </c>
      <c r="M33" s="252"/>
      <c r="N33" s="252"/>
      <c r="O33" s="251">
        <v>0</v>
      </c>
      <c r="P33" s="250">
        <f t="shared" si="3"/>
        <v>0</v>
      </c>
      <c r="Q33" s="252"/>
      <c r="R33" s="251">
        <v>0</v>
      </c>
      <c r="S33" s="250">
        <f t="shared" si="4"/>
        <v>0</v>
      </c>
      <c r="T33" s="252"/>
      <c r="U33" s="251">
        <f t="shared" si="10"/>
        <v>2994.4848289042598</v>
      </c>
      <c r="V33" s="250">
        <f t="shared" si="5"/>
        <v>71800</v>
      </c>
    </row>
    <row r="34" spans="1:22" ht="12.95" customHeight="1">
      <c r="A34" s="248">
        <v>2.4</v>
      </c>
      <c r="B34" s="248">
        <v>2.4</v>
      </c>
      <c r="C34" s="249">
        <f t="shared" si="6"/>
        <v>2038</v>
      </c>
      <c r="D34" s="250">
        <f t="shared" si="7"/>
        <v>0</v>
      </c>
      <c r="E34" s="250">
        <f t="shared" si="0"/>
        <v>0</v>
      </c>
      <c r="F34" s="252"/>
      <c r="G34" s="252"/>
      <c r="H34" s="251">
        <f t="shared" si="8"/>
        <v>0</v>
      </c>
      <c r="I34" s="250">
        <f t="shared" si="1"/>
        <v>0</v>
      </c>
      <c r="J34" s="252"/>
      <c r="K34" s="251">
        <f t="shared" si="9"/>
        <v>0</v>
      </c>
      <c r="L34" s="250">
        <f t="shared" si="2"/>
        <v>0</v>
      </c>
      <c r="M34" s="252"/>
      <c r="N34" s="252"/>
      <c r="O34" s="251">
        <v>0</v>
      </c>
      <c r="P34" s="250">
        <f t="shared" si="3"/>
        <v>0</v>
      </c>
      <c r="Q34" s="252"/>
      <c r="R34" s="251">
        <v>0</v>
      </c>
      <c r="S34" s="250">
        <f t="shared" si="4"/>
        <v>0</v>
      </c>
      <c r="T34" s="252"/>
      <c r="U34" s="251">
        <f t="shared" si="10"/>
        <v>3066.3524647979621</v>
      </c>
      <c r="V34" s="250">
        <f t="shared" si="5"/>
        <v>73500</v>
      </c>
    </row>
    <row r="35" spans="1:22" ht="12.95" customHeight="1">
      <c r="A35" s="252">
        <v>2.4</v>
      </c>
      <c r="B35" s="252">
        <v>2.4</v>
      </c>
      <c r="C35" s="252">
        <f t="shared" si="6"/>
        <v>2039</v>
      </c>
      <c r="D35" s="250">
        <f t="shared" si="7"/>
        <v>0</v>
      </c>
      <c r="E35" s="250">
        <f t="shared" si="0"/>
        <v>0</v>
      </c>
      <c r="F35" s="252"/>
      <c r="G35" s="252"/>
      <c r="H35" s="251">
        <f t="shared" si="8"/>
        <v>0</v>
      </c>
      <c r="I35" s="250">
        <f t="shared" si="1"/>
        <v>0</v>
      </c>
      <c r="J35" s="252"/>
      <c r="K35" s="251">
        <f t="shared" si="9"/>
        <v>0</v>
      </c>
      <c r="L35" s="250">
        <f t="shared" si="2"/>
        <v>0</v>
      </c>
      <c r="M35" s="252"/>
      <c r="N35" s="252"/>
      <c r="O35" s="251">
        <v>0</v>
      </c>
      <c r="P35" s="250">
        <f t="shared" si="3"/>
        <v>0</v>
      </c>
      <c r="Q35" s="252"/>
      <c r="R35" s="251">
        <v>0</v>
      </c>
      <c r="S35" s="250">
        <f t="shared" si="4"/>
        <v>0</v>
      </c>
      <c r="T35" s="252"/>
      <c r="U35" s="251">
        <f t="shared" si="10"/>
        <v>3139.9449239531132</v>
      </c>
      <c r="V35" s="250">
        <f t="shared" si="5"/>
        <v>75300</v>
      </c>
    </row>
    <row r="36" spans="1:22" ht="12.95" customHeight="1">
      <c r="A36" s="252">
        <v>2.4</v>
      </c>
      <c r="B36" s="252">
        <v>2.4</v>
      </c>
      <c r="C36" s="252">
        <f t="shared" si="6"/>
        <v>2040</v>
      </c>
      <c r="D36" s="250">
        <f t="shared" si="7"/>
        <v>0</v>
      </c>
      <c r="E36" s="250">
        <f t="shared" si="0"/>
        <v>0</v>
      </c>
      <c r="F36" s="252"/>
      <c r="G36" s="252"/>
      <c r="H36" s="251">
        <f t="shared" si="8"/>
        <v>0</v>
      </c>
      <c r="I36" s="250">
        <f t="shared" si="1"/>
        <v>0</v>
      </c>
      <c r="J36" s="252"/>
      <c r="K36" s="251">
        <f t="shared" si="9"/>
        <v>0</v>
      </c>
      <c r="L36" s="250">
        <f t="shared" si="2"/>
        <v>0</v>
      </c>
      <c r="M36" s="252"/>
      <c r="N36" s="252"/>
      <c r="O36" s="251">
        <v>0</v>
      </c>
      <c r="P36" s="250">
        <f t="shared" si="3"/>
        <v>0</v>
      </c>
      <c r="Q36" s="252"/>
      <c r="R36" s="251">
        <v>0</v>
      </c>
      <c r="S36" s="250">
        <f t="shared" si="4"/>
        <v>0</v>
      </c>
      <c r="T36" s="252"/>
      <c r="U36" s="251">
        <f t="shared" si="10"/>
        <v>3215.3036021279881</v>
      </c>
      <c r="V36" s="250">
        <f t="shared" si="5"/>
        <v>77100</v>
      </c>
    </row>
    <row r="37" spans="1:22" ht="12.95" customHeight="1">
      <c r="A37" s="252">
        <v>2.4</v>
      </c>
      <c r="B37" s="252">
        <v>2.4</v>
      </c>
      <c r="C37" s="252">
        <f t="shared" si="6"/>
        <v>2041</v>
      </c>
      <c r="D37" s="250">
        <f t="shared" si="7"/>
        <v>0</v>
      </c>
      <c r="E37" s="250">
        <f t="shared" si="0"/>
        <v>0</v>
      </c>
      <c r="F37" s="252"/>
      <c r="G37" s="252"/>
      <c r="H37" s="251">
        <f t="shared" si="8"/>
        <v>0</v>
      </c>
      <c r="I37" s="250">
        <f t="shared" si="1"/>
        <v>0</v>
      </c>
      <c r="J37" s="252"/>
      <c r="K37" s="251">
        <f t="shared" si="9"/>
        <v>0</v>
      </c>
      <c r="L37" s="250">
        <f t="shared" si="2"/>
        <v>0</v>
      </c>
      <c r="M37" s="252"/>
      <c r="N37" s="252"/>
      <c r="O37" s="251">
        <v>0</v>
      </c>
      <c r="P37" s="250">
        <f t="shared" si="3"/>
        <v>0</v>
      </c>
      <c r="Q37" s="252"/>
      <c r="R37" s="251">
        <v>0</v>
      </c>
      <c r="S37" s="250">
        <f t="shared" si="4"/>
        <v>0</v>
      </c>
      <c r="T37" s="252"/>
      <c r="U37" s="251">
        <f t="shared" si="10"/>
        <v>3292.4708885790601</v>
      </c>
      <c r="V37" s="250">
        <f t="shared" si="5"/>
        <v>78900</v>
      </c>
    </row>
    <row r="38" spans="1:22" ht="12.95" customHeight="1">
      <c r="A38" s="252">
        <v>2.4</v>
      </c>
      <c r="B38" s="252">
        <v>2.4</v>
      </c>
      <c r="C38" s="252">
        <f t="shared" si="6"/>
        <v>2042</v>
      </c>
      <c r="D38" s="250">
        <f t="shared" si="7"/>
        <v>0</v>
      </c>
      <c r="E38" s="250">
        <f t="shared" si="0"/>
        <v>0</v>
      </c>
      <c r="F38" s="252"/>
      <c r="G38" s="252"/>
      <c r="H38" s="251">
        <f t="shared" si="8"/>
        <v>0</v>
      </c>
      <c r="I38" s="250">
        <f t="shared" si="1"/>
        <v>0</v>
      </c>
      <c r="J38" s="252"/>
      <c r="K38" s="251">
        <f t="shared" si="9"/>
        <v>0</v>
      </c>
      <c r="L38" s="250">
        <f t="shared" si="2"/>
        <v>0</v>
      </c>
      <c r="M38" s="252"/>
      <c r="N38" s="252"/>
      <c r="O38" s="251">
        <v>0</v>
      </c>
      <c r="P38" s="250">
        <f t="shared" si="3"/>
        <v>0</v>
      </c>
      <c r="Q38" s="252"/>
      <c r="R38" s="251">
        <v>0</v>
      </c>
      <c r="S38" s="250">
        <f t="shared" si="4"/>
        <v>0</v>
      </c>
      <c r="T38" s="252"/>
      <c r="U38" s="251">
        <f t="shared" si="10"/>
        <v>3371.4901899049578</v>
      </c>
      <c r="V38" s="250">
        <f t="shared" si="5"/>
        <v>80800</v>
      </c>
    </row>
    <row r="39" spans="1:22" ht="12.95" customHeight="1">
      <c r="A39" s="252">
        <v>2.4</v>
      </c>
      <c r="B39" s="252">
        <v>2.4</v>
      </c>
      <c r="C39" s="252">
        <f t="shared" si="6"/>
        <v>2043</v>
      </c>
      <c r="D39" s="250">
        <f t="shared" si="7"/>
        <v>0</v>
      </c>
      <c r="E39" s="250">
        <f t="shared" ref="E39" si="11">ROUND(D39*$D$4*$E$4,-2)</f>
        <v>0</v>
      </c>
      <c r="F39" s="252"/>
      <c r="G39" s="252"/>
      <c r="H39" s="251">
        <f t="shared" si="8"/>
        <v>0</v>
      </c>
      <c r="I39" s="250">
        <f t="shared" ref="I39" si="12">ROUND(H39*$H$4*$I$4,-2)</f>
        <v>0</v>
      </c>
      <c r="J39" s="252"/>
      <c r="K39" s="251">
        <f t="shared" si="9"/>
        <v>0</v>
      </c>
      <c r="L39" s="250">
        <f t="shared" ref="L39" si="13">ROUND(K39*$K$4*$L$4,-2)</f>
        <v>0</v>
      </c>
      <c r="M39" s="252"/>
      <c r="N39" s="252"/>
      <c r="O39" s="251">
        <v>0</v>
      </c>
      <c r="P39" s="250">
        <f t="shared" ref="P39" si="14">ROUND(O39*$O$4*$P$4,-2)</f>
        <v>0</v>
      </c>
      <c r="Q39" s="252"/>
      <c r="R39" s="251">
        <v>0</v>
      </c>
      <c r="S39" s="250">
        <f t="shared" ref="S39" si="15">ROUND(R39*$R$4*$S$4,-2)</f>
        <v>0</v>
      </c>
      <c r="T39" s="252"/>
      <c r="U39" s="251">
        <f t="shared" si="10"/>
        <v>3452.4059544626771</v>
      </c>
      <c r="V39" s="250">
        <f t="shared" ref="V39" si="16">ROUND(U39*$U$4*$V$4,-2)</f>
        <v>82800</v>
      </c>
    </row>
    <row r="40" spans="1:22" ht="12.95" customHeight="1">
      <c r="A40" s="252">
        <v>2.4</v>
      </c>
      <c r="B40" s="252">
        <v>2.4</v>
      </c>
      <c r="C40" s="252">
        <f t="shared" si="6"/>
        <v>2044</v>
      </c>
      <c r="D40" s="250">
        <f t="shared" si="7"/>
        <v>0</v>
      </c>
      <c r="E40" s="250">
        <f t="shared" ref="E40:E52" si="17">ROUND(D40*$D$4*$E$4,-2)</f>
        <v>0</v>
      </c>
      <c r="F40" s="252"/>
      <c r="G40" s="252"/>
      <c r="H40" s="251">
        <f t="shared" si="8"/>
        <v>0</v>
      </c>
      <c r="I40" s="250">
        <f t="shared" ref="I40:I52" si="18">ROUND(H40*$H$4*$I$4,-2)</f>
        <v>0</v>
      </c>
      <c r="J40" s="252"/>
      <c r="K40" s="251">
        <f t="shared" si="9"/>
        <v>0</v>
      </c>
      <c r="L40" s="250">
        <f t="shared" ref="L40:L52" si="19">ROUND(K40*$K$4*$L$4,-2)</f>
        <v>0</v>
      </c>
      <c r="M40" s="252"/>
      <c r="N40" s="252"/>
      <c r="O40" s="251">
        <v>0</v>
      </c>
      <c r="P40" s="250">
        <f t="shared" ref="P40:P52" si="20">ROUND(O40*$O$4*$P$4,-2)</f>
        <v>0</v>
      </c>
      <c r="Q40" s="252"/>
      <c r="R40" s="251">
        <v>0</v>
      </c>
      <c r="S40" s="250">
        <f t="shared" ref="S40:S52" si="21">ROUND(R40*$R$4*$S$4,-2)</f>
        <v>0</v>
      </c>
      <c r="T40" s="252"/>
      <c r="U40" s="251">
        <f t="shared" si="10"/>
        <v>3535.2636973697813</v>
      </c>
      <c r="V40" s="250">
        <f t="shared" ref="V40:V52" si="22">ROUND(U40*$U$4*$V$4,-2)</f>
        <v>84800</v>
      </c>
    </row>
    <row r="41" spans="1:22" ht="12.95" customHeight="1">
      <c r="A41" s="252">
        <v>2.4</v>
      </c>
      <c r="B41" s="252">
        <v>2.4</v>
      </c>
      <c r="C41" s="252">
        <f t="shared" si="6"/>
        <v>2045</v>
      </c>
      <c r="D41" s="250">
        <f t="shared" si="7"/>
        <v>0</v>
      </c>
      <c r="E41" s="250">
        <f t="shared" si="17"/>
        <v>0</v>
      </c>
      <c r="F41" s="252"/>
      <c r="G41" s="252"/>
      <c r="H41" s="251">
        <f t="shared" si="8"/>
        <v>0</v>
      </c>
      <c r="I41" s="250">
        <f t="shared" si="18"/>
        <v>0</v>
      </c>
      <c r="J41" s="252"/>
      <c r="K41" s="251">
        <f t="shared" si="9"/>
        <v>0</v>
      </c>
      <c r="L41" s="250">
        <f t="shared" si="19"/>
        <v>0</v>
      </c>
      <c r="M41" s="252"/>
      <c r="N41" s="252"/>
      <c r="O41" s="251">
        <v>0</v>
      </c>
      <c r="P41" s="250">
        <f t="shared" si="20"/>
        <v>0</v>
      </c>
      <c r="Q41" s="252"/>
      <c r="R41" s="251">
        <v>0</v>
      </c>
      <c r="S41" s="250">
        <f t="shared" si="21"/>
        <v>0</v>
      </c>
      <c r="T41" s="252"/>
      <c r="U41" s="251">
        <f t="shared" si="10"/>
        <v>3620.1100261066563</v>
      </c>
      <c r="V41" s="250">
        <f t="shared" si="22"/>
        <v>86800</v>
      </c>
    </row>
    <row r="42" spans="1:22" ht="12.95" customHeight="1">
      <c r="A42" s="252">
        <v>2.4</v>
      </c>
      <c r="B42" s="252">
        <v>2.4</v>
      </c>
      <c r="C42" s="252">
        <f t="shared" si="6"/>
        <v>2046</v>
      </c>
      <c r="D42" s="250">
        <f t="shared" si="7"/>
        <v>0</v>
      </c>
      <c r="E42" s="250">
        <f t="shared" si="17"/>
        <v>0</v>
      </c>
      <c r="F42" s="252"/>
      <c r="G42" s="252"/>
      <c r="H42" s="251">
        <f t="shared" si="8"/>
        <v>0</v>
      </c>
      <c r="I42" s="250">
        <f t="shared" si="18"/>
        <v>0</v>
      </c>
      <c r="J42" s="252"/>
      <c r="K42" s="251">
        <f t="shared" si="9"/>
        <v>0</v>
      </c>
      <c r="L42" s="250">
        <f t="shared" si="19"/>
        <v>0</v>
      </c>
      <c r="M42" s="252"/>
      <c r="N42" s="252"/>
      <c r="O42" s="251">
        <v>0</v>
      </c>
      <c r="P42" s="250">
        <f t="shared" si="20"/>
        <v>0</v>
      </c>
      <c r="Q42" s="252"/>
      <c r="R42" s="251">
        <v>0</v>
      </c>
      <c r="S42" s="250">
        <f t="shared" si="21"/>
        <v>0</v>
      </c>
      <c r="T42" s="252"/>
      <c r="U42" s="251">
        <f t="shared" si="10"/>
        <v>3706.9926667332161</v>
      </c>
      <c r="V42" s="250">
        <f t="shared" si="22"/>
        <v>88900</v>
      </c>
    </row>
    <row r="43" spans="1:22" ht="12.95" customHeight="1">
      <c r="A43" s="252">
        <v>2.4</v>
      </c>
      <c r="B43" s="252">
        <v>2.4</v>
      </c>
      <c r="C43" s="252">
        <f t="shared" si="6"/>
        <v>2047</v>
      </c>
      <c r="D43" s="250">
        <f t="shared" si="7"/>
        <v>0</v>
      </c>
      <c r="E43" s="250">
        <f t="shared" si="17"/>
        <v>0</v>
      </c>
      <c r="F43" s="252"/>
      <c r="G43" s="252"/>
      <c r="H43" s="251">
        <f t="shared" si="8"/>
        <v>0</v>
      </c>
      <c r="I43" s="250">
        <f t="shared" si="18"/>
        <v>0</v>
      </c>
      <c r="J43" s="252"/>
      <c r="K43" s="251">
        <f t="shared" si="9"/>
        <v>0</v>
      </c>
      <c r="L43" s="250">
        <f t="shared" si="19"/>
        <v>0</v>
      </c>
      <c r="M43" s="252"/>
      <c r="N43" s="252"/>
      <c r="O43" s="251">
        <v>0</v>
      </c>
      <c r="P43" s="250">
        <f t="shared" si="20"/>
        <v>0</v>
      </c>
      <c r="Q43" s="252"/>
      <c r="R43" s="251">
        <v>0</v>
      </c>
      <c r="S43" s="250">
        <f t="shared" si="21"/>
        <v>0</v>
      </c>
      <c r="T43" s="252"/>
      <c r="U43" s="251">
        <f t="shared" si="10"/>
        <v>3795.9604907348134</v>
      </c>
      <c r="V43" s="250">
        <f t="shared" si="22"/>
        <v>91000</v>
      </c>
    </row>
    <row r="44" spans="1:22" ht="12.95" customHeight="1">
      <c r="A44" s="252">
        <v>2.4</v>
      </c>
      <c r="B44" s="252">
        <v>2.4</v>
      </c>
      <c r="C44" s="252">
        <f t="shared" si="6"/>
        <v>2048</v>
      </c>
      <c r="D44" s="250">
        <f t="shared" si="7"/>
        <v>0</v>
      </c>
      <c r="E44" s="250">
        <f t="shared" si="17"/>
        <v>0</v>
      </c>
      <c r="F44" s="252"/>
      <c r="G44" s="252"/>
      <c r="H44" s="251">
        <f t="shared" si="8"/>
        <v>0</v>
      </c>
      <c r="I44" s="250">
        <f t="shared" si="18"/>
        <v>0</v>
      </c>
      <c r="J44" s="252"/>
      <c r="K44" s="251">
        <f t="shared" si="9"/>
        <v>0</v>
      </c>
      <c r="L44" s="250">
        <f t="shared" si="19"/>
        <v>0</v>
      </c>
      <c r="M44" s="252"/>
      <c r="N44" s="252"/>
      <c r="O44" s="251">
        <v>0</v>
      </c>
      <c r="P44" s="250">
        <f t="shared" si="20"/>
        <v>0</v>
      </c>
      <c r="Q44" s="252"/>
      <c r="R44" s="251">
        <v>0</v>
      </c>
      <c r="S44" s="250">
        <f t="shared" si="21"/>
        <v>0</v>
      </c>
      <c r="T44" s="252"/>
      <c r="U44" s="251">
        <f t="shared" si="10"/>
        <v>3887.0635425124492</v>
      </c>
      <c r="V44" s="250">
        <f t="shared" si="22"/>
        <v>93200</v>
      </c>
    </row>
    <row r="45" spans="1:22" ht="12.95" customHeight="1">
      <c r="A45" s="252">
        <v>2.4</v>
      </c>
      <c r="B45" s="252">
        <v>2.4</v>
      </c>
      <c r="C45" s="252">
        <f t="shared" si="6"/>
        <v>2049</v>
      </c>
      <c r="D45" s="250">
        <f t="shared" si="7"/>
        <v>0</v>
      </c>
      <c r="E45" s="250">
        <f t="shared" si="17"/>
        <v>0</v>
      </c>
      <c r="F45" s="252"/>
      <c r="G45" s="252"/>
      <c r="H45" s="251">
        <f t="shared" si="8"/>
        <v>0</v>
      </c>
      <c r="I45" s="250">
        <f t="shared" si="18"/>
        <v>0</v>
      </c>
      <c r="J45" s="252"/>
      <c r="K45" s="251">
        <f t="shared" si="9"/>
        <v>0</v>
      </c>
      <c r="L45" s="250">
        <f t="shared" si="19"/>
        <v>0</v>
      </c>
      <c r="M45" s="252"/>
      <c r="N45" s="252"/>
      <c r="O45" s="251">
        <v>0</v>
      </c>
      <c r="P45" s="250">
        <f t="shared" si="20"/>
        <v>0</v>
      </c>
      <c r="Q45" s="252"/>
      <c r="R45" s="251">
        <v>0</v>
      </c>
      <c r="S45" s="250">
        <f t="shared" si="21"/>
        <v>0</v>
      </c>
      <c r="T45" s="252"/>
      <c r="U45" s="251">
        <f t="shared" si="10"/>
        <v>3980.3530675327479</v>
      </c>
      <c r="V45" s="250">
        <f t="shared" si="22"/>
        <v>95400</v>
      </c>
    </row>
    <row r="46" spans="1:22" ht="12.95" customHeight="1">
      <c r="A46" s="252">
        <v>2.4</v>
      </c>
      <c r="B46" s="252">
        <v>2.4</v>
      </c>
      <c r="C46" s="252">
        <f t="shared" si="6"/>
        <v>2050</v>
      </c>
      <c r="D46" s="250">
        <f t="shared" si="7"/>
        <v>0</v>
      </c>
      <c r="E46" s="250">
        <f t="shared" si="17"/>
        <v>0</v>
      </c>
      <c r="F46" s="252"/>
      <c r="G46" s="252"/>
      <c r="H46" s="251">
        <f t="shared" si="8"/>
        <v>0</v>
      </c>
      <c r="I46" s="250">
        <f t="shared" si="18"/>
        <v>0</v>
      </c>
      <c r="J46" s="252"/>
      <c r="K46" s="251">
        <f t="shared" si="9"/>
        <v>0</v>
      </c>
      <c r="L46" s="250">
        <f t="shared" si="19"/>
        <v>0</v>
      </c>
      <c r="M46" s="252"/>
      <c r="N46" s="252"/>
      <c r="O46" s="251">
        <v>0</v>
      </c>
      <c r="P46" s="250">
        <f t="shared" si="20"/>
        <v>0</v>
      </c>
      <c r="Q46" s="252"/>
      <c r="R46" s="251">
        <v>0</v>
      </c>
      <c r="S46" s="250">
        <f t="shared" si="21"/>
        <v>0</v>
      </c>
      <c r="T46" s="252"/>
      <c r="U46" s="251">
        <f t="shared" si="10"/>
        <v>4075.8815411535338</v>
      </c>
      <c r="V46" s="250">
        <f t="shared" si="22"/>
        <v>97700</v>
      </c>
    </row>
    <row r="47" spans="1:22" ht="12.95" customHeight="1">
      <c r="A47" s="252">
        <v>2.4</v>
      </c>
      <c r="B47" s="252">
        <v>2.4</v>
      </c>
      <c r="C47" s="252">
        <f t="shared" si="6"/>
        <v>2051</v>
      </c>
      <c r="D47" s="250">
        <f t="shared" si="7"/>
        <v>0</v>
      </c>
      <c r="E47" s="250">
        <f t="shared" si="17"/>
        <v>0</v>
      </c>
      <c r="F47" s="252"/>
      <c r="G47" s="252"/>
      <c r="H47" s="251">
        <f t="shared" si="8"/>
        <v>0</v>
      </c>
      <c r="I47" s="250">
        <f t="shared" si="18"/>
        <v>0</v>
      </c>
      <c r="J47" s="252"/>
      <c r="K47" s="251">
        <f t="shared" si="9"/>
        <v>0</v>
      </c>
      <c r="L47" s="250">
        <f t="shared" si="19"/>
        <v>0</v>
      </c>
      <c r="M47" s="252"/>
      <c r="N47" s="252"/>
      <c r="O47" s="251">
        <v>0</v>
      </c>
      <c r="P47" s="250">
        <f t="shared" si="20"/>
        <v>0</v>
      </c>
      <c r="Q47" s="252"/>
      <c r="R47" s="251">
        <v>0</v>
      </c>
      <c r="S47" s="250">
        <f t="shared" si="21"/>
        <v>0</v>
      </c>
      <c r="T47" s="252"/>
      <c r="U47" s="251">
        <f t="shared" si="10"/>
        <v>4173.7026981412191</v>
      </c>
      <c r="V47" s="250">
        <f t="shared" si="22"/>
        <v>100100</v>
      </c>
    </row>
    <row r="48" spans="1:22" ht="12.95" customHeight="1">
      <c r="A48" s="252">
        <v>2.4</v>
      </c>
      <c r="B48" s="252">
        <v>2.4</v>
      </c>
      <c r="C48" s="252">
        <f t="shared" si="6"/>
        <v>2052</v>
      </c>
      <c r="D48" s="250">
        <f t="shared" si="7"/>
        <v>0</v>
      </c>
      <c r="E48" s="250">
        <f t="shared" si="17"/>
        <v>0</v>
      </c>
      <c r="F48" s="252"/>
      <c r="G48" s="252"/>
      <c r="H48" s="251">
        <f t="shared" si="8"/>
        <v>0</v>
      </c>
      <c r="I48" s="250">
        <f t="shared" si="18"/>
        <v>0</v>
      </c>
      <c r="J48" s="252"/>
      <c r="K48" s="251">
        <f t="shared" si="9"/>
        <v>0</v>
      </c>
      <c r="L48" s="250">
        <f t="shared" si="19"/>
        <v>0</v>
      </c>
      <c r="M48" s="252"/>
      <c r="N48" s="252"/>
      <c r="O48" s="251">
        <v>0</v>
      </c>
      <c r="P48" s="250">
        <f t="shared" si="20"/>
        <v>0</v>
      </c>
      <c r="Q48" s="252"/>
      <c r="R48" s="251">
        <v>0</v>
      </c>
      <c r="S48" s="250">
        <f t="shared" si="21"/>
        <v>0</v>
      </c>
      <c r="T48" s="252"/>
      <c r="U48" s="251">
        <f t="shared" si="10"/>
        <v>4273.8715628966083</v>
      </c>
      <c r="V48" s="250">
        <f t="shared" si="22"/>
        <v>102500</v>
      </c>
    </row>
    <row r="49" spans="1:22" ht="12.95" customHeight="1">
      <c r="A49" s="252">
        <v>2.4</v>
      </c>
      <c r="B49" s="252">
        <v>2.4</v>
      </c>
      <c r="C49" s="252">
        <f t="shared" si="6"/>
        <v>2053</v>
      </c>
      <c r="D49" s="250">
        <f t="shared" si="7"/>
        <v>0</v>
      </c>
      <c r="E49" s="250">
        <f t="shared" si="17"/>
        <v>0</v>
      </c>
      <c r="F49" s="252"/>
      <c r="G49" s="252"/>
      <c r="H49" s="251">
        <f t="shared" si="8"/>
        <v>0</v>
      </c>
      <c r="I49" s="250">
        <f t="shared" si="18"/>
        <v>0</v>
      </c>
      <c r="J49" s="252"/>
      <c r="K49" s="251">
        <f t="shared" si="9"/>
        <v>0</v>
      </c>
      <c r="L49" s="250">
        <f t="shared" si="19"/>
        <v>0</v>
      </c>
      <c r="M49" s="252"/>
      <c r="N49" s="252"/>
      <c r="O49" s="251">
        <v>0</v>
      </c>
      <c r="P49" s="250">
        <f t="shared" si="20"/>
        <v>0</v>
      </c>
      <c r="Q49" s="252"/>
      <c r="R49" s="251">
        <v>0</v>
      </c>
      <c r="S49" s="250">
        <f t="shared" si="21"/>
        <v>0</v>
      </c>
      <c r="T49" s="252"/>
      <c r="U49" s="251">
        <f t="shared" si="10"/>
        <v>4376.4444804061268</v>
      </c>
      <c r="V49" s="250">
        <f t="shared" si="22"/>
        <v>104900</v>
      </c>
    </row>
    <row r="50" spans="1:22" ht="12.95" customHeight="1">
      <c r="A50" s="252">
        <v>2.4</v>
      </c>
      <c r="B50" s="252">
        <v>2.4</v>
      </c>
      <c r="C50" s="252">
        <f t="shared" si="6"/>
        <v>2054</v>
      </c>
      <c r="D50" s="250">
        <f t="shared" si="7"/>
        <v>0</v>
      </c>
      <c r="E50" s="250">
        <f t="shared" si="17"/>
        <v>0</v>
      </c>
      <c r="F50" s="252"/>
      <c r="G50" s="252"/>
      <c r="H50" s="251">
        <f t="shared" si="8"/>
        <v>0</v>
      </c>
      <c r="I50" s="250">
        <f t="shared" si="18"/>
        <v>0</v>
      </c>
      <c r="J50" s="252"/>
      <c r="K50" s="251">
        <f t="shared" si="9"/>
        <v>0</v>
      </c>
      <c r="L50" s="250">
        <f t="shared" si="19"/>
        <v>0</v>
      </c>
      <c r="M50" s="252"/>
      <c r="N50" s="252"/>
      <c r="O50" s="251">
        <v>0</v>
      </c>
      <c r="P50" s="250">
        <f t="shared" si="20"/>
        <v>0</v>
      </c>
      <c r="Q50" s="252"/>
      <c r="R50" s="251">
        <v>0</v>
      </c>
      <c r="S50" s="250">
        <f t="shared" si="21"/>
        <v>0</v>
      </c>
      <c r="T50" s="252"/>
      <c r="U50" s="251">
        <f t="shared" si="10"/>
        <v>4481.4791479358737</v>
      </c>
      <c r="V50" s="250">
        <f t="shared" si="22"/>
        <v>107400</v>
      </c>
    </row>
    <row r="51" spans="1:22" ht="12.95" customHeight="1">
      <c r="A51" s="252">
        <v>2.4</v>
      </c>
      <c r="B51" s="252">
        <v>2.4</v>
      </c>
      <c r="C51" s="252">
        <f t="shared" si="6"/>
        <v>2055</v>
      </c>
      <c r="D51" s="250">
        <f t="shared" si="7"/>
        <v>0</v>
      </c>
      <c r="E51" s="250">
        <f t="shared" si="17"/>
        <v>0</v>
      </c>
      <c r="F51" s="252"/>
      <c r="G51" s="252"/>
      <c r="H51" s="251">
        <f t="shared" si="8"/>
        <v>0</v>
      </c>
      <c r="I51" s="250">
        <f t="shared" si="18"/>
        <v>0</v>
      </c>
      <c r="J51" s="252"/>
      <c r="K51" s="251">
        <f t="shared" si="9"/>
        <v>0</v>
      </c>
      <c r="L51" s="250">
        <f t="shared" si="19"/>
        <v>0</v>
      </c>
      <c r="M51" s="252"/>
      <c r="N51" s="252"/>
      <c r="O51" s="251">
        <v>0</v>
      </c>
      <c r="P51" s="250">
        <f t="shared" si="20"/>
        <v>0</v>
      </c>
      <c r="Q51" s="252"/>
      <c r="R51" s="251">
        <v>0</v>
      </c>
      <c r="S51" s="250">
        <f t="shared" si="21"/>
        <v>0</v>
      </c>
      <c r="T51" s="252"/>
      <c r="U51" s="251">
        <f t="shared" si="10"/>
        <v>4589.0346474863345</v>
      </c>
      <c r="V51" s="250">
        <f t="shared" si="22"/>
        <v>110000</v>
      </c>
    </row>
    <row r="52" spans="1:22" ht="12.95" customHeight="1">
      <c r="A52" s="252">
        <v>2.4</v>
      </c>
      <c r="B52" s="252">
        <v>2.4</v>
      </c>
      <c r="C52" s="252">
        <f t="shared" si="6"/>
        <v>2056</v>
      </c>
      <c r="D52" s="250">
        <f t="shared" si="7"/>
        <v>0</v>
      </c>
      <c r="E52" s="250">
        <f t="shared" si="17"/>
        <v>0</v>
      </c>
      <c r="F52" s="252"/>
      <c r="G52" s="252"/>
      <c r="H52" s="251">
        <f t="shared" si="8"/>
        <v>0</v>
      </c>
      <c r="I52" s="250">
        <f t="shared" si="18"/>
        <v>0</v>
      </c>
      <c r="J52" s="252"/>
      <c r="K52" s="251">
        <f t="shared" si="9"/>
        <v>0</v>
      </c>
      <c r="L52" s="250">
        <f t="shared" si="19"/>
        <v>0</v>
      </c>
      <c r="M52" s="252"/>
      <c r="N52" s="252"/>
      <c r="O52" s="251">
        <v>0</v>
      </c>
      <c r="P52" s="250">
        <f t="shared" si="20"/>
        <v>0</v>
      </c>
      <c r="Q52" s="252"/>
      <c r="R52" s="251">
        <v>0</v>
      </c>
      <c r="S52" s="250">
        <f t="shared" si="21"/>
        <v>0</v>
      </c>
      <c r="T52" s="252"/>
      <c r="U52" s="251">
        <f t="shared" si="10"/>
        <v>4699.1714790260066</v>
      </c>
      <c r="V52" s="250">
        <f t="shared" si="22"/>
        <v>112700</v>
      </c>
    </row>
    <row r="53" spans="1:22" ht="12.95" customHeight="1">
      <c r="A53" s="252">
        <v>2.4</v>
      </c>
      <c r="B53" s="252">
        <v>2.4</v>
      </c>
      <c r="C53" s="252">
        <f t="shared" si="6"/>
        <v>2057</v>
      </c>
      <c r="D53" s="250">
        <f t="shared" si="7"/>
        <v>0</v>
      </c>
      <c r="E53" s="250">
        <f t="shared" ref="E53:E56" si="23">ROUND(D53*$D$4*$E$4,-2)</f>
        <v>0</v>
      </c>
      <c r="F53" s="252"/>
      <c r="G53" s="252"/>
      <c r="H53" s="251">
        <f t="shared" si="8"/>
        <v>0</v>
      </c>
      <c r="I53" s="250">
        <f t="shared" ref="I53:I56" si="24">ROUND(H53*$H$4*$I$4,-2)</f>
        <v>0</v>
      </c>
      <c r="J53" s="252"/>
      <c r="K53" s="251">
        <f t="shared" si="9"/>
        <v>0</v>
      </c>
      <c r="L53" s="250">
        <f t="shared" ref="L53:L56" si="25">ROUND(K53*$K$4*$L$4,-2)</f>
        <v>0</v>
      </c>
      <c r="M53" s="252"/>
      <c r="N53" s="252"/>
      <c r="O53" s="251">
        <v>0</v>
      </c>
      <c r="P53" s="250">
        <f t="shared" ref="P53:P56" si="26">ROUND(O53*$O$4*$P$4,-2)</f>
        <v>0</v>
      </c>
      <c r="Q53" s="252"/>
      <c r="R53" s="251">
        <v>0</v>
      </c>
      <c r="S53" s="250">
        <f t="shared" ref="S53:S56" si="27">ROUND(R53*$R$4*$S$4,-2)</f>
        <v>0</v>
      </c>
      <c r="T53" s="252"/>
      <c r="U53" s="251">
        <f t="shared" si="10"/>
        <v>4811.9515945226312</v>
      </c>
      <c r="V53" s="250">
        <f t="shared" ref="V53:V56" si="28">ROUND(U53*$U$4*$V$4,-2)</f>
        <v>115400</v>
      </c>
    </row>
    <row r="54" spans="1:22" ht="12.95" customHeight="1">
      <c r="A54" s="252">
        <v>2.4</v>
      </c>
      <c r="B54" s="252">
        <v>2.4</v>
      </c>
      <c r="C54" s="252">
        <f t="shared" si="6"/>
        <v>2058</v>
      </c>
      <c r="D54" s="250">
        <f t="shared" si="7"/>
        <v>0</v>
      </c>
      <c r="E54" s="250">
        <f t="shared" si="23"/>
        <v>0</v>
      </c>
      <c r="F54" s="252"/>
      <c r="G54" s="252"/>
      <c r="H54" s="251">
        <f t="shared" si="8"/>
        <v>0</v>
      </c>
      <c r="I54" s="250">
        <f t="shared" si="24"/>
        <v>0</v>
      </c>
      <c r="J54" s="252"/>
      <c r="K54" s="251">
        <f t="shared" si="9"/>
        <v>0</v>
      </c>
      <c r="L54" s="250">
        <f t="shared" si="25"/>
        <v>0</v>
      </c>
      <c r="M54" s="252"/>
      <c r="N54" s="252"/>
      <c r="O54" s="251">
        <v>0</v>
      </c>
      <c r="P54" s="250">
        <f t="shared" si="26"/>
        <v>0</v>
      </c>
      <c r="Q54" s="252"/>
      <c r="R54" s="251">
        <v>0</v>
      </c>
      <c r="S54" s="250">
        <f t="shared" si="27"/>
        <v>0</v>
      </c>
      <c r="T54" s="252"/>
      <c r="U54" s="251">
        <f t="shared" si="10"/>
        <v>4927.4384327911748</v>
      </c>
      <c r="V54" s="250">
        <f t="shared" si="28"/>
        <v>118100</v>
      </c>
    </row>
    <row r="55" spans="1:22" ht="12.95" customHeight="1">
      <c r="A55" s="252">
        <v>2.4</v>
      </c>
      <c r="B55" s="252">
        <v>2.4</v>
      </c>
      <c r="C55" s="252">
        <f t="shared" si="6"/>
        <v>2059</v>
      </c>
      <c r="D55" s="250">
        <f t="shared" si="7"/>
        <v>0</v>
      </c>
      <c r="E55" s="250">
        <f t="shared" si="23"/>
        <v>0</v>
      </c>
      <c r="F55" s="252"/>
      <c r="G55" s="252"/>
      <c r="H55" s="251">
        <f t="shared" si="8"/>
        <v>0</v>
      </c>
      <c r="I55" s="250">
        <f t="shared" si="24"/>
        <v>0</v>
      </c>
      <c r="J55" s="252"/>
      <c r="K55" s="251">
        <f t="shared" si="9"/>
        <v>0</v>
      </c>
      <c r="L55" s="250">
        <f t="shared" si="25"/>
        <v>0</v>
      </c>
      <c r="M55" s="252"/>
      <c r="N55" s="252"/>
      <c r="O55" s="251">
        <v>0</v>
      </c>
      <c r="P55" s="250">
        <f t="shared" si="26"/>
        <v>0</v>
      </c>
      <c r="Q55" s="252"/>
      <c r="R55" s="251">
        <v>0</v>
      </c>
      <c r="S55" s="250">
        <f t="shared" si="27"/>
        <v>0</v>
      </c>
      <c r="T55" s="252"/>
      <c r="U55" s="251">
        <f t="shared" si="10"/>
        <v>5045.6969551781631</v>
      </c>
      <c r="V55" s="250">
        <f t="shared" si="28"/>
        <v>121000</v>
      </c>
    </row>
    <row r="56" spans="1:22" ht="12.95" customHeight="1">
      <c r="A56" s="252">
        <v>2.4</v>
      </c>
      <c r="B56" s="252">
        <v>2.4</v>
      </c>
      <c r="C56" s="252">
        <f t="shared" si="6"/>
        <v>2060</v>
      </c>
      <c r="D56" s="250">
        <f t="shared" si="7"/>
        <v>0</v>
      </c>
      <c r="E56" s="250">
        <f t="shared" si="23"/>
        <v>0</v>
      </c>
      <c r="F56" s="252"/>
      <c r="G56" s="252"/>
      <c r="H56" s="251">
        <f t="shared" si="8"/>
        <v>0</v>
      </c>
      <c r="I56" s="250">
        <f t="shared" si="24"/>
        <v>0</v>
      </c>
      <c r="J56" s="252"/>
      <c r="K56" s="251">
        <f t="shared" si="9"/>
        <v>0</v>
      </c>
      <c r="L56" s="250">
        <f t="shared" si="25"/>
        <v>0</v>
      </c>
      <c r="M56" s="252"/>
      <c r="N56" s="252"/>
      <c r="O56" s="251">
        <v>0</v>
      </c>
      <c r="P56" s="250">
        <f t="shared" si="26"/>
        <v>0</v>
      </c>
      <c r="Q56" s="252"/>
      <c r="R56" s="251">
        <v>0</v>
      </c>
      <c r="S56" s="250">
        <f t="shared" si="27"/>
        <v>0</v>
      </c>
      <c r="T56" s="252"/>
      <c r="U56" s="251">
        <f t="shared" si="10"/>
        <v>5166.7936821024387</v>
      </c>
      <c r="V56" s="250">
        <f t="shared" si="28"/>
        <v>123900</v>
      </c>
    </row>
  </sheetData>
  <mergeCells count="1">
    <mergeCell ref="A5:B5"/>
  </mergeCells>
  <phoneticPr fontId="0" type="noConversion"/>
  <printOptions horizontalCentered="1"/>
  <pageMargins left="0.12" right="0.16" top="0.28999999999999998" bottom="0.54" header="0.25" footer="0.25"/>
  <pageSetup scale="71" orientation="landscape" horizontalDpi="300" verticalDpi="300" r:id="rId1"/>
  <headerFooter alignWithMargins="0">
    <oddFooter>&amp;L&amp;10&amp;F  &amp;A&amp;C&amp;10Resource Planning  &amp;P/&amp;N&amp;R&amp;10&amp;D  &amp;T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0">
    <tabColor rgb="FF7030A0"/>
    <pageSetUpPr fitToPage="1"/>
  </sheetPr>
  <dimension ref="A1:AG71"/>
  <sheetViews>
    <sheetView zoomScaleNormal="100" workbookViewId="0">
      <pane xSplit="1" topLeftCell="B1" activePane="topRight" state="frozen"/>
      <selection activeCell="A6" sqref="A6"/>
      <selection pane="topRight" activeCell="AG1" sqref="AG1"/>
    </sheetView>
  </sheetViews>
  <sheetFormatPr defaultColWidth="8.88671875" defaultRowHeight="14.25"/>
  <cols>
    <col min="1" max="1" width="4.6640625" style="18" customWidth="1"/>
    <col min="2" max="2" width="5" style="18" customWidth="1"/>
    <col min="3" max="3" width="6.5546875" style="18" customWidth="1"/>
    <col min="4" max="4" width="4.44140625" style="18" customWidth="1"/>
    <col min="5" max="5" width="7" style="18" customWidth="1"/>
    <col min="6" max="6" width="4.44140625" style="18" customWidth="1"/>
    <col min="7" max="7" width="7.44140625" style="18" bestFit="1" customWidth="1"/>
    <col min="8" max="8" width="9.88671875" style="18" customWidth="1"/>
    <col min="9" max="9" width="3.6640625" style="18" bestFit="1" customWidth="1"/>
    <col min="10" max="10" width="8.33203125" style="18" customWidth="1"/>
    <col min="11" max="11" width="4.44140625" style="18" customWidth="1"/>
    <col min="12" max="12" width="8.109375" style="18" bestFit="1" customWidth="1"/>
    <col min="13" max="13" width="12.109375" style="18" customWidth="1"/>
    <col min="14" max="14" width="5.88671875" style="18" customWidth="1"/>
    <col min="15" max="15" width="6.21875" style="18" customWidth="1"/>
    <col min="16" max="16" width="8.77734375" style="18" customWidth="1"/>
    <col min="17" max="17" width="9.88671875" style="18" customWidth="1"/>
    <col min="18" max="18" width="5.88671875" style="18" customWidth="1"/>
    <col min="19" max="19" width="7" style="18" customWidth="1"/>
    <col min="20" max="20" width="4.33203125" style="18" customWidth="1"/>
    <col min="21" max="21" width="6.21875" style="18" bestFit="1" customWidth="1"/>
    <col min="22" max="22" width="7.33203125" style="18" bestFit="1" customWidth="1"/>
    <col min="23" max="23" width="4.77734375" style="18" bestFit="1" customWidth="1"/>
    <col min="24" max="24" width="4.21875" style="18" customWidth="1"/>
    <col min="25" max="25" width="8.6640625" style="18" customWidth="1"/>
    <col min="26" max="26" width="9.77734375" style="18" customWidth="1"/>
    <col min="27" max="27" width="4.77734375" style="18" bestFit="1" customWidth="1"/>
    <col min="28" max="28" width="5" style="18" bestFit="1" customWidth="1"/>
    <col min="29" max="29" width="7.44140625" style="18" bestFit="1" customWidth="1"/>
    <col min="30" max="30" width="4.21875" style="18" bestFit="1" customWidth="1"/>
    <col min="31" max="31" width="5" style="18" bestFit="1" customWidth="1"/>
    <col min="32" max="32" width="11.109375" style="18" bestFit="1" customWidth="1"/>
    <col min="33" max="33" width="13.33203125" style="18" customWidth="1"/>
    <col min="34" max="34" width="9.21875" style="18" customWidth="1"/>
    <col min="35" max="16384" width="8.88671875" style="18"/>
  </cols>
  <sheetData>
    <row r="1" spans="1:33">
      <c r="A1" s="18" t="s">
        <v>28</v>
      </c>
      <c r="N1" s="25"/>
      <c r="O1" s="25"/>
      <c r="P1" s="25"/>
      <c r="Q1" s="25"/>
      <c r="R1" s="19"/>
      <c r="X1" s="18" t="s">
        <v>56</v>
      </c>
      <c r="AF1" s="18" t="s">
        <v>36</v>
      </c>
    </row>
    <row r="2" spans="1:33" ht="15.75" customHeight="1">
      <c r="B2" s="18" t="s">
        <v>29</v>
      </c>
      <c r="C2" s="14"/>
      <c r="E2" s="156">
        <v>2024</v>
      </c>
      <c r="I2" s="11"/>
      <c r="J2" s="160" t="s">
        <v>102</v>
      </c>
      <c r="K2" s="45"/>
      <c r="L2" s="45"/>
      <c r="M2" s="45"/>
      <c r="N2" s="11"/>
      <c r="O2" s="291" t="s">
        <v>67</v>
      </c>
      <c r="P2" s="292"/>
      <c r="Q2" s="165" t="s">
        <v>37</v>
      </c>
      <c r="R2" s="19"/>
      <c r="S2" s="19"/>
      <c r="X2" s="20" t="s">
        <v>4</v>
      </c>
      <c r="Y2" s="20" t="s">
        <v>30</v>
      </c>
      <c r="Z2" s="20" t="s">
        <v>32</v>
      </c>
      <c r="AF2" s="34">
        <f ca="1">TODAY()</f>
        <v>45393</v>
      </c>
    </row>
    <row r="3" spans="1:33">
      <c r="C3" s="110" t="s">
        <v>33</v>
      </c>
      <c r="E3" s="156">
        <v>10</v>
      </c>
      <c r="F3" s="18" t="s">
        <v>31</v>
      </c>
      <c r="I3" s="16"/>
      <c r="J3" s="14"/>
      <c r="K3" s="14"/>
      <c r="L3" s="14"/>
      <c r="M3" s="14"/>
      <c r="N3" s="16"/>
      <c r="O3" s="15" t="s">
        <v>24</v>
      </c>
      <c r="P3" s="114" t="s">
        <v>113</v>
      </c>
      <c r="Q3" s="169"/>
      <c r="R3" s="1"/>
      <c r="S3" s="6" t="s">
        <v>7</v>
      </c>
      <c r="T3" s="1" t="s">
        <v>25</v>
      </c>
      <c r="U3" s="1" t="s">
        <v>22</v>
      </c>
      <c r="V3" s="1" t="s">
        <v>26</v>
      </c>
      <c r="W3" s="1" t="s">
        <v>27</v>
      </c>
      <c r="X3" s="20">
        <v>2024</v>
      </c>
      <c r="Y3" s="24">
        <v>175418.49376262119</v>
      </c>
      <c r="Z3" s="24">
        <v>172781.92478189708</v>
      </c>
    </row>
    <row r="4" spans="1:33">
      <c r="C4" s="110" t="s">
        <v>89</v>
      </c>
      <c r="E4" s="156">
        <v>2</v>
      </c>
      <c r="F4" s="18" t="s">
        <v>31</v>
      </c>
      <c r="I4" s="16"/>
      <c r="J4" s="12"/>
      <c r="K4" s="12"/>
      <c r="L4" s="12"/>
      <c r="M4" s="157" t="s">
        <v>68</v>
      </c>
      <c r="N4" s="163">
        <v>4.4999999999999998E-2</v>
      </c>
      <c r="O4" s="178">
        <v>0.06</v>
      </c>
      <c r="P4" s="179">
        <v>0.06</v>
      </c>
      <c r="Q4" s="167">
        <f>N10</f>
        <v>4.4999999999999998E-2</v>
      </c>
      <c r="R4" s="1" t="s">
        <v>113</v>
      </c>
      <c r="S4" s="112">
        <f>(T4+(U4*V4)+W4)/100</f>
        <v>0.11100000000000002</v>
      </c>
      <c r="T4" s="242">
        <v>2.5</v>
      </c>
      <c r="U4" s="242">
        <v>6</v>
      </c>
      <c r="V4" s="242">
        <v>1.35</v>
      </c>
      <c r="W4" s="242">
        <v>0.5</v>
      </c>
      <c r="X4" s="20">
        <v>2025</v>
      </c>
      <c r="Y4" s="24">
        <v>200914.81489882924</v>
      </c>
      <c r="Z4" s="24">
        <v>198214.47912030609</v>
      </c>
      <c r="AB4" s="26"/>
      <c r="AC4" s="27" t="s">
        <v>95</v>
      </c>
      <c r="AD4" s="28"/>
    </row>
    <row r="5" spans="1:33">
      <c r="C5" s="110" t="s">
        <v>114</v>
      </c>
      <c r="E5" s="156">
        <v>2</v>
      </c>
      <c r="F5" s="18" t="s">
        <v>31</v>
      </c>
      <c r="I5" s="16"/>
      <c r="J5" s="12"/>
      <c r="K5" s="12"/>
      <c r="L5" s="12"/>
      <c r="M5" s="157" t="s">
        <v>69</v>
      </c>
      <c r="N5" s="164">
        <f>N4/(((1+N4)^40)-1)</f>
        <v>9.3431466095893981E-3</v>
      </c>
      <c r="O5" s="180">
        <v>2.5000000000000001E-2</v>
      </c>
      <c r="P5" s="179">
        <v>2.5000000000000001E-2</v>
      </c>
      <c r="Q5" s="167">
        <f>Q4/(((1+Q4)^35)-1)</f>
        <v>1.2270447836170491E-2</v>
      </c>
      <c r="R5" s="1" t="s">
        <v>24</v>
      </c>
      <c r="S5" s="112">
        <f>(T5+(U5*V5)+W5)/100</f>
        <v>0.11100000000000002</v>
      </c>
      <c r="T5" s="242">
        <v>2.5</v>
      </c>
      <c r="U5" s="242">
        <v>6</v>
      </c>
      <c r="V5" s="242">
        <v>1.35</v>
      </c>
      <c r="W5" s="242">
        <v>0.5</v>
      </c>
      <c r="X5" s="20">
        <v>2026</v>
      </c>
      <c r="Y5" s="24">
        <v>205770.23896270129</v>
      </c>
      <c r="Z5" s="24">
        <v>203004.59130896407</v>
      </c>
      <c r="AB5" s="29"/>
      <c r="AC5" s="19" t="s">
        <v>94</v>
      </c>
      <c r="AD5" s="30"/>
    </row>
    <row r="6" spans="1:33">
      <c r="C6" s="110" t="s">
        <v>86</v>
      </c>
      <c r="E6" s="156">
        <v>0</v>
      </c>
      <c r="F6" s="18" t="s">
        <v>34</v>
      </c>
      <c r="I6" s="16"/>
      <c r="J6" s="12"/>
      <c r="K6" s="12"/>
      <c r="L6" s="157" t="s">
        <v>109</v>
      </c>
      <c r="M6" s="159">
        <v>1.35</v>
      </c>
      <c r="N6" s="164">
        <f>($M$6-1)*N4</f>
        <v>1.5750000000000004E-2</v>
      </c>
      <c r="O6" s="180">
        <f>($M$6-1)*O4</f>
        <v>2.1000000000000005E-2</v>
      </c>
      <c r="P6" s="179">
        <f>($M$6-1)*P4</f>
        <v>2.1000000000000005E-2</v>
      </c>
      <c r="Q6" s="167">
        <f>($M$6-1)*Q4</f>
        <v>1.5750000000000004E-2</v>
      </c>
      <c r="R6" s="19"/>
      <c r="S6" s="19"/>
      <c r="T6" s="158"/>
      <c r="U6" s="159"/>
      <c r="X6" s="20">
        <v>2027</v>
      </c>
      <c r="Y6" s="24">
        <v>210743.38219455534</v>
      </c>
      <c r="Z6" s="24">
        <v>207910.84006610303</v>
      </c>
      <c r="AB6" s="29"/>
      <c r="AC6" s="19" t="s">
        <v>97</v>
      </c>
      <c r="AD6" s="30"/>
    </row>
    <row r="7" spans="1:33">
      <c r="C7" s="110" t="s">
        <v>35</v>
      </c>
      <c r="E7" s="156">
        <v>2</v>
      </c>
      <c r="F7" s="18" t="s">
        <v>31</v>
      </c>
      <c r="I7" s="16"/>
      <c r="J7" s="12"/>
      <c r="K7" s="12"/>
      <c r="L7" s="157" t="s">
        <v>70</v>
      </c>
      <c r="M7" s="14"/>
      <c r="N7" s="164">
        <v>5.0000000000000001E-3</v>
      </c>
      <c r="O7" s="180">
        <v>5.0000000000000001E-3</v>
      </c>
      <c r="P7" s="179">
        <v>5.0000000000000001E-3</v>
      </c>
      <c r="Q7" s="167">
        <v>4.2649999999999997E-3</v>
      </c>
      <c r="R7" s="19"/>
      <c r="S7" s="19"/>
      <c r="T7" s="158"/>
      <c r="U7" s="19"/>
      <c r="X7" s="20">
        <v>2028</v>
      </c>
      <c r="Y7" s="24">
        <v>215837.10829816535</v>
      </c>
      <c r="Z7" s="24">
        <v>212936.05065967399</v>
      </c>
      <c r="AB7" s="29"/>
      <c r="AC7" s="19" t="s">
        <v>98</v>
      </c>
      <c r="AD7" s="30"/>
    </row>
    <row r="8" spans="1:33">
      <c r="I8" s="16"/>
      <c r="J8" s="12"/>
      <c r="K8" s="12"/>
      <c r="L8" s="12"/>
      <c r="M8" s="157" t="s">
        <v>71</v>
      </c>
      <c r="N8" s="161"/>
      <c r="O8" s="168"/>
      <c r="P8" s="166"/>
      <c r="Q8" s="167">
        <v>0.04</v>
      </c>
      <c r="R8" s="19"/>
      <c r="S8" s="19"/>
      <c r="T8" s="158"/>
      <c r="U8" s="19"/>
      <c r="X8" s="20">
        <v>2029</v>
      </c>
      <c r="Y8" s="24">
        <v>221054.35090111851</v>
      </c>
      <c r="Z8" s="24">
        <v>218083.11734537856</v>
      </c>
      <c r="AB8" s="29"/>
      <c r="AC8" s="19"/>
      <c r="AD8" s="30"/>
    </row>
    <row r="9" spans="1:33">
      <c r="I9" s="16"/>
      <c r="J9" s="12"/>
      <c r="K9" s="12"/>
      <c r="L9" s="14"/>
      <c r="M9" s="157" t="s">
        <v>72</v>
      </c>
      <c r="N9" s="163">
        <v>4.4999999999999998E-2</v>
      </c>
      <c r="O9" s="173">
        <f>SUM(O4:O8)</f>
        <v>0.111</v>
      </c>
      <c r="P9" s="174">
        <f>SUM(P4:P8)</f>
        <v>0.111</v>
      </c>
      <c r="Q9" s="175">
        <f>SUM(Q4:Q8)</f>
        <v>0.11728544783617051</v>
      </c>
      <c r="R9" s="19"/>
      <c r="S9" s="19"/>
      <c r="T9" s="158"/>
      <c r="U9" s="162"/>
      <c r="X9" s="20">
        <v>2030</v>
      </c>
      <c r="Y9" s="24">
        <v>226398.11526945868</v>
      </c>
      <c r="Z9" s="24">
        <v>223355.00505843837</v>
      </c>
      <c r="AB9" s="29"/>
      <c r="AC9" s="19"/>
      <c r="AD9" s="30"/>
    </row>
    <row r="10" spans="1:33">
      <c r="C10" s="14"/>
      <c r="E10" s="35"/>
      <c r="I10" s="16"/>
      <c r="J10" s="12"/>
      <c r="K10" s="12"/>
      <c r="L10" s="12"/>
      <c r="M10" s="176" t="s">
        <v>91</v>
      </c>
      <c r="N10" s="181">
        <v>4.4999999999999998E-2</v>
      </c>
      <c r="O10" s="12"/>
      <c r="P10" s="170"/>
      <c r="Q10" s="44"/>
      <c r="R10" s="19"/>
      <c r="S10" s="19"/>
      <c r="T10" s="19"/>
      <c r="U10" s="19"/>
      <c r="X10" s="20">
        <v>2031</v>
      </c>
      <c r="Y10" s="24">
        <v>231871.48006458479</v>
      </c>
      <c r="Z10" s="24">
        <v>228754.75114705905</v>
      </c>
      <c r="AB10" s="29"/>
      <c r="AC10" s="19"/>
      <c r="AD10" s="30"/>
    </row>
    <row r="11" spans="1:33">
      <c r="C11" s="111"/>
      <c r="E11" s="155"/>
      <c r="H11" s="113"/>
      <c r="I11" s="17"/>
      <c r="J11" s="13"/>
      <c r="K11" s="13"/>
      <c r="L11" s="13"/>
      <c r="M11" s="176" t="s">
        <v>90</v>
      </c>
      <c r="N11" s="181">
        <v>4.4999999999999998E-2</v>
      </c>
      <c r="O11" s="13"/>
      <c r="P11" s="171"/>
      <c r="Q11" s="172"/>
      <c r="R11" s="19"/>
      <c r="S11" s="19"/>
      <c r="X11" s="20">
        <v>2032</v>
      </c>
      <c r="Y11" s="24">
        <v>215824.74043490711</v>
      </c>
      <c r="Z11" s="24">
        <v>213061.58155244979</v>
      </c>
      <c r="AB11" s="29"/>
      <c r="AC11" s="19"/>
      <c r="AD11" s="30"/>
    </row>
    <row r="12" spans="1:33">
      <c r="A12" s="18" t="s">
        <v>92</v>
      </c>
      <c r="R12" s="19"/>
      <c r="X12" s="20">
        <v>2033</v>
      </c>
      <c r="Y12" s="24">
        <v>198388.61984555583</v>
      </c>
      <c r="Z12" s="24">
        <v>196006.88714746793</v>
      </c>
      <c r="AB12" s="31"/>
      <c r="AC12" s="32"/>
      <c r="AD12" s="33"/>
    </row>
    <row r="14" spans="1:33" ht="15">
      <c r="B14" s="26" t="s">
        <v>24</v>
      </c>
      <c r="C14" s="27"/>
      <c r="D14" s="27"/>
      <c r="E14" s="27"/>
      <c r="F14" s="27"/>
      <c r="G14" s="27"/>
      <c r="H14" s="28"/>
      <c r="I14" s="246" t="s">
        <v>117</v>
      </c>
      <c r="J14" s="27"/>
      <c r="K14" s="27"/>
      <c r="L14" s="27"/>
      <c r="M14" s="28"/>
      <c r="N14" s="26" t="s">
        <v>37</v>
      </c>
      <c r="O14" s="27"/>
      <c r="P14" s="27"/>
      <c r="Q14" s="28"/>
      <c r="R14" s="26" t="s">
        <v>38</v>
      </c>
      <c r="S14" s="27"/>
      <c r="T14" s="27"/>
      <c r="U14" s="28"/>
      <c r="V14" s="26" t="s">
        <v>39</v>
      </c>
      <c r="W14" s="27"/>
      <c r="X14" s="27"/>
      <c r="Y14" s="27"/>
      <c r="Z14" s="27"/>
      <c r="AA14" s="27"/>
      <c r="AB14" s="28"/>
      <c r="AC14" s="26" t="s">
        <v>99</v>
      </c>
      <c r="AD14" s="27"/>
      <c r="AE14" s="27"/>
      <c r="AF14" s="26"/>
      <c r="AG14" s="28" t="s">
        <v>107</v>
      </c>
    </row>
    <row r="15" spans="1:33">
      <c r="B15" s="29"/>
      <c r="C15" s="138" t="s">
        <v>20</v>
      </c>
      <c r="D15" s="139" t="s">
        <v>20</v>
      </c>
      <c r="E15" s="139" t="s">
        <v>44</v>
      </c>
      <c r="F15" s="139" t="s">
        <v>44</v>
      </c>
      <c r="G15" s="140" t="s">
        <v>42</v>
      </c>
      <c r="H15" s="141" t="s">
        <v>45</v>
      </c>
      <c r="I15" s="29"/>
      <c r="J15" s="143"/>
      <c r="K15" s="144"/>
      <c r="L15" s="145" t="s">
        <v>42</v>
      </c>
      <c r="M15" s="146" t="s">
        <v>45</v>
      </c>
      <c r="N15" s="29"/>
      <c r="O15" s="26"/>
      <c r="P15" s="140" t="s">
        <v>42</v>
      </c>
      <c r="Q15" s="141" t="s">
        <v>45</v>
      </c>
      <c r="S15" s="149"/>
      <c r="T15" s="150"/>
      <c r="U15" s="146" t="s">
        <v>41</v>
      </c>
      <c r="V15" s="138" t="s">
        <v>24</v>
      </c>
      <c r="W15" s="139"/>
      <c r="X15" s="144" t="s">
        <v>113</v>
      </c>
      <c r="Y15" s="144"/>
      <c r="Z15" s="153" t="s">
        <v>101</v>
      </c>
      <c r="AA15" s="153"/>
      <c r="AB15" s="146" t="s">
        <v>42</v>
      </c>
      <c r="AC15" s="26"/>
      <c r="AD15" s="27"/>
      <c r="AE15" s="146" t="s">
        <v>42</v>
      </c>
      <c r="AF15" s="29" t="s">
        <v>42</v>
      </c>
      <c r="AG15" s="30" t="s">
        <v>108</v>
      </c>
    </row>
    <row r="16" spans="1:33">
      <c r="B16" s="29" t="s">
        <v>43</v>
      </c>
      <c r="C16" s="48"/>
      <c r="D16" s="49"/>
      <c r="E16" s="49"/>
      <c r="F16" s="49"/>
      <c r="G16" s="21" t="s">
        <v>40</v>
      </c>
      <c r="H16" s="38" t="s">
        <v>46</v>
      </c>
      <c r="I16" s="29" t="s">
        <v>66</v>
      </c>
      <c r="J16" s="147"/>
      <c r="K16" s="50"/>
      <c r="L16" s="22" t="s">
        <v>40</v>
      </c>
      <c r="M16" s="41" t="s">
        <v>87</v>
      </c>
      <c r="N16" s="29" t="s">
        <v>66</v>
      </c>
      <c r="O16" s="29"/>
      <c r="P16" s="21" t="s">
        <v>40</v>
      </c>
      <c r="Q16" s="38" t="s">
        <v>46</v>
      </c>
      <c r="R16" s="29" t="s">
        <v>43</v>
      </c>
      <c r="S16" s="151" t="s">
        <v>47</v>
      </c>
      <c r="T16" s="115" t="s">
        <v>48</v>
      </c>
      <c r="U16" s="41" t="s">
        <v>74</v>
      </c>
      <c r="V16" s="48" t="s">
        <v>66</v>
      </c>
      <c r="W16" s="49"/>
      <c r="X16" s="50" t="s">
        <v>66</v>
      </c>
      <c r="Y16" s="50"/>
      <c r="Z16" s="55" t="s">
        <v>66</v>
      </c>
      <c r="AA16" s="55"/>
      <c r="AB16" s="41" t="s">
        <v>40</v>
      </c>
      <c r="AC16" s="29"/>
      <c r="AD16" s="19" t="s">
        <v>49</v>
      </c>
      <c r="AE16" s="41" t="s">
        <v>40</v>
      </c>
      <c r="AF16" s="29" t="s">
        <v>106</v>
      </c>
      <c r="AG16" s="30" t="s">
        <v>106</v>
      </c>
    </row>
    <row r="17" spans="1:33">
      <c r="A17" s="18" t="s">
        <v>2</v>
      </c>
      <c r="B17" s="29" t="s">
        <v>50</v>
      </c>
      <c r="C17" s="184" t="s">
        <v>51</v>
      </c>
      <c r="D17" s="185" t="s">
        <v>21</v>
      </c>
      <c r="E17" s="185" t="s">
        <v>51</v>
      </c>
      <c r="F17" s="185" t="s">
        <v>21</v>
      </c>
      <c r="G17" s="21" t="s">
        <v>52</v>
      </c>
      <c r="H17" s="38" t="s">
        <v>52</v>
      </c>
      <c r="I17" s="29" t="s">
        <v>50</v>
      </c>
      <c r="J17" s="147" t="s">
        <v>51</v>
      </c>
      <c r="K17" s="50" t="s">
        <v>21</v>
      </c>
      <c r="L17" s="22" t="s">
        <v>52</v>
      </c>
      <c r="M17" s="41" t="s">
        <v>52</v>
      </c>
      <c r="N17" s="29" t="s">
        <v>50</v>
      </c>
      <c r="O17" s="31" t="s">
        <v>51</v>
      </c>
      <c r="P17" s="39" t="s">
        <v>52</v>
      </c>
      <c r="Q17" s="40" t="s">
        <v>52</v>
      </c>
      <c r="R17" s="29" t="s">
        <v>50</v>
      </c>
      <c r="S17" s="152" t="s">
        <v>53</v>
      </c>
      <c r="T17" s="116" t="s">
        <v>21</v>
      </c>
      <c r="U17" s="43" t="s">
        <v>52</v>
      </c>
      <c r="V17" s="142" t="s">
        <v>50</v>
      </c>
      <c r="W17" s="106" t="s">
        <v>54</v>
      </c>
      <c r="X17" s="105" t="s">
        <v>50</v>
      </c>
      <c r="Y17" s="105" t="s">
        <v>54</v>
      </c>
      <c r="Z17" s="154" t="s">
        <v>50</v>
      </c>
      <c r="AA17" s="154" t="s">
        <v>54</v>
      </c>
      <c r="AB17" s="43" t="s">
        <v>52</v>
      </c>
      <c r="AC17" s="31" t="s">
        <v>88</v>
      </c>
      <c r="AD17" s="32" t="s">
        <v>21</v>
      </c>
      <c r="AE17" s="43" t="s">
        <v>52</v>
      </c>
      <c r="AF17" s="31" t="s">
        <v>52</v>
      </c>
      <c r="AG17" s="33" t="s">
        <v>52</v>
      </c>
    </row>
    <row r="18" spans="1:33">
      <c r="A18" s="117">
        <f>CapCosts!C20</f>
        <v>2024</v>
      </c>
      <c r="B18" s="26">
        <f>CapCosts!B20</f>
        <v>2.4</v>
      </c>
      <c r="C18" s="57">
        <f>CapCosts!O11</f>
        <v>0</v>
      </c>
      <c r="D18" s="27">
        <f>IF(A18&gt;$E$2+$E$3-1,0,IF(A18&lt;$E$2,0,Additions!E10))</f>
        <v>0</v>
      </c>
      <c r="E18" s="57">
        <f>CapCosts!K11</f>
        <v>0</v>
      </c>
      <c r="F18" s="27">
        <f>IF(A18&gt;$E$2+$E$3-1,0,IF(A18&lt;$E$2,0,Additions!C10))</f>
        <v>0</v>
      </c>
      <c r="G18" s="123">
        <f>C18*D18+E18*F18</f>
        <v>0</v>
      </c>
      <c r="H18" s="130">
        <f t="shared" ref="H18:H38" si="0">PV($N$11,32,-$P$9*G18)</f>
        <v>0</v>
      </c>
      <c r="I18" s="27">
        <f>CapCosts!A20</f>
        <v>2.4</v>
      </c>
      <c r="J18" s="283">
        <f>CapCosts!U20</f>
        <v>2200</v>
      </c>
      <c r="K18" s="27">
        <f>IF(A18&gt;$E$2+$E$3-1,0,IF(A18&lt;$E$2,0,Additions!H10))</f>
        <v>0</v>
      </c>
      <c r="L18" s="123">
        <f>J18*K18</f>
        <v>0</v>
      </c>
      <c r="M18" s="133">
        <f>PV($N$11,32,-$P$9*'AC Cost'!L18)</f>
        <v>0</v>
      </c>
      <c r="N18" s="27">
        <v>3</v>
      </c>
      <c r="O18" s="182">
        <v>88.55</v>
      </c>
      <c r="P18" s="124">
        <f>IF(A18&lt;$E$2,0,(D19+F19+K19)*O18)</f>
        <v>442.75</v>
      </c>
      <c r="Q18" s="133">
        <f t="shared" ref="Q18:Q38" si="1">PV($N$11,32,-$Q$9*P18)</f>
        <v>871.81574134412347</v>
      </c>
      <c r="R18" s="27">
        <v>3</v>
      </c>
      <c r="S18" s="183">
        <v>3.07</v>
      </c>
      <c r="T18" s="123">
        <f>IF($A18&gt;$E$2+$E$3-1,0,IF($A18&lt;$E$2,0,Additions!F10))</f>
        <v>0</v>
      </c>
      <c r="U18" s="60">
        <f>S18*T18*6</f>
        <v>0</v>
      </c>
      <c r="V18" s="27">
        <v>1.5</v>
      </c>
      <c r="W18" s="108">
        <v>5.83</v>
      </c>
      <c r="X18" s="27">
        <v>1.5</v>
      </c>
      <c r="Y18" s="108">
        <v>5.83</v>
      </c>
      <c r="Z18" s="27">
        <v>1.5</v>
      </c>
      <c r="AA18" s="107">
        <v>0</v>
      </c>
      <c r="AB18" s="53">
        <f>IF($A18&gt;$E$2+$E$3-1,0,(SUM($D$18:D18)+SUM($F$18:F18))*W18+SUM($K$18:K18)*Y18+SUM($U$18:U18)*AA18)</f>
        <v>0</v>
      </c>
      <c r="AC18" s="27"/>
      <c r="AD18" s="27"/>
      <c r="AE18" s="28"/>
      <c r="AF18" s="125">
        <f>H18+M18+Q18+U18+AB18</f>
        <v>871.81574134412347</v>
      </c>
      <c r="AG18" s="130">
        <f t="shared" ref="AG18:AG38" si="2">PV($N$11,A18-$E$2,,-AF18,)</f>
        <v>871.81574134412347</v>
      </c>
    </row>
    <row r="19" spans="1:33">
      <c r="A19" s="118">
        <f>A18+1</f>
        <v>2025</v>
      </c>
      <c r="B19" s="29">
        <f>CapCosts!B21</f>
        <v>2.4</v>
      </c>
      <c r="C19" s="58">
        <f>CapCosts!O12</f>
        <v>0</v>
      </c>
      <c r="D19" s="19">
        <f>IF(A19&gt;$E$2+$E$3-1,0,IF(A19&lt;$E$2,0,Additions!E11))</f>
        <v>0</v>
      </c>
      <c r="E19" s="58">
        <f>CapCosts!K12</f>
        <v>0</v>
      </c>
      <c r="F19" s="19">
        <f>IF(A19&gt;$E$2+$E$3-1,0,IF(A19&lt;$E$2,0,Additions!C11))</f>
        <v>0</v>
      </c>
      <c r="G19" s="119">
        <f>C19*D19+E19*F19</f>
        <v>0</v>
      </c>
      <c r="H19" s="131">
        <f t="shared" si="0"/>
        <v>0</v>
      </c>
      <c r="I19" s="27">
        <f>CapCosts!A21</f>
        <v>2.4</v>
      </c>
      <c r="J19" s="284">
        <f>CapCosts!U21</f>
        <v>2252.8000000000002</v>
      </c>
      <c r="K19" s="19">
        <f>IF(A19&gt;$E$2+$E$3-1,0,IF(A19&lt;$E$2,0,Additions!H11))</f>
        <v>5</v>
      </c>
      <c r="L19" s="119">
        <f t="shared" ref="L19:L38" si="3">J19*K19</f>
        <v>11264</v>
      </c>
      <c r="M19" s="134">
        <f>PV($N$11,32,-$P$9*'AC Cost'!L19)</f>
        <v>20991.217401138703</v>
      </c>
      <c r="N19" s="19">
        <v>3</v>
      </c>
      <c r="O19" s="122">
        <f>O18*(1+N19/100)</f>
        <v>91.206500000000005</v>
      </c>
      <c r="P19" s="120">
        <f t="shared" ref="P19:P38" si="4">IF(A19&lt;$E$2,0,(D20+F20+K20)*O19)</f>
        <v>456.03250000000003</v>
      </c>
      <c r="Q19" s="134">
        <f t="shared" si="1"/>
        <v>897.97021358444727</v>
      </c>
      <c r="R19" s="19">
        <v>3</v>
      </c>
      <c r="S19" s="46">
        <f>S18*(1+R19/100)</f>
        <v>3.1621000000000001</v>
      </c>
      <c r="T19" s="119">
        <f>IF($A19&gt;$E$2+$E$3-1,0,IF($A19&lt;$E$2,0,Additions!F11))</f>
        <v>0</v>
      </c>
      <c r="U19" s="136">
        <f t="shared" ref="U19:U38" si="5">S19*T19*6</f>
        <v>0</v>
      </c>
      <c r="V19" s="19">
        <v>1.5</v>
      </c>
      <c r="W19" s="46">
        <f>W18*(1+V19/100)</f>
        <v>5.9174499999999997</v>
      </c>
      <c r="X19" s="19">
        <v>1.5</v>
      </c>
      <c r="Y19" s="46">
        <f>Y18*(1+X19/100)</f>
        <v>5.9174499999999997</v>
      </c>
      <c r="Z19" s="19">
        <v>1.5</v>
      </c>
      <c r="AA19" s="46">
        <f>AA18*(1+Z19/100)</f>
        <v>0</v>
      </c>
      <c r="AB19" s="51">
        <f>IF($A19&gt;$E$2+$E$3-1,0,(SUM($D$18:D19)+SUM($F$18:F19))*W19+SUM($K$18:K19)*Y19+SUM($U$18:U19)*AA19)</f>
        <v>29.587249999999997</v>
      </c>
      <c r="AC19" s="19"/>
      <c r="AD19" s="19"/>
      <c r="AE19" s="30"/>
      <c r="AF19" s="121">
        <f t="shared" ref="AF19:AF38" si="6">H19+M19+Q19+U19+AB19</f>
        <v>21918.774864723153</v>
      </c>
      <c r="AG19" s="131">
        <f t="shared" si="2"/>
        <v>20974.90417676857</v>
      </c>
    </row>
    <row r="20" spans="1:33">
      <c r="A20" s="118">
        <f t="shared" ref="A20:A38" si="7">A19+1</f>
        <v>2026</v>
      </c>
      <c r="B20" s="29">
        <f>CapCosts!B22</f>
        <v>2.4</v>
      </c>
      <c r="C20" s="58">
        <f>CapCosts!O13</f>
        <v>0</v>
      </c>
      <c r="D20" s="19">
        <f>IF(A20&gt;$E$2+$E$3-1,0,IF(A20&lt;$E$2,0,Additions!E12))</f>
        <v>0</v>
      </c>
      <c r="E20" s="58">
        <f>CapCosts!K13</f>
        <v>0</v>
      </c>
      <c r="F20" s="19">
        <f>IF(A20&gt;$E$2+$E$3-1,0,IF(A20&lt;$E$2,0,Additions!C12))</f>
        <v>0</v>
      </c>
      <c r="G20" s="119">
        <f t="shared" ref="G20:G38" si="8">C20*D20+E20*F20</f>
        <v>0</v>
      </c>
      <c r="H20" s="131">
        <f t="shared" si="0"/>
        <v>0</v>
      </c>
      <c r="I20" s="27">
        <f>CapCosts!A22</f>
        <v>2.4</v>
      </c>
      <c r="J20" s="284">
        <f>CapCosts!U22</f>
        <v>2306.8672000000001</v>
      </c>
      <c r="K20" s="19">
        <f>IF(A20&gt;$E$2+$E$3-1,0,IF(A20&lt;$E$2,0,Additions!H12))</f>
        <v>5</v>
      </c>
      <c r="L20" s="119">
        <f t="shared" si="3"/>
        <v>11534.336000000001</v>
      </c>
      <c r="M20" s="134">
        <f>PV($N$11,32,-$P$9*'AC Cost'!L20)</f>
        <v>21495.00661876603</v>
      </c>
      <c r="N20" s="19">
        <v>3</v>
      </c>
      <c r="O20" s="122">
        <f t="shared" ref="O20:O38" si="9">O19*(1+N20/100)</f>
        <v>93.942695000000015</v>
      </c>
      <c r="P20" s="120">
        <f t="shared" si="4"/>
        <v>469.71347500000007</v>
      </c>
      <c r="Q20" s="134">
        <f t="shared" si="1"/>
        <v>924.90931999198074</v>
      </c>
      <c r="R20" s="19">
        <v>3</v>
      </c>
      <c r="S20" s="46">
        <f t="shared" ref="S20:S38" si="10">S19*(1+R20/100)</f>
        <v>3.2569630000000003</v>
      </c>
      <c r="T20" s="119">
        <f>IF($A20&gt;$E$2+$E$3-1,0,IF($A20&lt;$E$2,0,Additions!F12))</f>
        <v>0</v>
      </c>
      <c r="U20" s="136">
        <f t="shared" si="5"/>
        <v>0</v>
      </c>
      <c r="V20" s="19">
        <v>1.5</v>
      </c>
      <c r="W20" s="46">
        <f t="shared" ref="W20:W38" si="11">W19*(1+V20/100)</f>
        <v>6.0062117499999994</v>
      </c>
      <c r="X20" s="19">
        <v>1.5</v>
      </c>
      <c r="Y20" s="46">
        <f t="shared" ref="Y20:Y38" si="12">Y19*(1+X20/100)</f>
        <v>6.0062117499999994</v>
      </c>
      <c r="Z20" s="19">
        <v>1.5</v>
      </c>
      <c r="AA20" s="46">
        <f t="shared" ref="AA20:AA38" si="13">AA19*(1+Z20/100)</f>
        <v>0</v>
      </c>
      <c r="AB20" s="51">
        <f>IF($A20&gt;$E$2+$E$3-1,0,(SUM($D$18:D20)+SUM($F$18:F20))*W20+SUM($K$18:K20)*Y20+SUM($U$18:U20)*AA20)</f>
        <v>60.062117499999992</v>
      </c>
      <c r="AC20" s="19"/>
      <c r="AD20" s="19"/>
      <c r="AE20" s="30"/>
      <c r="AF20" s="121">
        <f t="shared" si="6"/>
        <v>22479.978056258013</v>
      </c>
      <c r="AG20" s="131">
        <f t="shared" si="2"/>
        <v>20585.589209274527</v>
      </c>
    </row>
    <row r="21" spans="1:33">
      <c r="A21" s="118">
        <f t="shared" si="7"/>
        <v>2027</v>
      </c>
      <c r="B21" s="29">
        <f>CapCosts!B23</f>
        <v>2.4</v>
      </c>
      <c r="C21" s="58">
        <f>CapCosts!O14</f>
        <v>0</v>
      </c>
      <c r="D21" s="19">
        <f>IF(A21&gt;$E$2+$E$3-1,0,IF(A21&lt;$E$2,0,Additions!E13))</f>
        <v>0</v>
      </c>
      <c r="E21" s="58">
        <f>CapCosts!K14</f>
        <v>0</v>
      </c>
      <c r="F21" s="19">
        <f>IF(A21&gt;$E$2+$E$3-1,0,IF(A21&lt;$E$2,0,Additions!C13))</f>
        <v>0</v>
      </c>
      <c r="G21" s="119">
        <f t="shared" si="8"/>
        <v>0</v>
      </c>
      <c r="H21" s="131">
        <f t="shared" si="0"/>
        <v>0</v>
      </c>
      <c r="I21" s="27">
        <f>CapCosts!A23</f>
        <v>2.4</v>
      </c>
      <c r="J21" s="284">
        <f>CapCosts!U23</f>
        <v>2362.2320128000001</v>
      </c>
      <c r="K21" s="19">
        <f>IF(A21&gt;$E$2+$E$3-1,0,IF(A21&lt;$E$2,0,Additions!H13))</f>
        <v>5</v>
      </c>
      <c r="L21" s="119">
        <f t="shared" si="3"/>
        <v>11811.160064</v>
      </c>
      <c r="M21" s="134">
        <f>PV($N$11,32,-$P$9*'AC Cost'!L21)</f>
        <v>22010.886777616415</v>
      </c>
      <c r="N21" s="19">
        <v>3</v>
      </c>
      <c r="O21" s="122">
        <f t="shared" si="9"/>
        <v>96.760975850000023</v>
      </c>
      <c r="P21" s="120">
        <f t="shared" si="4"/>
        <v>483.80487925000011</v>
      </c>
      <c r="Q21" s="134">
        <f t="shared" si="1"/>
        <v>952.65659959174025</v>
      </c>
      <c r="R21" s="19">
        <v>3</v>
      </c>
      <c r="S21" s="46">
        <f t="shared" si="10"/>
        <v>3.3546718900000005</v>
      </c>
      <c r="T21" s="119">
        <f>IF($A21&gt;$E$2+$E$3-1,0,IF($A21&lt;$E$2,0,Additions!F13))</f>
        <v>0</v>
      </c>
      <c r="U21" s="136">
        <f t="shared" si="5"/>
        <v>0</v>
      </c>
      <c r="V21" s="19">
        <v>1.5</v>
      </c>
      <c r="W21" s="46">
        <f t="shared" si="11"/>
        <v>6.0963049262499984</v>
      </c>
      <c r="X21" s="19">
        <v>1.5</v>
      </c>
      <c r="Y21" s="46">
        <f t="shared" si="12"/>
        <v>6.0963049262499984</v>
      </c>
      <c r="Z21" s="19">
        <v>1.5</v>
      </c>
      <c r="AA21" s="46">
        <f t="shared" si="13"/>
        <v>0</v>
      </c>
      <c r="AB21" s="51">
        <f>IF($A21&gt;$E$2+$E$3-1,0,(SUM($D$18:D21)+SUM($F$18:F21))*W21+SUM($K$18:K21)*Y21+SUM($U$18:U21)*AA21)</f>
        <v>91.444573893749975</v>
      </c>
      <c r="AC21" s="19"/>
      <c r="AD21" s="19"/>
      <c r="AE21" s="30"/>
      <c r="AF21" s="121">
        <f t="shared" si="6"/>
        <v>23054.987951101906</v>
      </c>
      <c r="AG21" s="131">
        <f t="shared" si="2"/>
        <v>20203.007648077451</v>
      </c>
    </row>
    <row r="22" spans="1:33">
      <c r="A22" s="118">
        <f t="shared" si="7"/>
        <v>2028</v>
      </c>
      <c r="B22" s="31">
        <f>CapCosts!B24</f>
        <v>2.4</v>
      </c>
      <c r="C22" s="59">
        <f>CapCosts!O15</f>
        <v>0</v>
      </c>
      <c r="D22" s="32">
        <f>IF(A22&gt;$E$2+$E$3-1,0,IF(A22&lt;$E$2,0,Additions!E14))</f>
        <v>0</v>
      </c>
      <c r="E22" s="59">
        <f>CapCosts!K15</f>
        <v>0</v>
      </c>
      <c r="F22" s="32">
        <f>IF(A22&gt;$E$2+$E$3-1,0,IF(A22&lt;$E$2,0,Additions!C14))</f>
        <v>0</v>
      </c>
      <c r="G22" s="126">
        <f t="shared" si="8"/>
        <v>0</v>
      </c>
      <c r="H22" s="132">
        <f t="shared" si="0"/>
        <v>0</v>
      </c>
      <c r="I22" s="27">
        <f>CapCosts!A24</f>
        <v>2.4</v>
      </c>
      <c r="J22" s="285">
        <f>CapCosts!U24</f>
        <v>2418.9255811072003</v>
      </c>
      <c r="K22" s="32">
        <f>IF(A22&gt;$E$2+$E$3-1,0,IF(A22&lt;$E$2,0,Additions!H14))</f>
        <v>5</v>
      </c>
      <c r="L22" s="126">
        <f t="shared" si="3"/>
        <v>12094.627905536001</v>
      </c>
      <c r="M22" s="135">
        <f>PV($N$11,32,-$P$9*'AC Cost'!L22)</f>
        <v>22539.148060279207</v>
      </c>
      <c r="N22" s="32">
        <v>3</v>
      </c>
      <c r="O22" s="127">
        <f t="shared" si="9"/>
        <v>99.663805125500019</v>
      </c>
      <c r="P22" s="128">
        <f t="shared" si="4"/>
        <v>498.31902562750008</v>
      </c>
      <c r="Q22" s="135">
        <f t="shared" si="1"/>
        <v>981.23629757949243</v>
      </c>
      <c r="R22" s="32">
        <v>3</v>
      </c>
      <c r="S22" s="47">
        <f t="shared" si="10"/>
        <v>3.4553120467000005</v>
      </c>
      <c r="T22" s="126">
        <f>IF($A22&gt;$E$2+$E$3-1,0,IF($A22&lt;$E$2,0,Additions!F14))</f>
        <v>0</v>
      </c>
      <c r="U22" s="137">
        <f t="shared" si="5"/>
        <v>0</v>
      </c>
      <c r="V22" s="32">
        <v>1.5</v>
      </c>
      <c r="W22" s="47">
        <f t="shared" si="11"/>
        <v>6.1877495001437479</v>
      </c>
      <c r="X22" s="32">
        <v>1.5</v>
      </c>
      <c r="Y22" s="47">
        <f t="shared" si="12"/>
        <v>6.1877495001437479</v>
      </c>
      <c r="Z22" s="32">
        <v>1.5</v>
      </c>
      <c r="AA22" s="47">
        <f t="shared" si="13"/>
        <v>0</v>
      </c>
      <c r="AB22" s="54">
        <f>IF($A22&gt;$E$2+$E$3-1,0,(SUM($D$18:D22)+SUM($F$18:F22))*W22+SUM($K$18:K22)*Y22+SUM($U$18:U22)*AA22)</f>
        <v>123.75499000287496</v>
      </c>
      <c r="AC22" s="32"/>
      <c r="AD22" s="32"/>
      <c r="AE22" s="33"/>
      <c r="AF22" s="129">
        <f t="shared" si="6"/>
        <v>23644.139347861576</v>
      </c>
      <c r="AG22" s="132">
        <f t="shared" si="2"/>
        <v>19827.061259648002</v>
      </c>
    </row>
    <row r="23" spans="1:33">
      <c r="A23" s="118">
        <f t="shared" si="7"/>
        <v>2029</v>
      </c>
      <c r="B23" s="26">
        <f>CapCosts!B25</f>
        <v>2.4</v>
      </c>
      <c r="C23" s="57">
        <f>CapCosts!O16</f>
        <v>0</v>
      </c>
      <c r="D23" s="27">
        <f>IF(A23&gt;$E$2+$E$3-1,0,IF(A23&lt;$E$2,0,Additions!E15))</f>
        <v>0</v>
      </c>
      <c r="E23" s="57">
        <f>CapCosts!K16</f>
        <v>0</v>
      </c>
      <c r="F23" s="27">
        <f>IF(A23&gt;$E$2+$E$3-1,0,IF(A23&lt;$E$2,0,Additions!C15))</f>
        <v>0</v>
      </c>
      <c r="G23" s="123">
        <f t="shared" si="8"/>
        <v>0</v>
      </c>
      <c r="H23" s="130">
        <f t="shared" si="0"/>
        <v>0</v>
      </c>
      <c r="I23" s="27">
        <f>CapCosts!A25</f>
        <v>2.4</v>
      </c>
      <c r="J23" s="58">
        <f>CapCosts!U25</f>
        <v>2476.9797950537732</v>
      </c>
      <c r="K23" s="19">
        <f>IF(A23&gt;$E$2+$E$3-1,0,IF(A23&lt;$E$2,0,Additions!H15))</f>
        <v>5</v>
      </c>
      <c r="L23" s="119">
        <f t="shared" si="3"/>
        <v>12384.898975268865</v>
      </c>
      <c r="M23" s="134">
        <f>PV($N$11,32,-$P$9*'AC Cost'!L23)</f>
        <v>23080.087613725911</v>
      </c>
      <c r="N23" s="19">
        <v>3</v>
      </c>
      <c r="O23" s="122">
        <f t="shared" si="9"/>
        <v>102.65371927926502</v>
      </c>
      <c r="P23" s="120">
        <f t="shared" si="4"/>
        <v>513.26859639632505</v>
      </c>
      <c r="Q23" s="134">
        <f t="shared" si="1"/>
        <v>1010.673386506877</v>
      </c>
      <c r="R23" s="19">
        <v>3</v>
      </c>
      <c r="S23" s="46">
        <f t="shared" si="10"/>
        <v>3.5589714081010007</v>
      </c>
      <c r="T23" s="119">
        <f>IF($A23&gt;$E$2+$E$3-1,0,IF($A23&lt;$E$2,0,Additions!F15))</f>
        <v>0</v>
      </c>
      <c r="U23" s="136">
        <f t="shared" si="5"/>
        <v>0</v>
      </c>
      <c r="V23" s="19">
        <v>1.5</v>
      </c>
      <c r="W23" s="46">
        <f t="shared" si="11"/>
        <v>6.2805657426459032</v>
      </c>
      <c r="X23" s="19">
        <v>1.5</v>
      </c>
      <c r="Y23" s="46">
        <f t="shared" si="12"/>
        <v>6.2805657426459032</v>
      </c>
      <c r="Z23" s="19">
        <v>1.5</v>
      </c>
      <c r="AA23" s="46">
        <f t="shared" si="13"/>
        <v>0</v>
      </c>
      <c r="AB23" s="51">
        <f>IF($A23&gt;$E$2+$E$3-1,0,(SUM($D$18:D23)+SUM($F$18:F23))*W23+SUM($K$18:K23)*Y23+SUM($U$18:U23)*AA23)</f>
        <v>157.01414356614757</v>
      </c>
      <c r="AC23" s="19"/>
      <c r="AD23" s="19"/>
      <c r="AE23" s="30"/>
      <c r="AF23" s="121">
        <f t="shared" si="6"/>
        <v>24247.775143798935</v>
      </c>
      <c r="AG23" s="131">
        <f t="shared" si="2"/>
        <v>19457.652539454732</v>
      </c>
    </row>
    <row r="24" spans="1:33">
      <c r="A24" s="118">
        <f t="shared" si="7"/>
        <v>2030</v>
      </c>
      <c r="B24" s="29">
        <f>CapCosts!B26</f>
        <v>2.4</v>
      </c>
      <c r="C24" s="58">
        <f>CapCosts!O17</f>
        <v>0</v>
      </c>
      <c r="D24" s="19">
        <f>IF(A24&gt;$E$2+$E$3-1,0,IF(A24&lt;$E$2,0,Additions!E16))</f>
        <v>0</v>
      </c>
      <c r="E24" s="58">
        <f>CapCosts!K17</f>
        <v>0</v>
      </c>
      <c r="F24" s="19">
        <f>IF(A24&gt;$E$2+$E$3-1,0,IF(A24&lt;$E$2,0,Additions!C16))</f>
        <v>0</v>
      </c>
      <c r="G24" s="119">
        <f t="shared" si="8"/>
        <v>0</v>
      </c>
      <c r="H24" s="131">
        <f t="shared" si="0"/>
        <v>0</v>
      </c>
      <c r="I24" s="27">
        <f>CapCosts!A26</f>
        <v>2.4</v>
      </c>
      <c r="J24" s="58">
        <f>CapCosts!U26</f>
        <v>2536.4273101350636</v>
      </c>
      <c r="K24" s="19">
        <f>IF(A24&gt;$E$2+$E$3-1,0,IF(A24&lt;$E$2,0,Additions!H16))</f>
        <v>5</v>
      </c>
      <c r="L24" s="119">
        <f t="shared" si="3"/>
        <v>12682.136550675317</v>
      </c>
      <c r="M24" s="134">
        <f>PV($N$11,32,-$P$9*'AC Cost'!L24)</f>
        <v>23634.009716455334</v>
      </c>
      <c r="N24" s="19">
        <v>3</v>
      </c>
      <c r="O24" s="122">
        <f t="shared" si="9"/>
        <v>105.73333085764297</v>
      </c>
      <c r="P24" s="120">
        <f t="shared" si="4"/>
        <v>528.66665428821489</v>
      </c>
      <c r="Q24" s="134">
        <f t="shared" si="1"/>
        <v>1040.9935881020835</v>
      </c>
      <c r="R24" s="19">
        <v>3</v>
      </c>
      <c r="S24" s="46">
        <f t="shared" si="10"/>
        <v>3.6657405503440308</v>
      </c>
      <c r="T24" s="119">
        <f>IF($A24&gt;$E$2+$E$3-1,0,IF($A24&lt;$E$2,0,Additions!F16))</f>
        <v>0</v>
      </c>
      <c r="U24" s="136">
        <f t="shared" si="5"/>
        <v>0</v>
      </c>
      <c r="V24" s="19">
        <v>1.5</v>
      </c>
      <c r="W24" s="46">
        <f t="shared" si="11"/>
        <v>6.3747742287855909</v>
      </c>
      <c r="X24" s="19">
        <v>1.5</v>
      </c>
      <c r="Y24" s="46">
        <f t="shared" si="12"/>
        <v>6.3747742287855909</v>
      </c>
      <c r="Z24" s="19">
        <v>1.5</v>
      </c>
      <c r="AA24" s="46">
        <f t="shared" si="13"/>
        <v>0</v>
      </c>
      <c r="AB24" s="51">
        <f>IF($A24&gt;$E$2+$E$3-1,0,(SUM($D$18:D24)+SUM($F$18:F24))*W24+SUM($K$18:K24)*Y24+SUM($U$18:U24)*AA24)</f>
        <v>191.24322686356771</v>
      </c>
      <c r="AC24" s="19"/>
      <c r="AD24" s="19"/>
      <c r="AE24" s="30"/>
      <c r="AF24" s="121">
        <f t="shared" si="6"/>
        <v>24866.246531420984</v>
      </c>
      <c r="AG24" s="131">
        <f t="shared" si="2"/>
        <v>19094.684738452423</v>
      </c>
    </row>
    <row r="25" spans="1:33">
      <c r="A25" s="118">
        <f t="shared" si="7"/>
        <v>2031</v>
      </c>
      <c r="B25" s="29">
        <f>CapCosts!B27</f>
        <v>2.4</v>
      </c>
      <c r="C25" s="58">
        <f>CapCosts!O18</f>
        <v>0</v>
      </c>
      <c r="D25" s="19">
        <f>IF(A25&gt;$E$2+$E$3-1,0,IF(A25&lt;$E$2,0,Additions!E17))</f>
        <v>0</v>
      </c>
      <c r="E25" s="58">
        <f>CapCosts!K18</f>
        <v>0</v>
      </c>
      <c r="F25" s="19">
        <f>IF(A25&gt;$E$2+$E$3-1,0,IF(A25&lt;$E$2,0,Additions!C17))</f>
        <v>0</v>
      </c>
      <c r="G25" s="119">
        <f t="shared" si="8"/>
        <v>0</v>
      </c>
      <c r="H25" s="131">
        <f t="shared" si="0"/>
        <v>0</v>
      </c>
      <c r="I25" s="27">
        <f>CapCosts!A27</f>
        <v>2.4</v>
      </c>
      <c r="J25" s="58">
        <f>CapCosts!U27</f>
        <v>2597.3015655783051</v>
      </c>
      <c r="K25" s="19">
        <f>IF(A25&gt;$E$2+$E$3-1,0,IF(A25&lt;$E$2,0,Additions!H17))</f>
        <v>5</v>
      </c>
      <c r="L25" s="119">
        <f t="shared" si="3"/>
        <v>12986.507827891526</v>
      </c>
      <c r="M25" s="134">
        <f>PV($N$11,32,-$P$9*'AC Cost'!L25)</f>
        <v>24201.225949650267</v>
      </c>
      <c r="N25" s="19">
        <v>3</v>
      </c>
      <c r="O25" s="122">
        <f t="shared" si="9"/>
        <v>108.90533078337226</v>
      </c>
      <c r="P25" s="120">
        <f t="shared" si="4"/>
        <v>544.52665391686128</v>
      </c>
      <c r="Q25" s="134">
        <f t="shared" si="1"/>
        <v>1072.223395745146</v>
      </c>
      <c r="R25" s="19">
        <v>3</v>
      </c>
      <c r="S25" s="46">
        <f t="shared" si="10"/>
        <v>3.775712766854352</v>
      </c>
      <c r="T25" s="119">
        <f>IF($A25&gt;$E$2+$E$3-1,0,IF($A25&lt;$E$2,0,Additions!F17))</f>
        <v>0</v>
      </c>
      <c r="U25" s="136">
        <f t="shared" si="5"/>
        <v>0</v>
      </c>
      <c r="V25" s="19">
        <v>1.5</v>
      </c>
      <c r="W25" s="46">
        <f t="shared" si="11"/>
        <v>6.470395842217374</v>
      </c>
      <c r="X25" s="19">
        <v>1.5</v>
      </c>
      <c r="Y25" s="46">
        <f t="shared" si="12"/>
        <v>6.470395842217374</v>
      </c>
      <c r="Z25" s="19">
        <v>1.5</v>
      </c>
      <c r="AA25" s="46">
        <f t="shared" si="13"/>
        <v>0</v>
      </c>
      <c r="AB25" s="51">
        <f>IF($A25&gt;$E$2+$E$3-1,0,(SUM($D$18:D25)+SUM($F$18:F25))*W25+SUM($K$18:K25)*Y25+SUM($U$18:U25)*AA25)</f>
        <v>226.46385447760809</v>
      </c>
      <c r="AC25" s="19"/>
      <c r="AD25" s="19"/>
      <c r="AE25" s="30"/>
      <c r="AF25" s="121">
        <f t="shared" si="6"/>
        <v>25499.913199873023</v>
      </c>
      <c r="AG25" s="131">
        <f t="shared" si="2"/>
        <v>18738.061887699201</v>
      </c>
    </row>
    <row r="26" spans="1:33">
      <c r="A26" s="118">
        <f t="shared" si="7"/>
        <v>2032</v>
      </c>
      <c r="B26" s="29">
        <f>CapCosts!B28</f>
        <v>2.4</v>
      </c>
      <c r="C26" s="58">
        <f>CapCosts!O19</f>
        <v>0</v>
      </c>
      <c r="D26" s="19">
        <f>IF(A26&gt;$E$2+$E$3-1,0,IF(A26&lt;$E$2,0,Additions!E18))</f>
        <v>0</v>
      </c>
      <c r="E26" s="58">
        <f>CapCosts!K19</f>
        <v>0</v>
      </c>
      <c r="F26" s="19">
        <f>IF(A26&gt;$E$2+$E$3-1,0,IF(A26&lt;$E$2,0,Additions!C18))</f>
        <v>0</v>
      </c>
      <c r="G26" s="119">
        <f t="shared" si="8"/>
        <v>0</v>
      </c>
      <c r="H26" s="131">
        <f t="shared" si="0"/>
        <v>0</v>
      </c>
      <c r="I26" s="27">
        <f>CapCosts!A28</f>
        <v>2.4</v>
      </c>
      <c r="J26" s="58">
        <f>CapCosts!U28</f>
        <v>2659.6368031521847</v>
      </c>
      <c r="K26" s="19">
        <f>IF(A26&gt;$E$2+$E$3-1,0,IF(A26&lt;$E$2,0,Additions!H18))</f>
        <v>5</v>
      </c>
      <c r="L26" s="119">
        <f t="shared" si="3"/>
        <v>13298.184015760924</v>
      </c>
      <c r="M26" s="134">
        <f>PV($N$11,32,-$P$9*'AC Cost'!L26)</f>
        <v>24782.055372441871</v>
      </c>
      <c r="N26" s="19">
        <v>3</v>
      </c>
      <c r="O26" s="122">
        <f t="shared" si="9"/>
        <v>112.17249070687343</v>
      </c>
      <c r="P26" s="120">
        <f t="shared" si="4"/>
        <v>560.86245353436721</v>
      </c>
      <c r="Q26" s="134">
        <f t="shared" si="1"/>
        <v>1104.3900976175005</v>
      </c>
      <c r="R26" s="19">
        <v>3</v>
      </c>
      <c r="S26" s="46">
        <f t="shared" si="10"/>
        <v>3.8889841498599824</v>
      </c>
      <c r="T26" s="119">
        <f>IF($A26&gt;$E$2+$E$3-1,0,IF($A26&lt;$E$2,0,Additions!F18))</f>
        <v>0</v>
      </c>
      <c r="U26" s="136">
        <f t="shared" si="5"/>
        <v>0</v>
      </c>
      <c r="V26" s="19">
        <v>1.5</v>
      </c>
      <c r="W26" s="46">
        <f t="shared" si="11"/>
        <v>6.567451779850634</v>
      </c>
      <c r="X26" s="19">
        <v>1.5</v>
      </c>
      <c r="Y26" s="46">
        <f t="shared" si="12"/>
        <v>6.567451779850634</v>
      </c>
      <c r="Z26" s="19">
        <v>1.5</v>
      </c>
      <c r="AA26" s="46">
        <f t="shared" si="13"/>
        <v>0</v>
      </c>
      <c r="AB26" s="51">
        <f>IF($A26&gt;$E$2+$E$3-1,0,(SUM($D$18:D26)+SUM($F$18:F26))*W26+SUM($K$18:K26)*Y26+SUM($U$18:U26)*AA26)</f>
        <v>262.69807119402537</v>
      </c>
      <c r="AC26" s="19"/>
      <c r="AD26" s="19"/>
      <c r="AE26" s="30"/>
      <c r="AF26" s="121">
        <f t="shared" si="6"/>
        <v>26149.143541253397</v>
      </c>
      <c r="AG26" s="131">
        <f t="shared" si="2"/>
        <v>18387.688821183161</v>
      </c>
    </row>
    <row r="27" spans="1:33">
      <c r="A27" s="118">
        <f t="shared" si="7"/>
        <v>2033</v>
      </c>
      <c r="B27" s="31">
        <f>CapCosts!B29</f>
        <v>2.4</v>
      </c>
      <c r="C27" s="59">
        <f>CapCosts!O20</f>
        <v>0</v>
      </c>
      <c r="D27" s="32">
        <f>IF(A27&gt;$E$2+$E$3-1,0,IF(A27&lt;$E$2,0,Additions!E19))</f>
        <v>0</v>
      </c>
      <c r="E27" s="59">
        <f>CapCosts!K20</f>
        <v>0</v>
      </c>
      <c r="F27" s="32">
        <f>IF(A27&gt;$E$2+$E$3-1,0,IF(A27&lt;$E$2,0,Additions!C19))</f>
        <v>0</v>
      </c>
      <c r="G27" s="126">
        <f t="shared" si="8"/>
        <v>0</v>
      </c>
      <c r="H27" s="132">
        <f t="shared" si="0"/>
        <v>0</v>
      </c>
      <c r="I27" s="27">
        <f>CapCosts!A29</f>
        <v>2.4</v>
      </c>
      <c r="J27" s="58">
        <f>CapCosts!U29</f>
        <v>2723.4680864278371</v>
      </c>
      <c r="K27" s="32">
        <f>IF(A27&gt;$E$2+$E$3-1,0,IF(A27&lt;$E$2,0,Additions!H19))</f>
        <v>5</v>
      </c>
      <c r="L27" s="126">
        <f t="shared" si="3"/>
        <v>13617.340432139186</v>
      </c>
      <c r="M27" s="135">
        <f>PV($N$11,32,-$P$9*'AC Cost'!L27)</f>
        <v>25376.824701380479</v>
      </c>
      <c r="N27" s="32">
        <v>3</v>
      </c>
      <c r="O27" s="127">
        <f t="shared" si="9"/>
        <v>115.53766542807963</v>
      </c>
      <c r="P27" s="128">
        <f t="shared" si="4"/>
        <v>0</v>
      </c>
      <c r="Q27" s="135">
        <f t="shared" si="1"/>
        <v>0</v>
      </c>
      <c r="R27" s="32">
        <v>3</v>
      </c>
      <c r="S27" s="47">
        <f t="shared" si="10"/>
        <v>4.0056536743557816</v>
      </c>
      <c r="T27" s="126">
        <f>IF($A27&gt;$E$2+$E$3-1,0,IF($A27&lt;$E$2,0,Additions!F19))</f>
        <v>0</v>
      </c>
      <c r="U27" s="137">
        <f t="shared" si="5"/>
        <v>0</v>
      </c>
      <c r="V27" s="32">
        <v>1.5</v>
      </c>
      <c r="W27" s="47">
        <f t="shared" si="11"/>
        <v>6.6659635565483928</v>
      </c>
      <c r="X27" s="32">
        <v>1.5</v>
      </c>
      <c r="Y27" s="47">
        <f t="shared" si="12"/>
        <v>6.6659635565483928</v>
      </c>
      <c r="Z27" s="32">
        <v>1.5</v>
      </c>
      <c r="AA27" s="47">
        <f t="shared" si="13"/>
        <v>0</v>
      </c>
      <c r="AB27" s="54">
        <f>IF($A27&gt;$E$2+$E$3-1,0,(SUM($D$18:D27)+SUM($F$18:F27))*W27+SUM($K$18:K27)*Y27+SUM($U$18:U27)*AA27)</f>
        <v>299.96836004467769</v>
      </c>
      <c r="AC27" s="32"/>
      <c r="AD27" s="32"/>
      <c r="AE27" s="33"/>
      <c r="AF27" s="129">
        <f t="shared" si="6"/>
        <v>25676.793061425156</v>
      </c>
      <c r="AG27" s="132">
        <f t="shared" si="2"/>
        <v>17278.027740718982</v>
      </c>
    </row>
    <row r="28" spans="1:33">
      <c r="A28" s="118">
        <f t="shared" si="7"/>
        <v>2034</v>
      </c>
      <c r="B28" s="26">
        <f>CapCosts!B30</f>
        <v>2.4</v>
      </c>
      <c r="C28" s="57">
        <f>CapCosts!O21</f>
        <v>0</v>
      </c>
      <c r="D28" s="27">
        <f>IF(A28&gt;$E$2+$E$3-1,0,IF(A28&lt;$E$2,0,Additions!E20))</f>
        <v>0</v>
      </c>
      <c r="E28" s="57">
        <f>CapCosts!K21</f>
        <v>0</v>
      </c>
      <c r="F28" s="27">
        <f>IF(A28&gt;$E$2+$E$3-1,0,IF(A28&lt;$E$2,0,Additions!C20))</f>
        <v>0</v>
      </c>
      <c r="G28" s="123">
        <f t="shared" si="8"/>
        <v>0</v>
      </c>
      <c r="H28" s="130">
        <f t="shared" si="0"/>
        <v>0</v>
      </c>
      <c r="I28" s="27">
        <f>CapCosts!A30</f>
        <v>2.4</v>
      </c>
      <c r="J28" s="58">
        <f>CapCosts!U30</f>
        <v>2788.8313205021054</v>
      </c>
      <c r="K28" s="19">
        <f>IF(A28&gt;$E$2+$E$3-1,0,IF(A28&lt;$E$2,0,Additions!H20))</f>
        <v>0</v>
      </c>
      <c r="L28" s="119">
        <f t="shared" si="3"/>
        <v>0</v>
      </c>
      <c r="M28" s="134">
        <f>PV($N$11,32,-$P$9*'AC Cost'!L28)</f>
        <v>0</v>
      </c>
      <c r="N28" s="19">
        <v>3</v>
      </c>
      <c r="O28" s="122">
        <f t="shared" si="9"/>
        <v>119.00379539092202</v>
      </c>
      <c r="P28" s="120">
        <f t="shared" si="4"/>
        <v>0</v>
      </c>
      <c r="Q28" s="134">
        <f t="shared" si="1"/>
        <v>0</v>
      </c>
      <c r="R28" s="19">
        <v>3</v>
      </c>
      <c r="S28" s="46">
        <f t="shared" si="10"/>
        <v>4.1258232845864553</v>
      </c>
      <c r="T28" s="119">
        <f>IF($A28&gt;$E$2+$E$3-1,0,IF($A28&lt;$E$2,0,Additions!F20))</f>
        <v>0</v>
      </c>
      <c r="U28" s="136">
        <f t="shared" si="5"/>
        <v>0</v>
      </c>
      <c r="V28" s="19">
        <v>1.5</v>
      </c>
      <c r="W28" s="46">
        <f t="shared" si="11"/>
        <v>6.7659530098966183</v>
      </c>
      <c r="X28" s="19">
        <v>1.5</v>
      </c>
      <c r="Y28" s="46">
        <f t="shared" si="12"/>
        <v>6.7659530098966183</v>
      </c>
      <c r="Z28" s="19">
        <v>1.5</v>
      </c>
      <c r="AA28" s="46">
        <f t="shared" si="13"/>
        <v>0</v>
      </c>
      <c r="AB28" s="51">
        <f>IF($A28&gt;$E$2+$E$3-1,0,(SUM($D$18:D28)+SUM($F$18:F28))*W28+SUM($K$18:K28)*Y28+SUM($U$18:U28)*AA28)</f>
        <v>0</v>
      </c>
      <c r="AC28" s="19"/>
      <c r="AD28" s="19"/>
      <c r="AE28" s="30"/>
      <c r="AF28" s="121">
        <f t="shared" si="6"/>
        <v>0</v>
      </c>
      <c r="AG28" s="131">
        <f t="shared" si="2"/>
        <v>0</v>
      </c>
    </row>
    <row r="29" spans="1:33">
      <c r="A29" s="118">
        <f t="shared" si="7"/>
        <v>2035</v>
      </c>
      <c r="B29" s="29">
        <f>CapCosts!B31</f>
        <v>2.4</v>
      </c>
      <c r="C29" s="58">
        <f>CapCosts!O22</f>
        <v>0</v>
      </c>
      <c r="D29" s="19">
        <f>IF(A29&gt;$E$2+$E$3-1,0,IF(A29&lt;$E$2,0,Additions!E21))</f>
        <v>0</v>
      </c>
      <c r="E29" s="58">
        <f>CapCosts!K22</f>
        <v>0</v>
      </c>
      <c r="F29" s="19">
        <f>IF(A29&gt;$E$2+$E$3-1,0,IF(A29&lt;$E$2,0,Additions!C21))</f>
        <v>0</v>
      </c>
      <c r="G29" s="119">
        <f t="shared" si="8"/>
        <v>0</v>
      </c>
      <c r="H29" s="131">
        <f t="shared" si="0"/>
        <v>0</v>
      </c>
      <c r="I29" s="27">
        <f>CapCosts!A31</f>
        <v>2.4</v>
      </c>
      <c r="J29" s="58">
        <f>CapCosts!U31</f>
        <v>2855.7632721941559</v>
      </c>
      <c r="K29" s="19">
        <f>IF(A29&gt;$E$2+$E$3-1,0,IF(A29&lt;$E$2,0,Additions!H21))</f>
        <v>0</v>
      </c>
      <c r="L29" s="119">
        <f t="shared" si="3"/>
        <v>0</v>
      </c>
      <c r="M29" s="134">
        <f>PV($N$11,32,-$P$9*'AC Cost'!L29)</f>
        <v>0</v>
      </c>
      <c r="N29" s="19">
        <v>3</v>
      </c>
      <c r="O29" s="122">
        <f t="shared" si="9"/>
        <v>122.57390925264968</v>
      </c>
      <c r="P29" s="120">
        <f t="shared" si="4"/>
        <v>0</v>
      </c>
      <c r="Q29" s="134">
        <f t="shared" si="1"/>
        <v>0</v>
      </c>
      <c r="R29" s="19">
        <v>3</v>
      </c>
      <c r="S29" s="46">
        <f t="shared" si="10"/>
        <v>4.2495979831240493</v>
      </c>
      <c r="T29" s="119">
        <f>IF($A29&gt;$E$2+$E$3-1,0,IF($A29&lt;$E$2,0,Additions!F21))</f>
        <v>0</v>
      </c>
      <c r="U29" s="136">
        <f t="shared" si="5"/>
        <v>0</v>
      </c>
      <c r="V29" s="19">
        <v>1.5</v>
      </c>
      <c r="W29" s="46">
        <f t="shared" si="11"/>
        <v>6.867442305045067</v>
      </c>
      <c r="X29" s="19">
        <v>1.5</v>
      </c>
      <c r="Y29" s="46">
        <f t="shared" si="12"/>
        <v>6.867442305045067</v>
      </c>
      <c r="Z29" s="19">
        <v>1.5</v>
      </c>
      <c r="AA29" s="46">
        <f t="shared" si="13"/>
        <v>0</v>
      </c>
      <c r="AB29" s="51">
        <f>IF($A29&gt;$E$2+$E$3-1,0,(SUM($D$18:D29)+SUM($F$18:F29))*W29+SUM($K$18:K29)*Y29+SUM($U$18:U29)*AA29)</f>
        <v>0</v>
      </c>
      <c r="AC29" s="19"/>
      <c r="AD29" s="19"/>
      <c r="AE29" s="30"/>
      <c r="AF29" s="121">
        <f t="shared" si="6"/>
        <v>0</v>
      </c>
      <c r="AG29" s="131">
        <f t="shared" si="2"/>
        <v>0</v>
      </c>
    </row>
    <row r="30" spans="1:33">
      <c r="A30" s="118">
        <f t="shared" si="7"/>
        <v>2036</v>
      </c>
      <c r="B30" s="29">
        <f>CapCosts!B32</f>
        <v>2.4</v>
      </c>
      <c r="C30" s="58">
        <f>CapCosts!O23</f>
        <v>0</v>
      </c>
      <c r="D30" s="19">
        <f>IF(A30&gt;$E$2+$E$3-1,0,IF(A30&lt;$E$2,0,Additions!E22))</f>
        <v>0</v>
      </c>
      <c r="E30" s="58">
        <f>CapCosts!K23</f>
        <v>0</v>
      </c>
      <c r="F30" s="19">
        <f>IF(A30&gt;$E$2+$E$3-1,0,IF(A30&lt;$E$2,0,Additions!C22))</f>
        <v>0</v>
      </c>
      <c r="G30" s="119">
        <f t="shared" si="8"/>
        <v>0</v>
      </c>
      <c r="H30" s="131">
        <f t="shared" si="0"/>
        <v>0</v>
      </c>
      <c r="I30" s="27">
        <f>CapCosts!A32</f>
        <v>2.4</v>
      </c>
      <c r="J30" s="58">
        <f>CapCosts!U32</f>
        <v>2924.3015907268159</v>
      </c>
      <c r="K30" s="19">
        <f>IF(A30&gt;$E$2+$E$3-1,0,IF(A30&lt;$E$2,0,Additions!H22))</f>
        <v>0</v>
      </c>
      <c r="L30" s="119">
        <f t="shared" si="3"/>
        <v>0</v>
      </c>
      <c r="M30" s="134">
        <f>PV($N$11,32,-$P$9*'AC Cost'!L30)</f>
        <v>0</v>
      </c>
      <c r="N30" s="19">
        <v>3</v>
      </c>
      <c r="O30" s="122">
        <f t="shared" si="9"/>
        <v>126.25112653022917</v>
      </c>
      <c r="P30" s="120">
        <f t="shared" si="4"/>
        <v>0</v>
      </c>
      <c r="Q30" s="134">
        <f t="shared" si="1"/>
        <v>0</v>
      </c>
      <c r="R30" s="19">
        <v>3</v>
      </c>
      <c r="S30" s="46">
        <f t="shared" si="10"/>
        <v>4.3770859226177707</v>
      </c>
      <c r="T30" s="119">
        <f>IF($A30&gt;$E$2+$E$3-1,0,IF($A30&lt;$E$2,0,Additions!F22))</f>
        <v>0</v>
      </c>
      <c r="U30" s="136">
        <f t="shared" si="5"/>
        <v>0</v>
      </c>
      <c r="V30" s="19">
        <v>1.5</v>
      </c>
      <c r="W30" s="46">
        <f t="shared" si="11"/>
        <v>6.9704539396207421</v>
      </c>
      <c r="X30" s="19">
        <v>1.5</v>
      </c>
      <c r="Y30" s="46">
        <f t="shared" si="12"/>
        <v>6.9704539396207421</v>
      </c>
      <c r="Z30" s="19">
        <v>1.5</v>
      </c>
      <c r="AA30" s="46">
        <f t="shared" si="13"/>
        <v>0</v>
      </c>
      <c r="AB30" s="51">
        <f>IF($A30&gt;$E$2+$E$3-1,0,(SUM($D$18:D30)+SUM($F$18:F30))*W30+SUM($K$18:K30)*Y30+SUM($U$18:U30)*AA30)</f>
        <v>0</v>
      </c>
      <c r="AC30" s="19"/>
      <c r="AD30" s="19"/>
      <c r="AE30" s="30"/>
      <c r="AF30" s="121">
        <f t="shared" si="6"/>
        <v>0</v>
      </c>
      <c r="AG30" s="131">
        <f t="shared" si="2"/>
        <v>0</v>
      </c>
    </row>
    <row r="31" spans="1:33">
      <c r="A31" s="118">
        <f t="shared" si="7"/>
        <v>2037</v>
      </c>
      <c r="B31" s="29">
        <f>CapCosts!B33</f>
        <v>2.4</v>
      </c>
      <c r="C31" s="58">
        <f>CapCosts!O24</f>
        <v>0</v>
      </c>
      <c r="D31" s="19">
        <f>IF(A31&gt;$E$2+$E$3-1,0,IF(A31&lt;$E$2,0,Additions!E23))</f>
        <v>0</v>
      </c>
      <c r="E31" s="58">
        <f>CapCosts!K24</f>
        <v>0</v>
      </c>
      <c r="F31" s="19">
        <f>IF(A31&gt;$E$2+$E$3-1,0,IF(A31&lt;$E$2,0,Additions!C23))</f>
        <v>0</v>
      </c>
      <c r="G31" s="119">
        <f t="shared" si="8"/>
        <v>0</v>
      </c>
      <c r="H31" s="131">
        <f t="shared" si="0"/>
        <v>0</v>
      </c>
      <c r="I31" s="27">
        <f>CapCosts!A33</f>
        <v>2.4</v>
      </c>
      <c r="J31" s="58">
        <f>CapCosts!U33</f>
        <v>2994.4848289042598</v>
      </c>
      <c r="K31" s="19">
        <f>IF(A31&gt;$E$2+$E$3-1,0,IF(A31&lt;$E$2,0,Additions!H23))</f>
        <v>0</v>
      </c>
      <c r="L31" s="119">
        <f t="shared" si="3"/>
        <v>0</v>
      </c>
      <c r="M31" s="134">
        <f>PV($N$11,32,-$P$9*'AC Cost'!L31)</f>
        <v>0</v>
      </c>
      <c r="N31" s="19">
        <v>3</v>
      </c>
      <c r="O31" s="122">
        <f t="shared" si="9"/>
        <v>130.03866032613604</v>
      </c>
      <c r="P31" s="120">
        <f t="shared" si="4"/>
        <v>0</v>
      </c>
      <c r="Q31" s="134">
        <f t="shared" si="1"/>
        <v>0</v>
      </c>
      <c r="R31" s="19">
        <v>3</v>
      </c>
      <c r="S31" s="46">
        <f t="shared" si="10"/>
        <v>4.5083985002963036</v>
      </c>
      <c r="T31" s="119">
        <f>IF($A31&gt;$E$2+$E$3-1,0,IF($A31&lt;$E$2,0,Additions!F23))</f>
        <v>0</v>
      </c>
      <c r="U31" s="136">
        <f t="shared" si="5"/>
        <v>0</v>
      </c>
      <c r="V31" s="19">
        <v>1.5</v>
      </c>
      <c r="W31" s="46">
        <f t="shared" si="11"/>
        <v>7.0750107487150524</v>
      </c>
      <c r="X31" s="19">
        <v>1.5</v>
      </c>
      <c r="Y31" s="46">
        <f t="shared" si="12"/>
        <v>7.0750107487150524</v>
      </c>
      <c r="Z31" s="19">
        <v>1.5</v>
      </c>
      <c r="AA31" s="46">
        <f t="shared" si="13"/>
        <v>0</v>
      </c>
      <c r="AB31" s="51">
        <f>IF($A31&gt;$E$2+$E$3-1,0,(SUM($D$18:D31)+SUM($F$18:F31))*W31+SUM($K$18:K31)*Y31+SUM($U$18:U31)*AA31)</f>
        <v>0</v>
      </c>
      <c r="AC31" s="19"/>
      <c r="AD31" s="19"/>
      <c r="AE31" s="30"/>
      <c r="AF31" s="121">
        <f t="shared" si="6"/>
        <v>0</v>
      </c>
      <c r="AG31" s="131">
        <f t="shared" si="2"/>
        <v>0</v>
      </c>
    </row>
    <row r="32" spans="1:33">
      <c r="A32" s="118">
        <f t="shared" si="7"/>
        <v>2038</v>
      </c>
      <c r="B32" s="31">
        <f>CapCosts!B34</f>
        <v>2.4</v>
      </c>
      <c r="C32" s="59">
        <f>CapCosts!O25</f>
        <v>0</v>
      </c>
      <c r="D32" s="32">
        <f>IF(A32&gt;$E$2+$E$3-1,0,IF(A32&lt;$E$2,0,Additions!E24))</f>
        <v>0</v>
      </c>
      <c r="E32" s="59">
        <f>CapCosts!K25</f>
        <v>0</v>
      </c>
      <c r="F32" s="32">
        <f>IF(A32&gt;$E$2+$E$3-1,0,IF(A32&lt;$E$2,0,Additions!C24))</f>
        <v>0</v>
      </c>
      <c r="G32" s="126">
        <f t="shared" si="8"/>
        <v>0</v>
      </c>
      <c r="H32" s="132">
        <f t="shared" si="0"/>
        <v>0</v>
      </c>
      <c r="I32" s="27">
        <f>CapCosts!A34</f>
        <v>2.4</v>
      </c>
      <c r="J32" s="58">
        <f>CapCosts!U34</f>
        <v>3066.3524647979621</v>
      </c>
      <c r="K32" s="32">
        <f>IF(A32&gt;$E$2+$E$3-1,0,IF(A32&lt;$E$2,0,Additions!H24))</f>
        <v>0</v>
      </c>
      <c r="L32" s="126">
        <f t="shared" si="3"/>
        <v>0</v>
      </c>
      <c r="M32" s="135">
        <f>PV($N$11,32,-$P$9*'AC Cost'!L32)</f>
        <v>0</v>
      </c>
      <c r="N32" s="32">
        <v>3</v>
      </c>
      <c r="O32" s="127">
        <f t="shared" si="9"/>
        <v>133.93982013592012</v>
      </c>
      <c r="P32" s="128">
        <f t="shared" si="4"/>
        <v>0</v>
      </c>
      <c r="Q32" s="135">
        <f t="shared" si="1"/>
        <v>0</v>
      </c>
      <c r="R32" s="32">
        <v>3</v>
      </c>
      <c r="S32" s="47">
        <f t="shared" si="10"/>
        <v>4.6436504553051927</v>
      </c>
      <c r="T32" s="126">
        <f>IF($A32&gt;$E$2+$E$3-1,0,IF($A32&lt;$E$2,0,Additions!F24))</f>
        <v>0</v>
      </c>
      <c r="U32" s="137">
        <f t="shared" si="5"/>
        <v>0</v>
      </c>
      <c r="V32" s="32">
        <v>1.5</v>
      </c>
      <c r="W32" s="47">
        <f t="shared" si="11"/>
        <v>7.1811359099457777</v>
      </c>
      <c r="X32" s="32">
        <v>1.5</v>
      </c>
      <c r="Y32" s="47">
        <f t="shared" si="12"/>
        <v>7.1811359099457777</v>
      </c>
      <c r="Z32" s="32">
        <v>1.5</v>
      </c>
      <c r="AA32" s="47">
        <f t="shared" si="13"/>
        <v>0</v>
      </c>
      <c r="AB32" s="54">
        <f>IF($A32&gt;$E$2+$E$3-1,0,(SUM($D$18:D32)+SUM($F$18:F32))*W32+SUM($K$18:K32)*Y32+SUM($U$18:U32)*AA32)</f>
        <v>0</v>
      </c>
      <c r="AC32" s="32"/>
      <c r="AD32" s="32"/>
      <c r="AE32" s="33"/>
      <c r="AF32" s="129">
        <f t="shared" si="6"/>
        <v>0</v>
      </c>
      <c r="AG32" s="132">
        <f t="shared" si="2"/>
        <v>0</v>
      </c>
    </row>
    <row r="33" spans="1:33">
      <c r="A33" s="118">
        <f t="shared" si="7"/>
        <v>2039</v>
      </c>
      <c r="B33" s="26">
        <f>CapCosts!B35</f>
        <v>2.4</v>
      </c>
      <c r="C33" s="57">
        <f>CapCosts!O26</f>
        <v>0</v>
      </c>
      <c r="D33" s="27">
        <f>IF(A33&gt;$E$2+$E$3-1,0,IF(A33&lt;$E$2,0,Additions!E25))</f>
        <v>0</v>
      </c>
      <c r="E33" s="57">
        <f>CapCosts!K26</f>
        <v>0</v>
      </c>
      <c r="F33" s="27">
        <f>IF(A33&gt;$E$2+$E$3-1,0,IF(A33&lt;$E$2,0,Additions!C25))</f>
        <v>0</v>
      </c>
      <c r="G33" s="123">
        <f t="shared" si="8"/>
        <v>0</v>
      </c>
      <c r="H33" s="130">
        <f t="shared" si="0"/>
        <v>0</v>
      </c>
      <c r="I33" s="27">
        <f>CapCosts!A35</f>
        <v>2.4</v>
      </c>
      <c r="J33" s="58">
        <f>CapCosts!U35</f>
        <v>3139.9449239531132</v>
      </c>
      <c r="K33" s="19">
        <f>IF(A33&gt;$E$2+$E$3-1,0,IF(A33&lt;$E$2,0,Additions!H25))</f>
        <v>0</v>
      </c>
      <c r="L33" s="119">
        <f t="shared" si="3"/>
        <v>0</v>
      </c>
      <c r="M33" s="134">
        <f>PV($N$11,32,-$P$9*'AC Cost'!L33)</f>
        <v>0</v>
      </c>
      <c r="N33" s="19">
        <v>3</v>
      </c>
      <c r="O33" s="122">
        <f t="shared" si="9"/>
        <v>137.95801473999774</v>
      </c>
      <c r="P33" s="120">
        <f t="shared" si="4"/>
        <v>0</v>
      </c>
      <c r="Q33" s="134">
        <f t="shared" si="1"/>
        <v>0</v>
      </c>
      <c r="R33" s="19">
        <v>3</v>
      </c>
      <c r="S33" s="46">
        <f t="shared" si="10"/>
        <v>4.7829599689643487</v>
      </c>
      <c r="T33" s="119">
        <f>IF($A33&gt;$E$2+$E$3-1,0,IF($A33&lt;$E$2,0,Additions!F25))</f>
        <v>0</v>
      </c>
      <c r="U33" s="136">
        <f t="shared" si="5"/>
        <v>0</v>
      </c>
      <c r="V33" s="19">
        <v>1.5</v>
      </c>
      <c r="W33" s="46">
        <f t="shared" si="11"/>
        <v>7.2888529485949638</v>
      </c>
      <c r="X33" s="19">
        <v>1.5</v>
      </c>
      <c r="Y33" s="46">
        <f t="shared" si="12"/>
        <v>7.2888529485949638</v>
      </c>
      <c r="Z33" s="19">
        <v>1.5</v>
      </c>
      <c r="AA33" s="46">
        <f t="shared" si="13"/>
        <v>0</v>
      </c>
      <c r="AB33" s="51">
        <f>IF($A33&gt;$E$2+$E$3-1,0,(SUM($D$18:D33)+SUM($F$18:F33))*W33+SUM($K$18:K33)*Y33+SUM($U$18:U33)*AA33)</f>
        <v>0</v>
      </c>
      <c r="AC33" s="19"/>
      <c r="AD33" s="19"/>
      <c r="AE33" s="30"/>
      <c r="AF33" s="121">
        <f t="shared" si="6"/>
        <v>0</v>
      </c>
      <c r="AG33" s="131">
        <f t="shared" si="2"/>
        <v>0</v>
      </c>
    </row>
    <row r="34" spans="1:33">
      <c r="A34" s="118">
        <f t="shared" si="7"/>
        <v>2040</v>
      </c>
      <c r="B34" s="29">
        <f>CapCosts!B36</f>
        <v>2.4</v>
      </c>
      <c r="C34" s="58">
        <f>CapCosts!O27</f>
        <v>0</v>
      </c>
      <c r="D34" s="19">
        <f>IF(A34&gt;$E$2+$E$3-1,0,IF(A34&lt;$E$2,0,Additions!E26))</f>
        <v>0</v>
      </c>
      <c r="E34" s="58">
        <f>CapCosts!K27</f>
        <v>0</v>
      </c>
      <c r="F34" s="19">
        <f>IF(A34&gt;$E$2+$E$3-1,0,IF(A34&lt;$E$2,0,Additions!C26))</f>
        <v>0</v>
      </c>
      <c r="G34" s="119">
        <f t="shared" si="8"/>
        <v>0</v>
      </c>
      <c r="H34" s="131">
        <f t="shared" si="0"/>
        <v>0</v>
      </c>
      <c r="I34" s="27">
        <f>CapCosts!A36</f>
        <v>2.4</v>
      </c>
      <c r="J34" s="58">
        <f>CapCosts!U36</f>
        <v>3215.3036021279881</v>
      </c>
      <c r="K34" s="19">
        <f>IF(A34&gt;$E$2+$E$3-1,0,IF(A34&lt;$E$2,0,Additions!H26))</f>
        <v>0</v>
      </c>
      <c r="L34" s="119">
        <f t="shared" si="3"/>
        <v>0</v>
      </c>
      <c r="M34" s="134">
        <f>PV($N$11,32,-$P$9*'AC Cost'!L34)</f>
        <v>0</v>
      </c>
      <c r="N34" s="19">
        <v>3</v>
      </c>
      <c r="O34" s="122">
        <f t="shared" si="9"/>
        <v>142.09675518219768</v>
      </c>
      <c r="P34" s="120">
        <f t="shared" si="4"/>
        <v>0</v>
      </c>
      <c r="Q34" s="134">
        <f t="shared" si="1"/>
        <v>0</v>
      </c>
      <c r="R34" s="19">
        <v>3</v>
      </c>
      <c r="S34" s="46">
        <f t="shared" si="10"/>
        <v>4.9264487680332794</v>
      </c>
      <c r="T34" s="119">
        <f>IF($A34&gt;$E$2+$E$3-1,0,IF($A34&lt;$E$2,0,Additions!F26))</f>
        <v>0</v>
      </c>
      <c r="U34" s="136">
        <f t="shared" si="5"/>
        <v>0</v>
      </c>
      <c r="V34" s="19">
        <v>1.5</v>
      </c>
      <c r="W34" s="46">
        <f t="shared" si="11"/>
        <v>7.3981857428238875</v>
      </c>
      <c r="X34" s="19">
        <v>1.5</v>
      </c>
      <c r="Y34" s="46">
        <f t="shared" si="12"/>
        <v>7.3981857428238875</v>
      </c>
      <c r="Z34" s="19">
        <v>1.5</v>
      </c>
      <c r="AA34" s="46">
        <f t="shared" si="13"/>
        <v>0</v>
      </c>
      <c r="AB34" s="51">
        <f>IF($A34&gt;$E$2+$E$3-1,0,(SUM($D$18:D34)+SUM($F$18:F34))*W34+SUM($K$18:K34)*Y34+SUM($U$18:U34)*AA34)</f>
        <v>0</v>
      </c>
      <c r="AC34" s="19"/>
      <c r="AD34" s="19"/>
      <c r="AE34" s="30"/>
      <c r="AF34" s="121">
        <f t="shared" si="6"/>
        <v>0</v>
      </c>
      <c r="AG34" s="131">
        <f t="shared" si="2"/>
        <v>0</v>
      </c>
    </row>
    <row r="35" spans="1:33">
      <c r="A35" s="118">
        <f t="shared" si="7"/>
        <v>2041</v>
      </c>
      <c r="B35" s="29">
        <f>CapCosts!B37</f>
        <v>2.4</v>
      </c>
      <c r="C35" s="58">
        <f>CapCosts!O28</f>
        <v>0</v>
      </c>
      <c r="D35" s="19">
        <f>IF(A35&gt;$E$2+$E$3-1,0,IF(A35&lt;$E$2,0,Additions!E27))</f>
        <v>0</v>
      </c>
      <c r="E35" s="58">
        <f>CapCosts!K28</f>
        <v>0</v>
      </c>
      <c r="F35" s="19">
        <f>IF(A35&gt;$E$2+$E$3-1,0,IF(A35&lt;$E$2,0,Additions!C27))</f>
        <v>0</v>
      </c>
      <c r="G35" s="119">
        <f t="shared" si="8"/>
        <v>0</v>
      </c>
      <c r="H35" s="131">
        <f t="shared" si="0"/>
        <v>0</v>
      </c>
      <c r="I35" s="27">
        <f>CapCosts!A37</f>
        <v>2.4</v>
      </c>
      <c r="J35" s="58">
        <f>CapCosts!U37</f>
        <v>3292.4708885790601</v>
      </c>
      <c r="K35" s="19">
        <f>IF(A35&gt;$E$2+$E$3-1,0,IF(A35&lt;$E$2,0,Additions!H27))</f>
        <v>0</v>
      </c>
      <c r="L35" s="119">
        <f t="shared" si="3"/>
        <v>0</v>
      </c>
      <c r="M35" s="134">
        <f>PV($N$11,32,-$P$9*'AC Cost'!L35)</f>
        <v>0</v>
      </c>
      <c r="N35" s="19">
        <v>3</v>
      </c>
      <c r="O35" s="122">
        <f t="shared" si="9"/>
        <v>146.3596578376636</v>
      </c>
      <c r="P35" s="120">
        <f t="shared" si="4"/>
        <v>0</v>
      </c>
      <c r="Q35" s="134">
        <f t="shared" si="1"/>
        <v>0</v>
      </c>
      <c r="R35" s="19">
        <v>3</v>
      </c>
      <c r="S35" s="46">
        <f t="shared" si="10"/>
        <v>5.0742422310742779</v>
      </c>
      <c r="T35" s="119">
        <f>IF($A35&gt;$E$2+$E$3-1,0,IF($A35&lt;$E$2,0,Additions!F27))</f>
        <v>0</v>
      </c>
      <c r="U35" s="136">
        <f t="shared" si="5"/>
        <v>0</v>
      </c>
      <c r="V35" s="19">
        <v>1.5</v>
      </c>
      <c r="W35" s="46">
        <f t="shared" si="11"/>
        <v>7.5091585289662452</v>
      </c>
      <c r="X35" s="19">
        <v>1.5</v>
      </c>
      <c r="Y35" s="46">
        <f t="shared" si="12"/>
        <v>7.5091585289662452</v>
      </c>
      <c r="Z35" s="19">
        <v>1.5</v>
      </c>
      <c r="AA35" s="46">
        <f t="shared" si="13"/>
        <v>0</v>
      </c>
      <c r="AB35" s="51">
        <f>IF($A35&gt;$E$2+$E$3-1,0,(SUM($D$18:D35)+SUM($F$18:F35))*W35+SUM($K$18:K35)*Y35+SUM($U$18:U35)*AA35)</f>
        <v>0</v>
      </c>
      <c r="AC35" s="19"/>
      <c r="AD35" s="19"/>
      <c r="AE35" s="30"/>
      <c r="AF35" s="121">
        <f t="shared" si="6"/>
        <v>0</v>
      </c>
      <c r="AG35" s="131">
        <f t="shared" si="2"/>
        <v>0</v>
      </c>
    </row>
    <row r="36" spans="1:33">
      <c r="A36" s="118">
        <f t="shared" si="7"/>
        <v>2042</v>
      </c>
      <c r="B36" s="29">
        <f>CapCosts!B38</f>
        <v>2.4</v>
      </c>
      <c r="C36" s="58">
        <f>CapCosts!O29</f>
        <v>0</v>
      </c>
      <c r="D36" s="19">
        <f>IF(A36&gt;$E$2+$E$3-1,0,IF(A36&lt;$E$2,0,Additions!E28))</f>
        <v>0</v>
      </c>
      <c r="E36" s="58">
        <f>CapCosts!K29</f>
        <v>0</v>
      </c>
      <c r="F36" s="19">
        <f>IF(A36&gt;$E$2+$E$3-1,0,IF(A36&lt;$E$2,0,Additions!C28))</f>
        <v>0</v>
      </c>
      <c r="G36" s="119">
        <f t="shared" si="8"/>
        <v>0</v>
      </c>
      <c r="H36" s="131">
        <f t="shared" si="0"/>
        <v>0</v>
      </c>
      <c r="I36" s="27">
        <f>CapCosts!A38</f>
        <v>2.4</v>
      </c>
      <c r="J36" s="58">
        <f>CapCosts!U38</f>
        <v>3371.4901899049578</v>
      </c>
      <c r="K36" s="19">
        <f>IF(A36&gt;$E$2+$E$3-1,0,IF(A36&lt;$E$2,0,Additions!H28))</f>
        <v>0</v>
      </c>
      <c r="L36" s="119">
        <f t="shared" si="3"/>
        <v>0</v>
      </c>
      <c r="M36" s="134">
        <f>PV($N$11,32,-$P$9*'AC Cost'!L36)</f>
        <v>0</v>
      </c>
      <c r="N36" s="19">
        <v>3</v>
      </c>
      <c r="O36" s="122">
        <f t="shared" si="9"/>
        <v>150.75044757279352</v>
      </c>
      <c r="P36" s="120">
        <f t="shared" si="4"/>
        <v>0</v>
      </c>
      <c r="Q36" s="134">
        <f t="shared" si="1"/>
        <v>0</v>
      </c>
      <c r="R36" s="19">
        <v>3</v>
      </c>
      <c r="S36" s="46">
        <f t="shared" si="10"/>
        <v>5.2264694980065061</v>
      </c>
      <c r="T36" s="119">
        <f>IF($A36&gt;$E$2+$E$3-1,0,IF($A36&lt;$E$2,0,Additions!F28))</f>
        <v>0</v>
      </c>
      <c r="U36" s="136">
        <f t="shared" si="5"/>
        <v>0</v>
      </c>
      <c r="V36" s="19">
        <v>1.5</v>
      </c>
      <c r="W36" s="46">
        <f t="shared" si="11"/>
        <v>7.6217959069007382</v>
      </c>
      <c r="X36" s="19">
        <v>1.5</v>
      </c>
      <c r="Y36" s="46">
        <f t="shared" si="12"/>
        <v>7.6217959069007382</v>
      </c>
      <c r="Z36" s="19">
        <v>1.5</v>
      </c>
      <c r="AA36" s="46">
        <f t="shared" si="13"/>
        <v>0</v>
      </c>
      <c r="AB36" s="51">
        <f>IF($A36&gt;$E$2+$E$3-1,0,(SUM($D$18:D36)+SUM($F$18:F36))*W36+SUM($K$18:K36)*Y36+SUM($U$18:U36)*AA36)</f>
        <v>0</v>
      </c>
      <c r="AC36" s="19"/>
      <c r="AD36" s="19"/>
      <c r="AE36" s="30"/>
      <c r="AF36" s="121">
        <f t="shared" si="6"/>
        <v>0</v>
      </c>
      <c r="AG36" s="131">
        <f t="shared" si="2"/>
        <v>0</v>
      </c>
    </row>
    <row r="37" spans="1:33">
      <c r="A37" s="118">
        <f t="shared" si="7"/>
        <v>2043</v>
      </c>
      <c r="B37" s="31">
        <f>CapCosts!B39</f>
        <v>2.4</v>
      </c>
      <c r="C37" s="59">
        <f>CapCosts!O30</f>
        <v>0</v>
      </c>
      <c r="D37" s="32">
        <f>IF(A37&gt;$E$2+$E$3-1,0,IF(A37&lt;$E$2,0,Additions!E29))</f>
        <v>0</v>
      </c>
      <c r="E37" s="59">
        <f>CapCosts!K30</f>
        <v>0</v>
      </c>
      <c r="F37" s="32">
        <f>IF(A37&gt;$E$2+$E$3-1,0,IF(A37&lt;$E$2,0,Additions!C29))</f>
        <v>0</v>
      </c>
      <c r="G37" s="126">
        <f t="shared" si="8"/>
        <v>0</v>
      </c>
      <c r="H37" s="132">
        <f t="shared" si="0"/>
        <v>0</v>
      </c>
      <c r="I37" s="27">
        <f>CapCosts!A39</f>
        <v>2.4</v>
      </c>
      <c r="J37" s="58">
        <f>CapCosts!U39</f>
        <v>3452.4059544626771</v>
      </c>
      <c r="K37" s="32">
        <f>IF(A37&gt;$E$2+$E$3-1,0,IF(A37&lt;$E$2,0,Additions!H29))</f>
        <v>0</v>
      </c>
      <c r="L37" s="126">
        <f t="shared" si="3"/>
        <v>0</v>
      </c>
      <c r="M37" s="134">
        <f>PV($N$11,32,-$P$9*'AC Cost'!L37)</f>
        <v>0</v>
      </c>
      <c r="N37" s="32">
        <v>3</v>
      </c>
      <c r="O37" s="127">
        <f t="shared" si="9"/>
        <v>155.27296099997733</v>
      </c>
      <c r="P37" s="128">
        <f t="shared" si="4"/>
        <v>0</v>
      </c>
      <c r="Q37" s="135">
        <f t="shared" si="1"/>
        <v>0</v>
      </c>
      <c r="R37" s="32">
        <v>3</v>
      </c>
      <c r="S37" s="47">
        <f t="shared" si="10"/>
        <v>5.383263582946701</v>
      </c>
      <c r="T37" s="126">
        <f>IF($A37&gt;$E$2+$E$3-1,0,IF($A37&lt;$E$2,0,Additions!F29))</f>
        <v>0</v>
      </c>
      <c r="U37" s="137">
        <f t="shared" si="5"/>
        <v>0</v>
      </c>
      <c r="V37" s="32">
        <v>1.5</v>
      </c>
      <c r="W37" s="47">
        <f t="shared" si="11"/>
        <v>7.7361228455042488</v>
      </c>
      <c r="X37" s="32">
        <v>1.5</v>
      </c>
      <c r="Y37" s="47">
        <f t="shared" si="12"/>
        <v>7.7361228455042488</v>
      </c>
      <c r="Z37" s="32">
        <v>1.5</v>
      </c>
      <c r="AA37" s="47">
        <f t="shared" si="13"/>
        <v>0</v>
      </c>
      <c r="AB37" s="54">
        <f>IF($A37&gt;$E$2+$E$3-1,0,(SUM($D$18:D37)+SUM($F$18:F37))*W37+SUM($K$18:K37)*Y37+SUM($U$18:U37)*AA37)</f>
        <v>0</v>
      </c>
      <c r="AC37" s="32"/>
      <c r="AD37" s="32"/>
      <c r="AE37" s="33"/>
      <c r="AF37" s="129">
        <f t="shared" si="6"/>
        <v>0</v>
      </c>
      <c r="AG37" s="132">
        <f t="shared" si="2"/>
        <v>0</v>
      </c>
    </row>
    <row r="38" spans="1:33">
      <c r="A38" s="118">
        <f t="shared" si="7"/>
        <v>2044</v>
      </c>
      <c r="B38" s="118">
        <f>CapCosts!B40</f>
        <v>2.4</v>
      </c>
      <c r="C38" s="272">
        <f>CapCosts!O31</f>
        <v>0</v>
      </c>
      <c r="D38" s="273">
        <f>IF(A38&gt;$E$2+$E$3-1,0,IF(A38&lt;$E$2,0,Additions!E30))</f>
        <v>0</v>
      </c>
      <c r="E38" s="272">
        <f>CapCosts!K31</f>
        <v>0</v>
      </c>
      <c r="F38" s="273">
        <f>IF(A38&gt;$E$2+$E$3-1,0,IF(A38&lt;$E$2,0,Additions!C30))</f>
        <v>0</v>
      </c>
      <c r="G38" s="274">
        <f t="shared" si="8"/>
        <v>0</v>
      </c>
      <c r="H38" s="275">
        <f t="shared" si="0"/>
        <v>0</v>
      </c>
      <c r="I38" s="27">
        <f>CapCosts!A40</f>
        <v>2.4</v>
      </c>
      <c r="J38" s="58">
        <f>CapCosts!U40</f>
        <v>3535.2636973697813</v>
      </c>
      <c r="K38" s="273">
        <f>IF(A38&gt;$E$2+$E$3-1,0,IF(A38&lt;$E$2,0,Additions!H30))</f>
        <v>0</v>
      </c>
      <c r="L38" s="274">
        <f t="shared" si="3"/>
        <v>0</v>
      </c>
      <c r="M38" s="177">
        <f>PV($N$11,32,-$P$9*'AC Cost'!L38)</f>
        <v>0</v>
      </c>
      <c r="N38" s="273">
        <v>3</v>
      </c>
      <c r="O38" s="276">
        <f t="shared" si="9"/>
        <v>159.93114982997665</v>
      </c>
      <c r="P38" s="277">
        <f t="shared" si="4"/>
        <v>0</v>
      </c>
      <c r="Q38" s="177">
        <f t="shared" si="1"/>
        <v>0</v>
      </c>
      <c r="R38" s="273">
        <v>3</v>
      </c>
      <c r="S38" s="278">
        <f t="shared" si="10"/>
        <v>5.5447614904351026</v>
      </c>
      <c r="T38" s="274">
        <f>IF($A38&gt;$E$2+$E$3-1,0,IF($A38&lt;$E$2,0,Additions!F30))</f>
        <v>0</v>
      </c>
      <c r="U38" s="279">
        <f t="shared" si="5"/>
        <v>0</v>
      </c>
      <c r="V38" s="273">
        <v>1.5</v>
      </c>
      <c r="W38" s="278">
        <f t="shared" si="11"/>
        <v>7.8521646881868117</v>
      </c>
      <c r="X38" s="273">
        <v>1.5</v>
      </c>
      <c r="Y38" s="278">
        <f t="shared" si="12"/>
        <v>7.8521646881868117</v>
      </c>
      <c r="Z38" s="273">
        <v>1.5</v>
      </c>
      <c r="AA38" s="278">
        <f t="shared" si="13"/>
        <v>0</v>
      </c>
      <c r="AB38" s="280">
        <f>IF($A38&gt;$E$2+$E$3-1,0,(SUM($D$18:D38)+SUM($F$18:F38))*W38+SUM($K$18:K38)*Y38+SUM($U$18:U38)*AA38)</f>
        <v>0</v>
      </c>
      <c r="AC38" s="273"/>
      <c r="AD38" s="273"/>
      <c r="AE38" s="281"/>
      <c r="AF38" s="282">
        <f t="shared" si="6"/>
        <v>0</v>
      </c>
      <c r="AG38" s="275">
        <f t="shared" si="2"/>
        <v>0</v>
      </c>
    </row>
    <row r="39" spans="1:33" ht="15" thickBot="1">
      <c r="AG39" s="56"/>
    </row>
    <row r="40" spans="1:33" ht="15" thickBot="1">
      <c r="AF40" s="109" t="s">
        <v>55</v>
      </c>
      <c r="AG40" s="186">
        <f>SUM(AG18:AG38)</f>
        <v>175418.49376262119</v>
      </c>
    </row>
    <row r="41" spans="1:33">
      <c r="A41" s="18" t="s">
        <v>93</v>
      </c>
    </row>
    <row r="44" spans="1:33" ht="15">
      <c r="B44" s="26" t="s">
        <v>24</v>
      </c>
      <c r="C44" s="27"/>
      <c r="D44" s="27"/>
      <c r="E44" s="27"/>
      <c r="F44" s="27"/>
      <c r="G44" s="27"/>
      <c r="H44" s="28"/>
      <c r="I44" s="246" t="s">
        <v>117</v>
      </c>
      <c r="J44" s="27"/>
      <c r="K44" s="27"/>
      <c r="L44" s="27"/>
      <c r="M44" s="28"/>
      <c r="N44" s="26" t="s">
        <v>37</v>
      </c>
      <c r="O44" s="27"/>
      <c r="P44" s="27"/>
      <c r="Q44" s="28"/>
      <c r="R44" s="26" t="s">
        <v>38</v>
      </c>
      <c r="S44" s="27"/>
      <c r="T44" s="27"/>
      <c r="U44" s="28"/>
      <c r="V44" s="26" t="s">
        <v>39</v>
      </c>
      <c r="W44" s="27"/>
      <c r="X44" s="27"/>
      <c r="Y44" s="27"/>
      <c r="Z44" s="27"/>
      <c r="AA44" s="27"/>
      <c r="AB44" s="28"/>
      <c r="AC44" s="26" t="s">
        <v>99</v>
      </c>
      <c r="AD44" s="27"/>
      <c r="AE44" s="27"/>
      <c r="AF44" s="26"/>
      <c r="AG44" s="28" t="s">
        <v>107</v>
      </c>
    </row>
    <row r="45" spans="1:33">
      <c r="B45" s="29"/>
      <c r="C45" s="138" t="s">
        <v>20</v>
      </c>
      <c r="D45" s="139" t="s">
        <v>20</v>
      </c>
      <c r="E45" s="139" t="s">
        <v>44</v>
      </c>
      <c r="F45" s="139" t="s">
        <v>44</v>
      </c>
      <c r="G45" s="140" t="s">
        <v>42</v>
      </c>
      <c r="H45" s="141" t="s">
        <v>45</v>
      </c>
      <c r="I45" s="29"/>
      <c r="J45" s="143"/>
      <c r="K45" s="144"/>
      <c r="L45" s="145" t="s">
        <v>42</v>
      </c>
      <c r="M45" s="146" t="s">
        <v>45</v>
      </c>
      <c r="N45" s="29"/>
      <c r="O45" s="26"/>
      <c r="P45" s="140" t="s">
        <v>42</v>
      </c>
      <c r="Q45" s="141" t="s">
        <v>45</v>
      </c>
      <c r="R45" s="29"/>
      <c r="S45" s="26"/>
      <c r="T45" s="27"/>
      <c r="U45" s="146" t="s">
        <v>41</v>
      </c>
      <c r="V45" s="138" t="s">
        <v>24</v>
      </c>
      <c r="W45" s="139"/>
      <c r="X45" s="144" t="s">
        <v>23</v>
      </c>
      <c r="Y45" s="144"/>
      <c r="Z45" s="153" t="s">
        <v>101</v>
      </c>
      <c r="AA45" s="153"/>
      <c r="AB45" s="146" t="s">
        <v>42</v>
      </c>
      <c r="AC45" s="26"/>
      <c r="AD45" s="27"/>
      <c r="AE45" s="146" t="s">
        <v>42</v>
      </c>
      <c r="AF45" s="29" t="s">
        <v>42</v>
      </c>
      <c r="AG45" s="30" t="s">
        <v>108</v>
      </c>
    </row>
    <row r="46" spans="1:33">
      <c r="B46" s="29" t="s">
        <v>43</v>
      </c>
      <c r="C46" s="48"/>
      <c r="D46" s="49"/>
      <c r="E46" s="49"/>
      <c r="F46" s="49"/>
      <c r="G46" s="21" t="s">
        <v>40</v>
      </c>
      <c r="H46" s="38" t="s">
        <v>46</v>
      </c>
      <c r="I46" s="29" t="s">
        <v>66</v>
      </c>
      <c r="J46" s="147"/>
      <c r="K46" s="50"/>
      <c r="L46" s="22" t="s">
        <v>40</v>
      </c>
      <c r="M46" s="41" t="s">
        <v>87</v>
      </c>
      <c r="N46" s="29" t="s">
        <v>66</v>
      </c>
      <c r="O46" s="29"/>
      <c r="P46" s="21" t="s">
        <v>40</v>
      </c>
      <c r="Q46" s="38" t="s">
        <v>46</v>
      </c>
      <c r="R46" s="29" t="s">
        <v>43</v>
      </c>
      <c r="S46" s="29" t="s">
        <v>47</v>
      </c>
      <c r="T46" s="19" t="s">
        <v>48</v>
      </c>
      <c r="U46" s="41" t="s">
        <v>74</v>
      </c>
      <c r="V46" s="48" t="s">
        <v>66</v>
      </c>
      <c r="W46" s="49"/>
      <c r="X46" s="50" t="s">
        <v>66</v>
      </c>
      <c r="Y46" s="50"/>
      <c r="Z46" s="55" t="s">
        <v>66</v>
      </c>
      <c r="AA46" s="55"/>
      <c r="AB46" s="41" t="s">
        <v>40</v>
      </c>
      <c r="AC46" s="29"/>
      <c r="AD46" s="19" t="s">
        <v>49</v>
      </c>
      <c r="AE46" s="41" t="s">
        <v>40</v>
      </c>
      <c r="AF46" s="29" t="s">
        <v>106</v>
      </c>
      <c r="AG46" s="30" t="s">
        <v>106</v>
      </c>
    </row>
    <row r="47" spans="1:33">
      <c r="A47" s="18" t="s">
        <v>2</v>
      </c>
      <c r="B47" s="29" t="s">
        <v>50</v>
      </c>
      <c r="C47" s="142" t="s">
        <v>51</v>
      </c>
      <c r="D47" s="106" t="s">
        <v>21</v>
      </c>
      <c r="E47" s="106" t="s">
        <v>51</v>
      </c>
      <c r="F47" s="106" t="s">
        <v>21</v>
      </c>
      <c r="G47" s="39" t="s">
        <v>52</v>
      </c>
      <c r="H47" s="38" t="s">
        <v>52</v>
      </c>
      <c r="I47" s="29" t="s">
        <v>50</v>
      </c>
      <c r="J47" s="148" t="s">
        <v>51</v>
      </c>
      <c r="K47" s="105" t="s">
        <v>21</v>
      </c>
      <c r="L47" s="42" t="s">
        <v>52</v>
      </c>
      <c r="M47" s="43" t="s">
        <v>52</v>
      </c>
      <c r="N47" s="29" t="s">
        <v>50</v>
      </c>
      <c r="O47" s="31" t="s">
        <v>51</v>
      </c>
      <c r="P47" s="39" t="s">
        <v>52</v>
      </c>
      <c r="Q47" s="40" t="s">
        <v>52</v>
      </c>
      <c r="R47" s="29" t="s">
        <v>50</v>
      </c>
      <c r="S47" s="31" t="s">
        <v>53</v>
      </c>
      <c r="T47" s="32" t="s">
        <v>21</v>
      </c>
      <c r="U47" s="43" t="s">
        <v>52</v>
      </c>
      <c r="V47" s="142" t="s">
        <v>50</v>
      </c>
      <c r="W47" s="106" t="s">
        <v>54</v>
      </c>
      <c r="X47" s="105" t="s">
        <v>50</v>
      </c>
      <c r="Y47" s="105" t="s">
        <v>54</v>
      </c>
      <c r="Z47" s="154" t="s">
        <v>50</v>
      </c>
      <c r="AA47" s="154" t="s">
        <v>54</v>
      </c>
      <c r="AB47" s="43" t="s">
        <v>52</v>
      </c>
      <c r="AC47" s="31" t="s">
        <v>88</v>
      </c>
      <c r="AD47" s="32" t="s">
        <v>21</v>
      </c>
      <c r="AE47" s="43" t="s">
        <v>52</v>
      </c>
      <c r="AF47" s="31" t="s">
        <v>52</v>
      </c>
      <c r="AG47" s="33" t="s">
        <v>52</v>
      </c>
    </row>
    <row r="48" spans="1:33">
      <c r="A48" s="23">
        <f t="shared" ref="A48:F48" si="14">A18</f>
        <v>2024</v>
      </c>
      <c r="B48" s="27">
        <f t="shared" si="14"/>
        <v>2.4</v>
      </c>
      <c r="C48" s="57">
        <f t="shared" si="14"/>
        <v>0</v>
      </c>
      <c r="D48" s="27">
        <f t="shared" si="14"/>
        <v>0</v>
      </c>
      <c r="E48" s="57">
        <f t="shared" si="14"/>
        <v>0</v>
      </c>
      <c r="F48" s="27">
        <f t="shared" si="14"/>
        <v>0</v>
      </c>
      <c r="G48" s="123">
        <f>C48*D48+E48*F48</f>
        <v>0</v>
      </c>
      <c r="H48" s="133">
        <f>PV($N$11,32,-$P$9*'AC Cost'!G48)</f>
        <v>0</v>
      </c>
      <c r="I48" s="27">
        <f>I18</f>
        <v>2.4</v>
      </c>
      <c r="J48" s="57">
        <f>J18</f>
        <v>2200</v>
      </c>
      <c r="K48" s="27">
        <f>K18</f>
        <v>0</v>
      </c>
      <c r="L48" s="123">
        <f>J48*K48</f>
        <v>0</v>
      </c>
      <c r="M48" s="133">
        <f>PV($N$11,32,-$P$9*'AC Cost'!L48)</f>
        <v>0</v>
      </c>
      <c r="N48" s="27">
        <f>N18</f>
        <v>3</v>
      </c>
      <c r="O48" s="52">
        <f>O18</f>
        <v>88.55</v>
      </c>
      <c r="P48" s="120">
        <f>IF(A48&lt;$E$2,0,(D49+F49+K49)*O48)</f>
        <v>442.75</v>
      </c>
      <c r="Q48" s="133">
        <f t="shared" ref="Q48:Q68" si="15">PV($N$11,32,-$Q$9*P48)</f>
        <v>871.81574134412347</v>
      </c>
      <c r="R48" s="27">
        <f>R18</f>
        <v>3</v>
      </c>
      <c r="S48" s="52">
        <f>S18</f>
        <v>3.07</v>
      </c>
      <c r="T48" s="125">
        <f>T18</f>
        <v>0</v>
      </c>
      <c r="U48" s="60">
        <f>S48*T48*6</f>
        <v>0</v>
      </c>
      <c r="V48" s="27">
        <f t="shared" ref="V48:AB48" si="16">V18</f>
        <v>1.5</v>
      </c>
      <c r="W48" s="52">
        <f t="shared" si="16"/>
        <v>5.83</v>
      </c>
      <c r="X48" s="27">
        <f t="shared" si="16"/>
        <v>1.5</v>
      </c>
      <c r="Y48" s="52">
        <f t="shared" si="16"/>
        <v>5.83</v>
      </c>
      <c r="Z48" s="27">
        <f t="shared" si="16"/>
        <v>1.5</v>
      </c>
      <c r="AA48" s="27">
        <f t="shared" si="16"/>
        <v>0</v>
      </c>
      <c r="AB48" s="53">
        <f t="shared" si="16"/>
        <v>0</v>
      </c>
      <c r="AC48" s="27"/>
      <c r="AD48" s="27"/>
      <c r="AE48" s="28"/>
      <c r="AF48" s="125">
        <f t="shared" ref="AF48:AF68" si="17">H48+M48+Q48+U48+AB48</f>
        <v>871.81574134412347</v>
      </c>
      <c r="AG48" s="130">
        <f t="shared" ref="AG48:AG68" si="18">PV($N$11,A48-$E$2,,-AF48,)</f>
        <v>871.81574134412347</v>
      </c>
    </row>
    <row r="49" spans="1:33">
      <c r="A49" s="18">
        <f t="shared" ref="A49:C68" si="19">A19</f>
        <v>2025</v>
      </c>
      <c r="B49" s="19">
        <f t="shared" si="19"/>
        <v>2.4</v>
      </c>
      <c r="C49" s="58">
        <f t="shared" si="19"/>
        <v>0</v>
      </c>
      <c r="D49" s="19">
        <f t="shared" ref="D49:D68" si="20">IF($A49-$E$2&lt;=$E$4,D19,IF($A49-$E$2=$E$4+1,0,D18))</f>
        <v>0</v>
      </c>
      <c r="E49" s="58">
        <f t="shared" ref="E49:E68" si="21">E19</f>
        <v>0</v>
      </c>
      <c r="F49" s="19">
        <f t="shared" ref="F49:F68" si="22">IF($A49-$E$2&lt;=$E$4,F19,IF($A49-$E$2=$E$4+1,0,F18))</f>
        <v>0</v>
      </c>
      <c r="G49" s="119">
        <f t="shared" ref="G49:G68" si="23">C49*D49+E49*F49</f>
        <v>0</v>
      </c>
      <c r="H49" s="134">
        <f>PV($N$11,32,-$P$9*'AC Cost'!G49)</f>
        <v>0</v>
      </c>
      <c r="I49" s="19">
        <f t="shared" ref="I49:J68" si="24">I19</f>
        <v>2.4</v>
      </c>
      <c r="J49" s="58">
        <f t="shared" si="24"/>
        <v>2252.8000000000002</v>
      </c>
      <c r="K49" s="19">
        <f t="shared" ref="K49:K68" si="25">IF($A49-$E$2&lt;=$E$5,K19,IF($A49-$E$2=$E$5+1,0,K18))</f>
        <v>5</v>
      </c>
      <c r="L49" s="119">
        <f t="shared" ref="L49:L68" si="26">J49*K49</f>
        <v>11264</v>
      </c>
      <c r="M49" s="134">
        <f>PV($N$11,32,-$P$9*'AC Cost'!L49)</f>
        <v>20991.217401138703</v>
      </c>
      <c r="N49" s="19">
        <f t="shared" ref="N49:O49" si="27">N19</f>
        <v>3</v>
      </c>
      <c r="O49" s="46">
        <f t="shared" si="27"/>
        <v>91.206500000000005</v>
      </c>
      <c r="P49" s="120">
        <f t="shared" ref="P49:P68" si="28">IF(A49&lt;$E$2,0,(D50+F50+K50)*O49)</f>
        <v>456.03250000000003</v>
      </c>
      <c r="Q49" s="134">
        <f t="shared" si="15"/>
        <v>897.97021358444727</v>
      </c>
      <c r="R49" s="19">
        <f t="shared" ref="R49:S68" si="29">R19</f>
        <v>3</v>
      </c>
      <c r="S49" s="46">
        <f t="shared" si="29"/>
        <v>3.1621000000000001</v>
      </c>
      <c r="T49" s="19">
        <f t="shared" ref="T49:T68" si="30">IF($A49-$E$2&lt;=$E$7,T19,IF($A49-$E$2=$E$7+1,0,T18))</f>
        <v>0</v>
      </c>
      <c r="U49" s="136">
        <f t="shared" ref="U49:U68" si="31">S49*T49*6</f>
        <v>0</v>
      </c>
      <c r="V49" s="19">
        <f t="shared" ref="V49:AB58" si="32">V19</f>
        <v>1.5</v>
      </c>
      <c r="W49" s="46">
        <f t="shared" si="32"/>
        <v>5.9174499999999997</v>
      </c>
      <c r="X49" s="19">
        <f t="shared" si="32"/>
        <v>1.5</v>
      </c>
      <c r="Y49" s="46">
        <f t="shared" si="32"/>
        <v>5.9174499999999997</v>
      </c>
      <c r="Z49" s="19">
        <f t="shared" si="32"/>
        <v>1.5</v>
      </c>
      <c r="AA49" s="19">
        <f t="shared" si="32"/>
        <v>0</v>
      </c>
      <c r="AB49" s="51">
        <f t="shared" si="32"/>
        <v>29.587249999999997</v>
      </c>
      <c r="AC49" s="19"/>
      <c r="AD49" s="19"/>
      <c r="AE49" s="30"/>
      <c r="AF49" s="121">
        <f t="shared" si="17"/>
        <v>21918.774864723153</v>
      </c>
      <c r="AG49" s="131">
        <f t="shared" si="18"/>
        <v>20974.90417676857</v>
      </c>
    </row>
    <row r="50" spans="1:33">
      <c r="A50" s="18">
        <f t="shared" si="19"/>
        <v>2026</v>
      </c>
      <c r="B50" s="19">
        <f t="shared" si="19"/>
        <v>2.4</v>
      </c>
      <c r="C50" s="58">
        <f t="shared" si="19"/>
        <v>0</v>
      </c>
      <c r="D50" s="19">
        <f t="shared" si="20"/>
        <v>0</v>
      </c>
      <c r="E50" s="58">
        <f t="shared" si="21"/>
        <v>0</v>
      </c>
      <c r="F50" s="19">
        <f t="shared" si="22"/>
        <v>0</v>
      </c>
      <c r="G50" s="119">
        <f t="shared" si="23"/>
        <v>0</v>
      </c>
      <c r="H50" s="134">
        <f>PV($N$11,32,-$P$9*'AC Cost'!G50)</f>
        <v>0</v>
      </c>
      <c r="I50" s="19">
        <f t="shared" si="24"/>
        <v>2.4</v>
      </c>
      <c r="J50" s="58">
        <f t="shared" si="24"/>
        <v>2306.8672000000001</v>
      </c>
      <c r="K50" s="19">
        <f t="shared" si="25"/>
        <v>5</v>
      </c>
      <c r="L50" s="119">
        <f t="shared" si="26"/>
        <v>11534.336000000001</v>
      </c>
      <c r="M50" s="134">
        <f>PV($N$11,32,-$P$9*'AC Cost'!L50)</f>
        <v>21495.00661876603</v>
      </c>
      <c r="N50" s="19">
        <f t="shared" ref="N50:O50" si="33">N20</f>
        <v>3</v>
      </c>
      <c r="O50" s="46">
        <f t="shared" si="33"/>
        <v>93.942695000000015</v>
      </c>
      <c r="P50" s="120">
        <f t="shared" si="28"/>
        <v>0</v>
      </c>
      <c r="Q50" s="134">
        <f t="shared" si="15"/>
        <v>0</v>
      </c>
      <c r="R50" s="19">
        <f t="shared" si="29"/>
        <v>3</v>
      </c>
      <c r="S50" s="46">
        <f t="shared" si="29"/>
        <v>3.2569630000000003</v>
      </c>
      <c r="T50" s="19">
        <f t="shared" si="30"/>
        <v>0</v>
      </c>
      <c r="U50" s="136">
        <f t="shared" si="31"/>
        <v>0</v>
      </c>
      <c r="V50" s="19">
        <f t="shared" si="32"/>
        <v>1.5</v>
      </c>
      <c r="W50" s="46">
        <f t="shared" si="32"/>
        <v>6.0062117499999994</v>
      </c>
      <c r="X50" s="19">
        <f t="shared" si="32"/>
        <v>1.5</v>
      </c>
      <c r="Y50" s="46">
        <f t="shared" si="32"/>
        <v>6.0062117499999994</v>
      </c>
      <c r="Z50" s="19">
        <f t="shared" si="32"/>
        <v>1.5</v>
      </c>
      <c r="AA50" s="19">
        <f t="shared" si="32"/>
        <v>0</v>
      </c>
      <c r="AB50" s="51">
        <f t="shared" si="32"/>
        <v>60.062117499999992</v>
      </c>
      <c r="AC50" s="19"/>
      <c r="AD50" s="19"/>
      <c r="AE50" s="30"/>
      <c r="AF50" s="121">
        <f t="shared" si="17"/>
        <v>21555.068736266032</v>
      </c>
      <c r="AG50" s="131">
        <f t="shared" si="18"/>
        <v>19738.622042779272</v>
      </c>
    </row>
    <row r="51" spans="1:33">
      <c r="A51" s="18">
        <f t="shared" si="19"/>
        <v>2027</v>
      </c>
      <c r="B51" s="19">
        <f t="shared" si="19"/>
        <v>2.4</v>
      </c>
      <c r="C51" s="58">
        <f t="shared" si="19"/>
        <v>0</v>
      </c>
      <c r="D51" s="19">
        <f t="shared" si="20"/>
        <v>0</v>
      </c>
      <c r="E51" s="58">
        <f t="shared" si="21"/>
        <v>0</v>
      </c>
      <c r="F51" s="19">
        <f t="shared" si="22"/>
        <v>0</v>
      </c>
      <c r="G51" s="119">
        <f t="shared" si="23"/>
        <v>0</v>
      </c>
      <c r="H51" s="134">
        <f>PV($N$11,32,-$P$9*'AC Cost'!G51)</f>
        <v>0</v>
      </c>
      <c r="I51" s="19">
        <f t="shared" si="24"/>
        <v>2.4</v>
      </c>
      <c r="J51" s="58">
        <f t="shared" si="24"/>
        <v>2362.2320128000001</v>
      </c>
      <c r="K51" s="19">
        <f t="shared" si="25"/>
        <v>0</v>
      </c>
      <c r="L51" s="119">
        <f t="shared" si="26"/>
        <v>0</v>
      </c>
      <c r="M51" s="134">
        <f>PV($N$11,32,-$P$9*'AC Cost'!L51)</f>
        <v>0</v>
      </c>
      <c r="N51" s="19">
        <f t="shared" ref="N51:O51" si="34">N21</f>
        <v>3</v>
      </c>
      <c r="O51" s="46">
        <f t="shared" si="34"/>
        <v>96.760975850000023</v>
      </c>
      <c r="P51" s="120">
        <f t="shared" si="28"/>
        <v>483.80487925000011</v>
      </c>
      <c r="Q51" s="134">
        <f t="shared" si="15"/>
        <v>952.65659959174025</v>
      </c>
      <c r="R51" s="19">
        <f t="shared" si="29"/>
        <v>3</v>
      </c>
      <c r="S51" s="46">
        <f t="shared" si="29"/>
        <v>3.3546718900000005</v>
      </c>
      <c r="T51" s="19">
        <f t="shared" si="30"/>
        <v>0</v>
      </c>
      <c r="U51" s="136">
        <f t="shared" si="31"/>
        <v>0</v>
      </c>
      <c r="V51" s="19">
        <f t="shared" si="32"/>
        <v>1.5</v>
      </c>
      <c r="W51" s="46">
        <f t="shared" si="32"/>
        <v>6.0963049262499984</v>
      </c>
      <c r="X51" s="19">
        <f t="shared" si="32"/>
        <v>1.5</v>
      </c>
      <c r="Y51" s="46">
        <f t="shared" si="32"/>
        <v>6.0963049262499984</v>
      </c>
      <c r="Z51" s="19">
        <f t="shared" si="32"/>
        <v>1.5</v>
      </c>
      <c r="AA51" s="19">
        <f t="shared" si="32"/>
        <v>0</v>
      </c>
      <c r="AB51" s="51">
        <f t="shared" si="32"/>
        <v>91.444573893749975</v>
      </c>
      <c r="AC51" s="19"/>
      <c r="AD51" s="19"/>
      <c r="AE51" s="30"/>
      <c r="AF51" s="121">
        <f t="shared" si="17"/>
        <v>1044.1011734854901</v>
      </c>
      <c r="AG51" s="131">
        <f t="shared" si="18"/>
        <v>914.94231261508071</v>
      </c>
    </row>
    <row r="52" spans="1:33">
      <c r="A52" s="18">
        <f t="shared" si="19"/>
        <v>2028</v>
      </c>
      <c r="B52" s="32">
        <f t="shared" si="19"/>
        <v>2.4</v>
      </c>
      <c r="C52" s="59">
        <f t="shared" si="19"/>
        <v>0</v>
      </c>
      <c r="D52" s="32">
        <f t="shared" si="20"/>
        <v>0</v>
      </c>
      <c r="E52" s="59">
        <f t="shared" si="21"/>
        <v>0</v>
      </c>
      <c r="F52" s="32">
        <f t="shared" si="22"/>
        <v>0</v>
      </c>
      <c r="G52" s="126">
        <f t="shared" si="23"/>
        <v>0</v>
      </c>
      <c r="H52" s="135">
        <f>PV($N$11,32,-$P$9*'AC Cost'!G52)</f>
        <v>0</v>
      </c>
      <c r="I52" s="32">
        <f t="shared" si="24"/>
        <v>2.4</v>
      </c>
      <c r="J52" s="59">
        <f t="shared" si="24"/>
        <v>2418.9255811072003</v>
      </c>
      <c r="K52" s="32">
        <f t="shared" si="25"/>
        <v>5</v>
      </c>
      <c r="L52" s="126">
        <f t="shared" si="26"/>
        <v>12094.627905536001</v>
      </c>
      <c r="M52" s="135">
        <f>PV($N$11,32,-$P$9*'AC Cost'!L52)</f>
        <v>22539.148060279207</v>
      </c>
      <c r="N52" s="32">
        <f t="shared" ref="N52:O52" si="35">N22</f>
        <v>3</v>
      </c>
      <c r="O52" s="47">
        <f t="shared" si="35"/>
        <v>99.663805125500019</v>
      </c>
      <c r="P52" s="128">
        <f t="shared" si="28"/>
        <v>498.31902562750008</v>
      </c>
      <c r="Q52" s="135">
        <f t="shared" si="15"/>
        <v>981.23629757949243</v>
      </c>
      <c r="R52" s="32">
        <f t="shared" si="29"/>
        <v>3</v>
      </c>
      <c r="S52" s="47">
        <f t="shared" si="29"/>
        <v>3.4553120467000005</v>
      </c>
      <c r="T52" s="32">
        <f t="shared" si="30"/>
        <v>0</v>
      </c>
      <c r="U52" s="137">
        <f t="shared" si="31"/>
        <v>0</v>
      </c>
      <c r="V52" s="32">
        <f t="shared" si="32"/>
        <v>1.5</v>
      </c>
      <c r="W52" s="47">
        <f t="shared" si="32"/>
        <v>6.1877495001437479</v>
      </c>
      <c r="X52" s="32">
        <f t="shared" si="32"/>
        <v>1.5</v>
      </c>
      <c r="Y52" s="47">
        <f t="shared" si="32"/>
        <v>6.1877495001437479</v>
      </c>
      <c r="Z52" s="32">
        <f t="shared" si="32"/>
        <v>1.5</v>
      </c>
      <c r="AA52" s="32">
        <f t="shared" si="32"/>
        <v>0</v>
      </c>
      <c r="AB52" s="54">
        <f t="shared" si="32"/>
        <v>123.75499000287496</v>
      </c>
      <c r="AC52" s="32"/>
      <c r="AD52" s="32"/>
      <c r="AE52" s="33"/>
      <c r="AF52" s="129">
        <f t="shared" si="17"/>
        <v>23644.139347861576</v>
      </c>
      <c r="AG52" s="132">
        <f t="shared" si="18"/>
        <v>19827.061259648002</v>
      </c>
    </row>
    <row r="53" spans="1:33">
      <c r="A53" s="18">
        <f t="shared" si="19"/>
        <v>2029</v>
      </c>
      <c r="B53" s="19">
        <f t="shared" si="19"/>
        <v>2.4</v>
      </c>
      <c r="C53" s="58">
        <f t="shared" si="19"/>
        <v>0</v>
      </c>
      <c r="D53" s="19">
        <f t="shared" si="20"/>
        <v>0</v>
      </c>
      <c r="E53" s="58">
        <f t="shared" si="21"/>
        <v>0</v>
      </c>
      <c r="F53" s="19">
        <f t="shared" si="22"/>
        <v>0</v>
      </c>
      <c r="G53" s="119">
        <f t="shared" si="23"/>
        <v>0</v>
      </c>
      <c r="H53" s="134">
        <f>PV($N$11,32,-$P$9*'AC Cost'!G53)</f>
        <v>0</v>
      </c>
      <c r="I53" s="19">
        <f t="shared" si="24"/>
        <v>2.4</v>
      </c>
      <c r="J53" s="58">
        <f t="shared" si="24"/>
        <v>2476.9797950537732</v>
      </c>
      <c r="K53" s="19">
        <f t="shared" si="25"/>
        <v>5</v>
      </c>
      <c r="L53" s="119">
        <f t="shared" si="26"/>
        <v>12384.898975268865</v>
      </c>
      <c r="M53" s="134">
        <f>PV($N$11,32,-$P$9*'AC Cost'!L53)</f>
        <v>23080.087613725911</v>
      </c>
      <c r="N53" s="19">
        <f t="shared" ref="N53:O53" si="36">N23</f>
        <v>3</v>
      </c>
      <c r="O53" s="46">
        <f t="shared" si="36"/>
        <v>102.65371927926502</v>
      </c>
      <c r="P53" s="120">
        <f t="shared" si="28"/>
        <v>513.26859639632505</v>
      </c>
      <c r="Q53" s="134">
        <f t="shared" si="15"/>
        <v>1010.673386506877</v>
      </c>
      <c r="R53" s="19">
        <f t="shared" si="29"/>
        <v>3</v>
      </c>
      <c r="S53" s="46">
        <f t="shared" si="29"/>
        <v>3.5589714081010007</v>
      </c>
      <c r="T53" s="19">
        <f t="shared" si="30"/>
        <v>0</v>
      </c>
      <c r="U53" s="136">
        <f t="shared" si="31"/>
        <v>0</v>
      </c>
      <c r="V53" s="19">
        <f t="shared" si="32"/>
        <v>1.5</v>
      </c>
      <c r="W53" s="46">
        <f t="shared" si="32"/>
        <v>6.2805657426459032</v>
      </c>
      <c r="X53" s="19">
        <f t="shared" si="32"/>
        <v>1.5</v>
      </c>
      <c r="Y53" s="46">
        <f t="shared" si="32"/>
        <v>6.2805657426459032</v>
      </c>
      <c r="Z53" s="19">
        <f t="shared" si="32"/>
        <v>1.5</v>
      </c>
      <c r="AA53" s="19">
        <f t="shared" si="32"/>
        <v>0</v>
      </c>
      <c r="AB53" s="51">
        <f t="shared" si="32"/>
        <v>157.01414356614757</v>
      </c>
      <c r="AC53" s="19"/>
      <c r="AD53" s="19"/>
      <c r="AE53" s="30"/>
      <c r="AF53" s="121">
        <f t="shared" si="17"/>
        <v>24247.775143798935</v>
      </c>
      <c r="AG53" s="131">
        <f t="shared" si="18"/>
        <v>19457.652539454732</v>
      </c>
    </row>
    <row r="54" spans="1:33">
      <c r="A54" s="18">
        <f t="shared" si="19"/>
        <v>2030</v>
      </c>
      <c r="B54" s="19">
        <f t="shared" si="19"/>
        <v>2.4</v>
      </c>
      <c r="C54" s="58">
        <f t="shared" si="19"/>
        <v>0</v>
      </c>
      <c r="D54" s="19">
        <f t="shared" si="20"/>
        <v>0</v>
      </c>
      <c r="E54" s="58">
        <f t="shared" si="21"/>
        <v>0</v>
      </c>
      <c r="F54" s="19">
        <f t="shared" si="22"/>
        <v>0</v>
      </c>
      <c r="G54" s="119">
        <f t="shared" si="23"/>
        <v>0</v>
      </c>
      <c r="H54" s="134">
        <f>PV($N$11,32,-$P$9*'AC Cost'!G54)</f>
        <v>0</v>
      </c>
      <c r="I54" s="19">
        <f t="shared" si="24"/>
        <v>2.4</v>
      </c>
      <c r="J54" s="58">
        <f t="shared" si="24"/>
        <v>2536.4273101350636</v>
      </c>
      <c r="K54" s="19">
        <f t="shared" si="25"/>
        <v>5</v>
      </c>
      <c r="L54" s="119">
        <f t="shared" si="26"/>
        <v>12682.136550675317</v>
      </c>
      <c r="M54" s="134">
        <f>PV($N$11,32,-$P$9*'AC Cost'!L54)</f>
        <v>23634.009716455334</v>
      </c>
      <c r="N54" s="19">
        <f t="shared" ref="N54:O54" si="37">N24</f>
        <v>3</v>
      </c>
      <c r="O54" s="46">
        <f t="shared" si="37"/>
        <v>105.73333085764297</v>
      </c>
      <c r="P54" s="120">
        <f t="shared" si="28"/>
        <v>528.66665428821489</v>
      </c>
      <c r="Q54" s="134">
        <f t="shared" si="15"/>
        <v>1040.9935881020835</v>
      </c>
      <c r="R54" s="19">
        <f t="shared" si="29"/>
        <v>3</v>
      </c>
      <c r="S54" s="46">
        <f t="shared" si="29"/>
        <v>3.6657405503440308</v>
      </c>
      <c r="T54" s="19">
        <f t="shared" si="30"/>
        <v>0</v>
      </c>
      <c r="U54" s="136">
        <f t="shared" si="31"/>
        <v>0</v>
      </c>
      <c r="V54" s="19">
        <f t="shared" si="32"/>
        <v>1.5</v>
      </c>
      <c r="W54" s="46">
        <f t="shared" si="32"/>
        <v>6.3747742287855909</v>
      </c>
      <c r="X54" s="19">
        <f t="shared" si="32"/>
        <v>1.5</v>
      </c>
      <c r="Y54" s="46">
        <f t="shared" si="32"/>
        <v>6.3747742287855909</v>
      </c>
      <c r="Z54" s="19">
        <f t="shared" si="32"/>
        <v>1.5</v>
      </c>
      <c r="AA54" s="19">
        <f t="shared" si="32"/>
        <v>0</v>
      </c>
      <c r="AB54" s="51">
        <f t="shared" si="32"/>
        <v>191.24322686356771</v>
      </c>
      <c r="AC54" s="19"/>
      <c r="AD54" s="19"/>
      <c r="AE54" s="30"/>
      <c r="AF54" s="121">
        <f t="shared" si="17"/>
        <v>24866.246531420984</v>
      </c>
      <c r="AG54" s="131">
        <f t="shared" si="18"/>
        <v>19094.684738452423</v>
      </c>
    </row>
    <row r="55" spans="1:33">
      <c r="A55" s="18">
        <f t="shared" si="19"/>
        <v>2031</v>
      </c>
      <c r="B55" s="19">
        <f t="shared" si="19"/>
        <v>2.4</v>
      </c>
      <c r="C55" s="58">
        <f t="shared" si="19"/>
        <v>0</v>
      </c>
      <c r="D55" s="19">
        <f t="shared" si="20"/>
        <v>0</v>
      </c>
      <c r="E55" s="58">
        <f t="shared" si="21"/>
        <v>0</v>
      </c>
      <c r="F55" s="19">
        <f t="shared" si="22"/>
        <v>0</v>
      </c>
      <c r="G55" s="119">
        <f t="shared" si="23"/>
        <v>0</v>
      </c>
      <c r="H55" s="134">
        <f>PV($N$11,32,-$P$9*'AC Cost'!G55)</f>
        <v>0</v>
      </c>
      <c r="I55" s="19">
        <f t="shared" si="24"/>
        <v>2.4</v>
      </c>
      <c r="J55" s="58">
        <f t="shared" si="24"/>
        <v>2597.3015655783051</v>
      </c>
      <c r="K55" s="19">
        <f t="shared" si="25"/>
        <v>5</v>
      </c>
      <c r="L55" s="119">
        <f t="shared" si="26"/>
        <v>12986.507827891526</v>
      </c>
      <c r="M55" s="134">
        <f>PV($N$11,32,-$P$9*'AC Cost'!L55)</f>
        <v>24201.225949650267</v>
      </c>
      <c r="N55" s="19">
        <f t="shared" ref="N55:O55" si="38">N25</f>
        <v>3</v>
      </c>
      <c r="O55" s="46">
        <f t="shared" si="38"/>
        <v>108.90533078337226</v>
      </c>
      <c r="P55" s="120">
        <f t="shared" si="28"/>
        <v>544.52665391686128</v>
      </c>
      <c r="Q55" s="134">
        <f t="shared" si="15"/>
        <v>1072.223395745146</v>
      </c>
      <c r="R55" s="19">
        <f t="shared" si="29"/>
        <v>3</v>
      </c>
      <c r="S55" s="46">
        <f t="shared" si="29"/>
        <v>3.775712766854352</v>
      </c>
      <c r="T55" s="19">
        <f t="shared" si="30"/>
        <v>0</v>
      </c>
      <c r="U55" s="136">
        <f t="shared" si="31"/>
        <v>0</v>
      </c>
      <c r="V55" s="19">
        <f t="shared" si="32"/>
        <v>1.5</v>
      </c>
      <c r="W55" s="46">
        <f t="shared" si="32"/>
        <v>6.470395842217374</v>
      </c>
      <c r="X55" s="19">
        <f t="shared" si="32"/>
        <v>1.5</v>
      </c>
      <c r="Y55" s="46">
        <f t="shared" si="32"/>
        <v>6.470395842217374</v>
      </c>
      <c r="Z55" s="19">
        <f t="shared" si="32"/>
        <v>1.5</v>
      </c>
      <c r="AA55" s="19">
        <f t="shared" si="32"/>
        <v>0</v>
      </c>
      <c r="AB55" s="51">
        <f t="shared" si="32"/>
        <v>226.46385447760809</v>
      </c>
      <c r="AC55" s="19"/>
      <c r="AD55" s="19"/>
      <c r="AE55" s="30"/>
      <c r="AF55" s="121">
        <f t="shared" si="17"/>
        <v>25499.913199873023</v>
      </c>
      <c r="AG55" s="131">
        <f t="shared" si="18"/>
        <v>18738.061887699201</v>
      </c>
    </row>
    <row r="56" spans="1:33">
      <c r="A56" s="18">
        <f t="shared" si="19"/>
        <v>2032</v>
      </c>
      <c r="B56" s="19">
        <f t="shared" si="19"/>
        <v>2.4</v>
      </c>
      <c r="C56" s="58">
        <f t="shared" si="19"/>
        <v>0</v>
      </c>
      <c r="D56" s="19">
        <f t="shared" si="20"/>
        <v>0</v>
      </c>
      <c r="E56" s="58">
        <f t="shared" si="21"/>
        <v>0</v>
      </c>
      <c r="F56" s="19">
        <f t="shared" si="22"/>
        <v>0</v>
      </c>
      <c r="G56" s="119">
        <f t="shared" si="23"/>
        <v>0</v>
      </c>
      <c r="H56" s="134">
        <f>PV($N$11,32,-$P$9*'AC Cost'!G56)</f>
        <v>0</v>
      </c>
      <c r="I56" s="19">
        <f t="shared" si="24"/>
        <v>2.4</v>
      </c>
      <c r="J56" s="58">
        <f t="shared" si="24"/>
        <v>2659.6368031521847</v>
      </c>
      <c r="K56" s="19">
        <f t="shared" si="25"/>
        <v>5</v>
      </c>
      <c r="L56" s="119">
        <f t="shared" si="26"/>
        <v>13298.184015760924</v>
      </c>
      <c r="M56" s="134">
        <f>PV($N$11,32,-$P$9*'AC Cost'!L56)</f>
        <v>24782.055372441871</v>
      </c>
      <c r="N56" s="19">
        <f t="shared" ref="N56:O56" si="39">N26</f>
        <v>3</v>
      </c>
      <c r="O56" s="46">
        <f t="shared" si="39"/>
        <v>112.17249070687343</v>
      </c>
      <c r="P56" s="120">
        <f t="shared" si="28"/>
        <v>560.86245353436721</v>
      </c>
      <c r="Q56" s="134">
        <f t="shared" si="15"/>
        <v>1104.3900976175005</v>
      </c>
      <c r="R56" s="19">
        <f t="shared" si="29"/>
        <v>3</v>
      </c>
      <c r="S56" s="46">
        <f t="shared" si="29"/>
        <v>3.8889841498599824</v>
      </c>
      <c r="T56" s="19">
        <f t="shared" si="30"/>
        <v>0</v>
      </c>
      <c r="U56" s="136">
        <f t="shared" si="31"/>
        <v>0</v>
      </c>
      <c r="V56" s="19">
        <f t="shared" si="32"/>
        <v>1.5</v>
      </c>
      <c r="W56" s="46">
        <f t="shared" si="32"/>
        <v>6.567451779850634</v>
      </c>
      <c r="X56" s="19">
        <f t="shared" si="32"/>
        <v>1.5</v>
      </c>
      <c r="Y56" s="46">
        <f t="shared" si="32"/>
        <v>6.567451779850634</v>
      </c>
      <c r="Z56" s="19">
        <f t="shared" si="32"/>
        <v>1.5</v>
      </c>
      <c r="AA56" s="19">
        <f t="shared" si="32"/>
        <v>0</v>
      </c>
      <c r="AB56" s="51">
        <f t="shared" si="32"/>
        <v>262.69807119402537</v>
      </c>
      <c r="AC56" s="19"/>
      <c r="AD56" s="19"/>
      <c r="AE56" s="30"/>
      <c r="AF56" s="121">
        <f t="shared" si="17"/>
        <v>26149.143541253397</v>
      </c>
      <c r="AG56" s="131">
        <f t="shared" si="18"/>
        <v>18387.688821183161</v>
      </c>
    </row>
    <row r="57" spans="1:33">
      <c r="A57" s="18">
        <f t="shared" si="19"/>
        <v>2033</v>
      </c>
      <c r="B57" s="32">
        <f t="shared" si="19"/>
        <v>2.4</v>
      </c>
      <c r="C57" s="59">
        <f t="shared" si="19"/>
        <v>0</v>
      </c>
      <c r="D57" s="32">
        <f t="shared" si="20"/>
        <v>0</v>
      </c>
      <c r="E57" s="59">
        <f t="shared" si="21"/>
        <v>0</v>
      </c>
      <c r="F57" s="32">
        <f t="shared" si="22"/>
        <v>0</v>
      </c>
      <c r="G57" s="126">
        <f t="shared" si="23"/>
        <v>0</v>
      </c>
      <c r="H57" s="135">
        <f>PV($N$11,32,-$P$9*'AC Cost'!G57)</f>
        <v>0</v>
      </c>
      <c r="I57" s="32">
        <f t="shared" si="24"/>
        <v>2.4</v>
      </c>
      <c r="J57" s="59">
        <f t="shared" si="24"/>
        <v>2723.4680864278371</v>
      </c>
      <c r="K57" s="32">
        <f t="shared" si="25"/>
        <v>5</v>
      </c>
      <c r="L57" s="126">
        <f t="shared" si="26"/>
        <v>13617.340432139186</v>
      </c>
      <c r="M57" s="135">
        <f>PV($N$11,32,-$P$9*'AC Cost'!L57)</f>
        <v>25376.824701380479</v>
      </c>
      <c r="N57" s="32">
        <f t="shared" ref="N57:O57" si="40">N27</f>
        <v>3</v>
      </c>
      <c r="O57" s="47">
        <f t="shared" si="40"/>
        <v>115.53766542807963</v>
      </c>
      <c r="P57" s="128">
        <f t="shared" si="28"/>
        <v>577.6883271403982</v>
      </c>
      <c r="Q57" s="135">
        <f t="shared" si="15"/>
        <v>1137.5218005460254</v>
      </c>
      <c r="R57" s="32">
        <f t="shared" si="29"/>
        <v>3</v>
      </c>
      <c r="S57" s="47">
        <f t="shared" si="29"/>
        <v>4.0056536743557816</v>
      </c>
      <c r="T57" s="32">
        <f t="shared" si="30"/>
        <v>0</v>
      </c>
      <c r="U57" s="137">
        <f t="shared" si="31"/>
        <v>0</v>
      </c>
      <c r="V57" s="32">
        <f t="shared" si="32"/>
        <v>1.5</v>
      </c>
      <c r="W57" s="47">
        <f t="shared" si="32"/>
        <v>6.6659635565483928</v>
      </c>
      <c r="X57" s="32">
        <f t="shared" si="32"/>
        <v>1.5</v>
      </c>
      <c r="Y57" s="47">
        <f t="shared" si="32"/>
        <v>6.6659635565483928</v>
      </c>
      <c r="Z57" s="32">
        <f t="shared" si="32"/>
        <v>1.5</v>
      </c>
      <c r="AA57" s="32">
        <f t="shared" si="32"/>
        <v>0</v>
      </c>
      <c r="AB57" s="54">
        <f t="shared" si="32"/>
        <v>299.96836004467769</v>
      </c>
      <c r="AC57" s="32"/>
      <c r="AD57" s="32"/>
      <c r="AE57" s="33"/>
      <c r="AF57" s="129">
        <f t="shared" si="17"/>
        <v>26814.314861971183</v>
      </c>
      <c r="AG57" s="132">
        <f t="shared" si="18"/>
        <v>18043.471196936018</v>
      </c>
    </row>
    <row r="58" spans="1:33">
      <c r="A58" s="18">
        <f t="shared" si="19"/>
        <v>2034</v>
      </c>
      <c r="B58" s="19">
        <f t="shared" si="19"/>
        <v>2.4</v>
      </c>
      <c r="C58" s="58">
        <f t="shared" si="19"/>
        <v>0</v>
      </c>
      <c r="D58" s="19">
        <f t="shared" si="20"/>
        <v>0</v>
      </c>
      <c r="E58" s="58">
        <f t="shared" si="21"/>
        <v>0</v>
      </c>
      <c r="F58" s="19">
        <f t="shared" si="22"/>
        <v>0</v>
      </c>
      <c r="G58" s="119">
        <f t="shared" si="23"/>
        <v>0</v>
      </c>
      <c r="H58" s="134">
        <f>PV($N$11,32,-$P$9*'AC Cost'!G58)</f>
        <v>0</v>
      </c>
      <c r="I58" s="19">
        <f t="shared" si="24"/>
        <v>2.4</v>
      </c>
      <c r="J58" s="58">
        <f t="shared" si="24"/>
        <v>2788.8313205021054</v>
      </c>
      <c r="K58" s="19">
        <f t="shared" si="25"/>
        <v>5</v>
      </c>
      <c r="L58" s="119">
        <f t="shared" si="26"/>
        <v>13944.156602510528</v>
      </c>
      <c r="M58" s="134">
        <f>PV($N$11,32,-$P$9*'AC Cost'!L58)</f>
        <v>25985.86849421361</v>
      </c>
      <c r="N58" s="19">
        <f t="shared" ref="N58:O58" si="41">N28</f>
        <v>3</v>
      </c>
      <c r="O58" s="46">
        <f t="shared" si="41"/>
        <v>119.00379539092202</v>
      </c>
      <c r="P58" s="120">
        <f t="shared" si="28"/>
        <v>0</v>
      </c>
      <c r="Q58" s="134">
        <f t="shared" si="15"/>
        <v>0</v>
      </c>
      <c r="R58" s="19">
        <f t="shared" si="29"/>
        <v>3</v>
      </c>
      <c r="S58" s="46">
        <f t="shared" si="29"/>
        <v>4.1258232845864553</v>
      </c>
      <c r="T58" s="19">
        <f t="shared" si="30"/>
        <v>0</v>
      </c>
      <c r="U58" s="136">
        <f t="shared" si="31"/>
        <v>0</v>
      </c>
      <c r="V58" s="19">
        <f t="shared" si="32"/>
        <v>1.5</v>
      </c>
      <c r="W58" s="46">
        <f t="shared" si="32"/>
        <v>6.7659530098966183</v>
      </c>
      <c r="X58" s="19">
        <f t="shared" si="32"/>
        <v>1.5</v>
      </c>
      <c r="Y58" s="46">
        <f t="shared" si="32"/>
        <v>6.7659530098966183</v>
      </c>
      <c r="Z58" s="19">
        <f t="shared" si="32"/>
        <v>1.5</v>
      </c>
      <c r="AA58" s="19">
        <f t="shared" si="32"/>
        <v>0</v>
      </c>
      <c r="AB58" s="51">
        <f t="shared" si="32"/>
        <v>0</v>
      </c>
      <c r="AC58" s="19"/>
      <c r="AD58" s="19"/>
      <c r="AE58" s="30"/>
      <c r="AF58" s="121">
        <f t="shared" si="17"/>
        <v>25985.86849421361</v>
      </c>
      <c r="AG58" s="131">
        <f t="shared" si="18"/>
        <v>16733.020065016502</v>
      </c>
    </row>
    <row r="59" spans="1:33">
      <c r="A59" s="18">
        <f t="shared" si="19"/>
        <v>2035</v>
      </c>
      <c r="B59" s="19">
        <f t="shared" si="19"/>
        <v>2.4</v>
      </c>
      <c r="C59" s="58">
        <f t="shared" si="19"/>
        <v>0</v>
      </c>
      <c r="D59" s="19">
        <f t="shared" si="20"/>
        <v>0</v>
      </c>
      <c r="E59" s="58">
        <f t="shared" si="21"/>
        <v>0</v>
      </c>
      <c r="F59" s="19">
        <f t="shared" si="22"/>
        <v>0</v>
      </c>
      <c r="G59" s="119">
        <f t="shared" si="23"/>
        <v>0</v>
      </c>
      <c r="H59" s="134">
        <f>PV($N$11,32,-$P$9*'AC Cost'!G59)</f>
        <v>0</v>
      </c>
      <c r="I59" s="19">
        <f t="shared" si="24"/>
        <v>2.4</v>
      </c>
      <c r="J59" s="58">
        <f t="shared" si="24"/>
        <v>2855.7632721941559</v>
      </c>
      <c r="K59" s="19">
        <f t="shared" si="25"/>
        <v>0</v>
      </c>
      <c r="L59" s="119">
        <f t="shared" si="26"/>
        <v>0</v>
      </c>
      <c r="M59" s="134">
        <f>PV($N$11,32,-$P$9*'AC Cost'!L59)</f>
        <v>0</v>
      </c>
      <c r="N59" s="19">
        <f t="shared" ref="N59:O59" si="42">N29</f>
        <v>3</v>
      </c>
      <c r="O59" s="46">
        <f t="shared" si="42"/>
        <v>122.57390925264968</v>
      </c>
      <c r="P59" s="120">
        <f t="shared" si="28"/>
        <v>0</v>
      </c>
      <c r="Q59" s="134">
        <f t="shared" si="15"/>
        <v>0</v>
      </c>
      <c r="R59" s="19">
        <f t="shared" si="29"/>
        <v>3</v>
      </c>
      <c r="S59" s="46">
        <f t="shared" si="29"/>
        <v>4.2495979831240493</v>
      </c>
      <c r="T59" s="19">
        <f t="shared" si="30"/>
        <v>0</v>
      </c>
      <c r="U59" s="136">
        <f t="shared" si="31"/>
        <v>0</v>
      </c>
      <c r="V59" s="19">
        <f t="shared" ref="V59:AB68" si="43">V29</f>
        <v>1.5</v>
      </c>
      <c r="W59" s="46">
        <f t="shared" si="43"/>
        <v>6.867442305045067</v>
      </c>
      <c r="X59" s="19">
        <f t="shared" si="43"/>
        <v>1.5</v>
      </c>
      <c r="Y59" s="46">
        <f t="shared" si="43"/>
        <v>6.867442305045067</v>
      </c>
      <c r="Z59" s="19">
        <f t="shared" si="43"/>
        <v>1.5</v>
      </c>
      <c r="AA59" s="19">
        <f t="shared" si="43"/>
        <v>0</v>
      </c>
      <c r="AB59" s="51">
        <f t="shared" si="43"/>
        <v>0</v>
      </c>
      <c r="AC59" s="19"/>
      <c r="AD59" s="19"/>
      <c r="AE59" s="30"/>
      <c r="AF59" s="121">
        <f t="shared" si="17"/>
        <v>0</v>
      </c>
      <c r="AG59" s="131">
        <f t="shared" si="18"/>
        <v>0</v>
      </c>
    </row>
    <row r="60" spans="1:33">
      <c r="A60" s="18">
        <f t="shared" si="19"/>
        <v>2036</v>
      </c>
      <c r="B60" s="19">
        <f t="shared" si="19"/>
        <v>2.4</v>
      </c>
      <c r="C60" s="58">
        <f t="shared" si="19"/>
        <v>0</v>
      </c>
      <c r="D60" s="19">
        <f t="shared" si="20"/>
        <v>0</v>
      </c>
      <c r="E60" s="58">
        <f t="shared" si="21"/>
        <v>0</v>
      </c>
      <c r="F60" s="19">
        <f t="shared" si="22"/>
        <v>0</v>
      </c>
      <c r="G60" s="119">
        <f t="shared" si="23"/>
        <v>0</v>
      </c>
      <c r="H60" s="134">
        <f>PV($N$11,32,-$P$9*'AC Cost'!G60)</f>
        <v>0</v>
      </c>
      <c r="I60" s="19">
        <f t="shared" si="24"/>
        <v>2.4</v>
      </c>
      <c r="J60" s="58">
        <f t="shared" si="24"/>
        <v>2924.3015907268159</v>
      </c>
      <c r="K60" s="19">
        <f t="shared" si="25"/>
        <v>0</v>
      </c>
      <c r="L60" s="119">
        <f t="shared" si="26"/>
        <v>0</v>
      </c>
      <c r="M60" s="134">
        <f>PV($N$11,32,-$P$9*'AC Cost'!L60)</f>
        <v>0</v>
      </c>
      <c r="N60" s="19">
        <f t="shared" ref="N60:O60" si="44">N30</f>
        <v>3</v>
      </c>
      <c r="O60" s="46">
        <f t="shared" si="44"/>
        <v>126.25112653022917</v>
      </c>
      <c r="P60" s="120">
        <f t="shared" si="28"/>
        <v>0</v>
      </c>
      <c r="Q60" s="134">
        <f t="shared" si="15"/>
        <v>0</v>
      </c>
      <c r="R60" s="19">
        <f t="shared" si="29"/>
        <v>3</v>
      </c>
      <c r="S60" s="46">
        <f t="shared" si="29"/>
        <v>4.3770859226177707</v>
      </c>
      <c r="T60" s="19">
        <f t="shared" si="30"/>
        <v>0</v>
      </c>
      <c r="U60" s="136">
        <f t="shared" si="31"/>
        <v>0</v>
      </c>
      <c r="V60" s="19">
        <f t="shared" si="43"/>
        <v>1.5</v>
      </c>
      <c r="W60" s="46">
        <f t="shared" si="43"/>
        <v>6.9704539396207421</v>
      </c>
      <c r="X60" s="19">
        <f t="shared" si="43"/>
        <v>1.5</v>
      </c>
      <c r="Y60" s="46">
        <f t="shared" si="43"/>
        <v>6.9704539396207421</v>
      </c>
      <c r="Z60" s="19">
        <f t="shared" si="43"/>
        <v>1.5</v>
      </c>
      <c r="AA60" s="19">
        <f t="shared" si="43"/>
        <v>0</v>
      </c>
      <c r="AB60" s="51">
        <f t="shared" si="43"/>
        <v>0</v>
      </c>
      <c r="AC60" s="19"/>
      <c r="AD60" s="19"/>
      <c r="AE60" s="30"/>
      <c r="AF60" s="121">
        <f t="shared" si="17"/>
        <v>0</v>
      </c>
      <c r="AG60" s="131">
        <f t="shared" si="18"/>
        <v>0</v>
      </c>
    </row>
    <row r="61" spans="1:33">
      <c r="A61" s="18">
        <f t="shared" si="19"/>
        <v>2037</v>
      </c>
      <c r="B61" s="19">
        <f t="shared" si="19"/>
        <v>2.4</v>
      </c>
      <c r="C61" s="58">
        <f t="shared" si="19"/>
        <v>0</v>
      </c>
      <c r="D61" s="19">
        <f t="shared" si="20"/>
        <v>0</v>
      </c>
      <c r="E61" s="58">
        <f t="shared" si="21"/>
        <v>0</v>
      </c>
      <c r="F61" s="19">
        <f t="shared" si="22"/>
        <v>0</v>
      </c>
      <c r="G61" s="119">
        <f t="shared" si="23"/>
        <v>0</v>
      </c>
      <c r="H61" s="134">
        <f>PV($N$11,32,-$P$9*'AC Cost'!G61)</f>
        <v>0</v>
      </c>
      <c r="I61" s="19">
        <f t="shared" si="24"/>
        <v>2.4</v>
      </c>
      <c r="J61" s="58">
        <f t="shared" si="24"/>
        <v>2994.4848289042598</v>
      </c>
      <c r="K61" s="19">
        <f t="shared" si="25"/>
        <v>0</v>
      </c>
      <c r="L61" s="119">
        <f t="shared" si="26"/>
        <v>0</v>
      </c>
      <c r="M61" s="134">
        <f>PV($N$11,32,-$P$9*'AC Cost'!L61)</f>
        <v>0</v>
      </c>
      <c r="N61" s="19">
        <f t="shared" ref="N61:O61" si="45">N31</f>
        <v>3</v>
      </c>
      <c r="O61" s="46">
        <f t="shared" si="45"/>
        <v>130.03866032613604</v>
      </c>
      <c r="P61" s="120">
        <f t="shared" si="28"/>
        <v>0</v>
      </c>
      <c r="Q61" s="134">
        <f t="shared" si="15"/>
        <v>0</v>
      </c>
      <c r="R61" s="19">
        <f t="shared" si="29"/>
        <v>3</v>
      </c>
      <c r="S61" s="46">
        <f t="shared" si="29"/>
        <v>4.5083985002963036</v>
      </c>
      <c r="T61" s="19">
        <f t="shared" si="30"/>
        <v>0</v>
      </c>
      <c r="U61" s="136">
        <f t="shared" si="31"/>
        <v>0</v>
      </c>
      <c r="V61" s="19">
        <f t="shared" si="43"/>
        <v>1.5</v>
      </c>
      <c r="W61" s="46">
        <f t="shared" si="43"/>
        <v>7.0750107487150524</v>
      </c>
      <c r="X61" s="19">
        <f t="shared" si="43"/>
        <v>1.5</v>
      </c>
      <c r="Y61" s="46">
        <f t="shared" si="43"/>
        <v>7.0750107487150524</v>
      </c>
      <c r="Z61" s="19">
        <f t="shared" si="43"/>
        <v>1.5</v>
      </c>
      <c r="AA61" s="19">
        <f t="shared" si="43"/>
        <v>0</v>
      </c>
      <c r="AB61" s="51">
        <f t="shared" si="43"/>
        <v>0</v>
      </c>
      <c r="AC61" s="19"/>
      <c r="AD61" s="19"/>
      <c r="AE61" s="30"/>
      <c r="AF61" s="121">
        <f t="shared" si="17"/>
        <v>0</v>
      </c>
      <c r="AG61" s="131">
        <f t="shared" si="18"/>
        <v>0</v>
      </c>
    </row>
    <row r="62" spans="1:33">
      <c r="A62" s="18">
        <f t="shared" si="19"/>
        <v>2038</v>
      </c>
      <c r="B62" s="32">
        <f t="shared" si="19"/>
        <v>2.4</v>
      </c>
      <c r="C62" s="59">
        <f t="shared" si="19"/>
        <v>0</v>
      </c>
      <c r="D62" s="32">
        <f t="shared" si="20"/>
        <v>0</v>
      </c>
      <c r="E62" s="59">
        <f t="shared" si="21"/>
        <v>0</v>
      </c>
      <c r="F62" s="32">
        <f t="shared" si="22"/>
        <v>0</v>
      </c>
      <c r="G62" s="126">
        <f t="shared" si="23"/>
        <v>0</v>
      </c>
      <c r="H62" s="135">
        <f>PV($N$11,32,-$P$9*'AC Cost'!G62)</f>
        <v>0</v>
      </c>
      <c r="I62" s="32">
        <f t="shared" si="24"/>
        <v>2.4</v>
      </c>
      <c r="J62" s="59">
        <f t="shared" si="24"/>
        <v>3066.3524647979621</v>
      </c>
      <c r="K62" s="32">
        <f t="shared" si="25"/>
        <v>0</v>
      </c>
      <c r="L62" s="126">
        <f t="shared" si="26"/>
        <v>0</v>
      </c>
      <c r="M62" s="135">
        <f>PV($N$11,32,-$P$9*'AC Cost'!L62)</f>
        <v>0</v>
      </c>
      <c r="N62" s="32">
        <f t="shared" ref="N62:O62" si="46">N32</f>
        <v>3</v>
      </c>
      <c r="O62" s="47">
        <f t="shared" si="46"/>
        <v>133.93982013592012</v>
      </c>
      <c r="P62" s="128">
        <f t="shared" si="28"/>
        <v>0</v>
      </c>
      <c r="Q62" s="135">
        <f t="shared" si="15"/>
        <v>0</v>
      </c>
      <c r="R62" s="32">
        <f t="shared" si="29"/>
        <v>3</v>
      </c>
      <c r="S62" s="47">
        <f t="shared" si="29"/>
        <v>4.6436504553051927</v>
      </c>
      <c r="T62" s="32">
        <f t="shared" si="30"/>
        <v>0</v>
      </c>
      <c r="U62" s="137">
        <f t="shared" si="31"/>
        <v>0</v>
      </c>
      <c r="V62" s="32">
        <f t="shared" si="43"/>
        <v>1.5</v>
      </c>
      <c r="W62" s="47">
        <f t="shared" si="43"/>
        <v>7.1811359099457777</v>
      </c>
      <c r="X62" s="32">
        <f t="shared" si="43"/>
        <v>1.5</v>
      </c>
      <c r="Y62" s="47">
        <f t="shared" si="43"/>
        <v>7.1811359099457777</v>
      </c>
      <c r="Z62" s="32">
        <f t="shared" si="43"/>
        <v>1.5</v>
      </c>
      <c r="AA62" s="32">
        <f t="shared" si="43"/>
        <v>0</v>
      </c>
      <c r="AB62" s="54">
        <f t="shared" si="43"/>
        <v>0</v>
      </c>
      <c r="AC62" s="32"/>
      <c r="AD62" s="32"/>
      <c r="AE62" s="33"/>
      <c r="AF62" s="129">
        <f t="shared" si="17"/>
        <v>0</v>
      </c>
      <c r="AG62" s="132">
        <f t="shared" si="18"/>
        <v>0</v>
      </c>
    </row>
    <row r="63" spans="1:33">
      <c r="A63" s="18">
        <f t="shared" si="19"/>
        <v>2039</v>
      </c>
      <c r="B63" s="19">
        <f t="shared" si="19"/>
        <v>2.4</v>
      </c>
      <c r="C63" s="58">
        <f t="shared" si="19"/>
        <v>0</v>
      </c>
      <c r="D63" s="19">
        <f t="shared" si="20"/>
        <v>0</v>
      </c>
      <c r="E63" s="58">
        <f t="shared" si="21"/>
        <v>0</v>
      </c>
      <c r="F63" s="19">
        <f t="shared" si="22"/>
        <v>0</v>
      </c>
      <c r="G63" s="119">
        <f t="shared" si="23"/>
        <v>0</v>
      </c>
      <c r="H63" s="134">
        <f>PV($N$11,32,-$P$9*'AC Cost'!G63)</f>
        <v>0</v>
      </c>
      <c r="I63" s="19">
        <f t="shared" si="24"/>
        <v>2.4</v>
      </c>
      <c r="J63" s="58">
        <f t="shared" si="24"/>
        <v>3139.9449239531132</v>
      </c>
      <c r="K63" s="19">
        <f t="shared" si="25"/>
        <v>0</v>
      </c>
      <c r="L63" s="119">
        <f t="shared" si="26"/>
        <v>0</v>
      </c>
      <c r="M63" s="134">
        <f>PV($N$11,32,-$P$9*'AC Cost'!L63)</f>
        <v>0</v>
      </c>
      <c r="N63" s="19">
        <f t="shared" ref="N63:O63" si="47">N33</f>
        <v>3</v>
      </c>
      <c r="O63" s="46">
        <f t="shared" si="47"/>
        <v>137.95801473999774</v>
      </c>
      <c r="P63" s="120">
        <f t="shared" si="28"/>
        <v>0</v>
      </c>
      <c r="Q63" s="134">
        <f t="shared" si="15"/>
        <v>0</v>
      </c>
      <c r="R63" s="19">
        <f t="shared" si="29"/>
        <v>3</v>
      </c>
      <c r="S63" s="46">
        <f t="shared" si="29"/>
        <v>4.7829599689643487</v>
      </c>
      <c r="T63" s="19">
        <f t="shared" si="30"/>
        <v>0</v>
      </c>
      <c r="U63" s="136">
        <f t="shared" si="31"/>
        <v>0</v>
      </c>
      <c r="V63" s="19">
        <f t="shared" si="43"/>
        <v>1.5</v>
      </c>
      <c r="W63" s="46">
        <f t="shared" si="43"/>
        <v>7.2888529485949638</v>
      </c>
      <c r="X63" s="19">
        <f t="shared" si="43"/>
        <v>1.5</v>
      </c>
      <c r="Y63" s="46">
        <f t="shared" si="43"/>
        <v>7.2888529485949638</v>
      </c>
      <c r="Z63" s="19">
        <f t="shared" si="43"/>
        <v>1.5</v>
      </c>
      <c r="AA63" s="19">
        <f t="shared" si="43"/>
        <v>0</v>
      </c>
      <c r="AB63" s="51">
        <f t="shared" si="43"/>
        <v>0</v>
      </c>
      <c r="AC63" s="19"/>
      <c r="AD63" s="19"/>
      <c r="AE63" s="30"/>
      <c r="AF63" s="121">
        <f t="shared" si="17"/>
        <v>0</v>
      </c>
      <c r="AG63" s="131">
        <f t="shared" si="18"/>
        <v>0</v>
      </c>
    </row>
    <row r="64" spans="1:33">
      <c r="A64" s="18">
        <f t="shared" si="19"/>
        <v>2040</v>
      </c>
      <c r="B64" s="19">
        <f t="shared" si="19"/>
        <v>2.4</v>
      </c>
      <c r="C64" s="58">
        <f t="shared" si="19"/>
        <v>0</v>
      </c>
      <c r="D64" s="19">
        <f t="shared" si="20"/>
        <v>0</v>
      </c>
      <c r="E64" s="58">
        <f t="shared" si="21"/>
        <v>0</v>
      </c>
      <c r="F64" s="19">
        <f t="shared" si="22"/>
        <v>0</v>
      </c>
      <c r="G64" s="119">
        <f t="shared" si="23"/>
        <v>0</v>
      </c>
      <c r="H64" s="134">
        <f>PV($N$11,32,-$P$9*'AC Cost'!G64)</f>
        <v>0</v>
      </c>
      <c r="I64" s="19">
        <f t="shared" si="24"/>
        <v>2.4</v>
      </c>
      <c r="J64" s="58">
        <f t="shared" si="24"/>
        <v>3215.3036021279881</v>
      </c>
      <c r="K64" s="19">
        <f t="shared" si="25"/>
        <v>0</v>
      </c>
      <c r="L64" s="119">
        <f t="shared" si="26"/>
        <v>0</v>
      </c>
      <c r="M64" s="134">
        <f>PV($N$11,32,-$P$9*'AC Cost'!L64)</f>
        <v>0</v>
      </c>
      <c r="N64" s="19">
        <f t="shared" ref="N64:O64" si="48">N34</f>
        <v>3</v>
      </c>
      <c r="O64" s="46">
        <f t="shared" si="48"/>
        <v>142.09675518219768</v>
      </c>
      <c r="P64" s="120">
        <f t="shared" si="28"/>
        <v>0</v>
      </c>
      <c r="Q64" s="134">
        <f t="shared" si="15"/>
        <v>0</v>
      </c>
      <c r="R64" s="19">
        <f t="shared" si="29"/>
        <v>3</v>
      </c>
      <c r="S64" s="46">
        <f t="shared" si="29"/>
        <v>4.9264487680332794</v>
      </c>
      <c r="T64" s="19">
        <f t="shared" si="30"/>
        <v>0</v>
      </c>
      <c r="U64" s="136">
        <f t="shared" si="31"/>
        <v>0</v>
      </c>
      <c r="V64" s="19">
        <f t="shared" si="43"/>
        <v>1.5</v>
      </c>
      <c r="W64" s="46">
        <f t="shared" si="43"/>
        <v>7.3981857428238875</v>
      </c>
      <c r="X64" s="19">
        <f t="shared" si="43"/>
        <v>1.5</v>
      </c>
      <c r="Y64" s="46">
        <f t="shared" si="43"/>
        <v>7.3981857428238875</v>
      </c>
      <c r="Z64" s="19">
        <f t="shared" si="43"/>
        <v>1.5</v>
      </c>
      <c r="AA64" s="19">
        <f t="shared" si="43"/>
        <v>0</v>
      </c>
      <c r="AB64" s="51">
        <f t="shared" si="43"/>
        <v>0</v>
      </c>
      <c r="AC64" s="19"/>
      <c r="AD64" s="19"/>
      <c r="AE64" s="30"/>
      <c r="AF64" s="121">
        <f t="shared" si="17"/>
        <v>0</v>
      </c>
      <c r="AG64" s="131">
        <f t="shared" si="18"/>
        <v>0</v>
      </c>
    </row>
    <row r="65" spans="1:33">
      <c r="A65" s="18">
        <f t="shared" si="19"/>
        <v>2041</v>
      </c>
      <c r="B65" s="19">
        <f t="shared" si="19"/>
        <v>2.4</v>
      </c>
      <c r="C65" s="58">
        <f t="shared" si="19"/>
        <v>0</v>
      </c>
      <c r="D65" s="19">
        <f t="shared" si="20"/>
        <v>0</v>
      </c>
      <c r="E65" s="58">
        <f t="shared" si="21"/>
        <v>0</v>
      </c>
      <c r="F65" s="19">
        <f t="shared" si="22"/>
        <v>0</v>
      </c>
      <c r="G65" s="119">
        <f t="shared" si="23"/>
        <v>0</v>
      </c>
      <c r="H65" s="134">
        <f>PV($N$11,32,-$P$9*'AC Cost'!G65)</f>
        <v>0</v>
      </c>
      <c r="I65" s="19">
        <f t="shared" si="24"/>
        <v>2.4</v>
      </c>
      <c r="J65" s="58">
        <f t="shared" si="24"/>
        <v>3292.4708885790601</v>
      </c>
      <c r="K65" s="19">
        <f t="shared" si="25"/>
        <v>0</v>
      </c>
      <c r="L65" s="119">
        <f t="shared" si="26"/>
        <v>0</v>
      </c>
      <c r="M65" s="134">
        <f>PV($N$11,32,-$P$9*'AC Cost'!L65)</f>
        <v>0</v>
      </c>
      <c r="N65" s="19">
        <f t="shared" ref="N65:O65" si="49">N35</f>
        <v>3</v>
      </c>
      <c r="O65" s="46">
        <f t="shared" si="49"/>
        <v>146.3596578376636</v>
      </c>
      <c r="P65" s="120">
        <f t="shared" si="28"/>
        <v>0</v>
      </c>
      <c r="Q65" s="134">
        <f t="shared" si="15"/>
        <v>0</v>
      </c>
      <c r="R65" s="19">
        <f t="shared" si="29"/>
        <v>3</v>
      </c>
      <c r="S65" s="46">
        <f t="shared" si="29"/>
        <v>5.0742422310742779</v>
      </c>
      <c r="T65" s="19">
        <f t="shared" si="30"/>
        <v>0</v>
      </c>
      <c r="U65" s="136">
        <f t="shared" si="31"/>
        <v>0</v>
      </c>
      <c r="V65" s="19">
        <f t="shared" si="43"/>
        <v>1.5</v>
      </c>
      <c r="W65" s="46">
        <f t="shared" si="43"/>
        <v>7.5091585289662452</v>
      </c>
      <c r="X65" s="19">
        <f t="shared" si="43"/>
        <v>1.5</v>
      </c>
      <c r="Y65" s="46">
        <f t="shared" si="43"/>
        <v>7.5091585289662452</v>
      </c>
      <c r="Z65" s="19">
        <f t="shared" si="43"/>
        <v>1.5</v>
      </c>
      <c r="AA65" s="19">
        <f t="shared" si="43"/>
        <v>0</v>
      </c>
      <c r="AB65" s="51">
        <f t="shared" si="43"/>
        <v>0</v>
      </c>
      <c r="AC65" s="19"/>
      <c r="AD65" s="19"/>
      <c r="AE65" s="30"/>
      <c r="AF65" s="121">
        <f t="shared" si="17"/>
        <v>0</v>
      </c>
      <c r="AG65" s="131">
        <f t="shared" si="18"/>
        <v>0</v>
      </c>
    </row>
    <row r="66" spans="1:33">
      <c r="A66" s="18">
        <f t="shared" si="19"/>
        <v>2042</v>
      </c>
      <c r="B66" s="19">
        <f t="shared" si="19"/>
        <v>2.4</v>
      </c>
      <c r="C66" s="58">
        <f t="shared" si="19"/>
        <v>0</v>
      </c>
      <c r="D66" s="19">
        <f t="shared" si="20"/>
        <v>0</v>
      </c>
      <c r="E66" s="58">
        <f t="shared" si="21"/>
        <v>0</v>
      </c>
      <c r="F66" s="19">
        <f t="shared" si="22"/>
        <v>0</v>
      </c>
      <c r="G66" s="119">
        <f t="shared" si="23"/>
        <v>0</v>
      </c>
      <c r="H66" s="134">
        <f>PV($N$11,32,-$P$9*'AC Cost'!G66)</f>
        <v>0</v>
      </c>
      <c r="I66" s="19">
        <f t="shared" si="24"/>
        <v>2.4</v>
      </c>
      <c r="J66" s="58">
        <f t="shared" si="24"/>
        <v>3371.4901899049578</v>
      </c>
      <c r="K66" s="19">
        <f t="shared" si="25"/>
        <v>0</v>
      </c>
      <c r="L66" s="119">
        <f t="shared" si="26"/>
        <v>0</v>
      </c>
      <c r="M66" s="134">
        <f>PV($N$11,32,-$P$9*'AC Cost'!L66)</f>
        <v>0</v>
      </c>
      <c r="N66" s="19">
        <f t="shared" ref="N66:O66" si="50">N36</f>
        <v>3</v>
      </c>
      <c r="O66" s="46">
        <f t="shared" si="50"/>
        <v>150.75044757279352</v>
      </c>
      <c r="P66" s="120">
        <f t="shared" si="28"/>
        <v>0</v>
      </c>
      <c r="Q66" s="134">
        <f t="shared" si="15"/>
        <v>0</v>
      </c>
      <c r="R66" s="19">
        <f t="shared" si="29"/>
        <v>3</v>
      </c>
      <c r="S66" s="46">
        <f t="shared" si="29"/>
        <v>5.2264694980065061</v>
      </c>
      <c r="T66" s="19">
        <f t="shared" si="30"/>
        <v>0</v>
      </c>
      <c r="U66" s="136">
        <f t="shared" si="31"/>
        <v>0</v>
      </c>
      <c r="V66" s="19">
        <f t="shared" si="43"/>
        <v>1.5</v>
      </c>
      <c r="W66" s="46">
        <f t="shared" si="43"/>
        <v>7.6217959069007382</v>
      </c>
      <c r="X66" s="19">
        <f t="shared" si="43"/>
        <v>1.5</v>
      </c>
      <c r="Y66" s="46">
        <f t="shared" si="43"/>
        <v>7.6217959069007382</v>
      </c>
      <c r="Z66" s="19">
        <f t="shared" si="43"/>
        <v>1.5</v>
      </c>
      <c r="AA66" s="19">
        <f t="shared" si="43"/>
        <v>0</v>
      </c>
      <c r="AB66" s="51">
        <f t="shared" si="43"/>
        <v>0</v>
      </c>
      <c r="AC66" s="19"/>
      <c r="AD66" s="19"/>
      <c r="AE66" s="30"/>
      <c r="AF66" s="121">
        <f t="shared" si="17"/>
        <v>0</v>
      </c>
      <c r="AG66" s="131">
        <f t="shared" si="18"/>
        <v>0</v>
      </c>
    </row>
    <row r="67" spans="1:33">
      <c r="A67" s="18">
        <f t="shared" si="19"/>
        <v>2043</v>
      </c>
      <c r="B67" s="32">
        <f t="shared" si="19"/>
        <v>2.4</v>
      </c>
      <c r="C67" s="59">
        <f t="shared" si="19"/>
        <v>0</v>
      </c>
      <c r="D67" s="32">
        <f t="shared" si="20"/>
        <v>0</v>
      </c>
      <c r="E67" s="59">
        <f t="shared" si="21"/>
        <v>0</v>
      </c>
      <c r="F67" s="32">
        <f t="shared" si="22"/>
        <v>0</v>
      </c>
      <c r="G67" s="126">
        <f t="shared" si="23"/>
        <v>0</v>
      </c>
      <c r="H67" s="134">
        <f>PV($N$11,32,-$P$9*'AC Cost'!G67)</f>
        <v>0</v>
      </c>
      <c r="I67" s="32">
        <f t="shared" si="24"/>
        <v>2.4</v>
      </c>
      <c r="J67" s="59">
        <f t="shared" si="24"/>
        <v>3452.4059544626771</v>
      </c>
      <c r="K67" s="32">
        <f t="shared" si="25"/>
        <v>0</v>
      </c>
      <c r="L67" s="126">
        <f t="shared" si="26"/>
        <v>0</v>
      </c>
      <c r="M67" s="135">
        <f>PV($N$11,32,-$P$9*'AC Cost'!L67)</f>
        <v>0</v>
      </c>
      <c r="N67" s="32">
        <f t="shared" ref="N67:O67" si="51">N37</f>
        <v>3</v>
      </c>
      <c r="O67" s="47">
        <f t="shared" si="51"/>
        <v>155.27296099997733</v>
      </c>
      <c r="P67" s="128">
        <f t="shared" si="28"/>
        <v>0</v>
      </c>
      <c r="Q67" s="135">
        <f t="shared" si="15"/>
        <v>0</v>
      </c>
      <c r="R67" s="32">
        <f t="shared" si="29"/>
        <v>3</v>
      </c>
      <c r="S67" s="47">
        <f t="shared" si="29"/>
        <v>5.383263582946701</v>
      </c>
      <c r="T67" s="32">
        <f t="shared" si="30"/>
        <v>0</v>
      </c>
      <c r="U67" s="137">
        <f t="shared" si="31"/>
        <v>0</v>
      </c>
      <c r="V67" s="32">
        <f t="shared" si="43"/>
        <v>1.5</v>
      </c>
      <c r="W67" s="47">
        <f t="shared" si="43"/>
        <v>7.7361228455042488</v>
      </c>
      <c r="X67" s="32">
        <f t="shared" si="43"/>
        <v>1.5</v>
      </c>
      <c r="Y67" s="47">
        <f t="shared" si="43"/>
        <v>7.7361228455042488</v>
      </c>
      <c r="Z67" s="32">
        <f t="shared" si="43"/>
        <v>1.5</v>
      </c>
      <c r="AA67" s="32">
        <f t="shared" si="43"/>
        <v>0</v>
      </c>
      <c r="AB67" s="54">
        <f t="shared" si="43"/>
        <v>0</v>
      </c>
      <c r="AC67" s="32"/>
      <c r="AD67" s="32"/>
      <c r="AE67" s="33"/>
      <c r="AF67" s="129">
        <f t="shared" si="17"/>
        <v>0</v>
      </c>
      <c r="AG67" s="132">
        <f t="shared" si="18"/>
        <v>0</v>
      </c>
    </row>
    <row r="68" spans="1:33">
      <c r="A68" s="18">
        <f t="shared" si="19"/>
        <v>2044</v>
      </c>
      <c r="B68" s="32">
        <f t="shared" si="19"/>
        <v>2.4</v>
      </c>
      <c r="C68" s="59">
        <f t="shared" si="19"/>
        <v>0</v>
      </c>
      <c r="D68" s="32">
        <f t="shared" si="20"/>
        <v>0</v>
      </c>
      <c r="E68" s="59">
        <f t="shared" si="21"/>
        <v>0</v>
      </c>
      <c r="F68" s="32">
        <f t="shared" si="22"/>
        <v>0</v>
      </c>
      <c r="G68" s="126">
        <f t="shared" si="23"/>
        <v>0</v>
      </c>
      <c r="H68" s="177">
        <f>PV($N$11,32,-$P$9*'AC Cost'!G68)</f>
        <v>0</v>
      </c>
      <c r="I68" s="32">
        <f t="shared" si="24"/>
        <v>2.4</v>
      </c>
      <c r="J68" s="59">
        <f t="shared" si="24"/>
        <v>3535.2636973697813</v>
      </c>
      <c r="K68" s="32">
        <f t="shared" si="25"/>
        <v>0</v>
      </c>
      <c r="L68" s="126">
        <f t="shared" si="26"/>
        <v>0</v>
      </c>
      <c r="M68" s="177">
        <f>PV($N$11,32,-$P$9*'AC Cost'!L68)</f>
        <v>0</v>
      </c>
      <c r="N68" s="32">
        <f t="shared" ref="N68:O68" si="52">N38</f>
        <v>3</v>
      </c>
      <c r="O68" s="47">
        <f t="shared" si="52"/>
        <v>159.93114982997665</v>
      </c>
      <c r="P68" s="128">
        <f t="shared" si="28"/>
        <v>0</v>
      </c>
      <c r="Q68" s="135">
        <f t="shared" si="15"/>
        <v>0</v>
      </c>
      <c r="R68" s="32">
        <f t="shared" si="29"/>
        <v>3</v>
      </c>
      <c r="S68" s="47">
        <f t="shared" si="29"/>
        <v>5.5447614904351026</v>
      </c>
      <c r="T68" s="32">
        <f t="shared" si="30"/>
        <v>0</v>
      </c>
      <c r="U68" s="137">
        <f t="shared" si="31"/>
        <v>0</v>
      </c>
      <c r="V68" s="32">
        <f t="shared" si="43"/>
        <v>1.5</v>
      </c>
      <c r="W68" s="47">
        <f t="shared" si="43"/>
        <v>7.8521646881868117</v>
      </c>
      <c r="X68" s="32">
        <f t="shared" si="43"/>
        <v>1.5</v>
      </c>
      <c r="Y68" s="47">
        <f t="shared" si="43"/>
        <v>7.8521646881868117</v>
      </c>
      <c r="Z68" s="32">
        <f t="shared" si="43"/>
        <v>1.5</v>
      </c>
      <c r="AA68" s="32">
        <f t="shared" si="43"/>
        <v>0</v>
      </c>
      <c r="AB68" s="54">
        <f t="shared" si="43"/>
        <v>0</v>
      </c>
      <c r="AC68" s="32"/>
      <c r="AD68" s="32"/>
      <c r="AE68" s="33"/>
      <c r="AF68" s="129">
        <f t="shared" si="17"/>
        <v>0</v>
      </c>
      <c r="AG68" s="132">
        <f t="shared" si="18"/>
        <v>0</v>
      </c>
    </row>
    <row r="69" spans="1:33" ht="15" thickBot="1"/>
    <row r="70" spans="1:33" ht="15" thickBot="1">
      <c r="J70" s="104"/>
      <c r="AF70" s="109" t="s">
        <v>55</v>
      </c>
      <c r="AG70" s="187">
        <f>SUM(AG48:AG68)</f>
        <v>172781.92478189708</v>
      </c>
    </row>
    <row r="71" spans="1:33">
      <c r="J71" s="104"/>
    </row>
  </sheetData>
  <mergeCells count="1">
    <mergeCell ref="O2:P2"/>
  </mergeCells>
  <conditionalFormatting sqref="D48:D68 F48:F68 K48:K68 D18:D38 F18:F38 K18:K38">
    <cfRule type="cellIs" dxfId="0" priority="4" operator="greaterThan">
      <formula>0</formula>
    </cfRule>
  </conditionalFormatting>
  <pageMargins left="0.22" right="0.16" top="0.18" bottom="0.2" header="0.17" footer="0.17"/>
  <pageSetup paperSize="5" scale="61" orientation="landscape" r:id="rId1"/>
  <ignoredErrors>
    <ignoredError sqref="N5:Q9 Q4" unlockedFormula="1"/>
    <ignoredError sqref="AF17:AG17 U17 P17:Q17 L17:M17 G17:H17 AE47:AG47 AB47 U47 P47:Q47 L47:M47 G47:H47" numberStoredAsText="1"/>
    <ignoredError sqref="U48" numberStoredAsText="1" formula="1"/>
    <ignoredError sqref="D49:D68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1">
    <tabColor rgb="FF7030A0"/>
  </sheetPr>
  <dimension ref="B1:O104"/>
  <sheetViews>
    <sheetView workbookViewId="0">
      <selection activeCell="Q1" sqref="Q1"/>
    </sheetView>
  </sheetViews>
  <sheetFormatPr defaultColWidth="6.109375" defaultRowHeight="13.5"/>
  <cols>
    <col min="1" max="1" width="1.5546875" style="61" customWidth="1"/>
    <col min="2" max="2" width="6.109375" style="61" customWidth="1"/>
    <col min="3" max="3" width="4.21875" style="61" customWidth="1"/>
    <col min="4" max="4" width="5.109375" style="61" customWidth="1"/>
    <col min="5" max="5" width="7.44140625" style="61" customWidth="1"/>
    <col min="6" max="6" width="9.88671875" style="61" customWidth="1"/>
    <col min="7" max="7" width="6.109375" style="61" customWidth="1"/>
    <col min="8" max="8" width="8" style="61" customWidth="1"/>
    <col min="9" max="10" width="6.109375" style="61" customWidth="1"/>
    <col min="11" max="11" width="6.44140625" style="61" customWidth="1"/>
    <col min="12" max="12" width="7.44140625" style="61" customWidth="1"/>
    <col min="13" max="13" width="6.88671875" style="61" customWidth="1"/>
    <col min="14" max="14" width="3.33203125" style="61" customWidth="1"/>
    <col min="15" max="15" width="9" style="61" customWidth="1"/>
    <col min="16" max="16" width="2.109375" style="61" customWidth="1"/>
    <col min="17" max="17" width="2.44140625" style="61" customWidth="1"/>
    <col min="18" max="16384" width="6.109375" style="61"/>
  </cols>
  <sheetData>
    <row r="1" spans="2:15" ht="14.25">
      <c r="B1" s="62" t="s">
        <v>75</v>
      </c>
      <c r="C1" s="63"/>
      <c r="D1" s="63"/>
      <c r="E1" s="63"/>
      <c r="F1" s="63"/>
      <c r="G1" s="63"/>
      <c r="H1" s="63"/>
      <c r="I1" s="63"/>
      <c r="J1" s="63"/>
      <c r="K1" s="64"/>
      <c r="L1" s="63"/>
      <c r="M1" s="65"/>
      <c r="N1" s="66"/>
      <c r="O1" s="63"/>
    </row>
    <row r="2" spans="2:15" ht="14.25">
      <c r="C2" s="63"/>
      <c r="F2" s="67" t="s">
        <v>76</v>
      </c>
      <c r="H2" s="63"/>
      <c r="I2" s="63"/>
      <c r="J2" s="63"/>
      <c r="K2" s="68">
        <f>'AC Cost'!E2</f>
        <v>2024</v>
      </c>
      <c r="L2" s="63"/>
      <c r="M2" s="69" t="s">
        <v>58</v>
      </c>
      <c r="N2" s="70"/>
      <c r="O2" s="71">
        <f ca="1">'AC Cost'!AF2</f>
        <v>45393</v>
      </c>
    </row>
    <row r="3" spans="2:15" ht="14.25" thickBot="1"/>
    <row r="4" spans="2:15" ht="14.25">
      <c r="B4" s="81" t="s">
        <v>57</v>
      </c>
      <c r="C4" s="82"/>
      <c r="D4" s="83">
        <f>'AC Cost'!X3</f>
        <v>2024</v>
      </c>
      <c r="E4" s="84"/>
      <c r="F4" s="84"/>
      <c r="G4" s="84"/>
      <c r="H4" s="84"/>
      <c r="I4" s="84"/>
      <c r="J4" s="82"/>
      <c r="K4" s="84"/>
      <c r="L4" s="82"/>
      <c r="M4" s="82"/>
      <c r="N4" s="82"/>
      <c r="O4" s="85"/>
    </row>
    <row r="5" spans="2:15" ht="14.25">
      <c r="B5" s="86"/>
      <c r="C5" s="70"/>
      <c r="D5" s="70"/>
      <c r="E5" s="70"/>
      <c r="F5" s="70"/>
      <c r="G5" s="70"/>
      <c r="H5" s="70"/>
      <c r="I5" s="70"/>
      <c r="J5" s="70"/>
      <c r="K5" s="70"/>
      <c r="L5" s="70"/>
      <c r="M5" s="73" t="s">
        <v>59</v>
      </c>
      <c r="N5" s="70"/>
      <c r="O5" s="87" t="s">
        <v>60</v>
      </c>
    </row>
    <row r="6" spans="2:15" ht="14.25">
      <c r="B6" s="88" t="s">
        <v>77</v>
      </c>
      <c r="C6" s="70"/>
      <c r="D6" s="70"/>
      <c r="E6" s="70"/>
      <c r="F6" s="74">
        <f>'AC Cost'!Y3</f>
        <v>175418.49376262119</v>
      </c>
      <c r="H6" s="73" t="s">
        <v>61</v>
      </c>
      <c r="I6" s="70"/>
      <c r="J6" s="70"/>
      <c r="K6" s="70"/>
      <c r="L6" s="70"/>
      <c r="M6" s="75">
        <f>(IF('AC Cost'!$E$3=10,LoadForecast!$S$28,LoadForecast!$S$29))*1.12</f>
        <v>17.077759999999952</v>
      </c>
      <c r="N6" s="70"/>
      <c r="O6" s="93">
        <f>(IF('AC Cost'!$E$3=10,LoadForecast!$S$28,LoadForecast!$S$29))</f>
        <v>15.247999999999957</v>
      </c>
    </row>
    <row r="7" spans="2:15" ht="14.25">
      <c r="B7" s="88" t="s">
        <v>78</v>
      </c>
      <c r="C7" s="70"/>
      <c r="D7" s="70"/>
      <c r="E7" s="70"/>
      <c r="F7" s="74">
        <f>'AC Cost'!Z3</f>
        <v>172781.92478189708</v>
      </c>
      <c r="H7" s="73" t="s">
        <v>62</v>
      </c>
      <c r="I7" s="70"/>
      <c r="J7" s="70"/>
      <c r="K7" s="70"/>
      <c r="L7" s="70"/>
      <c r="M7" s="75">
        <f>F8/M6</f>
        <v>154.38611274102234</v>
      </c>
      <c r="N7" s="70"/>
      <c r="O7" s="89">
        <f>F8/O6</f>
        <v>172.91244626994504</v>
      </c>
    </row>
    <row r="8" spans="2:15" ht="14.25">
      <c r="B8" s="88" t="s">
        <v>79</v>
      </c>
      <c r="C8" s="70"/>
      <c r="D8" s="70"/>
      <c r="E8" s="70"/>
      <c r="F8" s="74">
        <f>F6-F7</f>
        <v>2636.5689807241142</v>
      </c>
      <c r="H8" s="73" t="s">
        <v>63</v>
      </c>
      <c r="I8" s="70"/>
      <c r="J8" s="70"/>
      <c r="K8" s="70"/>
      <c r="L8" s="70"/>
      <c r="M8" s="76">
        <f>PMT('AC Cost'!$N$10,'AC Cost'!$E$3,-M7)</f>
        <v>19.51113502154405</v>
      </c>
      <c r="N8" s="70"/>
      <c r="O8" s="90">
        <f>PMT('AC Cost'!$N$10,'AC Cost'!$E$3,-O7)</f>
        <v>21.852471224129335</v>
      </c>
    </row>
    <row r="9" spans="2:15" ht="14.25">
      <c r="B9" s="86"/>
      <c r="C9" s="70"/>
      <c r="D9" s="70"/>
      <c r="E9" s="70"/>
      <c r="F9" s="70"/>
      <c r="H9" s="70"/>
      <c r="I9" s="70"/>
      <c r="J9" s="70"/>
      <c r="K9" s="73" t="s">
        <v>64</v>
      </c>
      <c r="L9" s="70"/>
      <c r="M9" s="76">
        <f>M8/(1-'AC Cost'!$N$11)</f>
        <v>20.430507875962356</v>
      </c>
      <c r="N9" s="70"/>
      <c r="O9" s="90">
        <f>O8/(1-'AC Cost'!$N$11)</f>
        <v>22.88216882107784</v>
      </c>
    </row>
    <row r="10" spans="2:15" ht="14.25">
      <c r="B10" s="91"/>
      <c r="H10" s="70"/>
      <c r="I10" s="70"/>
      <c r="J10" s="70"/>
      <c r="K10" s="73" t="s">
        <v>65</v>
      </c>
      <c r="L10" s="70"/>
      <c r="M10" s="76">
        <f>M9/12</f>
        <v>1.702542322996863</v>
      </c>
      <c r="N10" s="70"/>
      <c r="O10" s="90">
        <f>O9/12</f>
        <v>1.9068474017564867</v>
      </c>
    </row>
    <row r="11" spans="2:15" ht="14.25">
      <c r="B11" s="92" t="s">
        <v>57</v>
      </c>
      <c r="C11" s="70"/>
      <c r="D11" s="72">
        <f>'AC Cost'!X4</f>
        <v>2025</v>
      </c>
      <c r="F11" s="69"/>
      <c r="G11" s="70"/>
      <c r="H11" s="77"/>
      <c r="J11" s="70"/>
      <c r="L11" s="70"/>
      <c r="M11" s="70"/>
      <c r="N11" s="70"/>
      <c r="O11" s="93"/>
    </row>
    <row r="12" spans="2:15" ht="14.25">
      <c r="B12" s="86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3" t="s">
        <v>59</v>
      </c>
      <c r="N12" s="70"/>
      <c r="O12" s="87" t="s">
        <v>60</v>
      </c>
    </row>
    <row r="13" spans="2:15" ht="14.25">
      <c r="B13" s="88" t="s">
        <v>77</v>
      </c>
      <c r="C13" s="70"/>
      <c r="D13" s="70"/>
      <c r="E13" s="70"/>
      <c r="F13" s="74">
        <f>'AC Cost'!Y4</f>
        <v>200914.81489882924</v>
      </c>
      <c r="H13" s="73" t="s">
        <v>61</v>
      </c>
      <c r="I13" s="70"/>
      <c r="J13" s="70"/>
      <c r="K13" s="70"/>
      <c r="L13" s="70"/>
      <c r="M13" s="75">
        <f>(IF('AC Cost'!$E$3=10,LoadForecast!$S$28,LoadForecast!$S$29))*1.12</f>
        <v>17.077759999999952</v>
      </c>
      <c r="N13" s="70"/>
      <c r="O13" s="93">
        <f>(IF('AC Cost'!$E$3=10,LoadForecast!$S$28,LoadForecast!$S$29))</f>
        <v>15.247999999999957</v>
      </c>
    </row>
    <row r="14" spans="2:15" ht="14.25">
      <c r="B14" s="88" t="s">
        <v>78</v>
      </c>
      <c r="C14" s="70"/>
      <c r="D14" s="70"/>
      <c r="E14" s="70"/>
      <c r="F14" s="74">
        <f>'AC Cost'!Z4</f>
        <v>198214.47912030609</v>
      </c>
      <c r="H14" s="73" t="s">
        <v>62</v>
      </c>
      <c r="I14" s="70"/>
      <c r="J14" s="70"/>
      <c r="K14" s="70"/>
      <c r="L14" s="70"/>
      <c r="M14" s="75">
        <f>F15/M13</f>
        <v>158.12002150886048</v>
      </c>
      <c r="N14" s="70"/>
      <c r="O14" s="89">
        <f>F15/O13</f>
        <v>177.09442408992371</v>
      </c>
    </row>
    <row r="15" spans="2:15" ht="14.25">
      <c r="B15" s="88" t="s">
        <v>79</v>
      </c>
      <c r="C15" s="70"/>
      <c r="D15" s="70"/>
      <c r="E15" s="70"/>
      <c r="F15" s="74">
        <f>F13-F14</f>
        <v>2700.3357785231492</v>
      </c>
      <c r="H15" s="73" t="s">
        <v>63</v>
      </c>
      <c r="I15" s="70"/>
      <c r="J15" s="70"/>
      <c r="K15" s="70"/>
      <c r="L15" s="70"/>
      <c r="M15" s="76">
        <f>PMT('AC Cost'!$N$10,'AC Cost'!$E$3,-M14)</f>
        <v>19.983022012115701</v>
      </c>
      <c r="N15" s="70"/>
      <c r="O15" s="90">
        <f>PMT('AC Cost'!$N$10,'AC Cost'!$E$3,-O14)</f>
        <v>22.38098465356958</v>
      </c>
    </row>
    <row r="16" spans="2:15" ht="14.25">
      <c r="B16" s="86"/>
      <c r="C16" s="70"/>
      <c r="D16" s="70"/>
      <c r="E16" s="70"/>
      <c r="F16" s="70"/>
      <c r="H16" s="70"/>
      <c r="I16" s="70"/>
      <c r="J16" s="70"/>
      <c r="K16" s="73" t="s">
        <v>64</v>
      </c>
      <c r="L16" s="70"/>
      <c r="M16" s="76">
        <f>M15/(1-'AC Cost'!$N$11)</f>
        <v>20.924630379178744</v>
      </c>
      <c r="N16" s="70"/>
      <c r="O16" s="90">
        <f>O15/(1-'AC Cost'!$N$11)</f>
        <v>23.435586024680191</v>
      </c>
    </row>
    <row r="17" spans="2:15" ht="14.25">
      <c r="B17" s="91"/>
      <c r="H17" s="70"/>
      <c r="I17" s="70"/>
      <c r="J17" s="70"/>
      <c r="K17" s="73" t="s">
        <v>65</v>
      </c>
      <c r="L17" s="70"/>
      <c r="M17" s="76">
        <f>M16/12</f>
        <v>1.7437191982648954</v>
      </c>
      <c r="N17" s="70"/>
      <c r="O17" s="90">
        <f>O16/12</f>
        <v>1.9529655020566825</v>
      </c>
    </row>
    <row r="18" spans="2:15" ht="14.25">
      <c r="B18" s="92" t="s">
        <v>57</v>
      </c>
      <c r="C18" s="70"/>
      <c r="D18" s="72">
        <f>'AC Cost'!X5</f>
        <v>2026</v>
      </c>
      <c r="F18" s="69"/>
      <c r="G18" s="70"/>
      <c r="H18" s="77"/>
      <c r="J18" s="70"/>
      <c r="L18" s="70"/>
      <c r="M18" s="70"/>
      <c r="N18" s="70"/>
      <c r="O18" s="93"/>
    </row>
    <row r="19" spans="2:15" ht="14.25">
      <c r="B19" s="86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3" t="s">
        <v>59</v>
      </c>
      <c r="N19" s="70"/>
      <c r="O19" s="87" t="s">
        <v>60</v>
      </c>
    </row>
    <row r="20" spans="2:15" ht="14.25">
      <c r="B20" s="88" t="s">
        <v>77</v>
      </c>
      <c r="C20" s="70"/>
      <c r="D20" s="70"/>
      <c r="E20" s="70"/>
      <c r="F20" s="74">
        <f>'AC Cost'!Y5</f>
        <v>205770.23896270129</v>
      </c>
      <c r="H20" s="73" t="s">
        <v>61</v>
      </c>
      <c r="I20" s="70"/>
      <c r="J20" s="70"/>
      <c r="K20" s="70"/>
      <c r="L20" s="70"/>
      <c r="M20" s="75">
        <f>(IF('AC Cost'!$E$3=10,LoadForecast!$S$28,LoadForecast!$S$29))*1.12</f>
        <v>17.077759999999952</v>
      </c>
      <c r="N20" s="70"/>
      <c r="O20" s="93">
        <f>(IF('AC Cost'!$E$3=10,LoadForecast!$S$28,LoadForecast!$S$29))</f>
        <v>15.247999999999957</v>
      </c>
    </row>
    <row r="21" spans="2:15" ht="14.25">
      <c r="B21" s="88" t="s">
        <v>78</v>
      </c>
      <c r="C21" s="70"/>
      <c r="D21" s="70"/>
      <c r="E21" s="70"/>
      <c r="F21" s="74">
        <f>'AC Cost'!Z5</f>
        <v>203004.59130896407</v>
      </c>
      <c r="H21" s="73" t="s">
        <v>62</v>
      </c>
      <c r="I21" s="70"/>
      <c r="J21" s="70"/>
      <c r="K21" s="70"/>
      <c r="L21" s="70"/>
      <c r="M21" s="75">
        <f>F22/M20</f>
        <v>161.94440334898897</v>
      </c>
      <c r="N21" s="70"/>
      <c r="O21" s="89">
        <f>F22/O20</f>
        <v>181.37773175086764</v>
      </c>
    </row>
    <row r="22" spans="2:15" ht="14.25">
      <c r="B22" s="88" t="s">
        <v>79</v>
      </c>
      <c r="C22" s="70"/>
      <c r="D22" s="70"/>
      <c r="E22" s="70"/>
      <c r="F22" s="74">
        <f>F20-F21</f>
        <v>2765.6476537372218</v>
      </c>
      <c r="H22" s="73" t="s">
        <v>63</v>
      </c>
      <c r="I22" s="70"/>
      <c r="J22" s="70"/>
      <c r="K22" s="70"/>
      <c r="L22" s="70"/>
      <c r="M22" s="76">
        <f>PMT('AC Cost'!$N$10,'AC Cost'!$E$3,-M21)</f>
        <v>20.466342882962792</v>
      </c>
      <c r="N22" s="70"/>
      <c r="O22" s="90">
        <f>PMT('AC Cost'!$N$10,'AC Cost'!$E$3,-O21)</f>
        <v>22.922304028918326</v>
      </c>
    </row>
    <row r="23" spans="2:15" ht="14.25">
      <c r="B23" s="86"/>
      <c r="C23" s="70"/>
      <c r="D23" s="70"/>
      <c r="E23" s="70"/>
      <c r="F23" s="70"/>
      <c r="H23" s="70"/>
      <c r="I23" s="70"/>
      <c r="J23" s="70"/>
      <c r="K23" s="73" t="s">
        <v>64</v>
      </c>
      <c r="L23" s="70"/>
      <c r="M23" s="76">
        <f>M22/(1-'AC Cost'!$N$11)</f>
        <v>21.430725531898211</v>
      </c>
      <c r="N23" s="70"/>
      <c r="O23" s="90">
        <f>O22/(1-'AC Cost'!$N$11)</f>
        <v>24.002412595725996</v>
      </c>
    </row>
    <row r="24" spans="2:15" ht="14.25">
      <c r="B24" s="91"/>
      <c r="H24" s="70"/>
      <c r="I24" s="70"/>
      <c r="J24" s="70"/>
      <c r="K24" s="73" t="s">
        <v>65</v>
      </c>
      <c r="L24" s="70"/>
      <c r="M24" s="76">
        <f>M23/12</f>
        <v>1.785893794324851</v>
      </c>
      <c r="N24" s="70"/>
      <c r="O24" s="90">
        <f>O23/12</f>
        <v>2.0002010496438332</v>
      </c>
    </row>
    <row r="25" spans="2:15" ht="14.25">
      <c r="B25" s="92" t="s">
        <v>57</v>
      </c>
      <c r="C25" s="70"/>
      <c r="D25" s="72">
        <f>'AC Cost'!X6</f>
        <v>2027</v>
      </c>
      <c r="F25" s="69"/>
      <c r="G25" s="70"/>
      <c r="H25" s="77"/>
      <c r="J25" s="70"/>
      <c r="L25" s="70"/>
      <c r="M25" s="70"/>
      <c r="N25" s="70"/>
      <c r="O25" s="93"/>
    </row>
    <row r="26" spans="2:15" ht="14.25">
      <c r="B26" s="86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3" t="s">
        <v>59</v>
      </c>
      <c r="N26" s="70"/>
      <c r="O26" s="87" t="s">
        <v>60</v>
      </c>
    </row>
    <row r="27" spans="2:15" ht="14.25">
      <c r="B27" s="88" t="s">
        <v>77</v>
      </c>
      <c r="C27" s="70"/>
      <c r="D27" s="70"/>
      <c r="E27" s="70"/>
      <c r="F27" s="74">
        <f>'AC Cost'!Y6</f>
        <v>210743.38219455534</v>
      </c>
      <c r="H27" s="73" t="s">
        <v>61</v>
      </c>
      <c r="I27" s="70"/>
      <c r="J27" s="70"/>
      <c r="K27" s="70"/>
      <c r="L27" s="70"/>
      <c r="M27" s="75">
        <f>(IF('AC Cost'!$E$3=10,LoadForecast!$S$28,LoadForecast!$S$29))*1.12</f>
        <v>17.077759999999952</v>
      </c>
      <c r="N27" s="70"/>
      <c r="O27" s="93">
        <f>(IF('AC Cost'!$E$3=10,LoadForecast!$S$28,LoadForecast!$S$29))</f>
        <v>15.247999999999957</v>
      </c>
    </row>
    <row r="28" spans="2:15" ht="14.25">
      <c r="B28" s="88" t="s">
        <v>78</v>
      </c>
      <c r="C28" s="70"/>
      <c r="D28" s="70"/>
      <c r="E28" s="70"/>
      <c r="F28" s="74">
        <f>'AC Cost'!Z6</f>
        <v>207910.84006610303</v>
      </c>
      <c r="H28" s="73" t="s">
        <v>62</v>
      </c>
      <c r="I28" s="70"/>
      <c r="J28" s="70"/>
      <c r="K28" s="70"/>
      <c r="L28" s="70"/>
      <c r="M28" s="75">
        <f>F29/M27</f>
        <v>165.86145539299719</v>
      </c>
      <c r="N28" s="70"/>
      <c r="O28" s="89">
        <f>F29/O27</f>
        <v>185.76483004015685</v>
      </c>
    </row>
    <row r="29" spans="2:15" ht="14.25">
      <c r="B29" s="88" t="s">
        <v>79</v>
      </c>
      <c r="C29" s="70"/>
      <c r="D29" s="70"/>
      <c r="E29" s="70"/>
      <c r="F29" s="74">
        <f>F27-F28</f>
        <v>2832.5421284523036</v>
      </c>
      <c r="H29" s="73" t="s">
        <v>63</v>
      </c>
      <c r="I29" s="70"/>
      <c r="J29" s="70"/>
      <c r="K29" s="70"/>
      <c r="L29" s="70"/>
      <c r="M29" s="76">
        <f>PMT('AC Cost'!$N$10,'AC Cost'!$E$3,-M28)</f>
        <v>20.961375304986795</v>
      </c>
      <c r="N29" s="70"/>
      <c r="O29" s="90">
        <f>PMT('AC Cost'!$N$10,'AC Cost'!$E$3,-O28)</f>
        <v>23.476740341585213</v>
      </c>
    </row>
    <row r="30" spans="2:15" ht="14.25">
      <c r="B30" s="86"/>
      <c r="C30" s="70"/>
      <c r="D30" s="70"/>
      <c r="E30" s="70"/>
      <c r="F30" s="70"/>
      <c r="H30" s="70"/>
      <c r="I30" s="70"/>
      <c r="J30" s="70"/>
      <c r="K30" s="73" t="s">
        <v>64</v>
      </c>
      <c r="L30" s="70"/>
      <c r="M30" s="76">
        <f>M29/(1-'AC Cost'!$N$11)</f>
        <v>21.949084088991409</v>
      </c>
      <c r="N30" s="70"/>
      <c r="O30" s="90">
        <f>O29/(1-'AC Cost'!$N$11)</f>
        <v>24.58297417967038</v>
      </c>
    </row>
    <row r="31" spans="2:15" ht="14.25">
      <c r="B31" s="91"/>
      <c r="H31" s="70"/>
      <c r="I31" s="70"/>
      <c r="J31" s="70"/>
      <c r="K31" s="73" t="s">
        <v>65</v>
      </c>
      <c r="L31" s="70"/>
      <c r="M31" s="76">
        <f>M30/12</f>
        <v>1.829090340749284</v>
      </c>
      <c r="N31" s="70"/>
      <c r="O31" s="90">
        <f>O30/12</f>
        <v>2.0485811816391983</v>
      </c>
    </row>
    <row r="32" spans="2:15" ht="14.25">
      <c r="B32" s="92" t="s">
        <v>57</v>
      </c>
      <c r="C32" s="70"/>
      <c r="D32" s="72">
        <f>'AC Cost'!X7</f>
        <v>2028</v>
      </c>
      <c r="F32" s="69"/>
      <c r="G32" s="70"/>
      <c r="H32" s="77"/>
      <c r="J32" s="70"/>
      <c r="L32" s="70"/>
      <c r="M32" s="70"/>
      <c r="N32" s="70"/>
      <c r="O32" s="93"/>
    </row>
    <row r="33" spans="2:15" ht="14.25">
      <c r="B33" s="86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3" t="s">
        <v>59</v>
      </c>
      <c r="N33" s="70"/>
      <c r="O33" s="87" t="s">
        <v>60</v>
      </c>
    </row>
    <row r="34" spans="2:15" ht="14.25">
      <c r="B34" s="88" t="s">
        <v>77</v>
      </c>
      <c r="C34" s="70"/>
      <c r="D34" s="70"/>
      <c r="E34" s="70"/>
      <c r="F34" s="74">
        <f>'AC Cost'!Y7</f>
        <v>215837.10829816535</v>
      </c>
      <c r="H34" s="73" t="s">
        <v>61</v>
      </c>
      <c r="I34" s="70"/>
      <c r="J34" s="70"/>
      <c r="K34" s="70"/>
      <c r="L34" s="70"/>
      <c r="M34" s="75">
        <f>(IF('AC Cost'!$E$3=10,LoadForecast!$S$28,LoadForecast!$S$29))*1.12</f>
        <v>17.077759999999952</v>
      </c>
      <c r="N34" s="70"/>
      <c r="O34" s="93">
        <f>(IF('AC Cost'!$E$3=10,LoadForecast!$S$28,LoadForecast!$S$29))</f>
        <v>15.247999999999957</v>
      </c>
    </row>
    <row r="35" spans="2:15" ht="14.25">
      <c r="B35" s="88" t="s">
        <v>78</v>
      </c>
      <c r="C35" s="70"/>
      <c r="D35" s="70"/>
      <c r="E35" s="70"/>
      <c r="F35" s="74">
        <f>'AC Cost'!Z7</f>
        <v>212936.05065967399</v>
      </c>
      <c r="H35" s="73" t="s">
        <v>62</v>
      </c>
      <c r="I35" s="70"/>
      <c r="J35" s="70"/>
      <c r="K35" s="70"/>
      <c r="L35" s="70"/>
      <c r="M35" s="75">
        <f>F36/M34</f>
        <v>169.87342827697347</v>
      </c>
      <c r="N35" s="70"/>
      <c r="O35" s="89">
        <f>F36/O34</f>
        <v>190.25823967021029</v>
      </c>
    </row>
    <row r="36" spans="2:15" ht="14.25">
      <c r="B36" s="88" t="s">
        <v>79</v>
      </c>
      <c r="C36" s="70"/>
      <c r="D36" s="70"/>
      <c r="E36" s="70"/>
      <c r="F36" s="74">
        <f>F34-F35</f>
        <v>2901.0576384913584</v>
      </c>
      <c r="H36" s="73" t="s">
        <v>63</v>
      </c>
      <c r="I36" s="70"/>
      <c r="J36" s="70"/>
      <c r="K36" s="70"/>
      <c r="L36" s="70"/>
      <c r="M36" s="76">
        <f>PMT('AC Cost'!$N$10,'AC Cost'!$E$3,-M35)</f>
        <v>21.468403710924733</v>
      </c>
      <c r="N36" s="70"/>
      <c r="O36" s="90">
        <f>PMT('AC Cost'!$N$10,'AC Cost'!$E$3,-O35)</f>
        <v>24.044612156235697</v>
      </c>
    </row>
    <row r="37" spans="2:15" ht="14.25">
      <c r="B37" s="86"/>
      <c r="C37" s="70"/>
      <c r="D37" s="70"/>
      <c r="E37" s="70"/>
      <c r="F37" s="70"/>
      <c r="H37" s="70"/>
      <c r="I37" s="70"/>
      <c r="J37" s="70"/>
      <c r="K37" s="73" t="s">
        <v>64</v>
      </c>
      <c r="L37" s="70"/>
      <c r="M37" s="76">
        <f>M36/(1-'AC Cost'!$N$11)</f>
        <v>22.480003885785063</v>
      </c>
      <c r="N37" s="70"/>
      <c r="O37" s="90">
        <f>O36/(1-'AC Cost'!$N$11)</f>
        <v>25.177604352079264</v>
      </c>
    </row>
    <row r="38" spans="2:15" ht="15" thickBot="1">
      <c r="B38" s="94"/>
      <c r="C38" s="95"/>
      <c r="D38" s="95"/>
      <c r="E38" s="95"/>
      <c r="F38" s="95"/>
      <c r="G38" s="95"/>
      <c r="H38" s="96"/>
      <c r="I38" s="96"/>
      <c r="J38" s="96"/>
      <c r="K38" s="97" t="s">
        <v>65</v>
      </c>
      <c r="L38" s="96"/>
      <c r="M38" s="98">
        <f>M37/12</f>
        <v>1.8733336571487553</v>
      </c>
      <c r="N38" s="96"/>
      <c r="O38" s="99">
        <f>O37/12</f>
        <v>2.0981336960066055</v>
      </c>
    </row>
    <row r="43" spans="2:15" ht="14.25">
      <c r="B43" s="62" t="s">
        <v>75</v>
      </c>
      <c r="C43" s="63"/>
      <c r="D43" s="63"/>
      <c r="E43" s="63"/>
      <c r="F43" s="63"/>
      <c r="G43" s="63"/>
      <c r="H43" s="63"/>
      <c r="I43" s="63"/>
      <c r="J43" s="63"/>
      <c r="K43" s="64"/>
      <c r="L43" s="63"/>
      <c r="M43" s="65"/>
      <c r="N43" s="66"/>
      <c r="O43" s="63"/>
    </row>
    <row r="44" spans="2:15" ht="14.25">
      <c r="C44" s="63"/>
      <c r="F44" s="67" t="s">
        <v>76</v>
      </c>
      <c r="H44" s="63"/>
      <c r="I44" s="63"/>
      <c r="J44" s="63"/>
      <c r="K44" s="68">
        <f>K2</f>
        <v>2024</v>
      </c>
      <c r="L44" s="63"/>
      <c r="M44" s="69" t="s">
        <v>58</v>
      </c>
      <c r="N44" s="70"/>
      <c r="O44" s="71">
        <f ca="1">O2</f>
        <v>45393</v>
      </c>
    </row>
    <row r="45" spans="2:15" ht="14.25" thickBot="1"/>
    <row r="46" spans="2:15" ht="14.25">
      <c r="B46" s="81" t="s">
        <v>57</v>
      </c>
      <c r="C46" s="82"/>
      <c r="D46" s="83">
        <f>'AC Cost'!X8</f>
        <v>2029</v>
      </c>
      <c r="E46" s="84"/>
      <c r="F46" s="100"/>
      <c r="G46" s="82"/>
      <c r="H46" s="101"/>
      <c r="I46" s="84"/>
      <c r="J46" s="82"/>
      <c r="K46" s="84"/>
      <c r="L46" s="82"/>
      <c r="M46" s="82"/>
      <c r="N46" s="82"/>
      <c r="O46" s="85"/>
    </row>
    <row r="47" spans="2:15" ht="14.25">
      <c r="B47" s="86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3" t="s">
        <v>59</v>
      </c>
      <c r="N47" s="70"/>
      <c r="O47" s="87" t="s">
        <v>60</v>
      </c>
    </row>
    <row r="48" spans="2:15" ht="14.25">
      <c r="B48" s="88" t="s">
        <v>77</v>
      </c>
      <c r="C48" s="70"/>
      <c r="D48" s="70"/>
      <c r="E48" s="70"/>
      <c r="F48" s="74">
        <f>'AC Cost'!Y8</f>
        <v>221054.35090111851</v>
      </c>
      <c r="H48" s="73" t="s">
        <v>61</v>
      </c>
      <c r="I48" s="70"/>
      <c r="J48" s="70"/>
      <c r="K48" s="70"/>
      <c r="L48" s="70"/>
      <c r="M48" s="75">
        <f>(IF('AC Cost'!$E$3=10,LoadForecast!$S$28,LoadForecast!$S$29))*1.12</f>
        <v>17.077759999999952</v>
      </c>
      <c r="N48" s="70"/>
      <c r="O48" s="93">
        <f>(IF('AC Cost'!$E$3=10,LoadForecast!$S$28,LoadForecast!$S$29))</f>
        <v>15.247999999999957</v>
      </c>
    </row>
    <row r="49" spans="2:15" ht="14.25">
      <c r="B49" s="88" t="s">
        <v>78</v>
      </c>
      <c r="C49" s="70"/>
      <c r="D49" s="70"/>
      <c r="E49" s="70"/>
      <c r="F49" s="74">
        <f>'AC Cost'!Z8</f>
        <v>218083.11734537856</v>
      </c>
      <c r="H49" s="73" t="s">
        <v>62</v>
      </c>
      <c r="I49" s="70"/>
      <c r="J49" s="70"/>
      <c r="K49" s="70"/>
      <c r="L49" s="70"/>
      <c r="M49" s="75">
        <f>F50/M48</f>
        <v>173.98262744879642</v>
      </c>
      <c r="N49" s="70"/>
      <c r="O49" s="89">
        <f>F50/O48</f>
        <v>194.860542742652</v>
      </c>
    </row>
    <row r="50" spans="2:15" ht="14.25">
      <c r="B50" s="88" t="s">
        <v>79</v>
      </c>
      <c r="C50" s="70"/>
      <c r="D50" s="70"/>
      <c r="E50" s="70"/>
      <c r="F50" s="74">
        <f>F48-F49</f>
        <v>2971.2335557399492</v>
      </c>
      <c r="H50" s="73" t="s">
        <v>63</v>
      </c>
      <c r="I50" s="70"/>
      <c r="J50" s="70"/>
      <c r="K50" s="70"/>
      <c r="L50" s="70"/>
      <c r="M50" s="76">
        <f>PMT('AC Cost'!$N$10,'AC Cost'!$E$3,-M49)</f>
        <v>21.987719460563081</v>
      </c>
      <c r="N50" s="70"/>
      <c r="O50" s="90">
        <f>PMT('AC Cost'!$N$10,'AC Cost'!$E$3,-O49)</f>
        <v>24.626245795830652</v>
      </c>
    </row>
    <row r="51" spans="2:15" ht="14.25">
      <c r="B51" s="86"/>
      <c r="C51" s="70"/>
      <c r="D51" s="70"/>
      <c r="E51" s="70"/>
      <c r="F51" s="70"/>
      <c r="H51" s="70"/>
      <c r="I51" s="70"/>
      <c r="J51" s="70"/>
      <c r="K51" s="73" t="s">
        <v>64</v>
      </c>
      <c r="L51" s="70"/>
      <c r="M51" s="76">
        <f>M50/(1-'AC Cost'!$N$11)</f>
        <v>23.023790011060818</v>
      </c>
      <c r="N51" s="70"/>
      <c r="O51" s="90">
        <f>O50/(1-'AC Cost'!$N$11)</f>
        <v>25.786644812388118</v>
      </c>
    </row>
    <row r="52" spans="2:15" ht="14.25">
      <c r="B52" s="91"/>
      <c r="H52" s="70"/>
      <c r="I52" s="70"/>
      <c r="J52" s="70"/>
      <c r="K52" s="73" t="s">
        <v>65</v>
      </c>
      <c r="L52" s="70"/>
      <c r="M52" s="76">
        <f>M51/12</f>
        <v>1.9186491675884014</v>
      </c>
      <c r="N52" s="70"/>
      <c r="O52" s="90">
        <f>O51/12</f>
        <v>2.1488870676990097</v>
      </c>
    </row>
    <row r="53" spans="2:15">
      <c r="B53" s="91"/>
      <c r="O53" s="102"/>
    </row>
    <row r="54" spans="2:15" ht="14.25">
      <c r="B54" s="92" t="s">
        <v>57</v>
      </c>
      <c r="C54" s="70"/>
      <c r="D54" s="72">
        <f>'AC Cost'!X9</f>
        <v>2030</v>
      </c>
      <c r="F54" s="69"/>
      <c r="G54" s="70"/>
      <c r="H54" s="77"/>
      <c r="J54" s="70"/>
      <c r="L54" s="70"/>
      <c r="M54" s="70"/>
      <c r="N54" s="70"/>
      <c r="O54" s="93"/>
    </row>
    <row r="55" spans="2:15" ht="14.25">
      <c r="B55" s="86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3" t="s">
        <v>59</v>
      </c>
      <c r="N55" s="70"/>
      <c r="O55" s="87" t="s">
        <v>60</v>
      </c>
    </row>
    <row r="56" spans="2:15" ht="14.25">
      <c r="B56" s="88" t="s">
        <v>77</v>
      </c>
      <c r="C56" s="70"/>
      <c r="D56" s="70"/>
      <c r="E56" s="70"/>
      <c r="F56" s="74">
        <f>'AC Cost'!Y9</f>
        <v>226398.11526945868</v>
      </c>
      <c r="H56" s="73" t="s">
        <v>61</v>
      </c>
      <c r="I56" s="70"/>
      <c r="J56" s="70"/>
      <c r="K56" s="70"/>
      <c r="L56" s="70"/>
      <c r="M56" s="75">
        <f>(IF('AC Cost'!$E$3=10,LoadForecast!$S$28,LoadForecast!$S$29))*1.12</f>
        <v>17.077759999999952</v>
      </c>
      <c r="N56" s="70"/>
      <c r="O56" s="93">
        <f>(IF('AC Cost'!$E$3=10,LoadForecast!$S$28,LoadForecast!$S$29))</f>
        <v>15.247999999999957</v>
      </c>
    </row>
    <row r="57" spans="2:15" ht="14.25">
      <c r="B57" s="88" t="s">
        <v>78</v>
      </c>
      <c r="C57" s="70"/>
      <c r="D57" s="70"/>
      <c r="E57" s="70"/>
      <c r="F57" s="74">
        <f>'AC Cost'!Z9</f>
        <v>223355.00505843837</v>
      </c>
      <c r="H57" s="73" t="s">
        <v>62</v>
      </c>
      <c r="I57" s="70"/>
      <c r="J57" s="70"/>
      <c r="K57" s="70"/>
      <c r="L57" s="70"/>
      <c r="M57" s="75">
        <f>F58/M56</f>
        <v>178.19141450754168</v>
      </c>
      <c r="N57" s="70"/>
      <c r="O57" s="89">
        <f>F58/O56</f>
        <v>199.57438424844668</v>
      </c>
    </row>
    <row r="58" spans="2:15" ht="14.25">
      <c r="B58" s="88" t="s">
        <v>79</v>
      </c>
      <c r="C58" s="70"/>
      <c r="D58" s="70"/>
      <c r="E58" s="70"/>
      <c r="F58" s="74">
        <f>F56-F57</f>
        <v>3043.1102110203065</v>
      </c>
      <c r="H58" s="73" t="s">
        <v>63</v>
      </c>
      <c r="I58" s="70"/>
      <c r="J58" s="70"/>
      <c r="K58" s="70"/>
      <c r="L58" s="70"/>
      <c r="M58" s="76">
        <f>PMT('AC Cost'!$N$10,'AC Cost'!$E$3,-M57)</f>
        <v>22.51962101001045</v>
      </c>
      <c r="N58" s="70"/>
      <c r="O58" s="90">
        <f>PMT('AC Cost'!$N$10,'AC Cost'!$E$3,-O57)</f>
        <v>25.221975531211701</v>
      </c>
    </row>
    <row r="59" spans="2:15" ht="14.25">
      <c r="B59" s="91"/>
      <c r="H59" s="70"/>
      <c r="I59" s="70"/>
      <c r="J59" s="70"/>
      <c r="K59" s="73" t="s">
        <v>64</v>
      </c>
      <c r="L59" s="70"/>
      <c r="M59" s="76">
        <f>M58/(1-'AC Cost'!$N$11)</f>
        <v>23.580754984304136</v>
      </c>
      <c r="N59" s="70"/>
      <c r="O59" s="90">
        <f>O58/(1-'AC Cost'!$N$11)</f>
        <v>26.410445582420632</v>
      </c>
    </row>
    <row r="60" spans="2:15" ht="14.25">
      <c r="B60" s="86"/>
      <c r="C60" s="70"/>
      <c r="D60" s="70"/>
      <c r="E60" s="70"/>
      <c r="F60" s="70"/>
      <c r="H60" s="70"/>
      <c r="I60" s="70"/>
      <c r="J60" s="70"/>
      <c r="K60" s="73" t="s">
        <v>65</v>
      </c>
      <c r="L60" s="70"/>
      <c r="M60" s="76">
        <f>M59/12</f>
        <v>1.9650629153586781</v>
      </c>
      <c r="N60" s="70"/>
      <c r="O60" s="90">
        <f>O59/12</f>
        <v>2.2008704652017195</v>
      </c>
    </row>
    <row r="61" spans="2:15" ht="14.25">
      <c r="B61" s="92" t="s">
        <v>57</v>
      </c>
      <c r="C61" s="70"/>
      <c r="D61" s="72">
        <f>'AC Cost'!X10</f>
        <v>2031</v>
      </c>
      <c r="F61" s="69"/>
      <c r="G61" s="70"/>
      <c r="H61" s="77"/>
      <c r="J61" s="70"/>
      <c r="L61" s="70"/>
      <c r="M61" s="70"/>
      <c r="N61" s="70"/>
      <c r="O61" s="93"/>
    </row>
    <row r="62" spans="2:15" ht="14.25">
      <c r="B62" s="86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3" t="s">
        <v>59</v>
      </c>
      <c r="N62" s="70"/>
      <c r="O62" s="87" t="s">
        <v>60</v>
      </c>
    </row>
    <row r="63" spans="2:15" ht="14.25">
      <c r="B63" s="88" t="s">
        <v>77</v>
      </c>
      <c r="C63" s="70"/>
      <c r="D63" s="70"/>
      <c r="E63" s="70"/>
      <c r="F63" s="74">
        <f>'AC Cost'!Y10</f>
        <v>231871.48006458479</v>
      </c>
      <c r="H63" s="73" t="s">
        <v>61</v>
      </c>
      <c r="I63" s="70"/>
      <c r="J63" s="70"/>
      <c r="K63" s="70"/>
      <c r="L63" s="70"/>
      <c r="M63" s="75">
        <f>(IF('AC Cost'!$E$3=10,LoadForecast!$S$28,LoadForecast!$S$29))*1.12</f>
        <v>17.077759999999952</v>
      </c>
      <c r="N63" s="70"/>
      <c r="O63" s="93">
        <f>(IF('AC Cost'!$E$3=10,LoadForecast!$S$28,LoadForecast!$S$29))</f>
        <v>15.247999999999957</v>
      </c>
    </row>
    <row r="64" spans="2:15" ht="14.25">
      <c r="B64" s="88" t="s">
        <v>78</v>
      </c>
      <c r="C64" s="70"/>
      <c r="D64" s="70"/>
      <c r="E64" s="70"/>
      <c r="F64" s="74">
        <f>'AC Cost'!Z10</f>
        <v>228754.75114705905</v>
      </c>
      <c r="H64" s="73" t="s">
        <v>62</v>
      </c>
      <c r="I64" s="70"/>
      <c r="J64" s="70"/>
      <c r="K64" s="70"/>
      <c r="L64" s="70"/>
      <c r="M64" s="75">
        <f>F65/M63</f>
        <v>182.50220857569968</v>
      </c>
      <c r="N64" s="70"/>
      <c r="O64" s="89">
        <f>F65/O63</f>
        <v>204.40247360478364</v>
      </c>
    </row>
    <row r="65" spans="2:15" ht="14.25">
      <c r="B65" s="88" t="s">
        <v>79</v>
      </c>
      <c r="C65" s="70"/>
      <c r="D65" s="70"/>
      <c r="E65" s="70"/>
      <c r="F65" s="74">
        <f>F63-F64</f>
        <v>3116.728917525732</v>
      </c>
      <c r="H65" s="73" t="s">
        <v>63</v>
      </c>
      <c r="I65" s="70"/>
      <c r="J65" s="70"/>
      <c r="K65" s="70"/>
      <c r="L65" s="70"/>
      <c r="M65" s="76">
        <f>PMT('AC Cost'!$N$10,'AC Cost'!$E$3,-M64)</f>
        <v>23.06441408511683</v>
      </c>
      <c r="N65" s="70"/>
      <c r="O65" s="90">
        <f>PMT('AC Cost'!$N$10,'AC Cost'!$E$3,-O64)</f>
        <v>25.832143775330845</v>
      </c>
    </row>
    <row r="66" spans="2:15" ht="14.25">
      <c r="B66" s="91"/>
      <c r="H66" s="70"/>
      <c r="I66" s="70"/>
      <c r="J66" s="70"/>
      <c r="K66" s="73" t="s">
        <v>64</v>
      </c>
      <c r="L66" s="70"/>
      <c r="M66" s="76">
        <f>M65/(1-'AC Cost'!$N$11)</f>
        <v>24.151218937295113</v>
      </c>
      <c r="N66" s="70"/>
      <c r="O66" s="90">
        <f>O65/(1-'AC Cost'!$N$11)</f>
        <v>27.049365209770521</v>
      </c>
    </row>
    <row r="67" spans="2:15" ht="14.25">
      <c r="B67" s="86"/>
      <c r="C67" s="70"/>
      <c r="D67" s="70"/>
      <c r="E67" s="70"/>
      <c r="F67" s="70"/>
      <c r="H67" s="70"/>
      <c r="I67" s="70"/>
      <c r="J67" s="70"/>
      <c r="K67" s="73" t="s">
        <v>65</v>
      </c>
      <c r="L67" s="70"/>
      <c r="M67" s="76">
        <f>M66/12</f>
        <v>2.0126015781079261</v>
      </c>
      <c r="N67" s="70"/>
      <c r="O67" s="90">
        <f>O66/12</f>
        <v>2.2541137674808769</v>
      </c>
    </row>
    <row r="68" spans="2:15" ht="14.25">
      <c r="B68" s="92" t="s">
        <v>57</v>
      </c>
      <c r="C68" s="70"/>
      <c r="D68" s="72">
        <f>'AC Cost'!X11</f>
        <v>2032</v>
      </c>
      <c r="F68" s="69"/>
      <c r="G68" s="70"/>
      <c r="H68" s="77"/>
      <c r="J68" s="70"/>
      <c r="L68" s="70"/>
      <c r="M68" s="70"/>
      <c r="N68" s="70"/>
      <c r="O68" s="93"/>
    </row>
    <row r="69" spans="2:15" ht="14.25">
      <c r="B69" s="86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3" t="s">
        <v>59</v>
      </c>
      <c r="N69" s="70"/>
      <c r="O69" s="87" t="s">
        <v>60</v>
      </c>
    </row>
    <row r="70" spans="2:15" ht="14.25">
      <c r="B70" s="88" t="s">
        <v>77</v>
      </c>
      <c r="C70" s="70"/>
      <c r="D70" s="70"/>
      <c r="E70" s="70"/>
      <c r="F70" s="74">
        <f>'AC Cost'!Y11</f>
        <v>215824.74043490711</v>
      </c>
      <c r="H70" s="73" t="s">
        <v>61</v>
      </c>
      <c r="I70" s="70"/>
      <c r="J70" s="70"/>
      <c r="K70" s="70"/>
      <c r="L70" s="70"/>
      <c r="M70" s="75">
        <f>(IF('AC Cost'!$E$3=10,LoadForecast!$S$28,LoadForecast!$S$29))*1.12</f>
        <v>17.077759999999952</v>
      </c>
      <c r="N70" s="70"/>
      <c r="O70" s="93">
        <f>(IF('AC Cost'!$E$3=10,LoadForecast!$S$28,LoadForecast!$S$29))</f>
        <v>15.247999999999957</v>
      </c>
    </row>
    <row r="71" spans="2:15" ht="14.25">
      <c r="B71" s="88" t="s">
        <v>78</v>
      </c>
      <c r="C71" s="70"/>
      <c r="D71" s="70"/>
      <c r="E71" s="70"/>
      <c r="F71" s="74">
        <f>'AC Cost'!Z11</f>
        <v>213061.58155244979</v>
      </c>
      <c r="H71" s="73" t="s">
        <v>62</v>
      </c>
      <c r="I71" s="70"/>
      <c r="J71" s="70"/>
      <c r="K71" s="70"/>
      <c r="L71" s="70"/>
      <c r="M71" s="75">
        <f>F72/M70</f>
        <v>161.79867163242335</v>
      </c>
      <c r="N71" s="70"/>
      <c r="O71" s="89">
        <f>F72/O70</f>
        <v>181.21451222831416</v>
      </c>
    </row>
    <row r="72" spans="2:15" ht="14.25">
      <c r="B72" s="88" t="s">
        <v>79</v>
      </c>
      <c r="C72" s="70"/>
      <c r="D72" s="70"/>
      <c r="E72" s="70"/>
      <c r="F72" s="74">
        <f>F70-F71</f>
        <v>2763.1588824573264</v>
      </c>
      <c r="H72" s="73" t="s">
        <v>63</v>
      </c>
      <c r="I72" s="70"/>
      <c r="J72" s="70"/>
      <c r="K72" s="70"/>
      <c r="L72" s="70"/>
      <c r="M72" s="76">
        <f>PMT('AC Cost'!$N$10,'AC Cost'!$E$3,-M71)</f>
        <v>20.447925480332785</v>
      </c>
      <c r="N72" s="70"/>
      <c r="O72" s="90">
        <f>PMT('AC Cost'!$N$10,'AC Cost'!$E$3,-O71)</f>
        <v>22.901676537972719</v>
      </c>
    </row>
    <row r="73" spans="2:15" ht="14.25">
      <c r="B73" s="91"/>
      <c r="H73" s="70"/>
      <c r="I73" s="70"/>
      <c r="J73" s="70"/>
      <c r="K73" s="73" t="s">
        <v>64</v>
      </c>
      <c r="L73" s="70"/>
      <c r="M73" s="76">
        <f>M72/(1-'AC Cost'!$N$11)</f>
        <v>21.411440293542185</v>
      </c>
      <c r="N73" s="70"/>
      <c r="O73" s="90">
        <f>O72/(1-'AC Cost'!$N$11)</f>
        <v>23.980813128767245</v>
      </c>
    </row>
    <row r="74" spans="2:15" ht="14.25">
      <c r="B74" s="86"/>
      <c r="C74" s="70"/>
      <c r="D74" s="70"/>
      <c r="E74" s="70"/>
      <c r="F74" s="70"/>
      <c r="H74" s="70"/>
      <c r="I74" s="70"/>
      <c r="J74" s="70"/>
      <c r="K74" s="73" t="s">
        <v>65</v>
      </c>
      <c r="L74" s="70"/>
      <c r="M74" s="76">
        <f>M73/12</f>
        <v>1.7842866911285153</v>
      </c>
      <c r="N74" s="70"/>
      <c r="O74" s="90">
        <f>O73/12</f>
        <v>1.9984010940639372</v>
      </c>
    </row>
    <row r="75" spans="2:15" ht="14.25">
      <c r="B75" s="92" t="s">
        <v>57</v>
      </c>
      <c r="C75" s="70"/>
      <c r="D75" s="72">
        <f>'AC Cost'!X12</f>
        <v>2033</v>
      </c>
      <c r="F75" s="69"/>
      <c r="G75" s="70"/>
      <c r="H75" s="77"/>
      <c r="J75" s="70"/>
      <c r="L75" s="70"/>
      <c r="M75" s="70"/>
      <c r="N75" s="70"/>
      <c r="O75" s="93"/>
    </row>
    <row r="76" spans="2:15" ht="14.25">
      <c r="B76" s="86"/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3" t="s">
        <v>59</v>
      </c>
      <c r="N76" s="70"/>
      <c r="O76" s="87" t="s">
        <v>60</v>
      </c>
    </row>
    <row r="77" spans="2:15" ht="14.25">
      <c r="B77" s="88" t="s">
        <v>77</v>
      </c>
      <c r="C77" s="70"/>
      <c r="D77" s="70"/>
      <c r="E77" s="70"/>
      <c r="F77" s="74">
        <f>'AC Cost'!Y12</f>
        <v>198388.61984555583</v>
      </c>
      <c r="H77" s="73" t="s">
        <v>61</v>
      </c>
      <c r="I77" s="70"/>
      <c r="J77" s="70"/>
      <c r="K77" s="70"/>
      <c r="L77" s="70"/>
      <c r="M77" s="75">
        <f>(IF('AC Cost'!$E$3=10,LoadForecast!$S$28,LoadForecast!$S$29))*1.12</f>
        <v>17.077759999999952</v>
      </c>
      <c r="N77" s="70"/>
      <c r="O77" s="93">
        <f>(IF('AC Cost'!$E$3=10,LoadForecast!$S$28,LoadForecast!$S$29))</f>
        <v>15.247999999999957</v>
      </c>
    </row>
    <row r="78" spans="2:15" ht="14.25">
      <c r="B78" s="88" t="s">
        <v>78</v>
      </c>
      <c r="C78" s="70"/>
      <c r="D78" s="70"/>
      <c r="E78" s="70"/>
      <c r="F78" s="74">
        <f>'AC Cost'!Z12</f>
        <v>196006.88714746793</v>
      </c>
      <c r="H78" s="73" t="s">
        <v>62</v>
      </c>
      <c r="I78" s="70"/>
      <c r="J78" s="70"/>
      <c r="K78" s="70"/>
      <c r="L78" s="70"/>
      <c r="M78" s="75">
        <f>F79/M77</f>
        <v>139.46399867944669</v>
      </c>
      <c r="N78" s="70"/>
      <c r="O78" s="89">
        <f>F79/O77</f>
        <v>156.19967852098029</v>
      </c>
    </row>
    <row r="79" spans="2:15" ht="14.25">
      <c r="B79" s="88" t="s">
        <v>79</v>
      </c>
      <c r="C79" s="70"/>
      <c r="D79" s="70"/>
      <c r="E79" s="70"/>
      <c r="F79" s="74">
        <f>F77-F78</f>
        <v>2381.7326980879006</v>
      </c>
      <c r="H79" s="73" t="s">
        <v>63</v>
      </c>
      <c r="I79" s="70"/>
      <c r="J79" s="70"/>
      <c r="K79" s="70"/>
      <c r="L79" s="70"/>
      <c r="M79" s="76">
        <f>PMT('AC Cost'!$N$10,'AC Cost'!$E$3,-M78)</f>
        <v>17.625295828541802</v>
      </c>
      <c r="N79" s="70"/>
      <c r="O79" s="90">
        <f>PMT('AC Cost'!$N$10,'AC Cost'!$E$3,-O78)</f>
        <v>19.740331327966814</v>
      </c>
    </row>
    <row r="80" spans="2:15" ht="14.25">
      <c r="B80" s="91"/>
      <c r="H80" s="70"/>
      <c r="I80" s="70"/>
      <c r="J80" s="70"/>
      <c r="K80" s="73" t="s">
        <v>64</v>
      </c>
      <c r="L80" s="70"/>
      <c r="M80" s="76">
        <f>M79/(1-'AC Cost'!$N$11)</f>
        <v>18.455807150305553</v>
      </c>
      <c r="N80" s="70"/>
      <c r="O80" s="90">
        <f>O79/(1-'AC Cost'!$N$11)</f>
        <v>20.670504008342213</v>
      </c>
    </row>
    <row r="81" spans="2:15" ht="15" thickBot="1">
      <c r="B81" s="103"/>
      <c r="C81" s="96"/>
      <c r="D81" s="96"/>
      <c r="E81" s="96"/>
      <c r="F81" s="96"/>
      <c r="G81" s="95"/>
      <c r="H81" s="96"/>
      <c r="I81" s="96"/>
      <c r="J81" s="96"/>
      <c r="K81" s="97" t="s">
        <v>65</v>
      </c>
      <c r="L81" s="96"/>
      <c r="M81" s="98">
        <f>M80/12</f>
        <v>1.5379839291921293</v>
      </c>
      <c r="N81" s="96"/>
      <c r="O81" s="99">
        <f>O80/12</f>
        <v>1.7225420006951844</v>
      </c>
    </row>
    <row r="85" spans="2:15" ht="14.25">
      <c r="B85" s="62" t="s">
        <v>75</v>
      </c>
      <c r="C85" s="63"/>
      <c r="D85" s="63"/>
      <c r="E85" s="63"/>
      <c r="F85" s="63"/>
      <c r="G85" s="63"/>
      <c r="H85" s="63"/>
      <c r="I85" s="63"/>
      <c r="J85" s="63"/>
      <c r="K85" s="64"/>
      <c r="L85" s="63"/>
      <c r="M85" s="65"/>
      <c r="N85" s="66"/>
      <c r="O85" s="63"/>
    </row>
    <row r="86" spans="2:15" ht="14.25">
      <c r="C86" s="63"/>
      <c r="F86" s="67" t="s">
        <v>76</v>
      </c>
      <c r="H86" s="63"/>
      <c r="I86" s="63"/>
      <c r="J86" s="63"/>
      <c r="K86" s="68">
        <f>K2</f>
        <v>2024</v>
      </c>
      <c r="L86" s="63"/>
      <c r="M86" s="69" t="s">
        <v>58</v>
      </c>
      <c r="N86" s="70"/>
      <c r="O86" s="71">
        <f ca="1">O2</f>
        <v>45393</v>
      </c>
    </row>
    <row r="88" spans="2:15">
      <c r="D88" s="78" t="s">
        <v>80</v>
      </c>
    </row>
    <row r="89" spans="2:15" ht="14.25">
      <c r="B89" s="61" t="s">
        <v>4</v>
      </c>
      <c r="D89" s="69" t="s">
        <v>81</v>
      </c>
    </row>
    <row r="90" spans="2:15" ht="14.25">
      <c r="B90" s="79">
        <f>D4</f>
        <v>2024</v>
      </c>
      <c r="D90" s="120">
        <f>O9</f>
        <v>22.88216882107784</v>
      </c>
    </row>
    <row r="91" spans="2:15" ht="14.25">
      <c r="B91" s="79">
        <f>D11</f>
        <v>2025</v>
      </c>
      <c r="D91" s="120">
        <f>O16</f>
        <v>23.435586024680191</v>
      </c>
    </row>
    <row r="92" spans="2:15" ht="14.25">
      <c r="B92" s="79">
        <f>D18</f>
        <v>2026</v>
      </c>
      <c r="D92" s="120">
        <f>O23</f>
        <v>24.002412595725996</v>
      </c>
    </row>
    <row r="93" spans="2:15" ht="14.25">
      <c r="B93" s="79">
        <f>D25</f>
        <v>2027</v>
      </c>
      <c r="D93" s="120">
        <f>O30</f>
        <v>24.58297417967038</v>
      </c>
    </row>
    <row r="94" spans="2:15" ht="14.25">
      <c r="B94" s="79">
        <f>D32</f>
        <v>2028</v>
      </c>
      <c r="D94" s="120">
        <f>O37</f>
        <v>25.177604352079264</v>
      </c>
    </row>
    <row r="95" spans="2:15" ht="14.25">
      <c r="B95" s="79">
        <f>D46</f>
        <v>2029</v>
      </c>
      <c r="D95" s="120">
        <f>O51</f>
        <v>25.786644812388118</v>
      </c>
    </row>
    <row r="96" spans="2:15" ht="14.25">
      <c r="B96" s="79">
        <f>D54</f>
        <v>2030</v>
      </c>
      <c r="D96" s="120">
        <f>O59</f>
        <v>26.410445582420632</v>
      </c>
    </row>
    <row r="97" spans="2:4" ht="14.25">
      <c r="B97" s="79">
        <f>D61</f>
        <v>2031</v>
      </c>
      <c r="D97" s="120">
        <f>O66</f>
        <v>27.049365209770521</v>
      </c>
    </row>
    <row r="98" spans="2:4" ht="14.25">
      <c r="B98" s="79">
        <f>D68</f>
        <v>2032</v>
      </c>
      <c r="D98" s="120">
        <f>O73</f>
        <v>23.980813128767245</v>
      </c>
    </row>
    <row r="99" spans="2:4" ht="14.25">
      <c r="B99" s="79">
        <f>D75</f>
        <v>2033</v>
      </c>
      <c r="D99" s="120">
        <f>O80</f>
        <v>20.670504008342213</v>
      </c>
    </row>
    <row r="101" spans="2:4">
      <c r="B101" s="61" t="s">
        <v>82</v>
      </c>
    </row>
    <row r="102" spans="2:4">
      <c r="B102" s="61" t="s">
        <v>83</v>
      </c>
      <c r="D102" s="80">
        <f>'AC Cost'!N11</f>
        <v>4.4999999999999998E-2</v>
      </c>
    </row>
    <row r="103" spans="2:4">
      <c r="B103" s="61" t="s">
        <v>84</v>
      </c>
      <c r="D103" s="61">
        <f>'AC Cost'!E3</f>
        <v>10</v>
      </c>
    </row>
    <row r="104" spans="2:4">
      <c r="B104" s="61" t="s">
        <v>85</v>
      </c>
      <c r="D104" s="80">
        <v>3.0929999999999999E-2</v>
      </c>
    </row>
  </sheetData>
  <pageMargins left="0.43" right="0.37" top="0.32" bottom="0.37" header="0.21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Additions</vt:lpstr>
      <vt:lpstr>LoadForecast</vt:lpstr>
      <vt:lpstr>CapCosts</vt:lpstr>
      <vt:lpstr>AC Cost</vt:lpstr>
      <vt:lpstr>AC Report</vt:lpstr>
      <vt:lpstr>Additions!Print_Area</vt:lpstr>
      <vt:lpstr>LoadForecast!Print_Area</vt:lpstr>
    </vt:vector>
  </TitlesOfParts>
  <Company>ekpc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benwalk</dc:creator>
  <cp:lastModifiedBy>Bruner, Brandon S (PSC)</cp:lastModifiedBy>
  <cp:lastPrinted>2021-07-01T14:02:42Z</cp:lastPrinted>
  <dcterms:created xsi:type="dcterms:W3CDTF">2002-03-15T16:03:19Z</dcterms:created>
  <dcterms:modified xsi:type="dcterms:W3CDTF">2024-04-11T18:43:44Z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{780B7645-19D2-42A2-90E5-02C82E219323}</vt:lpwstr>
  </property>
</Properties>
</file>