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SC\pscocr\"/>
    </mc:Choice>
  </mc:AlternateContent>
  <xr:revisionPtr revIDLastSave="0" documentId="8_{3A72BD8A-9063-4AAE-B04E-B79D94DB4F77}" xr6:coauthVersionLast="47" xr6:coauthVersionMax="47" xr10:uidLastSave="{00000000-0000-0000-0000-000000000000}"/>
  <bookViews>
    <workbookView xWindow="-16320" yWindow="-5445" windowWidth="16440" windowHeight="28440" firstSheet="7" activeTab="9" xr2:uid="{00000000-000D-0000-FFFF-FFFF00000000}"/>
  </bookViews>
  <sheets>
    <sheet name="Trial Balance" sheetId="43" r:id="rId1"/>
    <sheet name="Matrix" sheetId="44" r:id="rId2"/>
    <sheet name="Depreciation" sheetId="45" r:id="rId3"/>
    <sheet name="Debt Service" sheetId="46" r:id="rId4"/>
    <sheet name="DS Allocation" sheetId="37" r:id="rId5"/>
    <sheet name="System Information" sheetId="18" r:id="rId6"/>
    <sheet name="Wholesale Factors" sheetId="19" r:id="rId7"/>
    <sheet name="Revenue Required Computation" sheetId="16" r:id="rId8"/>
    <sheet name="Billing Analysis" sheetId="47" r:id="rId9"/>
    <sheet name="Monthly Bill Comparison" sheetId="49" r:id="rId10"/>
  </sheets>
  <externalReferences>
    <externalReference r:id="rId11"/>
  </externalReferences>
  <definedNames>
    <definedName name="_xlnm.Print_Area" localSheetId="3">'Debt Service'!$A$1:$Q$19</definedName>
    <definedName name="_xlnm.Print_Area" localSheetId="2">Depreciation!$A$1:$M$27</definedName>
    <definedName name="_xlnm.Print_Area" localSheetId="4">'DS Allocation'!$A$1:$J$19</definedName>
    <definedName name="_xlnm.Print_Area" localSheetId="1">Matrix!$A$1:$K$74</definedName>
    <definedName name="_xlnm.Print_Area" localSheetId="9">'Monthly Bill Comparison'!$A$1:$G$20</definedName>
    <definedName name="_xlnm.Print_Area" localSheetId="7">'Revenue Required Computation'!$A$1:$K$65</definedName>
    <definedName name="_xlnm.Print_Area" localSheetId="5">'System Information'!$A$1:$J$41</definedName>
    <definedName name="_xlnm.Print_Area" localSheetId="0">'Trial Balance'!$A$1:$I$57</definedName>
    <definedName name="_xlnm.Print_Area" localSheetId="6">'Wholesale Factors'!$A$1:$K$46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49" l="1"/>
  <c r="F20" i="49"/>
  <c r="G19" i="49"/>
  <c r="F19" i="49"/>
  <c r="E20" i="49"/>
  <c r="E19" i="49"/>
  <c r="G13" i="49"/>
  <c r="G15" i="49" s="1"/>
  <c r="G17" i="49" s="1"/>
  <c r="F13" i="49"/>
  <c r="E13" i="49"/>
  <c r="E15" i="49" s="1"/>
  <c r="E17" i="49" s="1"/>
  <c r="D13" i="49"/>
  <c r="F15" i="49"/>
  <c r="F17" i="49" s="1"/>
  <c r="D15" i="49"/>
  <c r="D17" i="49" s="1"/>
  <c r="G10" i="49"/>
  <c r="F10" i="49"/>
  <c r="E10" i="49"/>
  <c r="D10" i="49"/>
  <c r="B9" i="49"/>
  <c r="B5" i="49"/>
  <c r="B12" i="49" s="1"/>
  <c r="E45" i="16"/>
  <c r="E44" i="16"/>
  <c r="E43" i="16"/>
  <c r="E42" i="16"/>
  <c r="E41" i="16"/>
  <c r="H57" i="18"/>
  <c r="B28" i="47"/>
  <c r="B22" i="47"/>
  <c r="B13" i="47"/>
  <c r="B14" i="47" s="1"/>
  <c r="C4" i="47"/>
  <c r="D4" i="47" s="1"/>
  <c r="C5" i="47"/>
  <c r="B5" i="47"/>
  <c r="B6" i="47" s="1"/>
  <c r="H54" i="16"/>
  <c r="F33" i="18"/>
  <c r="F34" i="18"/>
  <c r="C22" i="47" l="1"/>
  <c r="D22" i="47" s="1"/>
  <c r="D5" i="47"/>
  <c r="D6" i="47" s="1"/>
  <c r="K55" i="18" l="1"/>
  <c r="H55" i="18"/>
  <c r="I56" i="43"/>
  <c r="I55" i="43"/>
  <c r="I54" i="43"/>
  <c r="I53" i="43"/>
  <c r="I52" i="43"/>
  <c r="I51" i="43"/>
  <c r="I50" i="43"/>
  <c r="I49" i="43"/>
  <c r="I48" i="43"/>
  <c r="I47" i="43"/>
  <c r="I46" i="43"/>
  <c r="I45" i="43"/>
  <c r="I44" i="43"/>
  <c r="I43" i="43"/>
  <c r="I42" i="43"/>
  <c r="I41" i="43"/>
  <c r="I40" i="43"/>
  <c r="I39" i="43"/>
  <c r="I38" i="43"/>
  <c r="I37" i="43"/>
  <c r="I36" i="43"/>
  <c r="I35" i="43"/>
  <c r="I34" i="43"/>
  <c r="I33" i="43"/>
  <c r="I32" i="43"/>
  <c r="I31" i="43"/>
  <c r="I30" i="43"/>
  <c r="I29" i="43"/>
  <c r="I28" i="43"/>
  <c r="I27" i="43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D55" i="18" l="1"/>
  <c r="F32" i="18" s="1"/>
  <c r="D46" i="18"/>
  <c r="F54" i="18"/>
  <c r="F55" i="18" s="1"/>
  <c r="F37" i="18" s="1"/>
  <c r="N18" i="18"/>
  <c r="G15" i="37"/>
  <c r="G14" i="37"/>
  <c r="G13" i="37"/>
  <c r="E36" i="45"/>
  <c r="H22" i="45"/>
  <c r="G22" i="45"/>
  <c r="F12" i="37" l="1"/>
  <c r="F11" i="37"/>
  <c r="E15" i="37"/>
  <c r="E14" i="37"/>
  <c r="E13" i="37"/>
  <c r="E12" i="37"/>
  <c r="E11" i="37"/>
  <c r="C15" i="37"/>
  <c r="C14" i="37"/>
  <c r="C13" i="37"/>
  <c r="C12" i="37"/>
  <c r="C11" i="37"/>
  <c r="L16" i="46"/>
  <c r="K16" i="46"/>
  <c r="J16" i="46"/>
  <c r="I16" i="46"/>
  <c r="H16" i="46"/>
  <c r="G16" i="46"/>
  <c r="F16" i="46"/>
  <c r="E16" i="46"/>
  <c r="D16" i="46"/>
  <c r="C16" i="46"/>
  <c r="L12" i="46"/>
  <c r="K12" i="46"/>
  <c r="J12" i="46"/>
  <c r="I12" i="46"/>
  <c r="H12" i="46"/>
  <c r="G12" i="46"/>
  <c r="F12" i="46"/>
  <c r="E12" i="46"/>
  <c r="D12" i="46"/>
  <c r="C12" i="46"/>
  <c r="M14" i="46"/>
  <c r="N14" i="46" s="1"/>
  <c r="M13" i="46"/>
  <c r="F25" i="45"/>
  <c r="K23" i="45"/>
  <c r="J23" i="45"/>
  <c r="K21" i="45"/>
  <c r="J21" i="45" s="1"/>
  <c r="K19" i="45"/>
  <c r="H16" i="45"/>
  <c r="I14" i="45"/>
  <c r="G12" i="45"/>
  <c r="G11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E25" i="45"/>
  <c r="E14" i="45"/>
  <c r="E12" i="45"/>
  <c r="E11" i="45"/>
  <c r="E35" i="45"/>
  <c r="E34" i="45"/>
  <c r="E33" i="45"/>
  <c r="E32" i="45"/>
  <c r="D35" i="45"/>
  <c r="D32" i="45"/>
  <c r="D34" i="45"/>
  <c r="D33" i="45"/>
  <c r="D56" i="43"/>
  <c r="C56" i="43"/>
  <c r="E56" i="43" s="1"/>
  <c r="B56" i="43"/>
  <c r="A56" i="43"/>
  <c r="D55" i="43"/>
  <c r="C55" i="43"/>
  <c r="B55" i="43"/>
  <c r="A55" i="43"/>
  <c r="D54" i="43"/>
  <c r="C54" i="43"/>
  <c r="E54" i="43" s="1"/>
  <c r="B54" i="43"/>
  <c r="A54" i="43"/>
  <c r="D53" i="43"/>
  <c r="C53" i="43"/>
  <c r="B53" i="43"/>
  <c r="A53" i="43"/>
  <c r="D52" i="43"/>
  <c r="C52" i="43"/>
  <c r="E52" i="43" s="1"/>
  <c r="B52" i="43"/>
  <c r="A52" i="43"/>
  <c r="D51" i="43"/>
  <c r="C51" i="43"/>
  <c r="B51" i="43"/>
  <c r="A51" i="43"/>
  <c r="D50" i="43"/>
  <c r="C50" i="43"/>
  <c r="E50" i="43" s="1"/>
  <c r="B50" i="43"/>
  <c r="A50" i="43"/>
  <c r="D49" i="43"/>
  <c r="C49" i="43"/>
  <c r="B49" i="43"/>
  <c r="A49" i="43"/>
  <c r="D48" i="43"/>
  <c r="C48" i="43"/>
  <c r="E48" i="43" s="1"/>
  <c r="B48" i="43"/>
  <c r="A48" i="43"/>
  <c r="D47" i="43"/>
  <c r="C47" i="43"/>
  <c r="B47" i="43"/>
  <c r="A47" i="43"/>
  <c r="D46" i="43"/>
  <c r="C46" i="43"/>
  <c r="E46" i="43" s="1"/>
  <c r="B46" i="43"/>
  <c r="A46" i="43"/>
  <c r="D45" i="43"/>
  <c r="C45" i="43"/>
  <c r="B45" i="43"/>
  <c r="A45" i="43"/>
  <c r="D44" i="43"/>
  <c r="C44" i="43"/>
  <c r="E44" i="43" s="1"/>
  <c r="B44" i="43"/>
  <c r="A44" i="43"/>
  <c r="D43" i="43"/>
  <c r="C43" i="43"/>
  <c r="B43" i="43"/>
  <c r="A43" i="43"/>
  <c r="D42" i="43"/>
  <c r="C42" i="43"/>
  <c r="E42" i="43" s="1"/>
  <c r="B42" i="43"/>
  <c r="A42" i="43"/>
  <c r="D41" i="43"/>
  <c r="C41" i="43"/>
  <c r="B41" i="43"/>
  <c r="A41" i="43"/>
  <c r="D40" i="43"/>
  <c r="C40" i="43"/>
  <c r="E40" i="43" s="1"/>
  <c r="B40" i="43"/>
  <c r="A40" i="43"/>
  <c r="C39" i="43"/>
  <c r="E39" i="43" s="1"/>
  <c r="B39" i="43"/>
  <c r="A39" i="43"/>
  <c r="D38" i="43"/>
  <c r="C38" i="43"/>
  <c r="B38" i="43"/>
  <c r="A38" i="43"/>
  <c r="D37" i="43"/>
  <c r="C37" i="43"/>
  <c r="B37" i="43"/>
  <c r="A37" i="43"/>
  <c r="D36" i="43"/>
  <c r="C36" i="43"/>
  <c r="B36" i="43"/>
  <c r="A36" i="43"/>
  <c r="D35" i="43"/>
  <c r="C35" i="43"/>
  <c r="B35" i="43"/>
  <c r="A35" i="43"/>
  <c r="D34" i="43"/>
  <c r="C34" i="43"/>
  <c r="B34" i="43"/>
  <c r="A34" i="43"/>
  <c r="D33" i="43"/>
  <c r="C33" i="43"/>
  <c r="B33" i="43"/>
  <c r="A33" i="43"/>
  <c r="D32" i="43"/>
  <c r="C32" i="43"/>
  <c r="B32" i="43"/>
  <c r="A32" i="43"/>
  <c r="D31" i="43"/>
  <c r="C31" i="43"/>
  <c r="B31" i="43"/>
  <c r="A31" i="43"/>
  <c r="D30" i="43"/>
  <c r="C30" i="43"/>
  <c r="B30" i="43"/>
  <c r="A30" i="43"/>
  <c r="D29" i="43"/>
  <c r="C29" i="43"/>
  <c r="B29" i="43"/>
  <c r="A29" i="43"/>
  <c r="D28" i="43"/>
  <c r="C28" i="43"/>
  <c r="B28" i="43"/>
  <c r="A28" i="43"/>
  <c r="D27" i="43"/>
  <c r="C27" i="43"/>
  <c r="B27" i="43"/>
  <c r="A27" i="43"/>
  <c r="D26" i="43"/>
  <c r="C26" i="43"/>
  <c r="B26" i="43"/>
  <c r="A26" i="43"/>
  <c r="D25" i="43"/>
  <c r="C25" i="43"/>
  <c r="B25" i="43"/>
  <c r="A25" i="43"/>
  <c r="D24" i="43"/>
  <c r="C24" i="43"/>
  <c r="B24" i="43"/>
  <c r="A24" i="43"/>
  <c r="D23" i="43"/>
  <c r="C23" i="43"/>
  <c r="B23" i="43"/>
  <c r="A23" i="43"/>
  <c r="D22" i="43"/>
  <c r="C22" i="43"/>
  <c r="B22" i="43"/>
  <c r="A22" i="43"/>
  <c r="D21" i="43"/>
  <c r="C21" i="43"/>
  <c r="B21" i="43"/>
  <c r="A21" i="43"/>
  <c r="D20" i="43"/>
  <c r="C20" i="43"/>
  <c r="B20" i="43"/>
  <c r="A20" i="43"/>
  <c r="D19" i="43"/>
  <c r="C19" i="43"/>
  <c r="B19" i="43"/>
  <c r="A19" i="43"/>
  <c r="D18" i="43"/>
  <c r="C18" i="43"/>
  <c r="B18" i="43"/>
  <c r="A18" i="43"/>
  <c r="D17" i="43"/>
  <c r="C17" i="43"/>
  <c r="B17" i="43"/>
  <c r="A17" i="43"/>
  <c r="D16" i="43"/>
  <c r="C16" i="43"/>
  <c r="B16" i="43"/>
  <c r="A16" i="43"/>
  <c r="D15" i="43"/>
  <c r="C15" i="43"/>
  <c r="B15" i="43"/>
  <c r="A15" i="43"/>
  <c r="D14" i="43"/>
  <c r="C14" i="43"/>
  <c r="B14" i="43"/>
  <c r="A14" i="43"/>
  <c r="D13" i="43"/>
  <c r="C13" i="43"/>
  <c r="B13" i="43"/>
  <c r="A13" i="43"/>
  <c r="D12" i="43"/>
  <c r="C12" i="43"/>
  <c r="B12" i="43"/>
  <c r="A12" i="43"/>
  <c r="D11" i="43"/>
  <c r="C11" i="43"/>
  <c r="B11" i="43"/>
  <c r="A11" i="43"/>
  <c r="D10" i="43"/>
  <c r="C10" i="43"/>
  <c r="B10" i="43"/>
  <c r="A10" i="43"/>
  <c r="D9" i="43"/>
  <c r="C9" i="43"/>
  <c r="B9" i="43"/>
  <c r="A9" i="43"/>
  <c r="D8" i="43"/>
  <c r="C8" i="43"/>
  <c r="B8" i="43"/>
  <c r="A8" i="43"/>
  <c r="D7" i="43"/>
  <c r="C7" i="43"/>
  <c r="B7" i="43"/>
  <c r="A7" i="43"/>
  <c r="E41" i="43" l="1"/>
  <c r="E43" i="43"/>
  <c r="E45" i="43"/>
  <c r="E47" i="43"/>
  <c r="E49" i="43"/>
  <c r="E51" i="43"/>
  <c r="E53" i="43"/>
  <c r="E55" i="43"/>
  <c r="E8" i="43"/>
  <c r="E10" i="43"/>
  <c r="E12" i="43"/>
  <c r="E14" i="43"/>
  <c r="E16" i="43"/>
  <c r="E18" i="43"/>
  <c r="E20" i="43"/>
  <c r="E22" i="43"/>
  <c r="E24" i="43"/>
  <c r="E26" i="43"/>
  <c r="E28" i="43"/>
  <c r="E30" i="43"/>
  <c r="E32" i="43"/>
  <c r="E34" i="43"/>
  <c r="E36" i="43"/>
  <c r="E38" i="43"/>
  <c r="E7" i="43"/>
  <c r="E9" i="43"/>
  <c r="E11" i="43"/>
  <c r="E13" i="43"/>
  <c r="E15" i="43"/>
  <c r="E17" i="43"/>
  <c r="E19" i="43"/>
  <c r="E21" i="43"/>
  <c r="E23" i="43"/>
  <c r="E25" i="43"/>
  <c r="E27" i="43"/>
  <c r="E29" i="43"/>
  <c r="E31" i="43"/>
  <c r="E33" i="43"/>
  <c r="E35" i="43"/>
  <c r="E37" i="43"/>
  <c r="O14" i="46"/>
  <c r="N13" i="46"/>
  <c r="O13" i="46" s="1"/>
  <c r="D12" i="45"/>
  <c r="D14" i="45"/>
  <c r="D11" i="45"/>
  <c r="D16" i="45"/>
  <c r="D19" i="45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L17" i="46" l="1"/>
  <c r="K17" i="46"/>
  <c r="D17" i="46"/>
  <c r="C17" i="46"/>
  <c r="J17" i="46"/>
  <c r="M16" i="46"/>
  <c r="M15" i="46"/>
  <c r="I17" i="46"/>
  <c r="H17" i="46"/>
  <c r="G17" i="46"/>
  <c r="F17" i="46"/>
  <c r="E17" i="46"/>
  <c r="M12" i="46"/>
  <c r="N12" i="46" s="1"/>
  <c r="D25" i="45"/>
  <c r="D29" i="45" s="1"/>
  <c r="K20" i="45"/>
  <c r="K18" i="45"/>
  <c r="H17" i="45"/>
  <c r="I15" i="45"/>
  <c r="G13" i="45"/>
  <c r="E25" i="44"/>
  <c r="G25" i="44" s="1"/>
  <c r="E56" i="44"/>
  <c r="E70" i="44"/>
  <c r="G70" i="44" s="1"/>
  <c r="E69" i="44"/>
  <c r="I69" i="44" s="1"/>
  <c r="E68" i="44"/>
  <c r="G68" i="44" s="1"/>
  <c r="E67" i="44"/>
  <c r="I67" i="44" s="1"/>
  <c r="E66" i="44"/>
  <c r="G66" i="44" s="1"/>
  <c r="E65" i="44"/>
  <c r="E55" i="44"/>
  <c r="G55" i="44" s="1"/>
  <c r="E54" i="44"/>
  <c r="H54" i="44" s="1"/>
  <c r="E53" i="44"/>
  <c r="E11" i="44"/>
  <c r="I11" i="44" s="1"/>
  <c r="E10" i="44"/>
  <c r="E28" i="44"/>
  <c r="E51" i="44"/>
  <c r="G51" i="44" s="1"/>
  <c r="E50" i="44"/>
  <c r="E27" i="44"/>
  <c r="G27" i="44" s="1"/>
  <c r="E37" i="44"/>
  <c r="E38" i="44" s="1"/>
  <c r="E26" i="44"/>
  <c r="G26" i="44" s="1"/>
  <c r="E39" i="44"/>
  <c r="E40" i="44" s="1"/>
  <c r="E49" i="44"/>
  <c r="E24" i="44"/>
  <c r="H24" i="44" s="1"/>
  <c r="E48" i="44"/>
  <c r="G48" i="44" s="1"/>
  <c r="E23" i="44"/>
  <c r="I23" i="44" s="1"/>
  <c r="E47" i="44"/>
  <c r="E22" i="44"/>
  <c r="I22" i="44" s="1"/>
  <c r="E46" i="44"/>
  <c r="E35" i="44"/>
  <c r="I35" i="44" s="1"/>
  <c r="E34" i="44"/>
  <c r="G34" i="44" s="1"/>
  <c r="E33" i="44"/>
  <c r="H33" i="44" s="1"/>
  <c r="E32" i="44"/>
  <c r="G32" i="44" s="1"/>
  <c r="E31" i="44"/>
  <c r="I31" i="44" s="1"/>
  <c r="E30" i="44"/>
  <c r="E21" i="44"/>
  <c r="E44" i="44"/>
  <c r="G44" i="44" s="1"/>
  <c r="E43" i="44"/>
  <c r="I43" i="44" s="1"/>
  <c r="E42" i="44"/>
  <c r="G42" i="44" s="1"/>
  <c r="E41" i="44"/>
  <c r="E20" i="44"/>
  <c r="E19" i="44"/>
  <c r="E18" i="44"/>
  <c r="E59" i="44"/>
  <c r="H59" i="44" s="1"/>
  <c r="E58" i="44"/>
  <c r="E16" i="44"/>
  <c r="I16" i="44" s="1"/>
  <c r="E15" i="44"/>
  <c r="G15" i="44" s="1"/>
  <c r="E14" i="44"/>
  <c r="H14" i="44" s="1"/>
  <c r="E13" i="44"/>
  <c r="E63" i="44"/>
  <c r="H63" i="44" s="1"/>
  <c r="E62" i="44"/>
  <c r="G62" i="44" s="1"/>
  <c r="E61" i="44"/>
  <c r="D25" i="44"/>
  <c r="D56" i="44"/>
  <c r="D70" i="44"/>
  <c r="D69" i="44"/>
  <c r="D68" i="44"/>
  <c r="D67" i="44"/>
  <c r="D66" i="44"/>
  <c r="D65" i="44"/>
  <c r="D55" i="44"/>
  <c r="D54" i="44"/>
  <c r="D53" i="44"/>
  <c r="D11" i="44"/>
  <c r="D10" i="44"/>
  <c r="D28" i="44"/>
  <c r="D51" i="44"/>
  <c r="D50" i="44"/>
  <c r="D27" i="44"/>
  <c r="D37" i="44"/>
  <c r="D26" i="44"/>
  <c r="D39" i="44"/>
  <c r="D49" i="44"/>
  <c r="D24" i="44"/>
  <c r="D48" i="44"/>
  <c r="D23" i="44"/>
  <c r="D47" i="44"/>
  <c r="D22" i="44"/>
  <c r="D46" i="44"/>
  <c r="D35" i="44"/>
  <c r="D34" i="44"/>
  <c r="D33" i="44"/>
  <c r="D32" i="44"/>
  <c r="D31" i="44"/>
  <c r="D30" i="44"/>
  <c r="D21" i="44"/>
  <c r="D44" i="44"/>
  <c r="D43" i="44"/>
  <c r="D42" i="44"/>
  <c r="D41" i="44"/>
  <c r="D20" i="44"/>
  <c r="D19" i="44"/>
  <c r="D18" i="44"/>
  <c r="D59" i="44"/>
  <c r="D58" i="44"/>
  <c r="D16" i="44"/>
  <c r="D15" i="44"/>
  <c r="D14" i="44"/>
  <c r="D13" i="44"/>
  <c r="D63" i="44"/>
  <c r="D62" i="44"/>
  <c r="D61" i="44"/>
  <c r="C25" i="44"/>
  <c r="C56" i="44"/>
  <c r="C70" i="44"/>
  <c r="C69" i="44"/>
  <c r="C68" i="44"/>
  <c r="C67" i="44"/>
  <c r="C66" i="44"/>
  <c r="C65" i="44"/>
  <c r="C55" i="44"/>
  <c r="C54" i="44"/>
  <c r="C53" i="44"/>
  <c r="C11" i="44"/>
  <c r="C10" i="44"/>
  <c r="C28" i="44"/>
  <c r="C51" i="44"/>
  <c r="C50" i="44"/>
  <c r="C27" i="44"/>
  <c r="C37" i="44"/>
  <c r="C26" i="44"/>
  <c r="C39" i="44"/>
  <c r="C49" i="44"/>
  <c r="C24" i="44"/>
  <c r="C48" i="44"/>
  <c r="C23" i="44"/>
  <c r="C47" i="44"/>
  <c r="C22" i="44"/>
  <c r="C46" i="44"/>
  <c r="C35" i="44"/>
  <c r="C34" i="44"/>
  <c r="C33" i="44"/>
  <c r="C32" i="44"/>
  <c r="C31" i="44"/>
  <c r="C30" i="44"/>
  <c r="C21" i="44"/>
  <c r="C44" i="44"/>
  <c r="C43" i="44"/>
  <c r="C42" i="44"/>
  <c r="C41" i="44"/>
  <c r="C20" i="44"/>
  <c r="C19" i="44"/>
  <c r="C18" i="44"/>
  <c r="C59" i="44"/>
  <c r="C58" i="44"/>
  <c r="C16" i="44"/>
  <c r="C15" i="44"/>
  <c r="C14" i="44"/>
  <c r="C13" i="44"/>
  <c r="C63" i="44"/>
  <c r="C62" i="44"/>
  <c r="C61" i="44"/>
  <c r="B25" i="44"/>
  <c r="B56" i="44"/>
  <c r="B70" i="44"/>
  <c r="B69" i="44"/>
  <c r="B68" i="44"/>
  <c r="B67" i="44"/>
  <c r="B66" i="44"/>
  <c r="B65" i="44"/>
  <c r="B55" i="44"/>
  <c r="B54" i="44"/>
  <c r="B53" i="44"/>
  <c r="B11" i="44"/>
  <c r="B10" i="44"/>
  <c r="B28" i="44"/>
  <c r="B51" i="44"/>
  <c r="B50" i="44"/>
  <c r="B27" i="44"/>
  <c r="B37" i="44"/>
  <c r="B26" i="44"/>
  <c r="B39" i="44"/>
  <c r="B49" i="44"/>
  <c r="B24" i="44"/>
  <c r="B48" i="44"/>
  <c r="B23" i="44"/>
  <c r="B47" i="44"/>
  <c r="B22" i="44"/>
  <c r="B46" i="44"/>
  <c r="B35" i="44"/>
  <c r="B34" i="44"/>
  <c r="B33" i="44"/>
  <c r="B32" i="44"/>
  <c r="B31" i="44"/>
  <c r="B30" i="44"/>
  <c r="B21" i="44"/>
  <c r="B44" i="44"/>
  <c r="B43" i="44"/>
  <c r="B42" i="44"/>
  <c r="B41" i="44"/>
  <c r="B20" i="44"/>
  <c r="B19" i="44"/>
  <c r="B18" i="44"/>
  <c r="B59" i="44"/>
  <c r="B58" i="44"/>
  <c r="B16" i="44"/>
  <c r="B15" i="44"/>
  <c r="B14" i="44"/>
  <c r="B13" i="44"/>
  <c r="B63" i="44"/>
  <c r="B62" i="44"/>
  <c r="B61" i="44"/>
  <c r="E57" i="43"/>
  <c r="E77" i="44" s="1"/>
  <c r="C57" i="43"/>
  <c r="E60" i="44" l="1"/>
  <c r="E52" i="44"/>
  <c r="E57" i="44"/>
  <c r="E71" i="44"/>
  <c r="E17" i="44"/>
  <c r="E12" i="44"/>
  <c r="E64" i="44"/>
  <c r="E29" i="44"/>
  <c r="E36" i="44"/>
  <c r="E45" i="44"/>
  <c r="I41" i="44"/>
  <c r="I39" i="44"/>
  <c r="I40" i="44" s="1"/>
  <c r="H21" i="44"/>
  <c r="H37" i="44"/>
  <c r="H38" i="44" s="1"/>
  <c r="G53" i="44"/>
  <c r="I61" i="44"/>
  <c r="I56" i="44"/>
  <c r="G18" i="44"/>
  <c r="G30" i="44"/>
  <c r="G47" i="44"/>
  <c r="I19" i="44"/>
  <c r="I50" i="44"/>
  <c r="I65" i="44"/>
  <c r="G46" i="44"/>
  <c r="G13" i="44"/>
  <c r="G20" i="44"/>
  <c r="G58" i="44"/>
  <c r="I28" i="44"/>
  <c r="G49" i="44"/>
  <c r="G10" i="44"/>
  <c r="H50" i="44"/>
  <c r="I70" i="44"/>
  <c r="H16" i="44"/>
  <c r="I42" i="44"/>
  <c r="I32" i="44"/>
  <c r="H48" i="44"/>
  <c r="H62" i="44"/>
  <c r="H58" i="44"/>
  <c r="H60" i="44" s="1"/>
  <c r="F43" i="44"/>
  <c r="H34" i="44"/>
  <c r="I48" i="44"/>
  <c r="H51" i="44"/>
  <c r="H65" i="44"/>
  <c r="H25" i="44"/>
  <c r="H55" i="44"/>
  <c r="I58" i="44"/>
  <c r="H43" i="44"/>
  <c r="I34" i="44"/>
  <c r="H49" i="44"/>
  <c r="I51" i="44"/>
  <c r="H66" i="44"/>
  <c r="H13" i="44"/>
  <c r="H18" i="44"/>
  <c r="H44" i="44"/>
  <c r="H35" i="44"/>
  <c r="I49" i="44"/>
  <c r="H10" i="44"/>
  <c r="I66" i="44"/>
  <c r="I13" i="44"/>
  <c r="H19" i="44"/>
  <c r="I44" i="44"/>
  <c r="H46" i="44"/>
  <c r="H39" i="44"/>
  <c r="H40" i="44" s="1"/>
  <c r="I10" i="44"/>
  <c r="H68" i="44"/>
  <c r="H15" i="44"/>
  <c r="H20" i="44"/>
  <c r="H30" i="44"/>
  <c r="I46" i="44"/>
  <c r="H26" i="44"/>
  <c r="H11" i="44"/>
  <c r="I68" i="44"/>
  <c r="I15" i="44"/>
  <c r="I20" i="44"/>
  <c r="H31" i="44"/>
  <c r="H47" i="44"/>
  <c r="I26" i="44"/>
  <c r="H53" i="44"/>
  <c r="H69" i="44"/>
  <c r="F16" i="44"/>
  <c r="H42" i="44"/>
  <c r="H32" i="44"/>
  <c r="H23" i="44"/>
  <c r="H27" i="44"/>
  <c r="I53" i="44"/>
  <c r="H70" i="44"/>
  <c r="I62" i="44"/>
  <c r="I18" i="44"/>
  <c r="I27" i="44"/>
  <c r="I55" i="44"/>
  <c r="I25" i="44"/>
  <c r="F61" i="44"/>
  <c r="F63" i="44"/>
  <c r="F14" i="44"/>
  <c r="F59" i="44"/>
  <c r="F19" i="44"/>
  <c r="F41" i="44"/>
  <c r="F21" i="44"/>
  <c r="F31" i="44"/>
  <c r="F33" i="44"/>
  <c r="F35" i="44"/>
  <c r="F22" i="44"/>
  <c r="F23" i="44"/>
  <c r="F24" i="44"/>
  <c r="F39" i="44"/>
  <c r="F37" i="44"/>
  <c r="F50" i="44"/>
  <c r="F28" i="44"/>
  <c r="F11" i="44"/>
  <c r="F54" i="44"/>
  <c r="F65" i="44"/>
  <c r="F67" i="44"/>
  <c r="F69" i="44"/>
  <c r="F56" i="44"/>
  <c r="I30" i="44"/>
  <c r="I47" i="44"/>
  <c r="G61" i="44"/>
  <c r="G63" i="44"/>
  <c r="G14" i="44"/>
  <c r="G16" i="44"/>
  <c r="G59" i="44"/>
  <c r="G19" i="44"/>
  <c r="G41" i="44"/>
  <c r="G43" i="44"/>
  <c r="G21" i="44"/>
  <c r="G31" i="44"/>
  <c r="G33" i="44"/>
  <c r="G35" i="44"/>
  <c r="G22" i="44"/>
  <c r="G23" i="44"/>
  <c r="G24" i="44"/>
  <c r="G39" i="44"/>
  <c r="G40" i="44" s="1"/>
  <c r="G37" i="44"/>
  <c r="G38" i="44" s="1"/>
  <c r="G50" i="44"/>
  <c r="G28" i="44"/>
  <c r="G11" i="44"/>
  <c r="G54" i="44"/>
  <c r="G65" i="44"/>
  <c r="G67" i="44"/>
  <c r="G69" i="44"/>
  <c r="G56" i="44"/>
  <c r="H56" i="44"/>
  <c r="H61" i="44"/>
  <c r="H41" i="44"/>
  <c r="H22" i="44"/>
  <c r="H28" i="44"/>
  <c r="H67" i="44"/>
  <c r="I63" i="44"/>
  <c r="I14" i="44"/>
  <c r="I59" i="44"/>
  <c r="I21" i="44"/>
  <c r="I33" i="44"/>
  <c r="I24" i="44"/>
  <c r="I37" i="44"/>
  <c r="I38" i="44" s="1"/>
  <c r="I54" i="44"/>
  <c r="F62" i="44"/>
  <c r="F13" i="44"/>
  <c r="F15" i="44"/>
  <c r="F58" i="44"/>
  <c r="F18" i="44"/>
  <c r="F20" i="44"/>
  <c r="F42" i="44"/>
  <c r="F44" i="44"/>
  <c r="F30" i="44"/>
  <c r="F32" i="44"/>
  <c r="F34" i="44"/>
  <c r="F46" i="44"/>
  <c r="F47" i="44"/>
  <c r="F48" i="44"/>
  <c r="F49" i="44"/>
  <c r="F26" i="44"/>
  <c r="F27" i="44"/>
  <c r="F51" i="44"/>
  <c r="F10" i="44"/>
  <c r="F53" i="44"/>
  <c r="F55" i="44"/>
  <c r="F66" i="44"/>
  <c r="F68" i="44"/>
  <c r="F70" i="44"/>
  <c r="F25" i="44"/>
  <c r="J25" i="45"/>
  <c r="K25" i="45"/>
  <c r="H25" i="45"/>
  <c r="I25" i="45"/>
  <c r="M17" i="46"/>
  <c r="N16" i="46"/>
  <c r="O16" i="46" s="1"/>
  <c r="N15" i="46"/>
  <c r="O15" i="46" s="1"/>
  <c r="O12" i="46"/>
  <c r="G25" i="45"/>
  <c r="F45" i="44" l="1"/>
  <c r="G17" i="44"/>
  <c r="E72" i="44"/>
  <c r="F77" i="44" s="1"/>
  <c r="F17" i="44"/>
  <c r="G64" i="44"/>
  <c r="I57" i="44"/>
  <c r="I52" i="44"/>
  <c r="H29" i="44"/>
  <c r="H36" i="44"/>
  <c r="H17" i="44"/>
  <c r="F36" i="44"/>
  <c r="G45" i="44"/>
  <c r="I36" i="44"/>
  <c r="I17" i="44"/>
  <c r="H71" i="44"/>
  <c r="G60" i="44"/>
  <c r="G36" i="44"/>
  <c r="G71" i="44"/>
  <c r="F38" i="44"/>
  <c r="G29" i="44"/>
  <c r="F40" i="44"/>
  <c r="H12" i="44"/>
  <c r="I45" i="44"/>
  <c r="F29" i="44"/>
  <c r="H45" i="44"/>
  <c r="I29" i="44"/>
  <c r="I12" i="44"/>
  <c r="G52" i="44"/>
  <c r="I64" i="44"/>
  <c r="F57" i="44"/>
  <c r="F52" i="44"/>
  <c r="F60" i="44"/>
  <c r="H64" i="44"/>
  <c r="F71" i="44"/>
  <c r="I71" i="44"/>
  <c r="G57" i="44"/>
  <c r="F12" i="44"/>
  <c r="H57" i="44"/>
  <c r="H52" i="44"/>
  <c r="I60" i="44"/>
  <c r="G12" i="44"/>
  <c r="F64" i="44"/>
  <c r="N25" i="45"/>
  <c r="N26" i="45" s="1"/>
  <c r="N17" i="46"/>
  <c r="O17" i="46"/>
  <c r="E11" i="16" l="1"/>
  <c r="E18" i="16"/>
  <c r="E36" i="16"/>
  <c r="E35" i="16"/>
  <c r="E22" i="16"/>
  <c r="E17" i="16"/>
  <c r="E33" i="16"/>
  <c r="E14" i="16"/>
  <c r="E28" i="16"/>
  <c r="E21" i="16"/>
  <c r="E26" i="16"/>
  <c r="E29" i="16"/>
  <c r="E13" i="16"/>
  <c r="E30" i="16"/>
  <c r="E24" i="16"/>
  <c r="E10" i="16"/>
  <c r="E32" i="16"/>
  <c r="E25" i="16"/>
  <c r="E16" i="16"/>
  <c r="I72" i="44"/>
  <c r="G72" i="44"/>
  <c r="H72" i="44"/>
  <c r="F72" i="44"/>
  <c r="E19" i="16"/>
  <c r="F17" i="37"/>
  <c r="E47" i="16" s="1"/>
  <c r="E75" i="44" l="1"/>
  <c r="F75" i="44" s="1"/>
  <c r="H17" i="37"/>
  <c r="E49" i="16" s="1"/>
  <c r="G17" i="37"/>
  <c r="E17" i="37"/>
  <c r="K17" i="37" l="1"/>
  <c r="E48" i="16"/>
  <c r="H36" i="16" l="1"/>
  <c r="E14" i="18" l="1"/>
  <c r="G14" i="18" s="1"/>
  <c r="H14" i="18" s="1"/>
  <c r="F14" i="18" l="1"/>
  <c r="G15" i="18"/>
  <c r="G17" i="18"/>
  <c r="G18" i="18"/>
  <c r="G19" i="18"/>
  <c r="H19" i="18" s="1"/>
  <c r="D22" i="18"/>
  <c r="E20" i="18"/>
  <c r="E19" i="18"/>
  <c r="E18" i="18"/>
  <c r="E17" i="18"/>
  <c r="E16" i="18"/>
  <c r="G16" i="18" s="1"/>
  <c r="H16" i="18" s="1"/>
  <c r="E15" i="18"/>
  <c r="E13" i="18"/>
  <c r="F13" i="18" s="1"/>
  <c r="G13" i="18" l="1"/>
  <c r="G22" i="18" s="1"/>
  <c r="E22" i="18"/>
  <c r="H13" i="18" l="1"/>
  <c r="G37" i="18" l="1"/>
  <c r="I10" i="19" s="1"/>
  <c r="G28" i="19" s="1"/>
  <c r="F35" i="18"/>
  <c r="F39" i="18" s="1"/>
  <c r="H15" i="18"/>
  <c r="F16" i="18"/>
  <c r="F15" i="18"/>
  <c r="I14" i="19"/>
  <c r="G34" i="19" s="1"/>
  <c r="G38" i="18"/>
  <c r="F20" i="18"/>
  <c r="F19" i="18"/>
  <c r="H18" i="18"/>
  <c r="F18" i="18"/>
  <c r="H17" i="18"/>
  <c r="I15" i="19" l="1"/>
  <c r="E40" i="19" s="1"/>
  <c r="G33" i="18"/>
  <c r="G34" i="18"/>
  <c r="H22" i="18"/>
  <c r="I12" i="19" s="1"/>
  <c r="G21" i="19" s="1"/>
  <c r="G39" i="18"/>
  <c r="I9" i="19" s="1"/>
  <c r="I11" i="19" s="1"/>
  <c r="I18" i="19" s="1"/>
  <c r="E36" i="19" s="1"/>
  <c r="G42" i="19"/>
  <c r="E38" i="19"/>
  <c r="G44" i="19" l="1"/>
  <c r="I43" i="19" s="1"/>
  <c r="G36" i="19"/>
  <c r="E25" i="19"/>
  <c r="G19" i="19"/>
  <c r="I36" i="16"/>
  <c r="F17" i="18"/>
  <c r="F22" i="18" s="1"/>
  <c r="G43" i="16" l="1"/>
  <c r="G49" i="16"/>
  <c r="H49" i="16" s="1"/>
  <c r="I49" i="16" s="1"/>
  <c r="I13" i="19"/>
  <c r="G23" i="19" s="1"/>
  <c r="I22" i="19" s="1"/>
  <c r="I39" i="19" l="1"/>
  <c r="G25" i="19"/>
  <c r="I25" i="19" s="1"/>
  <c r="G39" i="19"/>
  <c r="G42" i="16" l="1"/>
  <c r="G48" i="16"/>
  <c r="G25" i="16"/>
  <c r="H25" i="16" s="1"/>
  <c r="I25" i="16" s="1"/>
  <c r="G35" i="16"/>
  <c r="H35" i="16" s="1"/>
  <c r="I35" i="16" s="1"/>
  <c r="G33" i="16"/>
  <c r="H33" i="16" s="1"/>
  <c r="I33" i="16" s="1"/>
  <c r="G29" i="16"/>
  <c r="H29" i="16" s="1"/>
  <c r="I29" i="16" s="1"/>
  <c r="G17" i="16"/>
  <c r="H17" i="16" s="1"/>
  <c r="I17" i="16" s="1"/>
  <c r="G22" i="16"/>
  <c r="H22" i="16" s="1"/>
  <c r="I22" i="16" s="1"/>
  <c r="G44" i="16"/>
  <c r="E28" i="19"/>
  <c r="I28" i="19" s="1"/>
  <c r="G32" i="19" s="1"/>
  <c r="I31" i="19" s="1"/>
  <c r="G14" i="16"/>
  <c r="G11" i="16"/>
  <c r="H11" i="16" s="1"/>
  <c r="I11" i="16" s="1"/>
  <c r="I35" i="19" l="1"/>
  <c r="E34" i="19"/>
  <c r="G13" i="16" l="1"/>
  <c r="G26" i="16"/>
  <c r="H26" i="16" s="1"/>
  <c r="I26" i="16" s="1"/>
  <c r="G32" i="16"/>
  <c r="H32" i="16" s="1"/>
  <c r="I32" i="16" s="1"/>
  <c r="G28" i="16"/>
  <c r="H28" i="16" s="1"/>
  <c r="I28" i="16" s="1"/>
  <c r="G16" i="16"/>
  <c r="H16" i="16" s="1"/>
  <c r="I16" i="16" s="1"/>
  <c r="G18" i="16"/>
  <c r="H18" i="16" s="1"/>
  <c r="I18" i="16" s="1"/>
  <c r="G30" i="16"/>
  <c r="H30" i="16" s="1"/>
  <c r="I30" i="16" s="1"/>
  <c r="G24" i="16"/>
  <c r="H24" i="16" s="1"/>
  <c r="I24" i="16" s="1"/>
  <c r="G47" i="16"/>
  <c r="G21" i="16"/>
  <c r="H21" i="16" s="1"/>
  <c r="I21" i="16" s="1"/>
  <c r="G19" i="16"/>
  <c r="H19" i="16" s="1"/>
  <c r="I19" i="16" s="1"/>
  <c r="G41" i="16"/>
  <c r="G10" i="16"/>
  <c r="H10" i="16" s="1"/>
  <c r="I10" i="16" s="1"/>
  <c r="H14" i="16" l="1"/>
  <c r="I14" i="16" s="1"/>
  <c r="H13" i="16"/>
  <c r="I13" i="16" s="1"/>
  <c r="H38" i="16" l="1"/>
  <c r="E38" i="16"/>
  <c r="I38" i="16" l="1"/>
  <c r="H48" i="16" l="1"/>
  <c r="I48" i="16" s="1"/>
  <c r="H47" i="16" l="1"/>
  <c r="I47" i="16" l="1"/>
  <c r="H43" i="16" l="1"/>
  <c r="I43" i="16" s="1"/>
  <c r="H44" i="16" l="1"/>
  <c r="I44" i="16" s="1"/>
  <c r="H42" i="16"/>
  <c r="I42" i="16" s="1"/>
  <c r="E51" i="16" l="1"/>
  <c r="I45" i="16"/>
  <c r="H45" i="16"/>
  <c r="H41" i="16"/>
  <c r="H51" i="16" l="1"/>
  <c r="L60" i="16" s="1"/>
  <c r="I41" i="16"/>
  <c r="I51" i="16" s="1"/>
  <c r="D15" i="47" l="1"/>
  <c r="D7" i="47"/>
  <c r="D8" i="47" s="1"/>
  <c r="D9" i="47" s="1"/>
  <c r="D23" i="47" l="1"/>
  <c r="C12" i="47"/>
  <c r="C13" i="47"/>
  <c r="H56" i="16" l="1"/>
  <c r="D24" i="47"/>
  <c r="D25" i="47" s="1"/>
  <c r="D29" i="47"/>
  <c r="H57" i="16"/>
  <c r="D13" i="47"/>
  <c r="C28" i="47"/>
  <c r="D28" i="47" s="1"/>
  <c r="D12" i="47"/>
  <c r="D30" i="47" l="1"/>
  <c r="D31" i="47" s="1"/>
  <c r="D14" i="47"/>
  <c r="D16" i="47" s="1"/>
  <c r="D17" i="47" s="1"/>
  <c r="H62" i="16"/>
  <c r="I62" i="16" s="1"/>
  <c r="L56" i="16"/>
  <c r="L57" i="16"/>
  <c r="H63" i="16"/>
  <c r="I63" i="16" s="1"/>
  <c r="L59" i="16" l="1"/>
  <c r="L61" i="16" s="1"/>
</calcChain>
</file>

<file path=xl/sharedStrings.xml><?xml version="1.0" encoding="utf-8"?>
<sst xmlns="http://schemas.openxmlformats.org/spreadsheetml/2006/main" count="408" uniqueCount="261">
  <si>
    <t>Table B</t>
  </si>
  <si>
    <t>TOTALS</t>
  </si>
  <si>
    <t>Total Operating Expenses</t>
  </si>
  <si>
    <t>Depreciation Expense</t>
  </si>
  <si>
    <t>Purchased Power</t>
  </si>
  <si>
    <t>DEBT SERVICE SCHDULE</t>
  </si>
  <si>
    <t>Principal</t>
  </si>
  <si>
    <t>Interest</t>
  </si>
  <si>
    <t>Totals</t>
  </si>
  <si>
    <t>Transportation Equipment</t>
  </si>
  <si>
    <t>Size</t>
  </si>
  <si>
    <t>Percent</t>
  </si>
  <si>
    <t>Office Furniture &amp; Equipment</t>
  </si>
  <si>
    <t>WHOLESALE RATE COMPUTATION</t>
  </si>
  <si>
    <t>Allocation</t>
  </si>
  <si>
    <t>Wholesale</t>
  </si>
  <si>
    <t>Total</t>
  </si>
  <si>
    <t>Factor</t>
  </si>
  <si>
    <t>Retail</t>
  </si>
  <si>
    <t>Trans./Distribution</t>
  </si>
  <si>
    <t>PTF</t>
  </si>
  <si>
    <t>Admin &amp; General</t>
  </si>
  <si>
    <t>UF</t>
  </si>
  <si>
    <t>Trans. / Distribution</t>
  </si>
  <si>
    <t>Customer</t>
  </si>
  <si>
    <t>Total Revenue Required</t>
  </si>
  <si>
    <t>Distribution</t>
  </si>
  <si>
    <t>Table C</t>
  </si>
  <si>
    <t>SYSTEM INFORMATION</t>
  </si>
  <si>
    <t>Schedule of All Mains and Jointly Used Mains</t>
  </si>
  <si>
    <t>Total System</t>
  </si>
  <si>
    <t>Joint Use</t>
  </si>
  <si>
    <t>Main</t>
  </si>
  <si>
    <t>Length</t>
  </si>
  <si>
    <t>Miles of</t>
  </si>
  <si>
    <t>Inch -</t>
  </si>
  <si>
    <t>(feet)</t>
  </si>
  <si>
    <t>Mains</t>
  </si>
  <si>
    <t>Miles</t>
  </si>
  <si>
    <t>Water Purchased, Sold and Used</t>
  </si>
  <si>
    <t>Gallons</t>
  </si>
  <si>
    <t>x 1,000</t>
  </si>
  <si>
    <t>Total Water Sold</t>
  </si>
  <si>
    <t>System Flushing</t>
  </si>
  <si>
    <t>Line Losses</t>
  </si>
  <si>
    <t>Table D</t>
  </si>
  <si>
    <t>WHOLESALE ALLOCATION FACTORS</t>
  </si>
  <si>
    <t>FACTOR</t>
  </si>
  <si>
    <t>Line Loss Percentage</t>
  </si>
  <si>
    <t>Joint Use Inch-miles</t>
  </si>
  <si>
    <t>Total Inch-Miles</t>
  </si>
  <si>
    <t>Water Sold - Wholesale</t>
  </si>
  <si>
    <t>Water Sold - Total</t>
  </si>
  <si>
    <t>Production Multiplier</t>
  </si>
  <si>
    <t>=</t>
  </si>
  <si>
    <t>-</t>
  </si>
  <si>
    <t>Joint Use Pipeline Ratio</t>
  </si>
  <si>
    <t>x</t>
  </si>
  <si>
    <t>Wholesale Production Multiplier</t>
  </si>
  <si>
    <t>-----------------</t>
  </si>
  <si>
    <t>Pipeline Transmission Factor</t>
  </si>
  <si>
    <t>Use Factor</t>
  </si>
  <si>
    <t>Water Production</t>
  </si>
  <si>
    <t>Water Produced</t>
  </si>
  <si>
    <t>Water Used at WTP</t>
  </si>
  <si>
    <t>Line Loss + Plant Use</t>
  </si>
  <si>
    <t>Plant Use Percentage</t>
  </si>
  <si>
    <t>Joint Share Line Loss + Plant Use</t>
  </si>
  <si>
    <t>+</t>
  </si>
  <si>
    <t>Water</t>
  </si>
  <si>
    <t>Treatment</t>
  </si>
  <si>
    <t>Debt Service &amp; Coverage</t>
  </si>
  <si>
    <t>Table E</t>
  </si>
  <si>
    <t>Table F</t>
  </si>
  <si>
    <t>Insurance</t>
  </si>
  <si>
    <t>Miscellaneous</t>
  </si>
  <si>
    <t>Operating Supplies</t>
  </si>
  <si>
    <t>Laboratory</t>
  </si>
  <si>
    <t>Use of Funds</t>
  </si>
  <si>
    <t>Coverage</t>
  </si>
  <si>
    <t>Debt Service</t>
  </si>
  <si>
    <t>ALLOCATION OF DEBT SERVICE</t>
  </si>
  <si>
    <t>Distribution Reservoirs</t>
  </si>
  <si>
    <t>Fire Hydrants</t>
  </si>
  <si>
    <t>Meters</t>
  </si>
  <si>
    <t>Tools &amp; Shop Equipment</t>
  </si>
  <si>
    <t>Transmission Mains</t>
  </si>
  <si>
    <t>Water Line Replacement</t>
  </si>
  <si>
    <t>Water Services</t>
  </si>
  <si>
    <t>6"</t>
  </si>
  <si>
    <t>8"</t>
  </si>
  <si>
    <t>12"</t>
  </si>
  <si>
    <t>16"</t>
  </si>
  <si>
    <t>20"</t>
  </si>
  <si>
    <t>10"</t>
  </si>
  <si>
    <t>4"</t>
  </si>
  <si>
    <t>General Expenses</t>
  </si>
  <si>
    <t>Production</t>
  </si>
  <si>
    <t>Transmission</t>
  </si>
  <si>
    <t>&amp; Distribution</t>
  </si>
  <si>
    <t>Accounts</t>
  </si>
  <si>
    <t>&amp; General</t>
  </si>
  <si>
    <t>Storage</t>
  </si>
  <si>
    <t>Tanks</t>
  </si>
  <si>
    <t xml:space="preserve">                 -------------------</t>
  </si>
  <si>
    <t xml:space="preserve"> ----------------</t>
  </si>
  <si>
    <t>Storage Tanks</t>
  </si>
  <si>
    <t>&amp; Coverage</t>
  </si>
  <si>
    <t>Water Production Factor</t>
  </si>
  <si>
    <t>WPF</t>
  </si>
  <si>
    <t>ALLOCATION OF DEPRECIATION EXPENSE</t>
  </si>
  <si>
    <t>Table G</t>
  </si>
  <si>
    <t>Allocation Factors</t>
  </si>
  <si>
    <t>Type</t>
  </si>
  <si>
    <t>Joint Share of Line Loss</t>
  </si>
  <si>
    <t>Pro Forma Totals</t>
  </si>
  <si>
    <t>July 1 2021 through June 30 2022</t>
  </si>
  <si>
    <t>Account ID</t>
  </si>
  <si>
    <t>Account Description</t>
  </si>
  <si>
    <t>Amount</t>
  </si>
  <si>
    <t>Administrative</t>
  </si>
  <si>
    <t>Water Treatment Equipment</t>
  </si>
  <si>
    <t>Source of Supply Intakes</t>
  </si>
  <si>
    <t>Plant Structures and Improvements</t>
  </si>
  <si>
    <t>Tank Painting</t>
  </si>
  <si>
    <t>Transmission &amp;</t>
  </si>
  <si>
    <t>General &amp;</t>
  </si>
  <si>
    <t>Administration</t>
  </si>
  <si>
    <t>FY 2023/2024 - 2027/2028</t>
  </si>
  <si>
    <t>FY 2023/2024</t>
  </si>
  <si>
    <t>FY 2024/2025</t>
  </si>
  <si>
    <t>FY 2025/2026</t>
  </si>
  <si>
    <t>FY 2026/2027</t>
  </si>
  <si>
    <t>FY 2027/2028</t>
  </si>
  <si>
    <t>&amp; Fees</t>
  </si>
  <si>
    <t>Average</t>
  </si>
  <si>
    <t>Annual</t>
  </si>
  <si>
    <t>Average Annual</t>
  </si>
  <si>
    <t>Issue</t>
  </si>
  <si>
    <t>Ratio of Joint Use pipes to all pipes in the system. (In-miles are used instead of miles to recognize additional first cost and maintenance for larger mains.)</t>
  </si>
  <si>
    <t>Allocation of line loss to Joint Use mains.</t>
  </si>
  <si>
    <t>Total percentage allocation of non-revenue water to Joint Use.</t>
  </si>
  <si>
    <t>Water produced for wholesale customers divided by total water produced.  (Percentage of all water produced that is for wholesale water sales.)</t>
  </si>
  <si>
    <t>Portion of Joint Use pipes allocated to wholesale customers.</t>
  </si>
  <si>
    <t>Allocation for tank expenses and sometimes other costs where water losses and transmission system issues don't apply.</t>
  </si>
  <si>
    <t>Water System Operating Expenses from Trial Balance</t>
  </si>
  <si>
    <t>Category</t>
  </si>
  <si>
    <t>City of Lancaster Kentucky Water System</t>
  </si>
  <si>
    <t>Cross Foot</t>
  </si>
  <si>
    <t>Check Total</t>
  </si>
  <si>
    <t>Check Total to Auditor</t>
  </si>
  <si>
    <t>Check Total Across</t>
  </si>
  <si>
    <t>From Audit</t>
  </si>
  <si>
    <t>Water Plant</t>
  </si>
  <si>
    <t>Project</t>
  </si>
  <si>
    <t>Water Plant Project</t>
  </si>
  <si>
    <t>Structures and Improvements</t>
  </si>
  <si>
    <t>Source of Supply</t>
  </si>
  <si>
    <t>Booster Pump Station</t>
  </si>
  <si>
    <t>KIA F18-017</t>
  </si>
  <si>
    <t>RD 91-08</t>
  </si>
  <si>
    <t>KLOC KBC W75/S25</t>
  </si>
  <si>
    <t>Chemicals Total</t>
  </si>
  <si>
    <t>Employee Benefits Total</t>
  </si>
  <si>
    <t>General Expenses Total</t>
  </si>
  <si>
    <t>Insurance Total</t>
  </si>
  <si>
    <t>Kentucky River Fee Total</t>
  </si>
  <si>
    <t>Laboratory Total</t>
  </si>
  <si>
    <t>Maintenance Contracts Total</t>
  </si>
  <si>
    <t>Miscellaneous Total</t>
  </si>
  <si>
    <t>Operating Supplies Total</t>
  </si>
  <si>
    <t>Purchased Power Total</t>
  </si>
  <si>
    <t>Salaries and Wages Total</t>
  </si>
  <si>
    <t>Transportation Total</t>
  </si>
  <si>
    <t>Grand Total</t>
  </si>
  <si>
    <t>Salaries and Wages</t>
  </si>
  <si>
    <t xml:space="preserve">Employee Benefits </t>
  </si>
  <si>
    <t>Maintenance Contracts</t>
  </si>
  <si>
    <t>Chemicals</t>
  </si>
  <si>
    <t>Kentucky River Fee</t>
  </si>
  <si>
    <t>Transportation</t>
  </si>
  <si>
    <t>RD 93-10</t>
  </si>
  <si>
    <t>RD 91-14</t>
  </si>
  <si>
    <t>Water Treatment</t>
  </si>
  <si>
    <t>Transmission &amp; Distribution</t>
  </si>
  <si>
    <t>Standford Road</t>
  </si>
  <si>
    <t>Fall Lick Road</t>
  </si>
  <si>
    <t>Danville Road</t>
  </si>
  <si>
    <t>Buckeye Road</t>
  </si>
  <si>
    <t>Lexington Road</t>
  </si>
  <si>
    <t>Richmond Road</t>
  </si>
  <si>
    <t>Merriwood Road</t>
  </si>
  <si>
    <t xml:space="preserve">  *</t>
  </si>
  <si>
    <t>**</t>
  </si>
  <si>
    <t>** Joint Use lengths computed from maps.</t>
  </si>
  <si>
    <t xml:space="preserve">* Sizes unknown, assumed as all 6 inch.  System length based upon </t>
  </si>
  <si>
    <t xml:space="preserve">  2012 measurements plus 1.5 miles addition.</t>
  </si>
  <si>
    <t>Water Used at Plant</t>
  </si>
  <si>
    <t>July 2021</t>
  </si>
  <si>
    <t>August 2021</t>
  </si>
  <si>
    <t>September 2021</t>
  </si>
  <si>
    <t>October 2021</t>
  </si>
  <si>
    <t>November 2021</t>
  </si>
  <si>
    <t>December 2021</t>
  </si>
  <si>
    <t>January 2022</t>
  </si>
  <si>
    <t>February 2022</t>
  </si>
  <si>
    <t>March 2022</t>
  </si>
  <si>
    <t>April 2022</t>
  </si>
  <si>
    <t>May 2022</t>
  </si>
  <si>
    <t>June 2022</t>
  </si>
  <si>
    <t>Garrard County</t>
  </si>
  <si>
    <t>Crab Orchard</t>
  </si>
  <si>
    <t>Factor to determine quantity that must be produced to service all sales. (For each gal sold, 1.2773 gals must be produced)</t>
  </si>
  <si>
    <t>Factor to determine quantity that must be produced to service wholesale sales.  For each gal sold to wholesale customers, 1.0638 gals must be produced.</t>
  </si>
  <si>
    <t>------</t>
  </si>
  <si>
    <t>---------------</t>
  </si>
  <si>
    <t>-----</t>
  </si>
  <si>
    <t>Wholesale Gallons Sold Minimum Purchase Amount (x 1,000)</t>
  </si>
  <si>
    <t>Wholesale Gallons Sold Above Minimum Purchase Amount (x 1,000)</t>
  </si>
  <si>
    <t xml:space="preserve">   Wholesale Sales to Garrard CWD</t>
  </si>
  <si>
    <t xml:space="preserve">   Retail Sales and Crab Orchard</t>
  </si>
  <si>
    <t>Retail Sales</t>
  </si>
  <si>
    <t>Current Wholesale Rate for Minimum Purchase</t>
  </si>
  <si>
    <t>Current Wholesale Rate above  Minimum Purchase</t>
  </si>
  <si>
    <t>Computed Wholesale Rate for Minimum Purchase</t>
  </si>
  <si>
    <t>Computed Wholesale Rate above Minimum Purchase</t>
  </si>
  <si>
    <t>Increase for Minimum Purchase</t>
  </si>
  <si>
    <t>Increase above Minimum Purchase</t>
  </si>
  <si>
    <t>Thousand Gallons</t>
  </si>
  <si>
    <t>Rate</t>
  </si>
  <si>
    <t>Revenue</t>
  </si>
  <si>
    <t>Total Current Revenue</t>
  </si>
  <si>
    <t>Minimum Purchase</t>
  </si>
  <si>
    <t>Above Minimum</t>
  </si>
  <si>
    <t>Revenue Required</t>
  </si>
  <si>
    <t>Difference</t>
  </si>
  <si>
    <t>Current</t>
  </si>
  <si>
    <t>Proposed</t>
  </si>
  <si>
    <t>Total Proposed Revenue</t>
  </si>
  <si>
    <t>Garrard County Water District</t>
  </si>
  <si>
    <t>Table A</t>
  </si>
  <si>
    <t>Adjustment</t>
  </si>
  <si>
    <t>Operating Expenses by Category</t>
  </si>
  <si>
    <t>July 1 2021 through June 30 2022, Adjusted</t>
  </si>
  <si>
    <t>Monthly Bill Comparison</t>
  </si>
  <si>
    <t>Total Annual Consumption</t>
  </si>
  <si>
    <t>Months</t>
  </si>
  <si>
    <t>Average Monthly Consumption</t>
  </si>
  <si>
    <t>Total Minimum Consumption</t>
  </si>
  <si>
    <t>Average Consumption Above Minimum</t>
  </si>
  <si>
    <t>Current Rate</t>
  </si>
  <si>
    <t>2024 Rate</t>
  </si>
  <si>
    <t>2025 Rate</t>
  </si>
  <si>
    <t>2026 Rate</t>
  </si>
  <si>
    <t>Average Consumption at Minimum</t>
  </si>
  <si>
    <t>Average Monthly Bill at Minimum</t>
  </si>
  <si>
    <t>Average Monthly Bill Above Minimum</t>
  </si>
  <si>
    <t>Average Monthly Bill Total</t>
  </si>
  <si>
    <t>Average Annual Bill Total</t>
  </si>
  <si>
    <t>Average Monthly Bill Difference Amount</t>
  </si>
  <si>
    <t>Average Monthly Bill Difference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</si>
</sst>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"/>
    <numFmt numFmtId="167" formatCode="0.0%"/>
    <numFmt numFmtId="168" formatCode="_(* #,##0.0_);_(* \(#,##0.0\);_(* &quot;-&quot;??_);_(@_)"/>
    <numFmt numFmtId="169" formatCode="#,##0.0000"/>
    <numFmt numFmtId="170" formatCode="_(* #,##0.0000_);_(* \(#,##0.0000\);_(* &quot;-&quot;??_);_(@_)"/>
  </numFmts>
  <fonts count="30" x14ac:knownFonts="1">
    <font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6"/>
      <color rgb="FFFF0000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u/>
      <sz val="11"/>
      <name val="Calibri"/>
      <family val="2"/>
    </font>
    <font>
      <b/>
      <sz val="12"/>
      <name val="Calibri"/>
      <family val="2"/>
    </font>
    <font>
      <b/>
      <sz val="11"/>
      <color indexed="12"/>
      <name val="Calibri"/>
      <family val="2"/>
    </font>
    <font>
      <i/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u/>
      <sz val="11"/>
      <name val="Calibri"/>
      <family val="2"/>
    </font>
    <font>
      <sz val="11"/>
      <color theme="0" tint="-4.9989318521683403E-2"/>
      <name val="Calibri"/>
      <family val="2"/>
    </font>
    <font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4" fillId="0" borderId="0">
      <alignment horizontal="left"/>
    </xf>
    <xf numFmtId="0" fontId="24" fillId="0" borderId="0">
      <alignment horizontal="left"/>
    </xf>
    <xf numFmtId="40" fontId="24" fillId="0" borderId="0">
      <alignment horizontal="right"/>
    </xf>
    <xf numFmtId="0" fontId="24" fillId="0" borderId="0">
      <protection locked="0"/>
    </xf>
    <xf numFmtId="40" fontId="25" fillId="0" borderId="0">
      <alignment horizontal="left"/>
    </xf>
    <xf numFmtId="40" fontId="25" fillId="0" borderId="0">
      <alignment horizontal="left"/>
    </xf>
    <xf numFmtId="40" fontId="25" fillId="0" borderId="15">
      <alignment horizontal="right"/>
    </xf>
    <xf numFmtId="0" fontId="25" fillId="0" borderId="0">
      <alignment horizontal="right"/>
      <protection locked="0"/>
    </xf>
    <xf numFmtId="40" fontId="26" fillId="2" borderId="0">
      <alignment horizontal="left"/>
    </xf>
    <xf numFmtId="40" fontId="26" fillId="2" borderId="0">
      <alignment horizontal="left"/>
    </xf>
  </cellStyleXfs>
  <cellXfs count="287">
    <xf numFmtId="0" fontId="0" fillId="0" borderId="0" xfId="0"/>
    <xf numFmtId="3" fontId="1" fillId="0" borderId="0" xfId="0" applyNumberFormat="1" applyFont="1" applyAlignment="1">
      <alignment horizontal="centerContinuous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4" fillId="0" borderId="0" xfId="0" applyFont="1"/>
    <xf numFmtId="0" fontId="4" fillId="0" borderId="5" xfId="0" applyFont="1" applyBorder="1"/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3" fontId="4" fillId="0" borderId="0" xfId="0" applyNumberFormat="1" applyFont="1"/>
    <xf numFmtId="0" fontId="8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3" fontId="4" fillId="0" borderId="9" xfId="0" applyNumberFormat="1" applyFont="1" applyBorder="1"/>
    <xf numFmtId="3" fontId="3" fillId="0" borderId="0" xfId="0" applyNumberFormat="1" applyFont="1"/>
    <xf numFmtId="0" fontId="4" fillId="0" borderId="10" xfId="0" applyFont="1" applyBorder="1"/>
    <xf numFmtId="3" fontId="4" fillId="0" borderId="3" xfId="0" applyNumberFormat="1" applyFont="1" applyBorder="1"/>
    <xf numFmtId="3" fontId="4" fillId="0" borderId="11" xfId="0" applyNumberFormat="1" applyFont="1" applyBorder="1"/>
    <xf numFmtId="167" fontId="4" fillId="0" borderId="0" xfId="0" applyNumberFormat="1" applyFont="1"/>
    <xf numFmtId="10" fontId="4" fillId="0" borderId="0" xfId="3" applyNumberFormat="1" applyFont="1" applyBorder="1"/>
    <xf numFmtId="165" fontId="4" fillId="0" borderId="0" xfId="1" applyNumberFormat="1" applyFont="1" applyBorder="1" applyAlignment="1"/>
    <xf numFmtId="164" fontId="4" fillId="0" borderId="0" xfId="2" applyNumberFormat="1" applyFont="1" applyBorder="1"/>
    <xf numFmtId="0" fontId="3" fillId="0" borderId="3" xfId="0" applyFont="1" applyBorder="1"/>
    <xf numFmtId="164" fontId="3" fillId="0" borderId="3" xfId="2" applyNumberFormat="1" applyFont="1" applyBorder="1"/>
    <xf numFmtId="165" fontId="4" fillId="0" borderId="0" xfId="1" applyNumberFormat="1" applyFont="1"/>
    <xf numFmtId="167" fontId="4" fillId="0" borderId="0" xfId="3" applyNumberFormat="1" applyFont="1"/>
    <xf numFmtId="165" fontId="4" fillId="0" borderId="0" xfId="1" applyNumberFormat="1" applyFont="1" applyBorder="1"/>
    <xf numFmtId="0" fontId="9" fillId="0" borderId="0" xfId="0" applyFont="1" applyAlignment="1">
      <alignment horizontal="right"/>
    </xf>
    <xf numFmtId="3" fontId="3" fillId="0" borderId="0" xfId="0" applyNumberFormat="1" applyFont="1" applyAlignment="1">
      <alignment horizontal="center" vertical="center"/>
    </xf>
    <xf numFmtId="164" fontId="4" fillId="0" borderId="0" xfId="0" applyNumberFormat="1" applyFont="1"/>
    <xf numFmtId="170" fontId="4" fillId="0" borderId="0" xfId="1" applyNumberFormat="1" applyFont="1" applyBorder="1"/>
    <xf numFmtId="170" fontId="4" fillId="0" borderId="0" xfId="1" applyNumberFormat="1" applyFont="1" applyBorder="1" applyAlignment="1"/>
    <xf numFmtId="0" fontId="4" fillId="0" borderId="9" xfId="0" applyFont="1" applyBorder="1" applyAlignment="1">
      <alignment horizontal="centerContinuous"/>
    </xf>
    <xf numFmtId="0" fontId="8" fillId="0" borderId="9" xfId="0" applyFont="1" applyBorder="1" applyAlignment="1">
      <alignment horizontal="center"/>
    </xf>
    <xf numFmtId="165" fontId="4" fillId="0" borderId="9" xfId="1" applyNumberFormat="1" applyFont="1" applyBorder="1" applyAlignment="1"/>
    <xf numFmtId="4" fontId="4" fillId="0" borderId="9" xfId="0" applyNumberFormat="1" applyFont="1" applyBorder="1"/>
    <xf numFmtId="0" fontId="4" fillId="0" borderId="3" xfId="0" applyFont="1" applyBorder="1"/>
    <xf numFmtId="0" fontId="10" fillId="0" borderId="0" xfId="0" applyFont="1"/>
    <xf numFmtId="3" fontId="12" fillId="0" borderId="0" xfId="0" applyNumberFormat="1" applyFont="1"/>
    <xf numFmtId="164" fontId="4" fillId="0" borderId="0" xfId="2" applyNumberFormat="1" applyFont="1" applyBorder="1" applyAlignment="1"/>
    <xf numFmtId="0" fontId="4" fillId="0" borderId="0" xfId="0" applyFont="1" applyAlignment="1">
      <alignment horizontal="center"/>
    </xf>
    <xf numFmtId="0" fontId="14" fillId="0" borderId="0" xfId="0" applyFont="1"/>
    <xf numFmtId="43" fontId="14" fillId="0" borderId="0" xfId="0" applyNumberFormat="1" applyFont="1"/>
    <xf numFmtId="0" fontId="15" fillId="0" borderId="0" xfId="0" applyFont="1" applyAlignment="1">
      <alignment horizontal="right"/>
    </xf>
    <xf numFmtId="0" fontId="15" fillId="0" borderId="0" xfId="0" applyFont="1"/>
    <xf numFmtId="165" fontId="14" fillId="0" borderId="0" xfId="1" applyNumberFormat="1" applyFont="1"/>
    <xf numFmtId="165" fontId="4" fillId="0" borderId="3" xfId="1" applyNumberFormat="1" applyFont="1" applyBorder="1" applyAlignment="1"/>
    <xf numFmtId="165" fontId="4" fillId="0" borderId="0" xfId="4" applyNumberFormat="1" applyFont="1"/>
    <xf numFmtId="165" fontId="4" fillId="0" borderId="6" xfId="4" applyNumberFormat="1" applyFont="1" applyBorder="1"/>
    <xf numFmtId="165" fontId="4" fillId="0" borderId="7" xfId="4" applyNumberFormat="1" applyFont="1" applyBorder="1"/>
    <xf numFmtId="165" fontId="4" fillId="0" borderId="8" xfId="4" applyNumberFormat="1" applyFont="1" applyBorder="1"/>
    <xf numFmtId="165" fontId="7" fillId="0" borderId="5" xfId="4" applyNumberFormat="1" applyFont="1" applyBorder="1" applyAlignment="1">
      <alignment horizontal="centerContinuous"/>
    </xf>
    <xf numFmtId="165" fontId="3" fillId="0" borderId="0" xfId="4" applyNumberFormat="1" applyFont="1" applyAlignment="1">
      <alignment horizontal="centerContinuous"/>
    </xf>
    <xf numFmtId="165" fontId="4" fillId="0" borderId="9" xfId="4" applyNumberFormat="1" applyFont="1" applyBorder="1"/>
    <xf numFmtId="165" fontId="6" fillId="0" borderId="5" xfId="4" applyNumberFormat="1" applyFont="1" applyBorder="1" applyAlignment="1">
      <alignment horizontal="centerContinuous"/>
    </xf>
    <xf numFmtId="165" fontId="11" fillId="0" borderId="0" xfId="4" applyNumberFormat="1" applyFont="1" applyAlignment="1">
      <alignment horizontal="centerContinuous"/>
    </xf>
    <xf numFmtId="165" fontId="12" fillId="0" borderId="5" xfId="4" applyNumberFormat="1" applyFont="1" applyBorder="1" applyAlignment="1">
      <alignment horizontal="centerContinuous"/>
    </xf>
    <xf numFmtId="165" fontId="4" fillId="0" borderId="0" xfId="4" applyNumberFormat="1" applyFont="1" applyAlignment="1">
      <alignment horizontal="centerContinuous"/>
    </xf>
    <xf numFmtId="165" fontId="4" fillId="0" borderId="5" xfId="4" applyNumberFormat="1" applyFont="1" applyBorder="1" applyAlignment="1">
      <alignment horizontal="centerContinuous"/>
    </xf>
    <xf numFmtId="165" fontId="4" fillId="0" borderId="12" xfId="4" applyNumberFormat="1" applyFont="1" applyBorder="1" applyAlignment="1">
      <alignment horizontal="left"/>
    </xf>
    <xf numFmtId="165" fontId="4" fillId="0" borderId="6" xfId="4" applyNumberFormat="1" applyFont="1" applyBorder="1" applyAlignment="1">
      <alignment horizontal="left"/>
    </xf>
    <xf numFmtId="165" fontId="4" fillId="0" borderId="7" xfId="4" applyNumberFormat="1" applyFont="1" applyBorder="1" applyAlignment="1">
      <alignment horizontal="left"/>
    </xf>
    <xf numFmtId="165" fontId="4" fillId="0" borderId="8" xfId="4" applyNumberFormat="1" applyFont="1" applyBorder="1" applyAlignment="1">
      <alignment horizontal="left"/>
    </xf>
    <xf numFmtId="165" fontId="4" fillId="0" borderId="14" xfId="4" applyNumberFormat="1" applyFont="1" applyBorder="1"/>
    <xf numFmtId="165" fontId="5" fillId="0" borderId="9" xfId="4" applyNumberFormat="1" applyFont="1" applyBorder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5" fontId="3" fillId="0" borderId="9" xfId="4" applyNumberFormat="1" applyFont="1" applyBorder="1" applyAlignment="1">
      <alignment horizontal="center" vertical="center"/>
    </xf>
    <xf numFmtId="165" fontId="3" fillId="0" borderId="0" xfId="4" applyNumberFormat="1" applyFont="1" applyAlignment="1">
      <alignment horizontal="center" vertical="center"/>
    </xf>
    <xf numFmtId="165" fontId="5" fillId="0" borderId="0" xfId="4" applyNumberFormat="1" applyFont="1" applyBorder="1" applyAlignment="1">
      <alignment horizontal="center" vertical="center"/>
    </xf>
    <xf numFmtId="165" fontId="4" fillId="0" borderId="0" xfId="4" quotePrefix="1" applyNumberFormat="1" applyFont="1" applyBorder="1" applyAlignment="1">
      <alignment horizontal="center"/>
    </xf>
    <xf numFmtId="165" fontId="4" fillId="0" borderId="14" xfId="4" applyNumberFormat="1" applyFont="1" applyBorder="1" applyAlignment="1">
      <alignment horizontal="left"/>
    </xf>
    <xf numFmtId="165" fontId="4" fillId="0" borderId="5" xfId="4" applyNumberFormat="1" applyFont="1" applyBorder="1" applyAlignment="1">
      <alignment horizontal="center"/>
    </xf>
    <xf numFmtId="165" fontId="4" fillId="0" borderId="0" xfId="4" applyNumberFormat="1" applyFont="1" applyAlignment="1">
      <alignment horizontal="center"/>
    </xf>
    <xf numFmtId="165" fontId="4" fillId="0" borderId="9" xfId="4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65" fontId="3" fillId="0" borderId="5" xfId="4" applyNumberFormat="1" applyFont="1" applyBorder="1" applyAlignment="1">
      <alignment horizontal="center"/>
    </xf>
    <xf numFmtId="165" fontId="3" fillId="0" borderId="5" xfId="4" quotePrefix="1" applyNumberFormat="1" applyFont="1" applyBorder="1" applyAlignment="1">
      <alignment horizontal="left"/>
    </xf>
    <xf numFmtId="165" fontId="3" fillId="0" borderId="9" xfId="4" quotePrefix="1" applyNumberFormat="1" applyFont="1" applyBorder="1" applyAlignment="1">
      <alignment horizontal="left"/>
    </xf>
    <xf numFmtId="165" fontId="3" fillId="0" borderId="0" xfId="4" quotePrefix="1" applyNumberFormat="1" applyFont="1" applyBorder="1" applyAlignment="1">
      <alignment horizontal="left"/>
    </xf>
    <xf numFmtId="165" fontId="3" fillId="0" borderId="13" xfId="4" applyNumberFormat="1" applyFont="1" applyBorder="1" applyAlignment="1">
      <alignment horizontal="right"/>
    </xf>
    <xf numFmtId="165" fontId="3" fillId="0" borderId="10" xfId="4" applyNumberFormat="1" applyFont="1" applyBorder="1" applyAlignment="1">
      <alignment horizontal="right"/>
    </xf>
    <xf numFmtId="165" fontId="3" fillId="0" borderId="3" xfId="4" applyNumberFormat="1" applyFont="1" applyBorder="1" applyAlignment="1">
      <alignment horizontal="right"/>
    </xf>
    <xf numFmtId="165" fontId="3" fillId="0" borderId="11" xfId="4" applyNumberFormat="1" applyFont="1" applyBorder="1" applyAlignment="1">
      <alignment horizontal="right"/>
    </xf>
    <xf numFmtId="165" fontId="4" fillId="0" borderId="11" xfId="4" applyNumberFormat="1" applyFont="1" applyBorder="1"/>
    <xf numFmtId="165" fontId="4" fillId="0" borderId="10" xfId="4" applyNumberFormat="1" applyFont="1" applyBorder="1" applyAlignment="1">
      <alignment horizontal="center"/>
    </xf>
    <xf numFmtId="165" fontId="4" fillId="0" borderId="3" xfId="4" applyNumberFormat="1" applyFont="1" applyBorder="1" applyAlignment="1">
      <alignment horizontal="center"/>
    </xf>
    <xf numFmtId="165" fontId="3" fillId="0" borderId="0" xfId="4" applyNumberFormat="1" applyFont="1" applyAlignment="1">
      <alignment horizontal="center"/>
    </xf>
    <xf numFmtId="165" fontId="4" fillId="0" borderId="3" xfId="4" quotePrefix="1" applyNumberFormat="1" applyFont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4" fillId="0" borderId="11" xfId="1" applyNumberFormat="1" applyFont="1" applyBorder="1" applyAlignment="1"/>
    <xf numFmtId="165" fontId="4" fillId="0" borderId="0" xfId="4" applyNumberFormat="1" applyFont="1" applyAlignment="1">
      <alignment horizontal="center" vertical="center"/>
    </xf>
    <xf numFmtId="165" fontId="4" fillId="0" borderId="0" xfId="4" applyNumberFormat="1" applyFont="1" applyBorder="1" applyAlignment="1">
      <alignment horizontal="center" vertical="center"/>
    </xf>
    <xf numFmtId="165" fontId="4" fillId="0" borderId="9" xfId="4" applyNumberFormat="1" applyFont="1" applyBorder="1" applyAlignment="1">
      <alignment horizontal="center" vertical="center"/>
    </xf>
    <xf numFmtId="0" fontId="14" fillId="0" borderId="6" xfId="0" applyFont="1" applyBorder="1"/>
    <xf numFmtId="3" fontId="16" fillId="0" borderId="8" xfId="0" applyNumberFormat="1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0" fontId="17" fillId="0" borderId="0" xfId="0" applyFont="1"/>
    <xf numFmtId="0" fontId="14" fillId="0" borderId="5" xfId="0" applyFont="1" applyBorder="1"/>
    <xf numFmtId="0" fontId="14" fillId="0" borderId="9" xfId="0" applyFont="1" applyBorder="1"/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Continuous"/>
    </xf>
    <xf numFmtId="3" fontId="21" fillId="0" borderId="0" xfId="0" applyNumberFormat="1" applyFont="1" applyAlignment="1">
      <alignment horizontal="centerContinuous" vertical="center"/>
    </xf>
    <xf numFmtId="0" fontId="15" fillId="0" borderId="0" xfId="0" applyFont="1" applyAlignment="1">
      <alignment horizontal="centerContinuous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0" fontId="14" fillId="0" borderId="0" xfId="1" applyNumberFormat="1" applyFont="1" applyBorder="1" applyAlignment="1">
      <alignment vertical="center"/>
    </xf>
    <xf numFmtId="43" fontId="14" fillId="0" borderId="0" xfId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14" fillId="0" borderId="0" xfId="0" applyNumberFormat="1" applyFont="1" applyAlignment="1">
      <alignment horizontal="left" vertical="center"/>
    </xf>
    <xf numFmtId="169" fontId="14" fillId="0" borderId="0" xfId="0" applyNumberFormat="1" applyFont="1" applyAlignment="1">
      <alignment horizontal="center" vertical="center"/>
    </xf>
    <xf numFmtId="169" fontId="14" fillId="0" borderId="0" xfId="0" applyNumberFormat="1" applyFont="1" applyAlignment="1">
      <alignment vertical="center"/>
    </xf>
    <xf numFmtId="169" fontId="14" fillId="0" borderId="0" xfId="0" applyNumberFormat="1" applyFont="1" applyAlignment="1">
      <alignment horizontal="left" vertical="center"/>
    </xf>
    <xf numFmtId="170" fontId="22" fillId="0" borderId="0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170" fontId="15" fillId="0" borderId="0" xfId="1" applyNumberFormat="1" applyFont="1" applyBorder="1" applyAlignment="1">
      <alignment vertical="center"/>
    </xf>
    <xf numFmtId="0" fontId="14" fillId="0" borderId="0" xfId="0" applyFont="1" applyAlignment="1">
      <alignment horizontal="center"/>
    </xf>
    <xf numFmtId="170" fontId="14" fillId="0" borderId="0" xfId="1" applyNumberFormat="1" applyFont="1" applyBorder="1" applyAlignment="1"/>
    <xf numFmtId="0" fontId="14" fillId="0" borderId="10" xfId="0" applyFont="1" applyBorder="1"/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4" fillId="0" borderId="11" xfId="0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wrapText="1"/>
    </xf>
    <xf numFmtId="0" fontId="23" fillId="0" borderId="3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65" fontId="4" fillId="0" borderId="0" xfId="1" applyNumberFormat="1" applyFont="1" applyFill="1" applyBorder="1" applyAlignment="1"/>
    <xf numFmtId="0" fontId="8" fillId="0" borderId="0" xfId="0" applyFont="1" applyAlignment="1">
      <alignment horizontal="right"/>
    </xf>
    <xf numFmtId="164" fontId="4" fillId="0" borderId="0" xfId="2" applyNumberFormat="1" applyFont="1" applyFill="1" applyBorder="1" applyAlignment="1"/>
    <xf numFmtId="3" fontId="1" fillId="0" borderId="5" xfId="0" applyNumberFormat="1" applyFont="1" applyBorder="1" applyAlignment="1">
      <alignment horizontal="centerContinuous" vertical="center"/>
    </xf>
    <xf numFmtId="43" fontId="14" fillId="0" borderId="0" xfId="1" applyFont="1"/>
    <xf numFmtId="43" fontId="14" fillId="0" borderId="3" xfId="1" applyFont="1" applyBorder="1"/>
    <xf numFmtId="9" fontId="14" fillId="0" borderId="0" xfId="3" applyFont="1" applyAlignment="1">
      <alignment horizontal="right"/>
    </xf>
    <xf numFmtId="9" fontId="15" fillId="0" borderId="0" xfId="3" applyFont="1" applyAlignment="1">
      <alignment horizontal="right"/>
    </xf>
    <xf numFmtId="0" fontId="14" fillId="0" borderId="0" xfId="6" quotePrefix="1" applyFont="1">
      <alignment horizontal="left"/>
    </xf>
    <xf numFmtId="43" fontId="15" fillId="0" borderId="0" xfId="1" applyFont="1" applyAlignment="1">
      <alignment horizontal="right"/>
    </xf>
    <xf numFmtId="43" fontId="14" fillId="0" borderId="0" xfId="1" quotePrefix="1" applyFont="1" applyAlignment="1">
      <alignment horizontal="left"/>
    </xf>
    <xf numFmtId="43" fontId="14" fillId="0" borderId="3" xfId="1" quotePrefix="1" applyFont="1" applyBorder="1" applyAlignment="1">
      <alignment horizontal="left"/>
    </xf>
    <xf numFmtId="9" fontId="14" fillId="0" borderId="0" xfId="3" quotePrefix="1" applyFont="1" applyFill="1" applyAlignment="1">
      <alignment horizontal="right"/>
    </xf>
    <xf numFmtId="9" fontId="14" fillId="0" borderId="0" xfId="3" applyFont="1" applyFill="1" applyAlignment="1">
      <alignment horizontal="right"/>
    </xf>
    <xf numFmtId="43" fontId="14" fillId="0" borderId="0" xfId="0" applyNumberFormat="1" applyFont="1" applyAlignment="1">
      <alignment horizontal="right"/>
    </xf>
    <xf numFmtId="43" fontId="15" fillId="0" borderId="0" xfId="1" applyFont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9" fillId="0" borderId="0" xfId="0" applyFont="1"/>
    <xf numFmtId="3" fontId="3" fillId="0" borderId="5" xfId="0" applyNumberFormat="1" applyFont="1" applyBorder="1"/>
    <xf numFmtId="3" fontId="4" fillId="0" borderId="10" xfId="0" applyNumberFormat="1" applyFont="1" applyBorder="1"/>
    <xf numFmtId="165" fontId="3" fillId="0" borderId="9" xfId="1" applyNumberFormat="1" applyFont="1" applyBorder="1" applyAlignment="1"/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5" fontId="4" fillId="0" borderId="5" xfId="4" applyNumberFormat="1" applyFont="1" applyBorder="1" applyAlignment="1">
      <alignment horizontal="center" vertical="center"/>
    </xf>
    <xf numFmtId="165" fontId="4" fillId="0" borderId="10" xfId="4" quotePrefix="1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4" fillId="0" borderId="9" xfId="4" quotePrefix="1" applyNumberFormat="1" applyFont="1" applyBorder="1" applyAlignment="1">
      <alignment horizontal="center"/>
    </xf>
    <xf numFmtId="165" fontId="4" fillId="0" borderId="5" xfId="1" applyNumberFormat="1" applyFont="1" applyBorder="1" applyAlignment="1"/>
    <xf numFmtId="165" fontId="4" fillId="0" borderId="11" xfId="4" quotePrefix="1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0" xfId="1" applyNumberFormat="1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43" fontId="14" fillId="0" borderId="0" xfId="1" applyFont="1" applyAlignment="1">
      <alignment horizontal="center"/>
    </xf>
    <xf numFmtId="3" fontId="4" fillId="0" borderId="0" xfId="0" applyNumberFormat="1" applyFont="1" applyAlignment="1">
      <alignment horizontal="right"/>
    </xf>
    <xf numFmtId="43" fontId="14" fillId="0" borderId="0" xfId="1" applyFont="1" applyBorder="1"/>
    <xf numFmtId="43" fontId="14" fillId="0" borderId="0" xfId="1" quotePrefix="1" applyFont="1" applyBorder="1" applyAlignment="1">
      <alignment horizontal="left"/>
    </xf>
    <xf numFmtId="165" fontId="4" fillId="0" borderId="0" xfId="1" applyNumberFormat="1" applyFont="1" applyFill="1" applyBorder="1" applyAlignment="1">
      <alignment horizontal="center"/>
    </xf>
    <xf numFmtId="165" fontId="4" fillId="0" borderId="0" xfId="1" applyNumberFormat="1" applyFont="1" applyFill="1"/>
    <xf numFmtId="165" fontId="4" fillId="0" borderId="3" xfId="1" applyNumberFormat="1" applyFont="1" applyFill="1" applyBorder="1" applyAlignment="1"/>
    <xf numFmtId="165" fontId="4" fillId="0" borderId="3" xfId="0" applyNumberFormat="1" applyFont="1" applyBorder="1"/>
    <xf numFmtId="43" fontId="14" fillId="0" borderId="0" xfId="1" quotePrefix="1" applyFont="1" applyAlignment="1">
      <alignment horizontal="right"/>
    </xf>
    <xf numFmtId="43" fontId="14" fillId="0" borderId="0" xfId="1" applyFont="1" applyAlignment="1">
      <alignment horizontal="right"/>
    </xf>
    <xf numFmtId="40" fontId="14" fillId="0" borderId="0" xfId="6" quotePrefix="1" applyNumberFormat="1" applyFont="1">
      <alignment horizontal="left"/>
    </xf>
    <xf numFmtId="0" fontId="14" fillId="0" borderId="0" xfId="0" quotePrefix="1" applyFont="1"/>
    <xf numFmtId="17" fontId="14" fillId="0" borderId="0" xfId="0" quotePrefix="1" applyNumberFormat="1" applyFont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5" xfId="0" applyFont="1" applyBorder="1"/>
    <xf numFmtId="0" fontId="17" fillId="0" borderId="9" xfId="0" applyFont="1" applyBorder="1"/>
    <xf numFmtId="0" fontId="14" fillId="0" borderId="0" xfId="0" applyFont="1" applyAlignment="1">
      <alignment horizontal="centerContinuous"/>
    </xf>
    <xf numFmtId="0" fontId="14" fillId="0" borderId="1" xfId="0" applyFont="1" applyBorder="1"/>
    <xf numFmtId="3" fontId="14" fillId="0" borderId="0" xfId="0" applyNumberFormat="1" applyFont="1"/>
    <xf numFmtId="0" fontId="14" fillId="0" borderId="2" xfId="0" applyFont="1" applyBorder="1" applyAlignment="1">
      <alignment horizontal="centerContinuous"/>
    </xf>
    <xf numFmtId="0" fontId="27" fillId="0" borderId="0" xfId="0" quotePrefix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43" fontId="14" fillId="0" borderId="0" xfId="1" quotePrefix="1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165" fontId="14" fillId="0" borderId="0" xfId="1" applyNumberFormat="1" applyFont="1" applyFill="1" applyBorder="1" applyAlignment="1"/>
    <xf numFmtId="43" fontId="14" fillId="0" borderId="0" xfId="1" applyFont="1" applyBorder="1" applyAlignment="1"/>
    <xf numFmtId="43" fontId="14" fillId="0" borderId="2" xfId="0" applyNumberFormat="1" applyFont="1" applyBorder="1" applyAlignment="1">
      <alignment horizontal="center"/>
    </xf>
    <xf numFmtId="3" fontId="14" fillId="0" borderId="0" xfId="0" applyNumberFormat="1" applyFont="1" applyAlignment="1">
      <alignment horizontal="center"/>
    </xf>
    <xf numFmtId="43" fontId="14" fillId="0" borderId="0" xfId="1" applyFont="1" applyFill="1"/>
    <xf numFmtId="43" fontId="14" fillId="0" borderId="0" xfId="1" applyFont="1" applyFill="1" applyBorder="1"/>
    <xf numFmtId="168" fontId="14" fillId="0" borderId="2" xfId="1" applyNumberFormat="1" applyFont="1" applyBorder="1"/>
    <xf numFmtId="165" fontId="14" fillId="0" borderId="0" xfId="1" applyNumberFormat="1" applyFont="1" applyBorder="1" applyAlignment="1"/>
    <xf numFmtId="168" fontId="14" fillId="0" borderId="0" xfId="1" applyNumberFormat="1" applyFont="1" applyBorder="1" applyAlignment="1"/>
    <xf numFmtId="10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0" fontId="17" fillId="0" borderId="10" xfId="0" applyFont="1" applyBorder="1"/>
    <xf numFmtId="166" fontId="14" fillId="0" borderId="3" xfId="0" applyNumberFormat="1" applyFont="1" applyBorder="1"/>
    <xf numFmtId="0" fontId="17" fillId="0" borderId="11" xfId="0" applyFont="1" applyBorder="1"/>
    <xf numFmtId="165" fontId="15" fillId="0" borderId="0" xfId="1" applyNumberFormat="1" applyFont="1" applyFill="1" applyBorder="1" applyAlignment="1"/>
    <xf numFmtId="43" fontId="15" fillId="0" borderId="0" xfId="1" applyFont="1" applyFill="1" applyBorder="1" applyAlignment="1"/>
    <xf numFmtId="43" fontId="15" fillId="0" borderId="0" xfId="0" applyNumberFormat="1" applyFont="1" applyAlignment="1">
      <alignment horizontal="center"/>
    </xf>
    <xf numFmtId="165" fontId="14" fillId="0" borderId="3" xfId="1" applyNumberFormat="1" applyFont="1" applyBorder="1"/>
    <xf numFmtId="43" fontId="15" fillId="0" borderId="0" xfId="1" applyFont="1" applyFill="1" applyBorder="1" applyAlignment="1">
      <alignment horizontal="right"/>
    </xf>
    <xf numFmtId="165" fontId="17" fillId="0" borderId="0" xfId="1" applyNumberFormat="1" applyFont="1"/>
    <xf numFmtId="165" fontId="17" fillId="0" borderId="3" xfId="1" applyNumberFormat="1" applyFont="1" applyBorder="1"/>
    <xf numFmtId="165" fontId="14" fillId="0" borderId="0" xfId="1" applyNumberFormat="1" applyFont="1" applyBorder="1" applyAlignment="1">
      <alignment vertical="center"/>
    </xf>
    <xf numFmtId="3" fontId="20" fillId="0" borderId="0" xfId="0" applyNumberFormat="1" applyFont="1" applyAlignment="1">
      <alignment horizontal="centerContinuous"/>
    </xf>
    <xf numFmtId="3" fontId="15" fillId="0" borderId="0" xfId="0" applyNumberFormat="1" applyFont="1" applyAlignment="1">
      <alignment horizontal="centerContinuous"/>
    </xf>
    <xf numFmtId="3" fontId="14" fillId="0" borderId="0" xfId="0" applyNumberFormat="1" applyFont="1" applyAlignment="1">
      <alignment horizontal="left" vertical="center"/>
    </xf>
    <xf numFmtId="3" fontId="14" fillId="0" borderId="0" xfId="0" applyNumberFormat="1" applyFont="1" applyAlignment="1">
      <alignment horizontal="center" vertical="center"/>
    </xf>
    <xf numFmtId="3" fontId="14" fillId="0" borderId="3" xfId="0" applyNumberFormat="1" applyFont="1" applyBorder="1"/>
    <xf numFmtId="3" fontId="17" fillId="0" borderId="0" xfId="0" applyNumberFormat="1" applyFont="1"/>
    <xf numFmtId="3" fontId="14" fillId="0" borderId="0" xfId="0" quotePrefix="1" applyNumberFormat="1" applyFont="1"/>
    <xf numFmtId="44" fontId="13" fillId="0" borderId="0" xfId="2" applyFont="1" applyBorder="1" applyAlignment="1"/>
    <xf numFmtId="0" fontId="0" fillId="0" borderId="9" xfId="0" applyBorder="1"/>
    <xf numFmtId="3" fontId="14" fillId="0" borderId="3" xfId="0" applyNumberFormat="1" applyFont="1" applyBorder="1" applyAlignment="1">
      <alignment vertical="center"/>
    </xf>
    <xf numFmtId="170" fontId="17" fillId="0" borderId="0" xfId="1" applyNumberFormat="1" applyFont="1" applyAlignment="1">
      <alignment horizontal="left"/>
    </xf>
    <xf numFmtId="170" fontId="14" fillId="0" borderId="0" xfId="1" applyNumberFormat="1" applyFont="1" applyAlignment="1">
      <alignment horizontal="left"/>
    </xf>
    <xf numFmtId="170" fontId="14" fillId="0" borderId="0" xfId="1" applyNumberFormat="1" applyFont="1" applyFill="1" applyAlignment="1">
      <alignment horizontal="left"/>
    </xf>
    <xf numFmtId="170" fontId="21" fillId="0" borderId="0" xfId="1" applyNumberFormat="1" applyFont="1" applyAlignment="1">
      <alignment horizontal="right"/>
    </xf>
    <xf numFmtId="165" fontId="17" fillId="0" borderId="0" xfId="1" applyNumberFormat="1" applyFont="1" applyAlignment="1">
      <alignment horizontal="left"/>
    </xf>
    <xf numFmtId="170" fontId="17" fillId="0" borderId="3" xfId="1" applyNumberFormat="1" applyFont="1" applyBorder="1" applyAlignment="1">
      <alignment horizontal="left"/>
    </xf>
    <xf numFmtId="44" fontId="10" fillId="0" borderId="0" xfId="2" applyFont="1" applyBorder="1" applyAlignment="1"/>
    <xf numFmtId="165" fontId="14" fillId="0" borderId="3" xfId="0" applyNumberFormat="1" applyFont="1" applyBorder="1"/>
    <xf numFmtId="4" fontId="4" fillId="0" borderId="3" xfId="0" applyNumberFormat="1" applyFont="1" applyBorder="1"/>
    <xf numFmtId="0" fontId="15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15" fillId="0" borderId="5" xfId="0" applyFont="1" applyBorder="1"/>
    <xf numFmtId="0" fontId="15" fillId="0" borderId="0" xfId="0" applyFont="1" applyAlignment="1">
      <alignment horizontal="right" indent="1"/>
    </xf>
    <xf numFmtId="0" fontId="15" fillId="0" borderId="9" xfId="0" applyFont="1" applyBorder="1" applyAlignment="1">
      <alignment horizontal="right"/>
    </xf>
    <xf numFmtId="165" fontId="14" fillId="0" borderId="0" xfId="1" applyNumberFormat="1" applyFont="1" applyBorder="1"/>
    <xf numFmtId="44" fontId="14" fillId="0" borderId="0" xfId="0" applyNumberFormat="1" applyFont="1"/>
    <xf numFmtId="44" fontId="14" fillId="0" borderId="9" xfId="2" applyFont="1" applyBorder="1"/>
    <xf numFmtId="44" fontId="14" fillId="0" borderId="11" xfId="2" applyFont="1" applyBorder="1"/>
    <xf numFmtId="0" fontId="14" fillId="0" borderId="5" xfId="0" applyFont="1" applyBorder="1" applyAlignment="1">
      <alignment wrapText="1"/>
    </xf>
    <xf numFmtId="165" fontId="14" fillId="0" borderId="0" xfId="0" applyNumberFormat="1" applyFont="1"/>
    <xf numFmtId="44" fontId="14" fillId="0" borderId="9" xfId="0" applyNumberFormat="1" applyFont="1" applyBorder="1"/>
    <xf numFmtId="10" fontId="14" fillId="0" borderId="9" xfId="3" applyNumberFormat="1" applyFont="1" applyBorder="1"/>
    <xf numFmtId="10" fontId="14" fillId="0" borderId="11" xfId="3" applyNumberFormat="1" applyFont="1" applyBorder="1"/>
    <xf numFmtId="3" fontId="8" fillId="0" borderId="0" xfId="0" applyNumberFormat="1" applyFont="1" applyAlignment="1">
      <alignment horizontal="center"/>
    </xf>
    <xf numFmtId="0" fontId="28" fillId="0" borderId="0" xfId="0" applyFont="1"/>
    <xf numFmtId="43" fontId="14" fillId="0" borderId="7" xfId="1" applyFont="1" applyBorder="1"/>
    <xf numFmtId="43" fontId="14" fillId="0" borderId="0" xfId="1" applyFont="1" applyBorder="1" applyAlignment="1">
      <alignment horizontal="left"/>
    </xf>
    <xf numFmtId="43" fontId="15" fillId="0" borderId="0" xfId="1" applyFont="1" applyBorder="1" applyAlignment="1">
      <alignment horizontal="right"/>
    </xf>
    <xf numFmtId="0" fontId="15" fillId="0" borderId="0" xfId="1" applyNumberFormat="1" applyFont="1" applyAlignment="1">
      <alignment horizontal="right"/>
    </xf>
    <xf numFmtId="43" fontId="14" fillId="0" borderId="3" xfId="1" quotePrefix="1" applyFont="1" applyBorder="1" applyAlignment="1">
      <alignment horizontal="right"/>
    </xf>
    <xf numFmtId="40" fontId="14" fillId="0" borderId="0" xfId="11" quotePrefix="1" applyFont="1">
      <alignment horizontal="left"/>
    </xf>
    <xf numFmtId="0" fontId="14" fillId="0" borderId="0" xfId="7" quotePrefix="1" applyFont="1">
      <alignment horizontal="left"/>
    </xf>
    <xf numFmtId="40" fontId="15" fillId="0" borderId="0" xfId="11" quotePrefix="1" applyFont="1">
      <alignment horizontal="left"/>
    </xf>
    <xf numFmtId="0" fontId="29" fillId="0" borderId="0" xfId="0" applyFont="1"/>
    <xf numFmtId="43" fontId="29" fillId="0" borderId="0" xfId="1" applyFont="1" applyBorder="1"/>
    <xf numFmtId="43" fontId="17" fillId="0" borderId="0" xfId="0" applyNumberFormat="1" applyFont="1"/>
    <xf numFmtId="10" fontId="3" fillId="0" borderId="0" xfId="3" applyNumberFormat="1" applyFont="1"/>
    <xf numFmtId="0" fontId="14" fillId="0" borderId="0" xfId="0" applyFont="1" applyAlignment="1">
      <alignment horizontal="right"/>
    </xf>
    <xf numFmtId="44" fontId="14" fillId="0" borderId="0" xfId="2" applyFont="1"/>
    <xf numFmtId="10" fontId="14" fillId="0" borderId="0" xfId="3" applyNumberFormat="1" applyFont="1"/>
    <xf numFmtId="10" fontId="14" fillId="0" borderId="0" xfId="0" applyNumberFormat="1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5" fontId="3" fillId="0" borderId="10" xfId="4" applyNumberFormat="1" applyFont="1" applyBorder="1" applyAlignment="1">
      <alignment horizontal="center" vertical="center"/>
    </xf>
    <xf numFmtId="165" fontId="3" fillId="0" borderId="11" xfId="4" applyNumberFormat="1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6" fillId="0" borderId="7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6">
    <cellStyle name="AccountDetailRowBalanceCol" xfId="8" xr:uid="{1B41C269-7DF0-4D91-BD4F-F8625637CEC1}"/>
    <cellStyle name="AccountDetailRowDescCol" xfId="7" xr:uid="{71FDBEB8-04D5-4E2B-9D0E-E000C7ABCBF9}"/>
    <cellStyle name="AccountDetailRowNameCol" xfId="6" xr:uid="{6C3C3FDB-8733-4F4B-8E83-4A2CFF1FB1D3}"/>
    <cellStyle name="AccountDetailRowSpacerCol" xfId="9" xr:uid="{802D0E53-67CC-4569-8627-6FE54915A221}"/>
    <cellStyle name="Comma" xfId="1" builtinId="3"/>
    <cellStyle name="Comma 2" xfId="4" xr:uid="{C7F7EE13-2743-4215-A128-6460504B592A}"/>
    <cellStyle name="Currency" xfId="2" builtinId="4"/>
    <cellStyle name="Currency 2" xfId="5" xr:uid="{6B24F497-2B46-4348-B228-7FDE38B0B2E4}"/>
    <cellStyle name="Normal" xfId="0" builtinId="0"/>
    <cellStyle name="Percent" xfId="3" builtinId="5"/>
    <cellStyle name="SubgroupSectionHeaderRowDescCol" xfId="15" xr:uid="{FCA72F39-AEF8-471E-8EB3-DE8D2326C5AB}"/>
    <cellStyle name="SubgroupSectionHeaderRowNameCol" xfId="14" xr:uid="{5306DC1D-052A-4941-89FC-E8028AA78F0A}"/>
    <cellStyle name="SubgroupSubtotalRowBalanceCol" xfId="12" xr:uid="{16AAEA84-F57B-4480-9022-2388C14604BA}"/>
    <cellStyle name="SubgroupSubtotalRowDescCol" xfId="11" xr:uid="{5E4CA6D8-F83E-4B7A-933A-DFA4309EC05F}"/>
    <cellStyle name="SubgroupSubtotalRowNameCol" xfId="10" xr:uid="{AF5E9CE9-4E8F-40E7-97D0-FA9EFE6940B5}"/>
    <cellStyle name="SubgroupSubtotalRowSpacerCol" xfId="13" xr:uid="{43B704A5-4632-47EC-BDCC-4D3BE57CDE6B}"/>
  </cellStyles>
  <dxfs count="0"/>
  <tableStyles count="0" defaultTableStyle="TableStyleMedium9" defaultPivotStyle="PivotStyleLight16"/>
  <colors>
    <mruColors>
      <color rgb="FFFFFFCC"/>
      <color rgb="FFFFFF99"/>
      <color rgb="FFCCFFCC"/>
      <color rgb="FFFF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620783bd5d64abe/City%20of%20Lancaster/Trial%20Balance%20for%20Expense%20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 "/>
      <sheetName val="Matrix"/>
    </sheetNames>
    <sheetDataSet>
      <sheetData sheetId="0">
        <row r="7">
          <cell r="A7" t="str">
            <v>200-6010.20</v>
          </cell>
          <cell r="B7" t="str">
            <v>Salaries/Wages Plant</v>
          </cell>
          <cell r="C7">
            <v>187674.83</v>
          </cell>
          <cell r="D7">
            <v>27325.170000000013</v>
          </cell>
          <cell r="K7" t="str">
            <v>Salaries and Wages</v>
          </cell>
        </row>
        <row r="8">
          <cell r="A8" t="str">
            <v>200-6010.40</v>
          </cell>
          <cell r="B8" t="str">
            <v>Salaries/Wages Distribution</v>
          </cell>
          <cell r="C8">
            <v>96437.48</v>
          </cell>
          <cell r="D8">
            <v>48562.520000000004</v>
          </cell>
          <cell r="K8" t="str">
            <v>Salaries and Wages</v>
          </cell>
        </row>
        <row r="9">
          <cell r="A9" t="str">
            <v>200-6010.50</v>
          </cell>
          <cell r="B9" t="str">
            <v>Salaries Admin</v>
          </cell>
          <cell r="C9">
            <v>63528.4</v>
          </cell>
          <cell r="D9">
            <v>36471.599999999999</v>
          </cell>
          <cell r="K9" t="str">
            <v>Salaries and Wages</v>
          </cell>
        </row>
        <row r="10">
          <cell r="A10" t="str">
            <v>200-6040.10</v>
          </cell>
          <cell r="B10" t="str">
            <v>Empl Benef/Pension Raw Wa</v>
          </cell>
          <cell r="C10">
            <v>0</v>
          </cell>
          <cell r="D10">
            <v>10000</v>
          </cell>
          <cell r="K10" t="str">
            <v>Employee Benefits</v>
          </cell>
        </row>
        <row r="11">
          <cell r="A11" t="str">
            <v>200-6040.20</v>
          </cell>
          <cell r="B11" t="str">
            <v>Empl Benef/Pension Plan</v>
          </cell>
          <cell r="C11">
            <v>188999.83</v>
          </cell>
          <cell r="D11">
            <v>-53999.829999999987</v>
          </cell>
          <cell r="K11" t="str">
            <v>Employee Benefits</v>
          </cell>
        </row>
        <row r="12">
          <cell r="A12" t="str">
            <v>200-6040.40</v>
          </cell>
          <cell r="B12" t="str">
            <v>Empl Benef/Pension Dist</v>
          </cell>
          <cell r="C12">
            <v>48761.29</v>
          </cell>
          <cell r="D12">
            <v>3238.7099999999991</v>
          </cell>
          <cell r="K12" t="str">
            <v>Employee Benefits</v>
          </cell>
        </row>
        <row r="13">
          <cell r="A13" t="str">
            <v>200-6040.50</v>
          </cell>
          <cell r="B13" t="str">
            <v>Empl Benef/Pension Admin</v>
          </cell>
          <cell r="C13">
            <v>39640.11</v>
          </cell>
          <cell r="D13">
            <v>10359.89</v>
          </cell>
          <cell r="K13" t="str">
            <v>Employee Benefits</v>
          </cell>
        </row>
        <row r="14">
          <cell r="A14" t="str">
            <v>200-6150.10</v>
          </cell>
          <cell r="B14" t="str">
            <v>Utilities Raw Water</v>
          </cell>
          <cell r="C14">
            <v>216982.41</v>
          </cell>
          <cell r="D14">
            <v>28017.589999999997</v>
          </cell>
          <cell r="K14" t="str">
            <v>Purchased Power</v>
          </cell>
        </row>
        <row r="15">
          <cell r="A15" t="str">
            <v>200-6150.20</v>
          </cell>
          <cell r="B15" t="str">
            <v>Utilities Plant</v>
          </cell>
          <cell r="C15">
            <v>127253.07</v>
          </cell>
          <cell r="D15">
            <v>-7253.070000000007</v>
          </cell>
          <cell r="K15" t="str">
            <v>Purchased Power</v>
          </cell>
        </row>
        <row r="16">
          <cell r="A16" t="str">
            <v>200-6200.50</v>
          </cell>
          <cell r="B16" t="str">
            <v>Audit-Admin</v>
          </cell>
          <cell r="C16">
            <v>4850</v>
          </cell>
          <cell r="D16">
            <v>-1850</v>
          </cell>
          <cell r="K16" t="str">
            <v>General Expenses</v>
          </cell>
        </row>
        <row r="17">
          <cell r="A17" t="str">
            <v>200-6210.50</v>
          </cell>
          <cell r="B17" t="str">
            <v>Miscellaneous-Admin</v>
          </cell>
          <cell r="C17">
            <v>9824.15</v>
          </cell>
          <cell r="D17">
            <v>-9824.15</v>
          </cell>
          <cell r="K17" t="str">
            <v>General Expenses</v>
          </cell>
        </row>
        <row r="18">
          <cell r="A18" t="str">
            <v>200-6320.50</v>
          </cell>
          <cell r="B18" t="str">
            <v>Accounting Office Supplies</v>
          </cell>
          <cell r="C18">
            <v>0</v>
          </cell>
          <cell r="D18">
            <v>0</v>
          </cell>
          <cell r="K18" t="str">
            <v>General Expenses</v>
          </cell>
        </row>
        <row r="19">
          <cell r="A19" t="str">
            <v>200-6340.10</v>
          </cell>
          <cell r="B19" t="str">
            <v>Services-Raw Water</v>
          </cell>
          <cell r="C19">
            <v>9853.6</v>
          </cell>
          <cell r="D19">
            <v>1146.3999999999996</v>
          </cell>
          <cell r="K19" t="str">
            <v>Maintenance Contracts</v>
          </cell>
        </row>
        <row r="20">
          <cell r="A20" t="str">
            <v>200-6340.20</v>
          </cell>
          <cell r="B20" t="str">
            <v>Services-Treatment Plant</v>
          </cell>
          <cell r="C20">
            <v>17328.419999999998</v>
          </cell>
          <cell r="D20">
            <v>15671.580000000002</v>
          </cell>
          <cell r="K20" t="str">
            <v>Maintenance Contracts</v>
          </cell>
        </row>
        <row r="21">
          <cell r="A21" t="str">
            <v>200-6340.30</v>
          </cell>
          <cell r="B21" t="str">
            <v>Services-Storage</v>
          </cell>
          <cell r="C21">
            <v>39548.14</v>
          </cell>
          <cell r="D21">
            <v>3451.8600000000006</v>
          </cell>
          <cell r="K21" t="str">
            <v>Maintenance Contracts</v>
          </cell>
        </row>
        <row r="22">
          <cell r="A22" t="str">
            <v>200-6340.40</v>
          </cell>
          <cell r="B22" t="str">
            <v>Contract Services-Dist</v>
          </cell>
          <cell r="C22">
            <v>3885</v>
          </cell>
          <cell r="D22">
            <v>2115</v>
          </cell>
          <cell r="K22" t="str">
            <v>Maintenance Contracts</v>
          </cell>
        </row>
        <row r="23">
          <cell r="A23" t="str">
            <v>200-6340.50</v>
          </cell>
          <cell r="B23" t="str">
            <v>Services-Other Admin</v>
          </cell>
          <cell r="C23">
            <v>16529.84</v>
          </cell>
          <cell r="D23">
            <v>-8029.84</v>
          </cell>
          <cell r="K23" t="str">
            <v>General Expenses</v>
          </cell>
        </row>
        <row r="24">
          <cell r="A24" t="str">
            <v>200-6560.10</v>
          </cell>
          <cell r="B24" t="str">
            <v>Insurance</v>
          </cell>
          <cell r="C24">
            <v>50038.93</v>
          </cell>
          <cell r="D24">
            <v>4961.07</v>
          </cell>
          <cell r="K24" t="str">
            <v>Insurance</v>
          </cell>
        </row>
        <row r="25">
          <cell r="A25" t="str">
            <v>200-6560.20</v>
          </cell>
          <cell r="B25" t="str">
            <v>Insurance Plant</v>
          </cell>
          <cell r="C25">
            <v>0</v>
          </cell>
          <cell r="D25">
            <v>0</v>
          </cell>
          <cell r="K25" t="str">
            <v>Insurance</v>
          </cell>
        </row>
        <row r="26">
          <cell r="A26" t="str">
            <v>200-6560.40</v>
          </cell>
          <cell r="B26" t="str">
            <v>Insurance Vehicle/Equip Dist</v>
          </cell>
          <cell r="C26">
            <v>0</v>
          </cell>
          <cell r="D26">
            <v>0</v>
          </cell>
          <cell r="K26" t="str">
            <v>Insurance</v>
          </cell>
        </row>
        <row r="27">
          <cell r="A27" t="str">
            <v>200-6565.30</v>
          </cell>
          <cell r="B27" t="str">
            <v>Insurance Water Towers</v>
          </cell>
          <cell r="C27">
            <v>0</v>
          </cell>
          <cell r="D27">
            <v>0</v>
          </cell>
          <cell r="K27" t="str">
            <v>Insurance</v>
          </cell>
        </row>
        <row r="28">
          <cell r="A28" t="str">
            <v>200-6570.00</v>
          </cell>
          <cell r="B28" t="str">
            <v>Liability Insurance</v>
          </cell>
          <cell r="C28">
            <v>0</v>
          </cell>
          <cell r="D28">
            <v>0</v>
          </cell>
          <cell r="K28" t="str">
            <v>Insurance</v>
          </cell>
        </row>
        <row r="29">
          <cell r="A29" t="str">
            <v>200-6580.00</v>
          </cell>
          <cell r="B29" t="str">
            <v>Workmans Comp</v>
          </cell>
          <cell r="C29">
            <v>5483.71</v>
          </cell>
          <cell r="D29">
            <v>4516.29</v>
          </cell>
          <cell r="K29" t="str">
            <v>Insurance</v>
          </cell>
        </row>
        <row r="30">
          <cell r="A30" t="str">
            <v>200-6600.20</v>
          </cell>
          <cell r="B30" t="str">
            <v>Advertising Plant</v>
          </cell>
          <cell r="C30">
            <v>0</v>
          </cell>
          <cell r="D30">
            <v>0</v>
          </cell>
          <cell r="K30" t="str">
            <v>Miscellaneous</v>
          </cell>
        </row>
        <row r="31">
          <cell r="A31" t="str">
            <v>200-6600.50</v>
          </cell>
          <cell r="B31" t="str">
            <v>Advertising Admin</v>
          </cell>
          <cell r="C31">
            <v>0</v>
          </cell>
          <cell r="D31">
            <v>0</v>
          </cell>
          <cell r="K31" t="str">
            <v>General Expenses</v>
          </cell>
        </row>
        <row r="32">
          <cell r="A32" t="str">
            <v>200-6720.10</v>
          </cell>
          <cell r="B32" t="str">
            <v>Telephone Raw Water</v>
          </cell>
          <cell r="C32">
            <v>79.53</v>
          </cell>
          <cell r="D32">
            <v>-79.53</v>
          </cell>
          <cell r="K32" t="str">
            <v>Miscellaneous</v>
          </cell>
        </row>
        <row r="33">
          <cell r="A33" t="str">
            <v>200-6720.20</v>
          </cell>
          <cell r="B33" t="str">
            <v>Telephone</v>
          </cell>
          <cell r="C33">
            <v>5074.2</v>
          </cell>
          <cell r="D33">
            <v>-74.199999999999818</v>
          </cell>
          <cell r="K33" t="str">
            <v>General Expenses</v>
          </cell>
        </row>
        <row r="34">
          <cell r="A34" t="str">
            <v>200-6720.40</v>
          </cell>
          <cell r="B34" t="str">
            <v>Telephone Dist</v>
          </cell>
          <cell r="C34">
            <v>0</v>
          </cell>
          <cell r="D34">
            <v>0</v>
          </cell>
          <cell r="K34" t="str">
            <v>Miscellaneous</v>
          </cell>
        </row>
        <row r="35">
          <cell r="A35" t="str">
            <v>200-6720.50</v>
          </cell>
          <cell r="B35" t="str">
            <v>Telephone Admin</v>
          </cell>
          <cell r="C35">
            <v>0</v>
          </cell>
          <cell r="D35">
            <v>0</v>
          </cell>
          <cell r="K35" t="str">
            <v>General Expenses</v>
          </cell>
        </row>
        <row r="36">
          <cell r="A36" t="str">
            <v>200-6740.50</v>
          </cell>
          <cell r="B36" t="str">
            <v>New Water Plant</v>
          </cell>
          <cell r="C36">
            <v>0</v>
          </cell>
          <cell r="D36">
            <v>0</v>
          </cell>
          <cell r="K36" t="str">
            <v>Miscellaneous</v>
          </cell>
        </row>
        <row r="37">
          <cell r="A37" t="str">
            <v>200-6760.20</v>
          </cell>
          <cell r="B37" t="str">
            <v>Lab Analysis Plant</v>
          </cell>
          <cell r="C37">
            <v>12067</v>
          </cell>
          <cell r="D37">
            <v>-67</v>
          </cell>
          <cell r="K37" t="str">
            <v>Laboratory</v>
          </cell>
        </row>
        <row r="38">
          <cell r="A38" t="str">
            <v>200-6800.50</v>
          </cell>
          <cell r="B38" t="str">
            <v>Dues/Subscriptions Admin</v>
          </cell>
          <cell r="C38">
            <v>561.79999999999995</v>
          </cell>
          <cell r="D38">
            <v>938.2</v>
          </cell>
          <cell r="K38" t="str">
            <v>General Expenses</v>
          </cell>
        </row>
        <row r="39">
          <cell r="A39" t="str">
            <v>200-6820.10</v>
          </cell>
          <cell r="B39" t="str">
            <v>Kentucky River Fee Raw Water</v>
          </cell>
          <cell r="C39">
            <v>160392.26999999999</v>
          </cell>
          <cell r="K39" t="str">
            <v>Kentucky River Fee</v>
          </cell>
        </row>
        <row r="40">
          <cell r="A40" t="str">
            <v>200-6840.10</v>
          </cell>
          <cell r="B40" t="str">
            <v>Roof Repair/City Hall</v>
          </cell>
          <cell r="C40">
            <v>0</v>
          </cell>
          <cell r="D40">
            <v>0</v>
          </cell>
          <cell r="K40" t="str">
            <v>General Expenses</v>
          </cell>
        </row>
        <row r="41">
          <cell r="A41" t="str">
            <v>200-6950.20</v>
          </cell>
          <cell r="B41" t="str">
            <v>Contingency Plant</v>
          </cell>
          <cell r="C41">
            <v>0</v>
          </cell>
          <cell r="D41">
            <v>0</v>
          </cell>
          <cell r="K41" t="str">
            <v>Miscellaneous</v>
          </cell>
        </row>
        <row r="42">
          <cell r="A42" t="str">
            <v>200-6982.00</v>
          </cell>
          <cell r="B42" t="str">
            <v>Water Short Lived Asset</v>
          </cell>
          <cell r="C42">
            <v>0</v>
          </cell>
          <cell r="D42">
            <v>0</v>
          </cell>
          <cell r="K42" t="str">
            <v>Miscellaneous</v>
          </cell>
        </row>
        <row r="43">
          <cell r="A43" t="str">
            <v>200-6991.00</v>
          </cell>
          <cell r="B43" t="str">
            <v>Bank Charges</v>
          </cell>
          <cell r="C43">
            <v>0</v>
          </cell>
          <cell r="D43">
            <v>0</v>
          </cell>
          <cell r="K43" t="str">
            <v>General Expenses</v>
          </cell>
        </row>
        <row r="44">
          <cell r="A44" t="str">
            <v>200-6180.00</v>
          </cell>
          <cell r="B44" t="str">
            <v>Chemicals</v>
          </cell>
          <cell r="C44">
            <v>38805.730000000003</v>
          </cell>
          <cell r="D44">
            <v>21194.269999999997</v>
          </cell>
          <cell r="K44" t="str">
            <v>Chemicals</v>
          </cell>
        </row>
        <row r="45">
          <cell r="A45" t="str">
            <v>200-6180.20</v>
          </cell>
          <cell r="B45" t="str">
            <v>Chemicals Plant</v>
          </cell>
          <cell r="C45">
            <v>156381.78</v>
          </cell>
          <cell r="D45">
            <v>43618.22</v>
          </cell>
          <cell r="K45" t="str">
            <v>Chemicals</v>
          </cell>
        </row>
        <row r="46">
          <cell r="A46" t="str">
            <v>200-6200.10</v>
          </cell>
          <cell r="B46" t="str">
            <v>Materials/Supplies Raw Water</v>
          </cell>
          <cell r="C46">
            <v>5095.99</v>
          </cell>
          <cell r="D46">
            <v>-2095.9899999999998</v>
          </cell>
          <cell r="K46" t="str">
            <v>Operating Supplies</v>
          </cell>
        </row>
        <row r="47">
          <cell r="A47" t="str">
            <v>200-6200.20</v>
          </cell>
          <cell r="B47" t="str">
            <v>Materials/Supplies Plant</v>
          </cell>
          <cell r="C47">
            <v>14906.69</v>
          </cell>
          <cell r="D47">
            <v>15093.31</v>
          </cell>
          <cell r="K47" t="str">
            <v>Operating Supplies</v>
          </cell>
        </row>
        <row r="48">
          <cell r="A48" t="str">
            <v>200-6200.40</v>
          </cell>
          <cell r="B48" t="str">
            <v>Materials/Supplies Dist</v>
          </cell>
          <cell r="C48">
            <v>43233.82</v>
          </cell>
          <cell r="D48">
            <v>-13233.82</v>
          </cell>
          <cell r="K48" t="str">
            <v>Operating Supplies</v>
          </cell>
        </row>
        <row r="49">
          <cell r="A49" t="str">
            <v>200-6420.10</v>
          </cell>
          <cell r="B49" t="str">
            <v>Equipment Rental Raw Water</v>
          </cell>
          <cell r="C49">
            <v>740</v>
          </cell>
          <cell r="D49">
            <v>-240</v>
          </cell>
          <cell r="K49" t="str">
            <v>Transportation</v>
          </cell>
        </row>
        <row r="50">
          <cell r="A50" t="str">
            <v>200-6420.40</v>
          </cell>
          <cell r="B50" t="str">
            <v>Equipment Rental Dist</v>
          </cell>
          <cell r="C50">
            <v>0</v>
          </cell>
          <cell r="D50">
            <v>0</v>
          </cell>
          <cell r="K50" t="str">
            <v>Transportation</v>
          </cell>
        </row>
        <row r="51">
          <cell r="A51" t="str">
            <v>200-6500.10</v>
          </cell>
          <cell r="B51" t="str">
            <v>Vehicle Gas</v>
          </cell>
          <cell r="C51">
            <v>6088.33</v>
          </cell>
          <cell r="D51">
            <v>-5088.33</v>
          </cell>
          <cell r="K51" t="str">
            <v>Transportation</v>
          </cell>
        </row>
        <row r="52">
          <cell r="A52" t="str">
            <v>200-6500.20</v>
          </cell>
          <cell r="B52" t="str">
            <v>Vehicle Gas Plant</v>
          </cell>
          <cell r="C52">
            <v>831.09</v>
          </cell>
          <cell r="D52">
            <v>-81.090000000000032</v>
          </cell>
          <cell r="K52" t="str">
            <v>Transportation</v>
          </cell>
        </row>
        <row r="53">
          <cell r="A53" t="str">
            <v>200-6500.40</v>
          </cell>
          <cell r="B53" t="str">
            <v>Vehicle Gas Dist</v>
          </cell>
          <cell r="C53">
            <v>9191.16</v>
          </cell>
          <cell r="D53">
            <v>4308.84</v>
          </cell>
          <cell r="K53" t="str">
            <v>Transportation</v>
          </cell>
        </row>
        <row r="54">
          <cell r="A54" t="str">
            <v>200-6500.50</v>
          </cell>
          <cell r="B54" t="str">
            <v>Vehicle Maint</v>
          </cell>
          <cell r="C54">
            <v>6261.1</v>
          </cell>
          <cell r="D54">
            <v>2738.8999999999996</v>
          </cell>
          <cell r="K54" t="str">
            <v>Transportation</v>
          </cell>
        </row>
        <row r="55">
          <cell r="A55" t="str">
            <v>200-6770.20</v>
          </cell>
          <cell r="B55" t="str">
            <v>Postage Plant</v>
          </cell>
          <cell r="C55">
            <v>0</v>
          </cell>
          <cell r="D55">
            <v>1000</v>
          </cell>
          <cell r="K55" t="str">
            <v>Operating Supplies</v>
          </cell>
        </row>
        <row r="56">
          <cell r="A56" t="str">
            <v>200-6770.50</v>
          </cell>
          <cell r="B56" t="str">
            <v>Postage Admin</v>
          </cell>
          <cell r="C56">
            <v>941.74</v>
          </cell>
          <cell r="D56">
            <v>58.259999999999991</v>
          </cell>
          <cell r="K56" t="str">
            <v>General Expenses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227F6-973C-44C8-A7B1-30D3A154F071}">
  <sheetPr>
    <pageSetUpPr fitToPage="1"/>
  </sheetPr>
  <dimension ref="A1:I57"/>
  <sheetViews>
    <sheetView workbookViewId="0">
      <selection activeCell="I57" sqref="A1:I57"/>
    </sheetView>
  </sheetViews>
  <sheetFormatPr defaultRowHeight="15" x14ac:dyDescent="0.25"/>
  <cols>
    <col min="1" max="1" width="12.5546875" style="46" customWidth="1"/>
    <col min="2" max="2" width="24.5546875" style="46" customWidth="1"/>
    <col min="3" max="3" width="12.5546875" style="143" customWidth="1"/>
    <col min="4" max="4" width="12.5546875" style="182" customWidth="1"/>
    <col min="5" max="5" width="12.5546875" style="143" customWidth="1"/>
    <col min="6" max="6" width="3.5546875" style="46" customWidth="1"/>
    <col min="7" max="7" width="8.88671875" style="46" hidden="1" customWidth="1"/>
    <col min="8" max="8" width="3.5546875" style="46" customWidth="1"/>
    <col min="9" max="9" width="18.5546875" style="46" customWidth="1"/>
    <col min="10" max="16384" width="8.88671875" style="46"/>
  </cols>
  <sheetData>
    <row r="1" spans="1:9" x14ac:dyDescent="0.25">
      <c r="A1" s="276" t="s">
        <v>147</v>
      </c>
      <c r="B1" s="276"/>
      <c r="C1" s="276"/>
      <c r="D1" s="276"/>
      <c r="E1" s="276"/>
      <c r="F1" s="137"/>
    </row>
    <row r="2" spans="1:9" x14ac:dyDescent="0.25">
      <c r="A2" s="276" t="s">
        <v>145</v>
      </c>
      <c r="B2" s="276"/>
      <c r="C2" s="276"/>
      <c r="D2" s="276"/>
      <c r="E2" s="276"/>
      <c r="F2" s="137"/>
    </row>
    <row r="3" spans="1:9" x14ac:dyDescent="0.25">
      <c r="A3" s="276" t="s">
        <v>116</v>
      </c>
      <c r="B3" s="276"/>
      <c r="C3" s="276"/>
      <c r="D3" s="276"/>
      <c r="E3" s="276"/>
      <c r="F3" s="137"/>
    </row>
    <row r="4" spans="1:9" x14ac:dyDescent="0.25">
      <c r="A4" s="137"/>
      <c r="B4" s="137"/>
      <c r="C4" s="154"/>
      <c r="D4" s="148"/>
      <c r="E4" s="154"/>
      <c r="F4" s="137"/>
      <c r="G4" s="124"/>
      <c r="I4" s="130"/>
    </row>
    <row r="5" spans="1:9" x14ac:dyDescent="0.25">
      <c r="A5" s="49"/>
      <c r="B5" s="49"/>
      <c r="C5" s="263">
        <v>2022</v>
      </c>
      <c r="D5" s="263">
        <v>2023</v>
      </c>
      <c r="E5" s="263" t="s">
        <v>69</v>
      </c>
      <c r="F5" s="48"/>
      <c r="G5" s="124"/>
      <c r="I5" s="130"/>
    </row>
    <row r="6" spans="1:9" x14ac:dyDescent="0.25">
      <c r="A6" s="49" t="s">
        <v>117</v>
      </c>
      <c r="B6" s="49" t="s">
        <v>118</v>
      </c>
      <c r="C6" s="263" t="s">
        <v>119</v>
      </c>
      <c r="D6" s="263" t="s">
        <v>241</v>
      </c>
      <c r="E6" s="263" t="s">
        <v>119</v>
      </c>
      <c r="F6" s="48"/>
      <c r="G6" s="124"/>
      <c r="I6" s="138" t="s">
        <v>146</v>
      </c>
    </row>
    <row r="7" spans="1:9" x14ac:dyDescent="0.25">
      <c r="A7" s="147" t="str">
        <f>'[1]Trial Balance '!A7</f>
        <v>200-6010.20</v>
      </c>
      <c r="B7" s="147" t="str">
        <f>'[1]Trial Balance '!B7</f>
        <v>Salaries/Wages Plant</v>
      </c>
      <c r="C7" s="149">
        <f>'[1]Trial Balance '!C7</f>
        <v>187674.83</v>
      </c>
      <c r="D7" s="181">
        <f>'[1]Trial Balance '!D7</f>
        <v>27325.170000000013</v>
      </c>
      <c r="E7" s="149">
        <f t="shared" ref="E7:E38" si="0">C7+D7</f>
        <v>215000</v>
      </c>
      <c r="F7" s="147"/>
      <c r="G7" s="147"/>
      <c r="H7" s="147"/>
      <c r="I7" s="183" t="str">
        <f>'[1]Trial Balance '!K7</f>
        <v>Salaries and Wages</v>
      </c>
    </row>
    <row r="8" spans="1:9" x14ac:dyDescent="0.25">
      <c r="A8" s="147" t="str">
        <f>'[1]Trial Balance '!A8</f>
        <v>200-6010.40</v>
      </c>
      <c r="B8" s="147" t="str">
        <f>'[1]Trial Balance '!B8</f>
        <v>Salaries/Wages Distribution</v>
      </c>
      <c r="C8" s="149">
        <f>'[1]Trial Balance '!C8</f>
        <v>96437.48</v>
      </c>
      <c r="D8" s="181">
        <f>'[1]Trial Balance '!D8</f>
        <v>48562.520000000004</v>
      </c>
      <c r="E8" s="149">
        <f t="shared" si="0"/>
        <v>145000</v>
      </c>
      <c r="F8" s="147"/>
      <c r="G8" s="147"/>
      <c r="H8" s="147"/>
      <c r="I8" s="183" t="str">
        <f>'[1]Trial Balance '!K8</f>
        <v>Salaries and Wages</v>
      </c>
    </row>
    <row r="9" spans="1:9" x14ac:dyDescent="0.25">
      <c r="A9" s="147" t="str">
        <f>'[1]Trial Balance '!A9</f>
        <v>200-6010.50</v>
      </c>
      <c r="B9" s="147" t="str">
        <f>'[1]Trial Balance '!B9</f>
        <v>Salaries Admin</v>
      </c>
      <c r="C9" s="149">
        <f>'[1]Trial Balance '!C9</f>
        <v>63528.4</v>
      </c>
      <c r="D9" s="181">
        <f>'[1]Trial Balance '!D9</f>
        <v>36471.599999999999</v>
      </c>
      <c r="E9" s="149">
        <f t="shared" si="0"/>
        <v>100000</v>
      </c>
      <c r="F9" s="147"/>
      <c r="G9" s="147"/>
      <c r="H9" s="147"/>
      <c r="I9" s="183" t="str">
        <f>'[1]Trial Balance '!K9</f>
        <v>Salaries and Wages</v>
      </c>
    </row>
    <row r="10" spans="1:9" x14ac:dyDescent="0.25">
      <c r="A10" s="147" t="str">
        <f>'[1]Trial Balance '!A10</f>
        <v>200-6040.10</v>
      </c>
      <c r="B10" s="147" t="str">
        <f>'[1]Trial Balance '!B10</f>
        <v>Empl Benef/Pension Raw Wa</v>
      </c>
      <c r="C10" s="149">
        <f>'[1]Trial Balance '!C10</f>
        <v>0</v>
      </c>
      <c r="D10" s="181">
        <f>'[1]Trial Balance '!D10</f>
        <v>10000</v>
      </c>
      <c r="E10" s="149">
        <f t="shared" si="0"/>
        <v>10000</v>
      </c>
      <c r="F10" s="147"/>
      <c r="G10" s="147"/>
      <c r="H10" s="147"/>
      <c r="I10" s="183" t="str">
        <f>'[1]Trial Balance '!K10</f>
        <v>Employee Benefits</v>
      </c>
    </row>
    <row r="11" spans="1:9" x14ac:dyDescent="0.25">
      <c r="A11" s="147" t="str">
        <f>'[1]Trial Balance '!A11</f>
        <v>200-6040.20</v>
      </c>
      <c r="B11" s="147" t="str">
        <f>'[1]Trial Balance '!B11</f>
        <v>Empl Benef/Pension Plan</v>
      </c>
      <c r="C11" s="149">
        <f>'[1]Trial Balance '!C11</f>
        <v>188999.83</v>
      </c>
      <c r="D11" s="181">
        <f>'[1]Trial Balance '!D11</f>
        <v>-53999.829999999987</v>
      </c>
      <c r="E11" s="149">
        <f t="shared" si="0"/>
        <v>135000</v>
      </c>
      <c r="F11" s="147"/>
      <c r="G11" s="147"/>
      <c r="H11" s="147"/>
      <c r="I11" s="183" t="str">
        <f>'[1]Trial Balance '!K11</f>
        <v>Employee Benefits</v>
      </c>
    </row>
    <row r="12" spans="1:9" x14ac:dyDescent="0.25">
      <c r="A12" s="147" t="str">
        <f>'[1]Trial Balance '!A12</f>
        <v>200-6040.40</v>
      </c>
      <c r="B12" s="147" t="str">
        <f>'[1]Trial Balance '!B12</f>
        <v>Empl Benef/Pension Dist</v>
      </c>
      <c r="C12" s="149">
        <f>'[1]Trial Balance '!C12</f>
        <v>48761.29</v>
      </c>
      <c r="D12" s="181">
        <f>'[1]Trial Balance '!D12</f>
        <v>3238.7099999999991</v>
      </c>
      <c r="E12" s="149">
        <f t="shared" si="0"/>
        <v>52000</v>
      </c>
      <c r="F12" s="147"/>
      <c r="G12" s="147"/>
      <c r="H12" s="147"/>
      <c r="I12" s="183" t="str">
        <f>'[1]Trial Balance '!K12</f>
        <v>Employee Benefits</v>
      </c>
    </row>
    <row r="13" spans="1:9" x14ac:dyDescent="0.25">
      <c r="A13" s="147" t="str">
        <f>'[1]Trial Balance '!A13</f>
        <v>200-6040.50</v>
      </c>
      <c r="B13" s="147" t="str">
        <f>'[1]Trial Balance '!B13</f>
        <v>Empl Benef/Pension Admin</v>
      </c>
      <c r="C13" s="149">
        <f>'[1]Trial Balance '!C13</f>
        <v>39640.11</v>
      </c>
      <c r="D13" s="181">
        <f>'[1]Trial Balance '!D13</f>
        <v>10359.89</v>
      </c>
      <c r="E13" s="149">
        <f t="shared" si="0"/>
        <v>50000</v>
      </c>
      <c r="F13" s="147"/>
      <c r="G13" s="147"/>
      <c r="H13" s="147"/>
      <c r="I13" s="183" t="str">
        <f>'[1]Trial Balance '!K13</f>
        <v>Employee Benefits</v>
      </c>
    </row>
    <row r="14" spans="1:9" x14ac:dyDescent="0.25">
      <c r="A14" s="147" t="str">
        <f>'[1]Trial Balance '!A14</f>
        <v>200-6150.10</v>
      </c>
      <c r="B14" s="147" t="str">
        <f>'[1]Trial Balance '!B14</f>
        <v>Utilities Raw Water</v>
      </c>
      <c r="C14" s="149">
        <f>'[1]Trial Balance '!C14</f>
        <v>216982.41</v>
      </c>
      <c r="D14" s="181">
        <f>'[1]Trial Balance '!D14</f>
        <v>28017.589999999997</v>
      </c>
      <c r="E14" s="149">
        <f t="shared" si="0"/>
        <v>245000</v>
      </c>
      <c r="F14" s="147"/>
      <c r="G14" s="147"/>
      <c r="H14" s="147"/>
      <c r="I14" s="183" t="str">
        <f>'[1]Trial Balance '!K14</f>
        <v>Purchased Power</v>
      </c>
    </row>
    <row r="15" spans="1:9" x14ac:dyDescent="0.25">
      <c r="A15" s="147" t="str">
        <f>'[1]Trial Balance '!A15</f>
        <v>200-6150.20</v>
      </c>
      <c r="B15" s="147" t="str">
        <f>'[1]Trial Balance '!B15</f>
        <v>Utilities Plant</v>
      </c>
      <c r="C15" s="149">
        <f>'[1]Trial Balance '!C15</f>
        <v>127253.07</v>
      </c>
      <c r="D15" s="181">
        <f>'[1]Trial Balance '!D15</f>
        <v>-7253.070000000007</v>
      </c>
      <c r="E15" s="149">
        <f t="shared" si="0"/>
        <v>120000</v>
      </c>
      <c r="F15" s="147"/>
      <c r="G15" s="147"/>
      <c r="H15" s="147"/>
      <c r="I15" s="183" t="str">
        <f>'[1]Trial Balance '!K15</f>
        <v>Purchased Power</v>
      </c>
    </row>
    <row r="16" spans="1:9" x14ac:dyDescent="0.25">
      <c r="A16" s="147" t="str">
        <f>'[1]Trial Balance '!A16</f>
        <v>200-6200.50</v>
      </c>
      <c r="B16" s="147" t="str">
        <f>'[1]Trial Balance '!B16</f>
        <v>Audit-Admin</v>
      </c>
      <c r="C16" s="149">
        <f>'[1]Trial Balance '!C16</f>
        <v>4850</v>
      </c>
      <c r="D16" s="181">
        <f>'[1]Trial Balance '!D16</f>
        <v>-1850</v>
      </c>
      <c r="E16" s="149">
        <f t="shared" si="0"/>
        <v>3000</v>
      </c>
      <c r="F16" s="147"/>
      <c r="G16" s="147"/>
      <c r="H16" s="147"/>
      <c r="I16" s="183" t="str">
        <f>'[1]Trial Balance '!K16</f>
        <v>General Expenses</v>
      </c>
    </row>
    <row r="17" spans="1:9" x14ac:dyDescent="0.25">
      <c r="A17" s="147" t="str">
        <f>'[1]Trial Balance '!A17</f>
        <v>200-6210.50</v>
      </c>
      <c r="B17" s="147" t="str">
        <f>'[1]Trial Balance '!B17</f>
        <v>Miscellaneous-Admin</v>
      </c>
      <c r="C17" s="149">
        <f>'[1]Trial Balance '!C17</f>
        <v>9824.15</v>
      </c>
      <c r="D17" s="181">
        <f>'[1]Trial Balance '!D17</f>
        <v>-9824.15</v>
      </c>
      <c r="E17" s="149">
        <f t="shared" si="0"/>
        <v>0</v>
      </c>
      <c r="F17" s="147"/>
      <c r="G17" s="147"/>
      <c r="H17" s="147"/>
      <c r="I17" s="183" t="str">
        <f>'[1]Trial Balance '!K17</f>
        <v>General Expenses</v>
      </c>
    </row>
    <row r="18" spans="1:9" x14ac:dyDescent="0.25">
      <c r="A18" s="147" t="str">
        <f>'[1]Trial Balance '!A18</f>
        <v>200-6320.50</v>
      </c>
      <c r="B18" s="147" t="str">
        <f>'[1]Trial Balance '!B18</f>
        <v>Accounting Office Supplies</v>
      </c>
      <c r="C18" s="149">
        <f>'[1]Trial Balance '!C18</f>
        <v>0</v>
      </c>
      <c r="D18" s="181">
        <f>'[1]Trial Balance '!D18</f>
        <v>0</v>
      </c>
      <c r="E18" s="149">
        <f t="shared" si="0"/>
        <v>0</v>
      </c>
      <c r="F18" s="147"/>
      <c r="G18" s="147"/>
      <c r="H18" s="147"/>
      <c r="I18" s="183" t="str">
        <f>'[1]Trial Balance '!K18</f>
        <v>General Expenses</v>
      </c>
    </row>
    <row r="19" spans="1:9" x14ac:dyDescent="0.25">
      <c r="A19" s="147" t="str">
        <f>'[1]Trial Balance '!A19</f>
        <v>200-6340.10</v>
      </c>
      <c r="B19" s="147" t="str">
        <f>'[1]Trial Balance '!B19</f>
        <v>Services-Raw Water</v>
      </c>
      <c r="C19" s="149">
        <f>'[1]Trial Balance '!C19</f>
        <v>9853.6</v>
      </c>
      <c r="D19" s="181">
        <f>'[1]Trial Balance '!D19</f>
        <v>1146.3999999999996</v>
      </c>
      <c r="E19" s="149">
        <f t="shared" si="0"/>
        <v>11000</v>
      </c>
      <c r="F19" s="147"/>
      <c r="G19" s="147"/>
      <c r="H19" s="147"/>
      <c r="I19" s="183" t="str">
        <f>'[1]Trial Balance '!K19</f>
        <v>Maintenance Contracts</v>
      </c>
    </row>
    <row r="20" spans="1:9" x14ac:dyDescent="0.25">
      <c r="A20" s="147" t="str">
        <f>'[1]Trial Balance '!A20</f>
        <v>200-6340.20</v>
      </c>
      <c r="B20" s="147" t="str">
        <f>'[1]Trial Balance '!B20</f>
        <v>Services-Treatment Plant</v>
      </c>
      <c r="C20" s="149">
        <f>'[1]Trial Balance '!C20</f>
        <v>17328.419999999998</v>
      </c>
      <c r="D20" s="181">
        <f>'[1]Trial Balance '!D20</f>
        <v>15671.580000000002</v>
      </c>
      <c r="E20" s="149">
        <f t="shared" si="0"/>
        <v>33000</v>
      </c>
      <c r="F20" s="147"/>
      <c r="G20" s="147"/>
      <c r="H20" s="147"/>
      <c r="I20" s="183" t="str">
        <f>'[1]Trial Balance '!K20</f>
        <v>Maintenance Contracts</v>
      </c>
    </row>
    <row r="21" spans="1:9" x14ac:dyDescent="0.25">
      <c r="A21" s="147" t="str">
        <f>'[1]Trial Balance '!A21</f>
        <v>200-6340.30</v>
      </c>
      <c r="B21" s="147" t="str">
        <f>'[1]Trial Balance '!B21</f>
        <v>Services-Storage</v>
      </c>
      <c r="C21" s="149">
        <f>'[1]Trial Balance '!C21</f>
        <v>39548.14</v>
      </c>
      <c r="D21" s="181">
        <f>'[1]Trial Balance '!D21</f>
        <v>3451.8600000000006</v>
      </c>
      <c r="E21" s="149">
        <f t="shared" si="0"/>
        <v>43000</v>
      </c>
      <c r="F21" s="147"/>
      <c r="G21" s="147"/>
      <c r="H21" s="147"/>
      <c r="I21" s="183" t="str">
        <f>'[1]Trial Balance '!K21</f>
        <v>Maintenance Contracts</v>
      </c>
    </row>
    <row r="22" spans="1:9" x14ac:dyDescent="0.25">
      <c r="A22" s="147" t="str">
        <f>'[1]Trial Balance '!A22</f>
        <v>200-6340.40</v>
      </c>
      <c r="B22" s="147" t="str">
        <f>'[1]Trial Balance '!B22</f>
        <v>Contract Services-Dist</v>
      </c>
      <c r="C22" s="149">
        <f>'[1]Trial Balance '!C22</f>
        <v>3885</v>
      </c>
      <c r="D22" s="181">
        <f>'[1]Trial Balance '!D22</f>
        <v>2115</v>
      </c>
      <c r="E22" s="149">
        <f t="shared" si="0"/>
        <v>6000</v>
      </c>
      <c r="F22" s="147"/>
      <c r="G22" s="147"/>
      <c r="H22" s="147"/>
      <c r="I22" s="183" t="str">
        <f>'[1]Trial Balance '!K22</f>
        <v>Maintenance Contracts</v>
      </c>
    </row>
    <row r="23" spans="1:9" x14ac:dyDescent="0.25">
      <c r="A23" s="147" t="str">
        <f>'[1]Trial Balance '!A23</f>
        <v>200-6340.50</v>
      </c>
      <c r="B23" s="147" t="str">
        <f>'[1]Trial Balance '!B23</f>
        <v>Services-Other Admin</v>
      </c>
      <c r="C23" s="149">
        <f>'[1]Trial Balance '!C23</f>
        <v>16529.84</v>
      </c>
      <c r="D23" s="181">
        <f>'[1]Trial Balance '!D23</f>
        <v>-8029.84</v>
      </c>
      <c r="E23" s="149">
        <f t="shared" si="0"/>
        <v>8500</v>
      </c>
      <c r="F23" s="147"/>
      <c r="G23" s="147"/>
      <c r="H23" s="147"/>
      <c r="I23" s="183" t="str">
        <f>'[1]Trial Balance '!K23</f>
        <v>General Expenses</v>
      </c>
    </row>
    <row r="24" spans="1:9" x14ac:dyDescent="0.25">
      <c r="A24" s="147" t="str">
        <f>'[1]Trial Balance '!A24</f>
        <v>200-6560.10</v>
      </c>
      <c r="B24" s="147" t="str">
        <f>'[1]Trial Balance '!B24</f>
        <v>Insurance</v>
      </c>
      <c r="C24" s="149">
        <f>'[1]Trial Balance '!C24</f>
        <v>50038.93</v>
      </c>
      <c r="D24" s="181">
        <f>'[1]Trial Balance '!D24</f>
        <v>4961.07</v>
      </c>
      <c r="E24" s="149">
        <f t="shared" si="0"/>
        <v>55000</v>
      </c>
      <c r="F24" s="147"/>
      <c r="G24" s="147"/>
      <c r="H24" s="147"/>
      <c r="I24" s="183" t="str">
        <f>'[1]Trial Balance '!K24</f>
        <v>Insurance</v>
      </c>
    </row>
    <row r="25" spans="1:9" x14ac:dyDescent="0.25">
      <c r="A25" s="147" t="str">
        <f>'[1]Trial Balance '!A25</f>
        <v>200-6560.20</v>
      </c>
      <c r="B25" s="147" t="str">
        <f>'[1]Trial Balance '!B25</f>
        <v>Insurance Plant</v>
      </c>
      <c r="C25" s="149">
        <f>'[1]Trial Balance '!C25</f>
        <v>0</v>
      </c>
      <c r="D25" s="181">
        <f>'[1]Trial Balance '!D25</f>
        <v>0</v>
      </c>
      <c r="E25" s="149">
        <f t="shared" si="0"/>
        <v>0</v>
      </c>
      <c r="F25" s="147"/>
      <c r="G25" s="147"/>
      <c r="H25" s="147"/>
      <c r="I25" s="183" t="str">
        <f>'[1]Trial Balance '!K25</f>
        <v>Insurance</v>
      </c>
    </row>
    <row r="26" spans="1:9" x14ac:dyDescent="0.25">
      <c r="A26" s="147" t="str">
        <f>'[1]Trial Balance '!A26</f>
        <v>200-6560.40</v>
      </c>
      <c r="B26" s="147" t="str">
        <f>'[1]Trial Balance '!B26</f>
        <v>Insurance Vehicle/Equip Dist</v>
      </c>
      <c r="C26" s="149">
        <f>'[1]Trial Balance '!C26</f>
        <v>0</v>
      </c>
      <c r="D26" s="181">
        <f>'[1]Trial Balance '!D26</f>
        <v>0</v>
      </c>
      <c r="E26" s="149">
        <f t="shared" si="0"/>
        <v>0</v>
      </c>
      <c r="F26" s="147"/>
      <c r="G26" s="147"/>
      <c r="H26" s="147"/>
      <c r="I26" s="183" t="str">
        <f>'[1]Trial Balance '!K26</f>
        <v>Insurance</v>
      </c>
    </row>
    <row r="27" spans="1:9" x14ac:dyDescent="0.25">
      <c r="A27" s="147" t="str">
        <f>'[1]Trial Balance '!A27</f>
        <v>200-6565.30</v>
      </c>
      <c r="B27" s="147" t="str">
        <f>'[1]Trial Balance '!B27</f>
        <v>Insurance Water Towers</v>
      </c>
      <c r="C27" s="149">
        <f>'[1]Trial Balance '!C27</f>
        <v>0</v>
      </c>
      <c r="D27" s="181">
        <f>'[1]Trial Balance '!D27</f>
        <v>0</v>
      </c>
      <c r="E27" s="149">
        <f t="shared" si="0"/>
        <v>0</v>
      </c>
      <c r="F27" s="147"/>
      <c r="G27" s="147"/>
      <c r="H27" s="147"/>
      <c r="I27" s="183" t="str">
        <f>'[1]Trial Balance '!K27</f>
        <v>Insurance</v>
      </c>
    </row>
    <row r="28" spans="1:9" x14ac:dyDescent="0.25">
      <c r="A28" s="147" t="str">
        <f>'[1]Trial Balance '!A28</f>
        <v>200-6570.00</v>
      </c>
      <c r="B28" s="147" t="str">
        <f>'[1]Trial Balance '!B28</f>
        <v>Liability Insurance</v>
      </c>
      <c r="C28" s="149">
        <f>'[1]Trial Balance '!C28</f>
        <v>0</v>
      </c>
      <c r="D28" s="181">
        <f>'[1]Trial Balance '!D28</f>
        <v>0</v>
      </c>
      <c r="E28" s="149">
        <f t="shared" si="0"/>
        <v>0</v>
      </c>
      <c r="F28" s="147"/>
      <c r="G28" s="147"/>
      <c r="H28" s="147"/>
      <c r="I28" s="183" t="str">
        <f>'[1]Trial Balance '!K28</f>
        <v>Insurance</v>
      </c>
    </row>
    <row r="29" spans="1:9" x14ac:dyDescent="0.25">
      <c r="A29" s="147" t="str">
        <f>'[1]Trial Balance '!A29</f>
        <v>200-6580.00</v>
      </c>
      <c r="B29" s="147" t="str">
        <f>'[1]Trial Balance '!B29</f>
        <v>Workmans Comp</v>
      </c>
      <c r="C29" s="149">
        <f>'[1]Trial Balance '!C29</f>
        <v>5483.71</v>
      </c>
      <c r="D29" s="181">
        <f>'[1]Trial Balance '!D29</f>
        <v>4516.29</v>
      </c>
      <c r="E29" s="149">
        <f t="shared" si="0"/>
        <v>10000</v>
      </c>
      <c r="F29" s="147"/>
      <c r="G29" s="147"/>
      <c r="H29" s="147"/>
      <c r="I29" s="183" t="str">
        <f>'[1]Trial Balance '!K29</f>
        <v>Insurance</v>
      </c>
    </row>
    <row r="30" spans="1:9" x14ac:dyDescent="0.25">
      <c r="A30" s="147" t="str">
        <f>'[1]Trial Balance '!A30</f>
        <v>200-6600.20</v>
      </c>
      <c r="B30" s="147" t="str">
        <f>'[1]Trial Balance '!B30</f>
        <v>Advertising Plant</v>
      </c>
      <c r="C30" s="149">
        <f>'[1]Trial Balance '!C30</f>
        <v>0</v>
      </c>
      <c r="D30" s="181">
        <f>'[1]Trial Balance '!D30</f>
        <v>0</v>
      </c>
      <c r="E30" s="149">
        <f t="shared" si="0"/>
        <v>0</v>
      </c>
      <c r="F30" s="147"/>
      <c r="G30" s="147"/>
      <c r="H30" s="147"/>
      <c r="I30" s="183" t="str">
        <f>'[1]Trial Balance '!K30</f>
        <v>Miscellaneous</v>
      </c>
    </row>
    <row r="31" spans="1:9" x14ac:dyDescent="0.25">
      <c r="A31" s="147" t="str">
        <f>'[1]Trial Balance '!A31</f>
        <v>200-6600.50</v>
      </c>
      <c r="B31" s="147" t="str">
        <f>'[1]Trial Balance '!B31</f>
        <v>Advertising Admin</v>
      </c>
      <c r="C31" s="149">
        <f>'[1]Trial Balance '!C31</f>
        <v>0</v>
      </c>
      <c r="D31" s="181">
        <f>'[1]Trial Balance '!D31</f>
        <v>0</v>
      </c>
      <c r="E31" s="149">
        <f t="shared" si="0"/>
        <v>0</v>
      </c>
      <c r="F31" s="147"/>
      <c r="G31" s="147"/>
      <c r="H31" s="147"/>
      <c r="I31" s="183" t="str">
        <f>'[1]Trial Balance '!K31</f>
        <v>General Expenses</v>
      </c>
    </row>
    <row r="32" spans="1:9" x14ac:dyDescent="0.25">
      <c r="A32" s="147" t="str">
        <f>'[1]Trial Balance '!A32</f>
        <v>200-6720.10</v>
      </c>
      <c r="B32" s="147" t="str">
        <f>'[1]Trial Balance '!B32</f>
        <v>Telephone Raw Water</v>
      </c>
      <c r="C32" s="149">
        <f>'[1]Trial Balance '!C32</f>
        <v>79.53</v>
      </c>
      <c r="D32" s="181">
        <f>'[1]Trial Balance '!D32</f>
        <v>-79.53</v>
      </c>
      <c r="E32" s="149">
        <f t="shared" si="0"/>
        <v>0</v>
      </c>
      <c r="F32" s="147"/>
      <c r="G32" s="147"/>
      <c r="H32" s="147"/>
      <c r="I32" s="183" t="str">
        <f>'[1]Trial Balance '!K32</f>
        <v>Miscellaneous</v>
      </c>
    </row>
    <row r="33" spans="1:9" x14ac:dyDescent="0.25">
      <c r="A33" s="147" t="str">
        <f>'[1]Trial Balance '!A33</f>
        <v>200-6720.20</v>
      </c>
      <c r="B33" s="147" t="str">
        <f>'[1]Trial Balance '!B33</f>
        <v>Telephone</v>
      </c>
      <c r="C33" s="149">
        <f>'[1]Trial Balance '!C33</f>
        <v>5074.2</v>
      </c>
      <c r="D33" s="181">
        <f>'[1]Trial Balance '!D33</f>
        <v>-74.199999999999818</v>
      </c>
      <c r="E33" s="149">
        <f t="shared" si="0"/>
        <v>5000</v>
      </c>
      <c r="F33" s="147"/>
      <c r="G33" s="147"/>
      <c r="H33" s="147"/>
      <c r="I33" s="183" t="str">
        <f>'[1]Trial Balance '!K33</f>
        <v>General Expenses</v>
      </c>
    </row>
    <row r="34" spans="1:9" x14ac:dyDescent="0.25">
      <c r="A34" s="147" t="str">
        <f>'[1]Trial Balance '!A34</f>
        <v>200-6720.40</v>
      </c>
      <c r="B34" s="147" t="str">
        <f>'[1]Trial Balance '!B34</f>
        <v>Telephone Dist</v>
      </c>
      <c r="C34" s="149">
        <f>'[1]Trial Balance '!C34</f>
        <v>0</v>
      </c>
      <c r="D34" s="181">
        <f>'[1]Trial Balance '!D34</f>
        <v>0</v>
      </c>
      <c r="E34" s="149">
        <f t="shared" si="0"/>
        <v>0</v>
      </c>
      <c r="F34" s="147"/>
      <c r="G34" s="147"/>
      <c r="H34" s="147"/>
      <c r="I34" s="183" t="str">
        <f>'[1]Trial Balance '!K34</f>
        <v>Miscellaneous</v>
      </c>
    </row>
    <row r="35" spans="1:9" x14ac:dyDescent="0.25">
      <c r="A35" s="147" t="str">
        <f>'[1]Trial Balance '!A35</f>
        <v>200-6720.50</v>
      </c>
      <c r="B35" s="147" t="str">
        <f>'[1]Trial Balance '!B35</f>
        <v>Telephone Admin</v>
      </c>
      <c r="C35" s="149">
        <f>'[1]Trial Balance '!C35</f>
        <v>0</v>
      </c>
      <c r="D35" s="181">
        <f>'[1]Trial Balance '!D35</f>
        <v>0</v>
      </c>
      <c r="E35" s="149">
        <f t="shared" si="0"/>
        <v>0</v>
      </c>
      <c r="F35" s="147"/>
      <c r="G35" s="147"/>
      <c r="H35" s="147"/>
      <c r="I35" s="183" t="str">
        <f>'[1]Trial Balance '!K35</f>
        <v>General Expenses</v>
      </c>
    </row>
    <row r="36" spans="1:9" x14ac:dyDescent="0.25">
      <c r="A36" s="147" t="str">
        <f>'[1]Trial Balance '!A36</f>
        <v>200-6740.50</v>
      </c>
      <c r="B36" s="147" t="str">
        <f>'[1]Trial Balance '!B36</f>
        <v>New Water Plant</v>
      </c>
      <c r="C36" s="149">
        <f>'[1]Trial Balance '!C36</f>
        <v>0</v>
      </c>
      <c r="D36" s="181">
        <f>'[1]Trial Balance '!D36</f>
        <v>0</v>
      </c>
      <c r="E36" s="149">
        <f t="shared" si="0"/>
        <v>0</v>
      </c>
      <c r="F36" s="147"/>
      <c r="G36" s="147"/>
      <c r="H36" s="147"/>
      <c r="I36" s="183" t="str">
        <f>'[1]Trial Balance '!K36</f>
        <v>Miscellaneous</v>
      </c>
    </row>
    <row r="37" spans="1:9" x14ac:dyDescent="0.25">
      <c r="A37" s="147" t="str">
        <f>'[1]Trial Balance '!A37</f>
        <v>200-6760.20</v>
      </c>
      <c r="B37" s="147" t="str">
        <f>'[1]Trial Balance '!B37</f>
        <v>Lab Analysis Plant</v>
      </c>
      <c r="C37" s="149">
        <f>'[1]Trial Balance '!C37</f>
        <v>12067</v>
      </c>
      <c r="D37" s="181">
        <f>'[1]Trial Balance '!D37</f>
        <v>-67</v>
      </c>
      <c r="E37" s="149">
        <f t="shared" si="0"/>
        <v>12000</v>
      </c>
      <c r="F37" s="147"/>
      <c r="G37" s="147"/>
      <c r="H37" s="147"/>
      <c r="I37" s="183" t="str">
        <f>'[1]Trial Balance '!K37</f>
        <v>Laboratory</v>
      </c>
    </row>
    <row r="38" spans="1:9" x14ac:dyDescent="0.25">
      <c r="A38" s="147" t="str">
        <f>'[1]Trial Balance '!A38</f>
        <v>200-6800.50</v>
      </c>
      <c r="B38" s="147" t="str">
        <f>'[1]Trial Balance '!B38</f>
        <v>Dues/Subscriptions Admin</v>
      </c>
      <c r="C38" s="149">
        <f>'[1]Trial Balance '!C38</f>
        <v>561.79999999999995</v>
      </c>
      <c r="D38" s="181">
        <f>'[1]Trial Balance '!D38</f>
        <v>938.2</v>
      </c>
      <c r="E38" s="149">
        <f t="shared" si="0"/>
        <v>1500</v>
      </c>
      <c r="F38" s="147"/>
      <c r="G38" s="147"/>
      <c r="H38" s="147"/>
      <c r="I38" s="183" t="str">
        <f>'[1]Trial Balance '!K38</f>
        <v>General Expenses</v>
      </c>
    </row>
    <row r="39" spans="1:9" x14ac:dyDescent="0.25">
      <c r="A39" s="147" t="str">
        <f>'[1]Trial Balance '!A39</f>
        <v>200-6820.10</v>
      </c>
      <c r="B39" s="147" t="str">
        <f>'[1]Trial Balance '!B39</f>
        <v>Kentucky River Fee Raw Water</v>
      </c>
      <c r="C39" s="149">
        <f>'[1]Trial Balance '!C39</f>
        <v>160392.26999999999</v>
      </c>
      <c r="D39" s="181">
        <v>-160392.26999999999</v>
      </c>
      <c r="E39" s="149">
        <f>C39+D39</f>
        <v>0</v>
      </c>
      <c r="F39" s="147"/>
      <c r="G39" s="147"/>
      <c r="H39" s="147"/>
      <c r="I39" s="183" t="str">
        <f>'[1]Trial Balance '!K39</f>
        <v>Kentucky River Fee</v>
      </c>
    </row>
    <row r="40" spans="1:9" x14ac:dyDescent="0.25">
      <c r="A40" s="147" t="str">
        <f>'[1]Trial Balance '!A40</f>
        <v>200-6840.10</v>
      </c>
      <c r="B40" s="147" t="str">
        <f>'[1]Trial Balance '!B40</f>
        <v>Roof Repair/City Hall</v>
      </c>
      <c r="C40" s="149">
        <f>'[1]Trial Balance '!C40</f>
        <v>0</v>
      </c>
      <c r="D40" s="181">
        <f>'[1]Trial Balance '!D40</f>
        <v>0</v>
      </c>
      <c r="E40" s="149">
        <f t="shared" ref="E40:E56" si="1">C40+D40</f>
        <v>0</v>
      </c>
      <c r="F40" s="147"/>
      <c r="G40" s="147"/>
      <c r="H40" s="147"/>
      <c r="I40" s="183" t="str">
        <f>'[1]Trial Balance '!K40</f>
        <v>General Expenses</v>
      </c>
    </row>
    <row r="41" spans="1:9" x14ac:dyDescent="0.25">
      <c r="A41" s="147" t="str">
        <f>'[1]Trial Balance '!A41</f>
        <v>200-6950.20</v>
      </c>
      <c r="B41" s="147" t="str">
        <f>'[1]Trial Balance '!B41</f>
        <v>Contingency Plant</v>
      </c>
      <c r="C41" s="149">
        <f>'[1]Trial Balance '!C41</f>
        <v>0</v>
      </c>
      <c r="D41" s="181">
        <f>'[1]Trial Balance '!D41</f>
        <v>0</v>
      </c>
      <c r="E41" s="149">
        <f t="shared" si="1"/>
        <v>0</v>
      </c>
      <c r="F41" s="147"/>
      <c r="G41" s="147"/>
      <c r="H41" s="147"/>
      <c r="I41" s="183" t="str">
        <f>'[1]Trial Balance '!K41</f>
        <v>Miscellaneous</v>
      </c>
    </row>
    <row r="42" spans="1:9" x14ac:dyDescent="0.25">
      <c r="A42" s="147" t="str">
        <f>'[1]Trial Balance '!A42</f>
        <v>200-6982.00</v>
      </c>
      <c r="B42" s="147" t="str">
        <f>'[1]Trial Balance '!B42</f>
        <v>Water Short Lived Asset</v>
      </c>
      <c r="C42" s="149">
        <f>'[1]Trial Balance '!C42</f>
        <v>0</v>
      </c>
      <c r="D42" s="181">
        <f>'[1]Trial Balance '!D42</f>
        <v>0</v>
      </c>
      <c r="E42" s="149">
        <f t="shared" si="1"/>
        <v>0</v>
      </c>
      <c r="F42" s="147"/>
      <c r="G42" s="147"/>
      <c r="H42" s="147"/>
      <c r="I42" s="183" t="str">
        <f>'[1]Trial Balance '!K42</f>
        <v>Miscellaneous</v>
      </c>
    </row>
    <row r="43" spans="1:9" x14ac:dyDescent="0.25">
      <c r="A43" s="147" t="str">
        <f>'[1]Trial Balance '!A43</f>
        <v>200-6991.00</v>
      </c>
      <c r="B43" s="147" t="str">
        <f>'[1]Trial Balance '!B43</f>
        <v>Bank Charges</v>
      </c>
      <c r="C43" s="149">
        <f>'[1]Trial Balance '!C43</f>
        <v>0</v>
      </c>
      <c r="D43" s="181">
        <f>'[1]Trial Balance '!D43</f>
        <v>0</v>
      </c>
      <c r="E43" s="149">
        <f t="shared" si="1"/>
        <v>0</v>
      </c>
      <c r="F43" s="147"/>
      <c r="G43" s="147"/>
      <c r="H43" s="147"/>
      <c r="I43" s="183" t="str">
        <f>'[1]Trial Balance '!K43</f>
        <v>General Expenses</v>
      </c>
    </row>
    <row r="44" spans="1:9" x14ac:dyDescent="0.25">
      <c r="A44" s="147" t="str">
        <f>'[1]Trial Balance '!A44</f>
        <v>200-6180.00</v>
      </c>
      <c r="B44" s="147" t="str">
        <f>'[1]Trial Balance '!B44</f>
        <v>Chemicals</v>
      </c>
      <c r="C44" s="149">
        <f>'[1]Trial Balance '!C44</f>
        <v>38805.730000000003</v>
      </c>
      <c r="D44" s="181">
        <f>'[1]Trial Balance '!D44</f>
        <v>21194.269999999997</v>
      </c>
      <c r="E44" s="149">
        <f t="shared" si="1"/>
        <v>60000</v>
      </c>
      <c r="F44" s="147"/>
      <c r="G44" s="147"/>
      <c r="H44" s="147"/>
      <c r="I44" s="183" t="str">
        <f>'[1]Trial Balance '!K44</f>
        <v>Chemicals</v>
      </c>
    </row>
    <row r="45" spans="1:9" x14ac:dyDescent="0.25">
      <c r="A45" s="147" t="str">
        <f>'[1]Trial Balance '!A45</f>
        <v>200-6180.20</v>
      </c>
      <c r="B45" s="147" t="str">
        <f>'[1]Trial Balance '!B45</f>
        <v>Chemicals Plant</v>
      </c>
      <c r="C45" s="149">
        <f>'[1]Trial Balance '!C45</f>
        <v>156381.78</v>
      </c>
      <c r="D45" s="181">
        <f>'[1]Trial Balance '!D45</f>
        <v>43618.22</v>
      </c>
      <c r="E45" s="149">
        <f t="shared" si="1"/>
        <v>200000</v>
      </c>
      <c r="F45" s="147"/>
      <c r="G45" s="147"/>
      <c r="H45" s="147"/>
      <c r="I45" s="183" t="str">
        <f>'[1]Trial Balance '!K45</f>
        <v>Chemicals</v>
      </c>
    </row>
    <row r="46" spans="1:9" x14ac:dyDescent="0.25">
      <c r="A46" s="147" t="str">
        <f>'[1]Trial Balance '!A46</f>
        <v>200-6200.10</v>
      </c>
      <c r="B46" s="147" t="str">
        <f>'[1]Trial Balance '!B46</f>
        <v>Materials/Supplies Raw Water</v>
      </c>
      <c r="C46" s="149">
        <f>'[1]Trial Balance '!C46</f>
        <v>5095.99</v>
      </c>
      <c r="D46" s="181">
        <f>'[1]Trial Balance '!D46</f>
        <v>-2095.9899999999998</v>
      </c>
      <c r="E46" s="149">
        <f t="shared" si="1"/>
        <v>3000</v>
      </c>
      <c r="F46" s="147"/>
      <c r="G46" s="147"/>
      <c r="H46" s="147"/>
      <c r="I46" s="183" t="str">
        <f>'[1]Trial Balance '!K46</f>
        <v>Operating Supplies</v>
      </c>
    </row>
    <row r="47" spans="1:9" x14ac:dyDescent="0.25">
      <c r="A47" s="147" t="str">
        <f>'[1]Trial Balance '!A47</f>
        <v>200-6200.20</v>
      </c>
      <c r="B47" s="147" t="str">
        <f>'[1]Trial Balance '!B47</f>
        <v>Materials/Supplies Plant</v>
      </c>
      <c r="C47" s="149">
        <f>'[1]Trial Balance '!C47</f>
        <v>14906.69</v>
      </c>
      <c r="D47" s="181">
        <f>'[1]Trial Balance '!D47</f>
        <v>15093.31</v>
      </c>
      <c r="E47" s="149">
        <f t="shared" si="1"/>
        <v>30000</v>
      </c>
      <c r="F47" s="147"/>
      <c r="G47" s="147"/>
      <c r="H47" s="147"/>
      <c r="I47" s="183" t="str">
        <f>'[1]Trial Balance '!K47</f>
        <v>Operating Supplies</v>
      </c>
    </row>
    <row r="48" spans="1:9" x14ac:dyDescent="0.25">
      <c r="A48" s="147" t="str">
        <f>'[1]Trial Balance '!A48</f>
        <v>200-6200.40</v>
      </c>
      <c r="B48" s="147" t="str">
        <f>'[1]Trial Balance '!B48</f>
        <v>Materials/Supplies Dist</v>
      </c>
      <c r="C48" s="149">
        <f>'[1]Trial Balance '!C48</f>
        <v>43233.82</v>
      </c>
      <c r="D48" s="181">
        <f>'[1]Trial Balance '!D48</f>
        <v>-13233.82</v>
      </c>
      <c r="E48" s="149">
        <f t="shared" si="1"/>
        <v>30000</v>
      </c>
      <c r="F48" s="147"/>
      <c r="G48" s="147"/>
      <c r="H48" s="147"/>
      <c r="I48" s="183" t="str">
        <f>'[1]Trial Balance '!K48</f>
        <v>Operating Supplies</v>
      </c>
    </row>
    <row r="49" spans="1:9" x14ac:dyDescent="0.25">
      <c r="A49" s="147" t="str">
        <f>'[1]Trial Balance '!A49</f>
        <v>200-6420.10</v>
      </c>
      <c r="B49" s="147" t="str">
        <f>'[1]Trial Balance '!B49</f>
        <v>Equipment Rental Raw Water</v>
      </c>
      <c r="C49" s="149">
        <f>'[1]Trial Balance '!C49</f>
        <v>740</v>
      </c>
      <c r="D49" s="181">
        <f>'[1]Trial Balance '!D49</f>
        <v>-240</v>
      </c>
      <c r="E49" s="149">
        <f t="shared" si="1"/>
        <v>500</v>
      </c>
      <c r="F49" s="147"/>
      <c r="G49" s="147"/>
      <c r="H49" s="147"/>
      <c r="I49" s="183" t="str">
        <f>'[1]Trial Balance '!K49</f>
        <v>Transportation</v>
      </c>
    </row>
    <row r="50" spans="1:9" x14ac:dyDescent="0.25">
      <c r="A50" s="147" t="str">
        <f>'[1]Trial Balance '!A50</f>
        <v>200-6420.40</v>
      </c>
      <c r="B50" s="147" t="str">
        <f>'[1]Trial Balance '!B50</f>
        <v>Equipment Rental Dist</v>
      </c>
      <c r="C50" s="149">
        <f>'[1]Trial Balance '!C50</f>
        <v>0</v>
      </c>
      <c r="D50" s="181">
        <f>'[1]Trial Balance '!D50</f>
        <v>0</v>
      </c>
      <c r="E50" s="149">
        <f t="shared" si="1"/>
        <v>0</v>
      </c>
      <c r="F50" s="147"/>
      <c r="G50" s="147"/>
      <c r="H50" s="147"/>
      <c r="I50" s="183" t="str">
        <f>'[1]Trial Balance '!K50</f>
        <v>Transportation</v>
      </c>
    </row>
    <row r="51" spans="1:9" x14ac:dyDescent="0.25">
      <c r="A51" s="147" t="str">
        <f>'[1]Trial Balance '!A51</f>
        <v>200-6500.10</v>
      </c>
      <c r="B51" s="147" t="str">
        <f>'[1]Trial Balance '!B51</f>
        <v>Vehicle Gas</v>
      </c>
      <c r="C51" s="149">
        <f>'[1]Trial Balance '!C51</f>
        <v>6088.33</v>
      </c>
      <c r="D51" s="181">
        <f>'[1]Trial Balance '!D51</f>
        <v>-5088.33</v>
      </c>
      <c r="E51" s="149">
        <f t="shared" si="1"/>
        <v>1000</v>
      </c>
      <c r="F51" s="147"/>
      <c r="G51" s="147"/>
      <c r="H51" s="147"/>
      <c r="I51" s="183" t="str">
        <f>'[1]Trial Balance '!K51</f>
        <v>Transportation</v>
      </c>
    </row>
    <row r="52" spans="1:9" x14ac:dyDescent="0.25">
      <c r="A52" s="147" t="str">
        <f>'[1]Trial Balance '!A52</f>
        <v>200-6500.20</v>
      </c>
      <c r="B52" s="147" t="str">
        <f>'[1]Trial Balance '!B52</f>
        <v>Vehicle Gas Plant</v>
      </c>
      <c r="C52" s="149">
        <f>'[1]Trial Balance '!C52</f>
        <v>831.09</v>
      </c>
      <c r="D52" s="181">
        <f>'[1]Trial Balance '!D52</f>
        <v>-81.090000000000032</v>
      </c>
      <c r="E52" s="149">
        <f t="shared" si="1"/>
        <v>750</v>
      </c>
      <c r="F52" s="147"/>
      <c r="G52" s="147"/>
      <c r="H52" s="147"/>
      <c r="I52" s="183" t="str">
        <f>'[1]Trial Balance '!K52</f>
        <v>Transportation</v>
      </c>
    </row>
    <row r="53" spans="1:9" x14ac:dyDescent="0.25">
      <c r="A53" s="147" t="str">
        <f>'[1]Trial Balance '!A53</f>
        <v>200-6500.40</v>
      </c>
      <c r="B53" s="147" t="str">
        <f>'[1]Trial Balance '!B53</f>
        <v>Vehicle Gas Dist</v>
      </c>
      <c r="C53" s="149">
        <f>'[1]Trial Balance '!C53</f>
        <v>9191.16</v>
      </c>
      <c r="D53" s="181">
        <f>'[1]Trial Balance '!D53</f>
        <v>4308.84</v>
      </c>
      <c r="E53" s="149">
        <f t="shared" si="1"/>
        <v>13500</v>
      </c>
      <c r="F53" s="147"/>
      <c r="G53" s="147"/>
      <c r="H53" s="147"/>
      <c r="I53" s="183" t="str">
        <f>'[1]Trial Balance '!K53</f>
        <v>Transportation</v>
      </c>
    </row>
    <row r="54" spans="1:9" x14ac:dyDescent="0.25">
      <c r="A54" s="147" t="str">
        <f>'[1]Trial Balance '!A54</f>
        <v>200-6500.50</v>
      </c>
      <c r="B54" s="147" t="str">
        <f>'[1]Trial Balance '!B54</f>
        <v>Vehicle Maint</v>
      </c>
      <c r="C54" s="149">
        <f>'[1]Trial Balance '!C54</f>
        <v>6261.1</v>
      </c>
      <c r="D54" s="181">
        <f>'[1]Trial Balance '!D54</f>
        <v>2738.8999999999996</v>
      </c>
      <c r="E54" s="149">
        <f t="shared" si="1"/>
        <v>9000</v>
      </c>
      <c r="F54" s="147"/>
      <c r="G54" s="147"/>
      <c r="H54" s="147"/>
      <c r="I54" s="183" t="str">
        <f>'[1]Trial Balance '!K54</f>
        <v>Transportation</v>
      </c>
    </row>
    <row r="55" spans="1:9" x14ac:dyDescent="0.25">
      <c r="A55" s="147" t="str">
        <f>'[1]Trial Balance '!A55</f>
        <v>200-6770.20</v>
      </c>
      <c r="B55" s="147" t="str">
        <f>'[1]Trial Balance '!B55</f>
        <v>Postage Plant</v>
      </c>
      <c r="C55" s="149">
        <f>'[1]Trial Balance '!C55</f>
        <v>0</v>
      </c>
      <c r="D55" s="181">
        <f>'[1]Trial Balance '!D55</f>
        <v>1000</v>
      </c>
      <c r="E55" s="149">
        <f t="shared" si="1"/>
        <v>1000</v>
      </c>
      <c r="F55" s="147"/>
      <c r="G55" s="147"/>
      <c r="H55" s="147"/>
      <c r="I55" s="183" t="str">
        <f>'[1]Trial Balance '!K55</f>
        <v>Operating Supplies</v>
      </c>
    </row>
    <row r="56" spans="1:9" x14ac:dyDescent="0.25">
      <c r="A56" s="147" t="str">
        <f>'[1]Trial Balance '!A56</f>
        <v>200-6770.50</v>
      </c>
      <c r="B56" s="147" t="str">
        <f>'[1]Trial Balance '!B56</f>
        <v>Postage Admin</v>
      </c>
      <c r="C56" s="150">
        <f>'[1]Trial Balance '!C56</f>
        <v>941.74</v>
      </c>
      <c r="D56" s="264">
        <f>'[1]Trial Balance '!D56</f>
        <v>58.259999999999991</v>
      </c>
      <c r="E56" s="150">
        <f t="shared" si="1"/>
        <v>1000</v>
      </c>
      <c r="F56" s="147"/>
      <c r="G56" s="147"/>
      <c r="H56" s="147"/>
      <c r="I56" s="183" t="str">
        <f>'[1]Trial Balance '!K56</f>
        <v>General Expenses</v>
      </c>
    </row>
    <row r="57" spans="1:9" x14ac:dyDescent="0.25">
      <c r="C57" s="143">
        <f>SUM(C7:C56)</f>
        <v>1587271.4400000004</v>
      </c>
      <c r="E57" s="143">
        <f>SUM(E7:E56)</f>
        <v>1609750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75" fitToHeight="0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0DB75-ED34-4C65-969A-5B873EF7D407}">
  <dimension ref="A1:H20"/>
  <sheetViews>
    <sheetView tabSelected="1" workbookViewId="0">
      <selection activeCell="H20" sqref="H20"/>
    </sheetView>
  </sheetViews>
  <sheetFormatPr defaultRowHeight="15" x14ac:dyDescent="0.25"/>
  <cols>
    <col min="1" max="1" width="30.5546875" style="46" customWidth="1"/>
    <col min="2" max="2" width="9" style="46" bestFit="1" customWidth="1"/>
    <col min="3" max="3" width="8.88671875" style="46"/>
    <col min="4" max="7" width="12.5546875" style="46" customWidth="1"/>
    <col min="8" max="16384" width="8.88671875" style="46"/>
  </cols>
  <sheetData>
    <row r="1" spans="1:7" x14ac:dyDescent="0.25">
      <c r="A1" s="46" t="s">
        <v>244</v>
      </c>
      <c r="D1" s="272" t="s">
        <v>250</v>
      </c>
      <c r="E1" s="272" t="s">
        <v>251</v>
      </c>
      <c r="F1" s="272" t="s">
        <v>252</v>
      </c>
      <c r="G1" s="272" t="s">
        <v>253</v>
      </c>
    </row>
    <row r="3" spans="1:7" x14ac:dyDescent="0.25">
      <c r="A3" s="46" t="s">
        <v>245</v>
      </c>
      <c r="B3" s="50">
        <v>356889</v>
      </c>
    </row>
    <row r="4" spans="1:7" x14ac:dyDescent="0.25">
      <c r="A4" s="46" t="s">
        <v>246</v>
      </c>
      <c r="B4" s="46">
        <v>12</v>
      </c>
    </row>
    <row r="5" spans="1:7" x14ac:dyDescent="0.25">
      <c r="A5" s="46" t="s">
        <v>247</v>
      </c>
      <c r="B5" s="254">
        <f>B3/B4</f>
        <v>29740.75</v>
      </c>
    </row>
    <row r="6" spans="1:7" x14ac:dyDescent="0.25">
      <c r="B6" s="254"/>
    </row>
    <row r="7" spans="1:7" x14ac:dyDescent="0.25">
      <c r="A7" s="46" t="s">
        <v>248</v>
      </c>
      <c r="B7" s="254">
        <v>325000</v>
      </c>
    </row>
    <row r="8" spans="1:7" x14ac:dyDescent="0.25">
      <c r="A8" s="46" t="s">
        <v>246</v>
      </c>
      <c r="B8" s="254">
        <v>12</v>
      </c>
    </row>
    <row r="9" spans="1:7" x14ac:dyDescent="0.25">
      <c r="A9" s="46" t="s">
        <v>254</v>
      </c>
      <c r="B9" s="254">
        <f>B7/B8</f>
        <v>27083.333333333332</v>
      </c>
      <c r="D9" s="273">
        <v>2.4900000000000002</v>
      </c>
      <c r="E9" s="273">
        <v>2.91</v>
      </c>
      <c r="F9" s="273">
        <v>3.4</v>
      </c>
      <c r="G9" s="273">
        <v>3.97</v>
      </c>
    </row>
    <row r="10" spans="1:7" x14ac:dyDescent="0.25">
      <c r="A10" s="46" t="s">
        <v>255</v>
      </c>
      <c r="B10" s="254"/>
      <c r="D10" s="273">
        <f>$B$9*D9</f>
        <v>67437.5</v>
      </c>
      <c r="E10" s="273">
        <f t="shared" ref="E10:G10" si="0">$B$9*E9</f>
        <v>78812.5</v>
      </c>
      <c r="F10" s="273">
        <f t="shared" si="0"/>
        <v>92083.333333333328</v>
      </c>
      <c r="G10" s="273">
        <f t="shared" si="0"/>
        <v>107520.83333333333</v>
      </c>
    </row>
    <row r="11" spans="1:7" x14ac:dyDescent="0.25">
      <c r="B11" s="254"/>
    </row>
    <row r="12" spans="1:7" x14ac:dyDescent="0.25">
      <c r="A12" s="46" t="s">
        <v>249</v>
      </c>
      <c r="B12" s="254">
        <f>B5-B9</f>
        <v>2657.4166666666679</v>
      </c>
      <c r="D12" s="273">
        <v>1.4</v>
      </c>
      <c r="E12" s="273">
        <v>1.64</v>
      </c>
      <c r="F12" s="273">
        <v>1.92</v>
      </c>
      <c r="G12" s="273">
        <v>2.2400000000000002</v>
      </c>
    </row>
    <row r="13" spans="1:7" x14ac:dyDescent="0.25">
      <c r="A13" s="46" t="s">
        <v>256</v>
      </c>
      <c r="D13" s="273">
        <f>$B$12*D12</f>
        <v>3720.3833333333346</v>
      </c>
      <c r="E13" s="273">
        <f t="shared" ref="E13:G13" si="1">$B$12*E12</f>
        <v>4358.1633333333348</v>
      </c>
      <c r="F13" s="273">
        <f t="shared" si="1"/>
        <v>5102.2400000000025</v>
      </c>
      <c r="G13" s="273">
        <f t="shared" si="1"/>
        <v>5952.6133333333364</v>
      </c>
    </row>
    <row r="15" spans="1:7" x14ac:dyDescent="0.25">
      <c r="A15" s="46" t="s">
        <v>257</v>
      </c>
      <c r="D15" s="250">
        <f>D10+D13</f>
        <v>71157.883333333331</v>
      </c>
      <c r="E15" s="250">
        <f t="shared" ref="E15:G15" si="2">E10+E13</f>
        <v>83170.66333333333</v>
      </c>
      <c r="F15" s="250">
        <f t="shared" si="2"/>
        <v>97185.573333333334</v>
      </c>
      <c r="G15" s="250">
        <f t="shared" si="2"/>
        <v>113473.44666666667</v>
      </c>
    </row>
    <row r="16" spans="1:7" x14ac:dyDescent="0.25">
      <c r="A16" s="46" t="s">
        <v>246</v>
      </c>
      <c r="D16" s="46">
        <v>12</v>
      </c>
      <c r="E16" s="46">
        <v>12</v>
      </c>
      <c r="F16" s="46">
        <v>12</v>
      </c>
      <c r="G16" s="46">
        <v>12</v>
      </c>
    </row>
    <row r="17" spans="1:8" x14ac:dyDescent="0.25">
      <c r="A17" s="46" t="s">
        <v>258</v>
      </c>
      <c r="D17" s="250">
        <f>D15*D16</f>
        <v>853894.6</v>
      </c>
      <c r="E17" s="250">
        <f t="shared" ref="E17:G17" si="3">E15*E16</f>
        <v>998047.96</v>
      </c>
      <c r="F17" s="250">
        <f t="shared" si="3"/>
        <v>1166226.8799999999</v>
      </c>
      <c r="G17" s="250">
        <f t="shared" si="3"/>
        <v>1361681.36</v>
      </c>
    </row>
    <row r="19" spans="1:8" x14ac:dyDescent="0.25">
      <c r="A19" s="46" t="s">
        <v>259</v>
      </c>
      <c r="E19" s="250">
        <f>E15-D15</f>
        <v>12012.779999999999</v>
      </c>
      <c r="F19" s="250">
        <f t="shared" ref="F19:G19" si="4">F15-E15</f>
        <v>14014.910000000003</v>
      </c>
      <c r="G19" s="250">
        <f t="shared" si="4"/>
        <v>16287.873333333337</v>
      </c>
    </row>
    <row r="20" spans="1:8" x14ac:dyDescent="0.25">
      <c r="A20" s="46" t="s">
        <v>260</v>
      </c>
      <c r="E20" s="274">
        <f>E19/D15</f>
        <v>0.16881868090042962</v>
      </c>
      <c r="F20" s="274">
        <f t="shared" ref="F20:G20" si="5">F19/E15</f>
        <v>0.16850785407146171</v>
      </c>
      <c r="G20" s="274">
        <f t="shared" si="5"/>
        <v>0.16759558826152252</v>
      </c>
      <c r="H20" s="275"/>
    </row>
  </sheetData>
  <pageMargins left="0.7" right="0.7" top="0.75" bottom="0.75" header="0.3" footer="0.3"/>
  <pageSetup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F3B1-133C-4DE6-A269-D3E40391D0FD}">
  <sheetPr>
    <pageSetUpPr fitToPage="1"/>
  </sheetPr>
  <dimension ref="A1:O77"/>
  <sheetViews>
    <sheetView workbookViewId="0">
      <selection sqref="A1:K73"/>
    </sheetView>
  </sheetViews>
  <sheetFormatPr defaultRowHeight="15" outlineLevelRow="2" x14ac:dyDescent="0.25"/>
  <cols>
    <col min="1" max="1" width="2.5546875" style="46" customWidth="1"/>
    <col min="2" max="2" width="12.5546875" style="46" customWidth="1"/>
    <col min="3" max="3" width="18.5546875" style="46" customWidth="1"/>
    <col min="4" max="4" width="24.5546875" style="46" customWidth="1"/>
    <col min="5" max="5" width="12.5546875" style="46" customWidth="1"/>
    <col min="6" max="9" width="12.5546875" style="143" customWidth="1"/>
    <col min="10" max="10" width="2.5546875" style="46" customWidth="1"/>
    <col min="11" max="11" width="3.5546875" style="46" customWidth="1"/>
    <col min="12" max="15" width="12.5546875" style="145" customWidth="1"/>
    <col min="16" max="16384" width="8.88671875" style="46"/>
  </cols>
  <sheetData>
    <row r="1" spans="1:15" x14ac:dyDescent="0.25">
      <c r="A1" s="101"/>
      <c r="B1" s="244"/>
      <c r="C1" s="244"/>
      <c r="D1" s="244"/>
      <c r="E1" s="244"/>
      <c r="F1" s="260"/>
      <c r="G1" s="260"/>
      <c r="H1" s="260"/>
      <c r="I1" s="260"/>
      <c r="J1" s="245"/>
    </row>
    <row r="2" spans="1:15" ht="18.75" x14ac:dyDescent="0.3">
      <c r="A2" s="105"/>
      <c r="B2" s="277" t="s">
        <v>240</v>
      </c>
      <c r="C2" s="277"/>
      <c r="D2" s="277"/>
      <c r="E2" s="277"/>
      <c r="F2" s="277"/>
      <c r="G2" s="277"/>
      <c r="H2" s="277"/>
      <c r="I2" s="277"/>
      <c r="J2" s="106"/>
    </row>
    <row r="3" spans="1:15" ht="18.75" x14ac:dyDescent="0.3">
      <c r="A3" s="105"/>
      <c r="B3" s="268"/>
      <c r="C3" s="268"/>
      <c r="D3" s="268"/>
      <c r="E3" s="268"/>
      <c r="F3" s="269"/>
      <c r="G3" s="269"/>
      <c r="H3" s="269"/>
      <c r="I3" s="269"/>
      <c r="J3" s="106"/>
    </row>
    <row r="4" spans="1:15" ht="18.75" x14ac:dyDescent="0.3">
      <c r="A4" s="105"/>
      <c r="B4" s="277" t="s">
        <v>147</v>
      </c>
      <c r="C4" s="277"/>
      <c r="D4" s="277"/>
      <c r="E4" s="277"/>
      <c r="F4" s="277"/>
      <c r="G4" s="277"/>
      <c r="H4" s="277"/>
      <c r="I4" s="277"/>
      <c r="J4" s="106"/>
    </row>
    <row r="5" spans="1:15" ht="18.75" x14ac:dyDescent="0.3">
      <c r="A5" s="105"/>
      <c r="B5" s="277" t="s">
        <v>242</v>
      </c>
      <c r="C5" s="277"/>
      <c r="D5" s="277"/>
      <c r="E5" s="277"/>
      <c r="F5" s="277"/>
      <c r="G5" s="277"/>
      <c r="H5" s="277"/>
      <c r="I5" s="277"/>
      <c r="J5" s="106"/>
    </row>
    <row r="6" spans="1:15" ht="18.75" x14ac:dyDescent="0.3">
      <c r="A6" s="105"/>
      <c r="B6" s="277" t="s">
        <v>243</v>
      </c>
      <c r="C6" s="277"/>
      <c r="D6" s="277"/>
      <c r="E6" s="277"/>
      <c r="F6" s="277"/>
      <c r="G6" s="277"/>
      <c r="H6" s="277"/>
      <c r="I6" s="277"/>
      <c r="J6" s="106"/>
    </row>
    <row r="7" spans="1:15" x14ac:dyDescent="0.25">
      <c r="A7" s="105"/>
      <c r="B7" s="137"/>
      <c r="C7" s="130"/>
      <c r="D7" s="137"/>
      <c r="E7" s="137"/>
      <c r="F7" s="261"/>
      <c r="G7" s="175"/>
      <c r="H7" s="175"/>
      <c r="I7" s="175"/>
      <c r="J7" s="106"/>
    </row>
    <row r="8" spans="1:15" x14ac:dyDescent="0.25">
      <c r="A8" s="105"/>
      <c r="B8" s="49"/>
      <c r="C8" s="130"/>
      <c r="D8" s="49"/>
      <c r="E8" s="48" t="s">
        <v>69</v>
      </c>
      <c r="F8" s="262" t="s">
        <v>69</v>
      </c>
      <c r="G8" s="262" t="s">
        <v>98</v>
      </c>
      <c r="H8" s="262" t="s">
        <v>24</v>
      </c>
      <c r="I8" s="262" t="s">
        <v>120</v>
      </c>
      <c r="J8" s="106"/>
      <c r="L8" s="146" t="s">
        <v>69</v>
      </c>
      <c r="M8" s="146" t="s">
        <v>98</v>
      </c>
      <c r="N8" s="146" t="s">
        <v>24</v>
      </c>
      <c r="O8" s="146" t="s">
        <v>120</v>
      </c>
    </row>
    <row r="9" spans="1:15" x14ac:dyDescent="0.25">
      <c r="A9" s="105"/>
      <c r="B9" s="49" t="s">
        <v>117</v>
      </c>
      <c r="C9" s="138" t="s">
        <v>146</v>
      </c>
      <c r="D9" s="49" t="s">
        <v>118</v>
      </c>
      <c r="E9" s="48" t="s">
        <v>119</v>
      </c>
      <c r="F9" s="262" t="s">
        <v>97</v>
      </c>
      <c r="G9" s="262" t="s">
        <v>99</v>
      </c>
      <c r="H9" s="262" t="s">
        <v>100</v>
      </c>
      <c r="I9" s="262" t="s">
        <v>101</v>
      </c>
      <c r="J9" s="106"/>
      <c r="L9" s="146" t="s">
        <v>97</v>
      </c>
      <c r="M9" s="146" t="s">
        <v>99</v>
      </c>
      <c r="N9" s="146" t="s">
        <v>100</v>
      </c>
      <c r="O9" s="146" t="s">
        <v>101</v>
      </c>
    </row>
    <row r="10" spans="1:15" outlineLevel="2" x14ac:dyDescent="0.25">
      <c r="A10" s="105"/>
      <c r="B10" s="147" t="str">
        <f>'Trial Balance'!A44</f>
        <v>200-6180.00</v>
      </c>
      <c r="C10" s="265" t="str">
        <f>'Trial Balance'!I44</f>
        <v>Chemicals</v>
      </c>
      <c r="D10" s="266" t="str">
        <f>'Trial Balance'!B44</f>
        <v>Chemicals</v>
      </c>
      <c r="E10" s="175">
        <f>'Trial Balance'!E44</f>
        <v>60000</v>
      </c>
      <c r="F10" s="176">
        <f>E10*L10</f>
        <v>60000</v>
      </c>
      <c r="G10" s="176">
        <f>E10*M10</f>
        <v>0</v>
      </c>
      <c r="H10" s="176">
        <f>E10*N10</f>
        <v>0</v>
      </c>
      <c r="I10" s="176">
        <f>E10*O10</f>
        <v>0</v>
      </c>
      <c r="J10" s="106"/>
      <c r="L10" s="151">
        <v>1</v>
      </c>
      <c r="M10" s="152">
        <v>0</v>
      </c>
      <c r="N10" s="152">
        <v>0</v>
      </c>
      <c r="O10" s="152">
        <v>0</v>
      </c>
    </row>
    <row r="11" spans="1:15" outlineLevel="2" x14ac:dyDescent="0.25">
      <c r="A11" s="105"/>
      <c r="B11" s="147" t="str">
        <f>'Trial Balance'!A45</f>
        <v>200-6180.20</v>
      </c>
      <c r="C11" s="265" t="str">
        <f>'Trial Balance'!I45</f>
        <v>Chemicals</v>
      </c>
      <c r="D11" s="266" t="str">
        <f>'Trial Balance'!B45</f>
        <v>Chemicals Plant</v>
      </c>
      <c r="E11" s="144">
        <f>'Trial Balance'!E45</f>
        <v>200000</v>
      </c>
      <c r="F11" s="150">
        <f>E11*L11</f>
        <v>200000</v>
      </c>
      <c r="G11" s="150">
        <f>E11*M11</f>
        <v>0</v>
      </c>
      <c r="H11" s="150">
        <f>E11*N11</f>
        <v>0</v>
      </c>
      <c r="I11" s="150">
        <f>E11*O11</f>
        <v>0</v>
      </c>
      <c r="J11" s="106"/>
      <c r="L11" s="151">
        <v>1</v>
      </c>
      <c r="M11" s="152">
        <v>0</v>
      </c>
      <c r="N11" s="152">
        <v>0</v>
      </c>
      <c r="O11" s="152">
        <v>0</v>
      </c>
    </row>
    <row r="12" spans="1:15" outlineLevel="1" x14ac:dyDescent="0.25">
      <c r="A12" s="105"/>
      <c r="B12" s="147"/>
      <c r="C12" s="267" t="s">
        <v>162</v>
      </c>
      <c r="D12" s="266"/>
      <c r="E12" s="175">
        <f>SUBTOTAL(9,E10:E11)</f>
        <v>260000</v>
      </c>
      <c r="F12" s="176">
        <f>SUBTOTAL(9,F10:F11)</f>
        <v>260000</v>
      </c>
      <c r="G12" s="176">
        <f>SUBTOTAL(9,G10:G11)</f>
        <v>0</v>
      </c>
      <c r="H12" s="176">
        <f>SUBTOTAL(9,H10:H11)</f>
        <v>0</v>
      </c>
      <c r="I12" s="176">
        <f>SUBTOTAL(9,I10:I11)</f>
        <v>0</v>
      </c>
      <c r="J12" s="106"/>
      <c r="L12" s="151"/>
      <c r="M12" s="152"/>
      <c r="N12" s="152"/>
      <c r="O12" s="152"/>
    </row>
    <row r="13" spans="1:15" outlineLevel="2" x14ac:dyDescent="0.25">
      <c r="A13" s="105"/>
      <c r="B13" s="147" t="str">
        <f>'Trial Balance'!A10</f>
        <v>200-6040.10</v>
      </c>
      <c r="C13" s="265" t="str">
        <f>'Trial Balance'!I10</f>
        <v>Employee Benefits</v>
      </c>
      <c r="D13" s="266" t="str">
        <f>'Trial Balance'!B10</f>
        <v>Empl Benef/Pension Raw Wa</v>
      </c>
      <c r="E13" s="175">
        <f>'Trial Balance'!E10</f>
        <v>10000</v>
      </c>
      <c r="F13" s="176">
        <f>E13*L13</f>
        <v>10000</v>
      </c>
      <c r="G13" s="176">
        <f>E13*M13</f>
        <v>0</v>
      </c>
      <c r="H13" s="176">
        <f>E13*N13</f>
        <v>0</v>
      </c>
      <c r="I13" s="176">
        <f>E13*O13</f>
        <v>0</v>
      </c>
      <c r="J13" s="106"/>
      <c r="L13" s="151">
        <v>1</v>
      </c>
      <c r="M13" s="152">
        <v>0</v>
      </c>
      <c r="N13" s="152">
        <v>0</v>
      </c>
      <c r="O13" s="152">
        <v>0</v>
      </c>
    </row>
    <row r="14" spans="1:15" outlineLevel="2" x14ac:dyDescent="0.25">
      <c r="A14" s="105"/>
      <c r="B14" s="147" t="str">
        <f>'Trial Balance'!A11</f>
        <v>200-6040.20</v>
      </c>
      <c r="C14" s="265" t="str">
        <f>'Trial Balance'!I11</f>
        <v>Employee Benefits</v>
      </c>
      <c r="D14" s="266" t="str">
        <f>'Trial Balance'!B11</f>
        <v>Empl Benef/Pension Plan</v>
      </c>
      <c r="E14" s="175">
        <f>'Trial Balance'!E11</f>
        <v>135000</v>
      </c>
      <c r="F14" s="176">
        <f>E14*L14</f>
        <v>89100</v>
      </c>
      <c r="G14" s="176">
        <f>E14*M14</f>
        <v>45900</v>
      </c>
      <c r="H14" s="176">
        <f>E14*N14</f>
        <v>0</v>
      </c>
      <c r="I14" s="176">
        <f>E14*O14</f>
        <v>0</v>
      </c>
      <c r="J14" s="106"/>
      <c r="L14" s="151">
        <v>0.66</v>
      </c>
      <c r="M14" s="152">
        <v>0.34</v>
      </c>
      <c r="N14" s="152">
        <v>0</v>
      </c>
      <c r="O14" s="152">
        <v>0</v>
      </c>
    </row>
    <row r="15" spans="1:15" outlineLevel="2" x14ac:dyDescent="0.25">
      <c r="A15" s="105"/>
      <c r="B15" s="147" t="str">
        <f>'Trial Balance'!A12</f>
        <v>200-6040.40</v>
      </c>
      <c r="C15" s="265" t="str">
        <f>'Trial Balance'!I12</f>
        <v>Employee Benefits</v>
      </c>
      <c r="D15" s="266" t="str">
        <f>'Trial Balance'!B12</f>
        <v>Empl Benef/Pension Dist</v>
      </c>
      <c r="E15" s="175">
        <f>'Trial Balance'!E12</f>
        <v>52000</v>
      </c>
      <c r="F15" s="176">
        <f>E15*L15</f>
        <v>0</v>
      </c>
      <c r="G15" s="176">
        <f>E15*M15</f>
        <v>52000</v>
      </c>
      <c r="H15" s="176">
        <f>E15*N15</f>
        <v>0</v>
      </c>
      <c r="I15" s="176">
        <f>E15*O15</f>
        <v>0</v>
      </c>
      <c r="J15" s="106"/>
      <c r="L15" s="151">
        <v>0</v>
      </c>
      <c r="M15" s="152">
        <v>1</v>
      </c>
      <c r="N15" s="152">
        <v>0</v>
      </c>
      <c r="O15" s="152">
        <v>0</v>
      </c>
    </row>
    <row r="16" spans="1:15" outlineLevel="2" x14ac:dyDescent="0.25">
      <c r="A16" s="105"/>
      <c r="B16" s="147" t="str">
        <f>'Trial Balance'!A13</f>
        <v>200-6040.50</v>
      </c>
      <c r="C16" s="265" t="str">
        <f>'Trial Balance'!I13</f>
        <v>Employee Benefits</v>
      </c>
      <c r="D16" s="266" t="str">
        <f>'Trial Balance'!B13</f>
        <v>Empl Benef/Pension Admin</v>
      </c>
      <c r="E16" s="144">
        <f>'Trial Balance'!E13</f>
        <v>50000</v>
      </c>
      <c r="F16" s="150">
        <f>E16*L16</f>
        <v>0</v>
      </c>
      <c r="G16" s="150">
        <f>E16*M16</f>
        <v>0</v>
      </c>
      <c r="H16" s="150">
        <f>E16*N16</f>
        <v>50000</v>
      </c>
      <c r="I16" s="150">
        <f>E16*O16</f>
        <v>0</v>
      </c>
      <c r="J16" s="106"/>
      <c r="L16" s="151">
        <v>0</v>
      </c>
      <c r="M16" s="152">
        <v>0</v>
      </c>
      <c r="N16" s="152">
        <v>1</v>
      </c>
      <c r="O16" s="152">
        <v>0</v>
      </c>
    </row>
    <row r="17" spans="1:15" outlineLevel="1" x14ac:dyDescent="0.25">
      <c r="A17" s="105"/>
      <c r="B17" s="147"/>
      <c r="C17" s="267" t="s">
        <v>163</v>
      </c>
      <c r="D17" s="266"/>
      <c r="E17" s="175">
        <f>SUBTOTAL(9,E13:E16)</f>
        <v>247000</v>
      </c>
      <c r="F17" s="176">
        <f>SUBTOTAL(9,F13:F16)</f>
        <v>99100</v>
      </c>
      <c r="G17" s="176">
        <f>SUBTOTAL(9,G13:G16)</f>
        <v>97900</v>
      </c>
      <c r="H17" s="176">
        <f>SUBTOTAL(9,H13:H16)</f>
        <v>50000</v>
      </c>
      <c r="I17" s="176">
        <f>SUBTOTAL(9,I13:I16)</f>
        <v>0</v>
      </c>
      <c r="J17" s="106"/>
      <c r="L17" s="151"/>
      <c r="M17" s="152"/>
      <c r="N17" s="152"/>
      <c r="O17" s="152"/>
    </row>
    <row r="18" spans="1:15" outlineLevel="2" x14ac:dyDescent="0.25">
      <c r="A18" s="105"/>
      <c r="B18" s="147" t="str">
        <f>'Trial Balance'!A16</f>
        <v>200-6200.50</v>
      </c>
      <c r="C18" s="265" t="str">
        <f>'Trial Balance'!I16</f>
        <v>General Expenses</v>
      </c>
      <c r="D18" s="266" t="str">
        <f>'Trial Balance'!B16</f>
        <v>Audit-Admin</v>
      </c>
      <c r="E18" s="175">
        <f>'Trial Balance'!E16</f>
        <v>3000</v>
      </c>
      <c r="F18" s="176">
        <f t="shared" ref="F18:F28" si="0">E18*L18</f>
        <v>0</v>
      </c>
      <c r="G18" s="176">
        <f t="shared" ref="G18:G28" si="1">E18*M18</f>
        <v>0</v>
      </c>
      <c r="H18" s="176">
        <f t="shared" ref="H18:H28" si="2">E18*N18</f>
        <v>0</v>
      </c>
      <c r="I18" s="176">
        <f t="shared" ref="I18:I28" si="3">E18*O18</f>
        <v>3000</v>
      </c>
      <c r="J18" s="106"/>
      <c r="L18" s="152">
        <v>0</v>
      </c>
      <c r="M18" s="152">
        <v>0</v>
      </c>
      <c r="N18" s="152">
        <v>0</v>
      </c>
      <c r="O18" s="152">
        <v>1</v>
      </c>
    </row>
    <row r="19" spans="1:15" outlineLevel="2" x14ac:dyDescent="0.25">
      <c r="A19" s="105"/>
      <c r="B19" s="147" t="str">
        <f>'Trial Balance'!A17</f>
        <v>200-6210.50</v>
      </c>
      <c r="C19" s="265" t="str">
        <f>'Trial Balance'!I17</f>
        <v>General Expenses</v>
      </c>
      <c r="D19" s="266" t="str">
        <f>'Trial Balance'!B17</f>
        <v>Miscellaneous-Admin</v>
      </c>
      <c r="E19" s="175">
        <f>'Trial Balance'!E17</f>
        <v>0</v>
      </c>
      <c r="F19" s="176">
        <f t="shared" si="0"/>
        <v>0</v>
      </c>
      <c r="G19" s="176">
        <f t="shared" si="1"/>
        <v>0</v>
      </c>
      <c r="H19" s="176">
        <f t="shared" si="2"/>
        <v>0</v>
      </c>
      <c r="I19" s="176">
        <f t="shared" si="3"/>
        <v>0</v>
      </c>
      <c r="J19" s="106"/>
      <c r="L19" s="152">
        <v>0</v>
      </c>
      <c r="M19" s="152">
        <v>0</v>
      </c>
      <c r="N19" s="152">
        <v>0</v>
      </c>
      <c r="O19" s="152">
        <v>1</v>
      </c>
    </row>
    <row r="20" spans="1:15" outlineLevel="2" x14ac:dyDescent="0.25">
      <c r="A20" s="105"/>
      <c r="B20" s="147" t="str">
        <f>'Trial Balance'!A18</f>
        <v>200-6320.50</v>
      </c>
      <c r="C20" s="265" t="str">
        <f>'Trial Balance'!I18</f>
        <v>General Expenses</v>
      </c>
      <c r="D20" s="266" t="str">
        <f>'Trial Balance'!B18</f>
        <v>Accounting Office Supplies</v>
      </c>
      <c r="E20" s="175">
        <f>'Trial Balance'!E18</f>
        <v>0</v>
      </c>
      <c r="F20" s="176">
        <f t="shared" si="0"/>
        <v>0</v>
      </c>
      <c r="G20" s="176">
        <f t="shared" si="1"/>
        <v>0</v>
      </c>
      <c r="H20" s="176">
        <f t="shared" si="2"/>
        <v>0</v>
      </c>
      <c r="I20" s="176">
        <f t="shared" si="3"/>
        <v>0</v>
      </c>
      <c r="J20" s="106"/>
      <c r="L20" s="152">
        <v>0</v>
      </c>
      <c r="M20" s="152">
        <v>0</v>
      </c>
      <c r="N20" s="152">
        <v>0</v>
      </c>
      <c r="O20" s="152">
        <v>1</v>
      </c>
    </row>
    <row r="21" spans="1:15" outlineLevel="2" x14ac:dyDescent="0.25">
      <c r="A21" s="105"/>
      <c r="B21" s="147" t="str">
        <f>'Trial Balance'!A23</f>
        <v>200-6340.50</v>
      </c>
      <c r="C21" s="265" t="str">
        <f>'Trial Balance'!I23</f>
        <v>General Expenses</v>
      </c>
      <c r="D21" s="266" t="str">
        <f>'Trial Balance'!B23</f>
        <v>Services-Other Admin</v>
      </c>
      <c r="E21" s="175">
        <f>'Trial Balance'!E23</f>
        <v>8500</v>
      </c>
      <c r="F21" s="176">
        <f t="shared" si="0"/>
        <v>0</v>
      </c>
      <c r="G21" s="176">
        <f t="shared" si="1"/>
        <v>0</v>
      </c>
      <c r="H21" s="176">
        <f t="shared" si="2"/>
        <v>0</v>
      </c>
      <c r="I21" s="176">
        <f t="shared" si="3"/>
        <v>8500</v>
      </c>
      <c r="J21" s="106"/>
      <c r="L21" s="152">
        <v>0</v>
      </c>
      <c r="M21" s="152">
        <v>0</v>
      </c>
      <c r="N21" s="152">
        <v>0</v>
      </c>
      <c r="O21" s="152">
        <v>1</v>
      </c>
    </row>
    <row r="22" spans="1:15" outlineLevel="2" x14ac:dyDescent="0.25">
      <c r="A22" s="105"/>
      <c r="B22" s="147" t="str">
        <f>'Trial Balance'!A31</f>
        <v>200-6600.50</v>
      </c>
      <c r="C22" s="265" t="str">
        <f>'Trial Balance'!I31</f>
        <v>General Expenses</v>
      </c>
      <c r="D22" s="266" t="str">
        <f>'Trial Balance'!B31</f>
        <v>Advertising Admin</v>
      </c>
      <c r="E22" s="175">
        <f>'Trial Balance'!E31</f>
        <v>0</v>
      </c>
      <c r="F22" s="176">
        <f t="shared" si="0"/>
        <v>0</v>
      </c>
      <c r="G22" s="176">
        <f t="shared" si="1"/>
        <v>0</v>
      </c>
      <c r="H22" s="176">
        <f t="shared" si="2"/>
        <v>0</v>
      </c>
      <c r="I22" s="176">
        <f t="shared" si="3"/>
        <v>0</v>
      </c>
      <c r="J22" s="106"/>
      <c r="L22" s="152">
        <v>0</v>
      </c>
      <c r="M22" s="152">
        <v>0</v>
      </c>
      <c r="N22" s="152">
        <v>0</v>
      </c>
      <c r="O22" s="152">
        <v>1</v>
      </c>
    </row>
    <row r="23" spans="1:15" outlineLevel="2" x14ac:dyDescent="0.25">
      <c r="A23" s="105"/>
      <c r="B23" s="147" t="str">
        <f>'Trial Balance'!A33</f>
        <v>200-6720.20</v>
      </c>
      <c r="C23" s="265" t="str">
        <f>'Trial Balance'!I33</f>
        <v>General Expenses</v>
      </c>
      <c r="D23" s="266" t="str">
        <f>'Trial Balance'!B33</f>
        <v>Telephone</v>
      </c>
      <c r="E23" s="175">
        <f>'Trial Balance'!E33</f>
        <v>5000</v>
      </c>
      <c r="F23" s="176">
        <f t="shared" si="0"/>
        <v>2500</v>
      </c>
      <c r="G23" s="176">
        <f t="shared" si="1"/>
        <v>2500</v>
      </c>
      <c r="H23" s="176">
        <f t="shared" si="2"/>
        <v>0</v>
      </c>
      <c r="I23" s="176">
        <f t="shared" si="3"/>
        <v>0</v>
      </c>
      <c r="J23" s="106"/>
      <c r="L23" s="152">
        <v>0.5</v>
      </c>
      <c r="M23" s="152">
        <v>0.5</v>
      </c>
      <c r="N23" s="152">
        <v>0</v>
      </c>
      <c r="O23" s="152">
        <v>0</v>
      </c>
    </row>
    <row r="24" spans="1:15" outlineLevel="2" x14ac:dyDescent="0.25">
      <c r="A24" s="105"/>
      <c r="B24" s="147" t="str">
        <f>'Trial Balance'!A35</f>
        <v>200-6720.50</v>
      </c>
      <c r="C24" s="265" t="str">
        <f>'Trial Balance'!I35</f>
        <v>General Expenses</v>
      </c>
      <c r="D24" s="266" t="str">
        <f>'Trial Balance'!B35</f>
        <v>Telephone Admin</v>
      </c>
      <c r="E24" s="175">
        <f>'Trial Balance'!E35</f>
        <v>0</v>
      </c>
      <c r="F24" s="176">
        <f t="shared" si="0"/>
        <v>0</v>
      </c>
      <c r="G24" s="176">
        <f t="shared" si="1"/>
        <v>0</v>
      </c>
      <c r="H24" s="176">
        <f t="shared" si="2"/>
        <v>0</v>
      </c>
      <c r="I24" s="176">
        <f t="shared" si="3"/>
        <v>0</v>
      </c>
      <c r="J24" s="106"/>
      <c r="L24" s="152">
        <v>0</v>
      </c>
      <c r="M24" s="152">
        <v>0</v>
      </c>
      <c r="N24" s="152">
        <v>0</v>
      </c>
      <c r="O24" s="152">
        <v>1</v>
      </c>
    </row>
    <row r="25" spans="1:15" outlineLevel="2" x14ac:dyDescent="0.25">
      <c r="A25" s="105"/>
      <c r="B25" s="147" t="str">
        <f>'Trial Balance'!A56</f>
        <v>200-6770.50</v>
      </c>
      <c r="C25" s="265" t="str">
        <f>'Trial Balance'!I56</f>
        <v>General Expenses</v>
      </c>
      <c r="D25" s="266" t="str">
        <f>'Trial Balance'!B56</f>
        <v>Postage Admin</v>
      </c>
      <c r="E25" s="175">
        <f>'Trial Balance'!E56</f>
        <v>1000</v>
      </c>
      <c r="F25" s="176">
        <f t="shared" si="0"/>
        <v>0</v>
      </c>
      <c r="G25" s="176">
        <f t="shared" si="1"/>
        <v>0</v>
      </c>
      <c r="H25" s="176">
        <f t="shared" si="2"/>
        <v>0</v>
      </c>
      <c r="I25" s="176">
        <f t="shared" si="3"/>
        <v>1000</v>
      </c>
      <c r="J25" s="106"/>
      <c r="L25" s="152">
        <v>0</v>
      </c>
      <c r="M25" s="152">
        <v>0</v>
      </c>
      <c r="N25" s="152">
        <v>0</v>
      </c>
      <c r="O25" s="152">
        <v>1</v>
      </c>
    </row>
    <row r="26" spans="1:15" outlineLevel="2" x14ac:dyDescent="0.25">
      <c r="A26" s="105"/>
      <c r="B26" s="147" t="str">
        <f>'Trial Balance'!A38</f>
        <v>200-6800.50</v>
      </c>
      <c r="C26" s="265" t="str">
        <f>'Trial Balance'!I38</f>
        <v>General Expenses</v>
      </c>
      <c r="D26" s="266" t="str">
        <f>'Trial Balance'!B38</f>
        <v>Dues/Subscriptions Admin</v>
      </c>
      <c r="E26" s="175">
        <f>'Trial Balance'!E38</f>
        <v>1500</v>
      </c>
      <c r="F26" s="176">
        <f t="shared" si="0"/>
        <v>0</v>
      </c>
      <c r="G26" s="176">
        <f t="shared" si="1"/>
        <v>0</v>
      </c>
      <c r="H26" s="176">
        <f t="shared" si="2"/>
        <v>0</v>
      </c>
      <c r="I26" s="176">
        <f t="shared" si="3"/>
        <v>1500</v>
      </c>
      <c r="J26" s="106"/>
      <c r="L26" s="152">
        <v>0</v>
      </c>
      <c r="M26" s="152">
        <v>0</v>
      </c>
      <c r="N26" s="152">
        <v>0</v>
      </c>
      <c r="O26" s="152">
        <v>1</v>
      </c>
    </row>
    <row r="27" spans="1:15" outlineLevel="2" x14ac:dyDescent="0.25">
      <c r="A27" s="105"/>
      <c r="B27" s="147" t="str">
        <f>'Trial Balance'!A40</f>
        <v>200-6840.10</v>
      </c>
      <c r="C27" s="265" t="str">
        <f>'Trial Balance'!I40</f>
        <v>General Expenses</v>
      </c>
      <c r="D27" s="266" t="str">
        <f>'Trial Balance'!B40</f>
        <v>Roof Repair/City Hall</v>
      </c>
      <c r="E27" s="175">
        <f>'Trial Balance'!E40</f>
        <v>0</v>
      </c>
      <c r="F27" s="176">
        <f t="shared" si="0"/>
        <v>0</v>
      </c>
      <c r="G27" s="176">
        <f t="shared" si="1"/>
        <v>0</v>
      </c>
      <c r="H27" s="176">
        <f t="shared" si="2"/>
        <v>0</v>
      </c>
      <c r="I27" s="176">
        <f t="shared" si="3"/>
        <v>0</v>
      </c>
      <c r="J27" s="106"/>
      <c r="L27" s="152">
        <v>0</v>
      </c>
      <c r="M27" s="152">
        <v>0</v>
      </c>
      <c r="N27" s="152">
        <v>0</v>
      </c>
      <c r="O27" s="152">
        <v>1</v>
      </c>
    </row>
    <row r="28" spans="1:15" outlineLevel="2" x14ac:dyDescent="0.25">
      <c r="A28" s="105"/>
      <c r="B28" s="147" t="str">
        <f>'Trial Balance'!A43</f>
        <v>200-6991.00</v>
      </c>
      <c r="C28" s="265" t="str">
        <f>'Trial Balance'!I43</f>
        <v>General Expenses</v>
      </c>
      <c r="D28" s="266" t="str">
        <f>'Trial Balance'!B43</f>
        <v>Bank Charges</v>
      </c>
      <c r="E28" s="144">
        <f>'Trial Balance'!E43</f>
        <v>0</v>
      </c>
      <c r="F28" s="150">
        <f t="shared" si="0"/>
        <v>0</v>
      </c>
      <c r="G28" s="150">
        <f t="shared" si="1"/>
        <v>0</v>
      </c>
      <c r="H28" s="150">
        <f t="shared" si="2"/>
        <v>0</v>
      </c>
      <c r="I28" s="150">
        <f t="shared" si="3"/>
        <v>0</v>
      </c>
      <c r="J28" s="106"/>
      <c r="L28" s="152">
        <v>0</v>
      </c>
      <c r="M28" s="152">
        <v>0</v>
      </c>
      <c r="N28" s="152">
        <v>0</v>
      </c>
      <c r="O28" s="152">
        <v>1</v>
      </c>
    </row>
    <row r="29" spans="1:15" outlineLevel="1" x14ac:dyDescent="0.25">
      <c r="A29" s="105"/>
      <c r="B29" s="147"/>
      <c r="C29" s="267" t="s">
        <v>164</v>
      </c>
      <c r="D29" s="266"/>
      <c r="E29" s="175">
        <f>SUBTOTAL(9,E18:E28)</f>
        <v>19000</v>
      </c>
      <c r="F29" s="176">
        <f>SUBTOTAL(9,F18:F28)</f>
        <v>2500</v>
      </c>
      <c r="G29" s="176">
        <f>SUBTOTAL(9,G18:G28)</f>
        <v>2500</v>
      </c>
      <c r="H29" s="176">
        <f>SUBTOTAL(9,H18:H28)</f>
        <v>0</v>
      </c>
      <c r="I29" s="176">
        <f>SUBTOTAL(9,I18:I28)</f>
        <v>14000</v>
      </c>
      <c r="J29" s="106"/>
      <c r="L29" s="152"/>
      <c r="M29" s="152"/>
      <c r="N29" s="152"/>
      <c r="O29" s="152"/>
    </row>
    <row r="30" spans="1:15" outlineLevel="2" x14ac:dyDescent="0.25">
      <c r="A30" s="105"/>
      <c r="B30" s="147" t="str">
        <f>'Trial Balance'!A24</f>
        <v>200-6560.10</v>
      </c>
      <c r="C30" s="265" t="str">
        <f>'Trial Balance'!I24</f>
        <v>Insurance</v>
      </c>
      <c r="D30" s="266" t="str">
        <f>'Trial Balance'!B24</f>
        <v>Insurance</v>
      </c>
      <c r="E30" s="175">
        <f>'Trial Balance'!E24</f>
        <v>55000</v>
      </c>
      <c r="F30" s="176">
        <f t="shared" ref="F30:F35" si="4">E30*L30</f>
        <v>41250</v>
      </c>
      <c r="G30" s="176">
        <f t="shared" ref="G30:G35" si="5">E30*M30</f>
        <v>13750</v>
      </c>
      <c r="H30" s="176">
        <f t="shared" ref="H30:H35" si="6">E30*N30</f>
        <v>0</v>
      </c>
      <c r="I30" s="176">
        <f t="shared" ref="I30:I35" si="7">E30*O30</f>
        <v>0</v>
      </c>
      <c r="J30" s="106"/>
      <c r="L30" s="152">
        <v>0.75</v>
      </c>
      <c r="M30" s="152">
        <v>0.25</v>
      </c>
      <c r="N30" s="152">
        <v>0</v>
      </c>
      <c r="O30" s="152">
        <v>0</v>
      </c>
    </row>
    <row r="31" spans="1:15" outlineLevel="2" x14ac:dyDescent="0.25">
      <c r="A31" s="105"/>
      <c r="B31" s="147" t="str">
        <f>'Trial Balance'!A25</f>
        <v>200-6560.20</v>
      </c>
      <c r="C31" s="265" t="str">
        <f>'Trial Balance'!I25</f>
        <v>Insurance</v>
      </c>
      <c r="D31" s="266" t="str">
        <f>'Trial Balance'!B25</f>
        <v>Insurance Plant</v>
      </c>
      <c r="E31" s="175">
        <f>'Trial Balance'!E25</f>
        <v>0</v>
      </c>
      <c r="F31" s="176">
        <f t="shared" si="4"/>
        <v>0</v>
      </c>
      <c r="G31" s="176">
        <f t="shared" si="5"/>
        <v>0</v>
      </c>
      <c r="H31" s="176">
        <f t="shared" si="6"/>
        <v>0</v>
      </c>
      <c r="I31" s="176">
        <f t="shared" si="7"/>
        <v>0</v>
      </c>
      <c r="J31" s="106"/>
      <c r="L31" s="151">
        <v>1</v>
      </c>
      <c r="M31" s="152">
        <v>0</v>
      </c>
      <c r="N31" s="152">
        <v>0</v>
      </c>
      <c r="O31" s="152">
        <v>0</v>
      </c>
    </row>
    <row r="32" spans="1:15" outlineLevel="2" x14ac:dyDescent="0.25">
      <c r="A32" s="105"/>
      <c r="B32" s="147" t="str">
        <f>'Trial Balance'!A26</f>
        <v>200-6560.40</v>
      </c>
      <c r="C32" s="265" t="str">
        <f>'Trial Balance'!I26</f>
        <v>Insurance</v>
      </c>
      <c r="D32" s="266" t="str">
        <f>'Trial Balance'!B26</f>
        <v>Insurance Vehicle/Equip Dist</v>
      </c>
      <c r="E32" s="175">
        <f>'Trial Balance'!E26</f>
        <v>0</v>
      </c>
      <c r="F32" s="176">
        <f t="shared" si="4"/>
        <v>0</v>
      </c>
      <c r="G32" s="176">
        <f t="shared" si="5"/>
        <v>0</v>
      </c>
      <c r="H32" s="176">
        <f t="shared" si="6"/>
        <v>0</v>
      </c>
      <c r="I32" s="176">
        <f t="shared" si="7"/>
        <v>0</v>
      </c>
      <c r="J32" s="106"/>
      <c r="L32" s="151">
        <v>0</v>
      </c>
      <c r="M32" s="152">
        <v>1</v>
      </c>
      <c r="N32" s="152">
        <v>0</v>
      </c>
      <c r="O32" s="152">
        <v>0</v>
      </c>
    </row>
    <row r="33" spans="1:15" outlineLevel="2" x14ac:dyDescent="0.25">
      <c r="A33" s="105"/>
      <c r="B33" s="147" t="str">
        <f>'Trial Balance'!A27</f>
        <v>200-6565.30</v>
      </c>
      <c r="C33" s="265" t="str">
        <f>'Trial Balance'!I27</f>
        <v>Insurance</v>
      </c>
      <c r="D33" s="266" t="str">
        <f>'Trial Balance'!B27</f>
        <v>Insurance Water Towers</v>
      </c>
      <c r="E33" s="175">
        <f>'Trial Balance'!E27</f>
        <v>0</v>
      </c>
      <c r="F33" s="176">
        <f t="shared" si="4"/>
        <v>0</v>
      </c>
      <c r="G33" s="176">
        <f t="shared" si="5"/>
        <v>0</v>
      </c>
      <c r="H33" s="176">
        <f t="shared" si="6"/>
        <v>0</v>
      </c>
      <c r="I33" s="176">
        <f t="shared" si="7"/>
        <v>0</v>
      </c>
      <c r="J33" s="106"/>
      <c r="L33" s="151">
        <v>0</v>
      </c>
      <c r="M33" s="152">
        <v>1</v>
      </c>
      <c r="N33" s="152">
        <v>0</v>
      </c>
      <c r="O33" s="152">
        <v>0</v>
      </c>
    </row>
    <row r="34" spans="1:15" outlineLevel="2" x14ac:dyDescent="0.25">
      <c r="A34" s="105"/>
      <c r="B34" s="147" t="str">
        <f>'Trial Balance'!A28</f>
        <v>200-6570.00</v>
      </c>
      <c r="C34" s="265" t="str">
        <f>'Trial Balance'!I28</f>
        <v>Insurance</v>
      </c>
      <c r="D34" s="266" t="str">
        <f>'Trial Balance'!B28</f>
        <v>Liability Insurance</v>
      </c>
      <c r="E34" s="175">
        <f>'Trial Balance'!E28</f>
        <v>0</v>
      </c>
      <c r="F34" s="176">
        <f t="shared" si="4"/>
        <v>0</v>
      </c>
      <c r="G34" s="176">
        <f t="shared" si="5"/>
        <v>0</v>
      </c>
      <c r="H34" s="176">
        <f t="shared" si="6"/>
        <v>0</v>
      </c>
      <c r="I34" s="176">
        <f t="shared" si="7"/>
        <v>0</v>
      </c>
      <c r="J34" s="106"/>
      <c r="L34" s="152">
        <v>0</v>
      </c>
      <c r="M34" s="152">
        <v>0</v>
      </c>
      <c r="N34" s="152">
        <v>0</v>
      </c>
      <c r="O34" s="152">
        <v>1</v>
      </c>
    </row>
    <row r="35" spans="1:15" outlineLevel="2" x14ac:dyDescent="0.25">
      <c r="A35" s="105"/>
      <c r="B35" s="147" t="str">
        <f>'Trial Balance'!A29</f>
        <v>200-6580.00</v>
      </c>
      <c r="C35" s="265" t="str">
        <f>'Trial Balance'!I29</f>
        <v>Insurance</v>
      </c>
      <c r="D35" s="266" t="str">
        <f>'Trial Balance'!B29</f>
        <v>Workmans Comp</v>
      </c>
      <c r="E35" s="144">
        <f>'Trial Balance'!E29</f>
        <v>10000</v>
      </c>
      <c r="F35" s="150">
        <f t="shared" si="4"/>
        <v>5000</v>
      </c>
      <c r="G35" s="150">
        <f t="shared" si="5"/>
        <v>5000</v>
      </c>
      <c r="H35" s="150">
        <f t="shared" si="6"/>
        <v>0</v>
      </c>
      <c r="I35" s="150">
        <f t="shared" si="7"/>
        <v>0</v>
      </c>
      <c r="J35" s="106"/>
      <c r="L35" s="152">
        <v>0.5</v>
      </c>
      <c r="M35" s="152">
        <v>0.5</v>
      </c>
      <c r="N35" s="152">
        <v>0</v>
      </c>
      <c r="O35" s="152">
        <v>0</v>
      </c>
    </row>
    <row r="36" spans="1:15" outlineLevel="1" x14ac:dyDescent="0.25">
      <c r="A36" s="105"/>
      <c r="B36" s="147"/>
      <c r="C36" s="267" t="s">
        <v>165</v>
      </c>
      <c r="D36" s="266"/>
      <c r="E36" s="175">
        <f>SUBTOTAL(9,E30:E35)</f>
        <v>65000</v>
      </c>
      <c r="F36" s="176">
        <f>SUBTOTAL(9,F30:F35)</f>
        <v>46250</v>
      </c>
      <c r="G36" s="176">
        <f>SUBTOTAL(9,G30:G35)</f>
        <v>18750</v>
      </c>
      <c r="H36" s="176">
        <f>SUBTOTAL(9,H30:H35)</f>
        <v>0</v>
      </c>
      <c r="I36" s="176">
        <f>SUBTOTAL(9,I30:I35)</f>
        <v>0</v>
      </c>
      <c r="J36" s="106"/>
      <c r="L36" s="152"/>
      <c r="M36" s="152"/>
      <c r="N36" s="152"/>
      <c r="O36" s="152"/>
    </row>
    <row r="37" spans="1:15" outlineLevel="2" x14ac:dyDescent="0.25">
      <c r="A37" s="105"/>
      <c r="B37" s="147" t="str">
        <f>'Trial Balance'!A39</f>
        <v>200-6820.10</v>
      </c>
      <c r="C37" s="265" t="str">
        <f>'Trial Balance'!I39</f>
        <v>Kentucky River Fee</v>
      </c>
      <c r="D37" s="266" t="str">
        <f>'Trial Balance'!B39</f>
        <v>Kentucky River Fee Raw Water</v>
      </c>
      <c r="E37" s="144">
        <f>'Trial Balance'!E39</f>
        <v>0</v>
      </c>
      <c r="F37" s="150">
        <f>E37*L37</f>
        <v>0</v>
      </c>
      <c r="G37" s="150">
        <f>E37*M37</f>
        <v>0</v>
      </c>
      <c r="H37" s="150">
        <f>E37*N37</f>
        <v>0</v>
      </c>
      <c r="I37" s="150">
        <f>E37*O37</f>
        <v>0</v>
      </c>
      <c r="J37" s="106"/>
      <c r="L37" s="151">
        <v>1</v>
      </c>
      <c r="M37" s="152">
        <v>0</v>
      </c>
      <c r="N37" s="152">
        <v>0</v>
      </c>
      <c r="O37" s="152">
        <v>0</v>
      </c>
    </row>
    <row r="38" spans="1:15" outlineLevel="1" x14ac:dyDescent="0.25">
      <c r="A38" s="105"/>
      <c r="B38" s="147"/>
      <c r="C38" s="267" t="s">
        <v>166</v>
      </c>
      <c r="D38" s="266"/>
      <c r="E38" s="175">
        <f>SUBTOTAL(9,E37:E37)</f>
        <v>0</v>
      </c>
      <c r="F38" s="176">
        <f>SUBTOTAL(9,F37:F37)</f>
        <v>0</v>
      </c>
      <c r="G38" s="176">
        <f>SUBTOTAL(9,G37:G37)</f>
        <v>0</v>
      </c>
      <c r="H38" s="176">
        <f>SUBTOTAL(9,H37:H37)</f>
        <v>0</v>
      </c>
      <c r="I38" s="176">
        <f>SUBTOTAL(9,I37:I37)</f>
        <v>0</v>
      </c>
      <c r="J38" s="106"/>
      <c r="L38" s="151"/>
      <c r="M38" s="152"/>
      <c r="N38" s="152"/>
      <c r="O38" s="152"/>
    </row>
    <row r="39" spans="1:15" outlineLevel="2" x14ac:dyDescent="0.25">
      <c r="A39" s="105"/>
      <c r="B39" s="147" t="str">
        <f>'Trial Balance'!A37</f>
        <v>200-6760.20</v>
      </c>
      <c r="C39" s="265" t="str">
        <f>'Trial Balance'!I37</f>
        <v>Laboratory</v>
      </c>
      <c r="D39" s="266" t="str">
        <f>'Trial Balance'!B37</f>
        <v>Lab Analysis Plant</v>
      </c>
      <c r="E39" s="144">
        <f>'Trial Balance'!E37</f>
        <v>12000</v>
      </c>
      <c r="F39" s="150">
        <f>E39*L39</f>
        <v>12000</v>
      </c>
      <c r="G39" s="150">
        <f>E39*M39</f>
        <v>0</v>
      </c>
      <c r="H39" s="150">
        <f>E39*N39</f>
        <v>0</v>
      </c>
      <c r="I39" s="150">
        <f>E39*O39</f>
        <v>0</v>
      </c>
      <c r="J39" s="106"/>
      <c r="L39" s="151">
        <v>1</v>
      </c>
      <c r="M39" s="152">
        <v>0</v>
      </c>
      <c r="N39" s="152">
        <v>0</v>
      </c>
      <c r="O39" s="152">
        <v>0</v>
      </c>
    </row>
    <row r="40" spans="1:15" outlineLevel="1" x14ac:dyDescent="0.25">
      <c r="A40" s="105"/>
      <c r="B40" s="147"/>
      <c r="C40" s="267" t="s">
        <v>167</v>
      </c>
      <c r="D40" s="266"/>
      <c r="E40" s="175">
        <f>SUBTOTAL(9,E39:E39)</f>
        <v>12000</v>
      </c>
      <c r="F40" s="176">
        <f>SUBTOTAL(9,F39:F39)</f>
        <v>12000</v>
      </c>
      <c r="G40" s="176">
        <f>SUBTOTAL(9,G39:G39)</f>
        <v>0</v>
      </c>
      <c r="H40" s="176">
        <f>SUBTOTAL(9,H39:H39)</f>
        <v>0</v>
      </c>
      <c r="I40" s="176">
        <f>SUBTOTAL(9,I39:I39)</f>
        <v>0</v>
      </c>
      <c r="J40" s="106"/>
      <c r="L40" s="151"/>
      <c r="M40" s="152"/>
      <c r="N40" s="152"/>
      <c r="O40" s="152"/>
    </row>
    <row r="41" spans="1:15" outlineLevel="2" x14ac:dyDescent="0.25">
      <c r="A41" s="105"/>
      <c r="B41" s="147" t="str">
        <f>'Trial Balance'!A19</f>
        <v>200-6340.10</v>
      </c>
      <c r="C41" s="265" t="str">
        <f>'Trial Balance'!I19</f>
        <v>Maintenance Contracts</v>
      </c>
      <c r="D41" s="266" t="str">
        <f>'Trial Balance'!B19</f>
        <v>Services-Raw Water</v>
      </c>
      <c r="E41" s="175">
        <f>'Trial Balance'!E19</f>
        <v>11000</v>
      </c>
      <c r="F41" s="176">
        <f>E41*L41</f>
        <v>11000</v>
      </c>
      <c r="G41" s="176">
        <f>E41*M41</f>
        <v>0</v>
      </c>
      <c r="H41" s="176">
        <f>E41*N41</f>
        <v>0</v>
      </c>
      <c r="I41" s="176">
        <f>E41*O41</f>
        <v>0</v>
      </c>
      <c r="J41" s="106"/>
      <c r="L41" s="151">
        <v>1</v>
      </c>
      <c r="M41" s="152">
        <v>0</v>
      </c>
      <c r="N41" s="152">
        <v>0</v>
      </c>
      <c r="O41" s="152">
        <v>0</v>
      </c>
    </row>
    <row r="42" spans="1:15" outlineLevel="2" x14ac:dyDescent="0.25">
      <c r="A42" s="105"/>
      <c r="B42" s="147" t="str">
        <f>'Trial Balance'!A20</f>
        <v>200-6340.20</v>
      </c>
      <c r="C42" s="265" t="str">
        <f>'Trial Balance'!I20</f>
        <v>Maintenance Contracts</v>
      </c>
      <c r="D42" s="266" t="str">
        <f>'Trial Balance'!B20</f>
        <v>Services-Treatment Plant</v>
      </c>
      <c r="E42" s="175">
        <f>'Trial Balance'!E20</f>
        <v>33000</v>
      </c>
      <c r="F42" s="176">
        <f>E42*L42</f>
        <v>33000</v>
      </c>
      <c r="G42" s="176">
        <f>E42*M42</f>
        <v>0</v>
      </c>
      <c r="H42" s="176">
        <f>E42*N42</f>
        <v>0</v>
      </c>
      <c r="I42" s="176">
        <f>E42*O42</f>
        <v>0</v>
      </c>
      <c r="J42" s="106"/>
      <c r="L42" s="151">
        <v>1</v>
      </c>
      <c r="M42" s="152">
        <v>0</v>
      </c>
      <c r="N42" s="152">
        <v>0</v>
      </c>
      <c r="O42" s="152">
        <v>0</v>
      </c>
    </row>
    <row r="43" spans="1:15" outlineLevel="2" x14ac:dyDescent="0.25">
      <c r="A43" s="105"/>
      <c r="B43" s="147" t="str">
        <f>'Trial Balance'!A21</f>
        <v>200-6340.30</v>
      </c>
      <c r="C43" s="265" t="str">
        <f>'Trial Balance'!I21</f>
        <v>Maintenance Contracts</v>
      </c>
      <c r="D43" s="266" t="str">
        <f>'Trial Balance'!B21</f>
        <v>Services-Storage</v>
      </c>
      <c r="E43" s="175">
        <f>'Trial Balance'!E21</f>
        <v>43000</v>
      </c>
      <c r="F43" s="176">
        <f>E43*L43</f>
        <v>0</v>
      </c>
      <c r="G43" s="176">
        <f>E43*M43</f>
        <v>43000</v>
      </c>
      <c r="H43" s="176">
        <f>E43*N43</f>
        <v>0</v>
      </c>
      <c r="I43" s="176">
        <f>E43*O43</f>
        <v>0</v>
      </c>
      <c r="J43" s="106"/>
      <c r="L43" s="151">
        <v>0</v>
      </c>
      <c r="M43" s="152">
        <v>1</v>
      </c>
      <c r="N43" s="152">
        <v>0</v>
      </c>
      <c r="O43" s="152">
        <v>0</v>
      </c>
    </row>
    <row r="44" spans="1:15" outlineLevel="2" x14ac:dyDescent="0.25">
      <c r="A44" s="105"/>
      <c r="B44" s="147" t="str">
        <f>'Trial Balance'!A22</f>
        <v>200-6340.40</v>
      </c>
      <c r="C44" s="265" t="str">
        <f>'Trial Balance'!I22</f>
        <v>Maintenance Contracts</v>
      </c>
      <c r="D44" s="266" t="str">
        <f>'Trial Balance'!B22</f>
        <v>Contract Services-Dist</v>
      </c>
      <c r="E44" s="144">
        <f>'Trial Balance'!E22</f>
        <v>6000</v>
      </c>
      <c r="F44" s="150">
        <f>E44*L44</f>
        <v>0</v>
      </c>
      <c r="G44" s="150">
        <f>E44*M44</f>
        <v>6000</v>
      </c>
      <c r="H44" s="150">
        <f>E44*N44</f>
        <v>0</v>
      </c>
      <c r="I44" s="150">
        <f>E44*O44</f>
        <v>0</v>
      </c>
      <c r="J44" s="106"/>
      <c r="L44" s="151">
        <v>0</v>
      </c>
      <c r="M44" s="152">
        <v>1</v>
      </c>
      <c r="N44" s="152">
        <v>0</v>
      </c>
      <c r="O44" s="152">
        <v>0</v>
      </c>
    </row>
    <row r="45" spans="1:15" outlineLevel="1" x14ac:dyDescent="0.25">
      <c r="A45" s="105"/>
      <c r="B45" s="147"/>
      <c r="C45" s="267" t="s">
        <v>168</v>
      </c>
      <c r="D45" s="266"/>
      <c r="E45" s="175">
        <f>SUBTOTAL(9,E41:E44)</f>
        <v>93000</v>
      </c>
      <c r="F45" s="176">
        <f>SUBTOTAL(9,F41:F44)</f>
        <v>44000</v>
      </c>
      <c r="G45" s="176">
        <f>SUBTOTAL(9,G41:G44)</f>
        <v>49000</v>
      </c>
      <c r="H45" s="176">
        <f>SUBTOTAL(9,H41:H44)</f>
        <v>0</v>
      </c>
      <c r="I45" s="176">
        <f>SUBTOTAL(9,I41:I44)</f>
        <v>0</v>
      </c>
      <c r="J45" s="106"/>
      <c r="L45" s="151"/>
      <c r="M45" s="152"/>
      <c r="N45" s="152"/>
      <c r="O45" s="152"/>
    </row>
    <row r="46" spans="1:15" outlineLevel="2" x14ac:dyDescent="0.25">
      <c r="A46" s="105"/>
      <c r="B46" s="147" t="str">
        <f>'Trial Balance'!A30</f>
        <v>200-6600.20</v>
      </c>
      <c r="C46" s="265" t="str">
        <f>'Trial Balance'!I30</f>
        <v>Miscellaneous</v>
      </c>
      <c r="D46" s="266" t="str">
        <f>'Trial Balance'!B30</f>
        <v>Advertising Plant</v>
      </c>
      <c r="E46" s="175">
        <f>'Trial Balance'!E30</f>
        <v>0</v>
      </c>
      <c r="F46" s="176">
        <f t="shared" ref="F46:F51" si="8">E46*L46</f>
        <v>0</v>
      </c>
      <c r="G46" s="176">
        <f t="shared" ref="G46:G51" si="9">E46*M46</f>
        <v>0</v>
      </c>
      <c r="H46" s="176">
        <f t="shared" ref="H46:H51" si="10">E46*N46</f>
        <v>0</v>
      </c>
      <c r="I46" s="176">
        <f t="shared" ref="I46:I51" si="11">E46*O46</f>
        <v>0</v>
      </c>
      <c r="J46" s="106"/>
      <c r="L46" s="151">
        <v>1</v>
      </c>
      <c r="M46" s="152">
        <v>0</v>
      </c>
      <c r="N46" s="152">
        <v>0</v>
      </c>
      <c r="O46" s="152">
        <v>0</v>
      </c>
    </row>
    <row r="47" spans="1:15" outlineLevel="2" x14ac:dyDescent="0.25">
      <c r="A47" s="105"/>
      <c r="B47" s="147" t="str">
        <f>'Trial Balance'!A32</f>
        <v>200-6720.10</v>
      </c>
      <c r="C47" s="265" t="str">
        <f>'Trial Balance'!I32</f>
        <v>Miscellaneous</v>
      </c>
      <c r="D47" s="266" t="str">
        <f>'Trial Balance'!B32</f>
        <v>Telephone Raw Water</v>
      </c>
      <c r="E47" s="175">
        <f>'Trial Balance'!E32</f>
        <v>0</v>
      </c>
      <c r="F47" s="176">
        <f t="shared" si="8"/>
        <v>0</v>
      </c>
      <c r="G47" s="176">
        <f t="shared" si="9"/>
        <v>0</v>
      </c>
      <c r="H47" s="176">
        <f t="shared" si="10"/>
        <v>0</v>
      </c>
      <c r="I47" s="176">
        <f t="shared" si="11"/>
        <v>0</v>
      </c>
      <c r="J47" s="106"/>
      <c r="L47" s="151">
        <v>1</v>
      </c>
      <c r="M47" s="152">
        <v>0</v>
      </c>
      <c r="N47" s="152">
        <v>0</v>
      </c>
      <c r="O47" s="152">
        <v>0</v>
      </c>
    </row>
    <row r="48" spans="1:15" outlineLevel="2" x14ac:dyDescent="0.25">
      <c r="A48" s="105"/>
      <c r="B48" s="147" t="str">
        <f>'Trial Balance'!A34</f>
        <v>200-6720.40</v>
      </c>
      <c r="C48" s="265" t="str">
        <f>'Trial Balance'!I34</f>
        <v>Miscellaneous</v>
      </c>
      <c r="D48" s="266" t="str">
        <f>'Trial Balance'!B34</f>
        <v>Telephone Dist</v>
      </c>
      <c r="E48" s="175">
        <f>'Trial Balance'!E34</f>
        <v>0</v>
      </c>
      <c r="F48" s="176">
        <f t="shared" si="8"/>
        <v>0</v>
      </c>
      <c r="G48" s="176">
        <f t="shared" si="9"/>
        <v>0</v>
      </c>
      <c r="H48" s="176">
        <f t="shared" si="10"/>
        <v>0</v>
      </c>
      <c r="I48" s="176">
        <f t="shared" si="11"/>
        <v>0</v>
      </c>
      <c r="J48" s="106"/>
      <c r="L48" s="151">
        <v>0</v>
      </c>
      <c r="M48" s="152">
        <v>1</v>
      </c>
      <c r="N48" s="152">
        <v>0</v>
      </c>
      <c r="O48" s="152">
        <v>0</v>
      </c>
    </row>
    <row r="49" spans="1:15" outlineLevel="2" x14ac:dyDescent="0.25">
      <c r="A49" s="105"/>
      <c r="B49" s="147" t="str">
        <f>'Trial Balance'!A36</f>
        <v>200-6740.50</v>
      </c>
      <c r="C49" s="265" t="str">
        <f>'Trial Balance'!I36</f>
        <v>Miscellaneous</v>
      </c>
      <c r="D49" s="266" t="str">
        <f>'Trial Balance'!B36</f>
        <v>New Water Plant</v>
      </c>
      <c r="E49" s="175">
        <f>'Trial Balance'!E36</f>
        <v>0</v>
      </c>
      <c r="F49" s="176">
        <f t="shared" si="8"/>
        <v>0</v>
      </c>
      <c r="G49" s="176">
        <f t="shared" si="9"/>
        <v>0</v>
      </c>
      <c r="H49" s="176">
        <f t="shared" si="10"/>
        <v>0</v>
      </c>
      <c r="I49" s="176">
        <f t="shared" si="11"/>
        <v>0</v>
      </c>
      <c r="J49" s="106"/>
      <c r="L49" s="151">
        <v>1</v>
      </c>
      <c r="M49" s="152">
        <v>0</v>
      </c>
      <c r="N49" s="152">
        <v>0</v>
      </c>
      <c r="O49" s="152">
        <v>0</v>
      </c>
    </row>
    <row r="50" spans="1:15" outlineLevel="2" x14ac:dyDescent="0.25">
      <c r="A50" s="105"/>
      <c r="B50" s="147" t="str">
        <f>'Trial Balance'!A41</f>
        <v>200-6950.20</v>
      </c>
      <c r="C50" s="265" t="str">
        <f>'Trial Balance'!I41</f>
        <v>Miscellaneous</v>
      </c>
      <c r="D50" s="266" t="str">
        <f>'Trial Balance'!B41</f>
        <v>Contingency Plant</v>
      </c>
      <c r="E50" s="175">
        <f>'Trial Balance'!E41</f>
        <v>0</v>
      </c>
      <c r="F50" s="176">
        <f t="shared" si="8"/>
        <v>0</v>
      </c>
      <c r="G50" s="176">
        <f t="shared" si="9"/>
        <v>0</v>
      </c>
      <c r="H50" s="176">
        <f t="shared" si="10"/>
        <v>0</v>
      </c>
      <c r="I50" s="176">
        <f t="shared" si="11"/>
        <v>0</v>
      </c>
      <c r="J50" s="106"/>
      <c r="L50" s="151">
        <v>1</v>
      </c>
      <c r="M50" s="152">
        <v>0</v>
      </c>
      <c r="N50" s="152">
        <v>0</v>
      </c>
      <c r="O50" s="152">
        <v>0</v>
      </c>
    </row>
    <row r="51" spans="1:15" outlineLevel="2" x14ac:dyDescent="0.25">
      <c r="A51" s="105"/>
      <c r="B51" s="147" t="str">
        <f>'Trial Balance'!A42</f>
        <v>200-6982.00</v>
      </c>
      <c r="C51" s="265" t="str">
        <f>'Trial Balance'!I42</f>
        <v>Miscellaneous</v>
      </c>
      <c r="D51" s="266" t="str">
        <f>'Trial Balance'!B42</f>
        <v>Water Short Lived Asset</v>
      </c>
      <c r="E51" s="144">
        <f>'Trial Balance'!E42</f>
        <v>0</v>
      </c>
      <c r="F51" s="150">
        <f t="shared" si="8"/>
        <v>0</v>
      </c>
      <c r="G51" s="150">
        <f t="shared" si="9"/>
        <v>0</v>
      </c>
      <c r="H51" s="150">
        <f t="shared" si="10"/>
        <v>0</v>
      </c>
      <c r="I51" s="150">
        <f t="shared" si="11"/>
        <v>0</v>
      </c>
      <c r="J51" s="106"/>
      <c r="L51" s="152">
        <v>0</v>
      </c>
      <c r="M51" s="152">
        <v>0</v>
      </c>
      <c r="N51" s="152">
        <v>0</v>
      </c>
      <c r="O51" s="152">
        <v>1</v>
      </c>
    </row>
    <row r="52" spans="1:15" outlineLevel="1" x14ac:dyDescent="0.25">
      <c r="A52" s="105"/>
      <c r="B52" s="147"/>
      <c r="C52" s="267" t="s">
        <v>169</v>
      </c>
      <c r="D52" s="266"/>
      <c r="E52" s="175">
        <f>SUBTOTAL(9,E46:E51)</f>
        <v>0</v>
      </c>
      <c r="F52" s="176">
        <f>SUBTOTAL(9,F46:F51)</f>
        <v>0</v>
      </c>
      <c r="G52" s="176">
        <f>SUBTOTAL(9,G46:G51)</f>
        <v>0</v>
      </c>
      <c r="H52" s="176">
        <f>SUBTOTAL(9,H46:H51)</f>
        <v>0</v>
      </c>
      <c r="I52" s="176">
        <f>SUBTOTAL(9,I46:I51)</f>
        <v>0</v>
      </c>
      <c r="J52" s="106"/>
      <c r="L52" s="152"/>
      <c r="M52" s="152"/>
      <c r="N52" s="152"/>
      <c r="O52" s="152"/>
    </row>
    <row r="53" spans="1:15" outlineLevel="2" x14ac:dyDescent="0.25">
      <c r="A53" s="105"/>
      <c r="B53" s="147" t="str">
        <f>'Trial Balance'!A46</f>
        <v>200-6200.10</v>
      </c>
      <c r="C53" s="265" t="str">
        <f>'Trial Balance'!I46</f>
        <v>Operating Supplies</v>
      </c>
      <c r="D53" s="266" t="str">
        <f>'Trial Balance'!B46</f>
        <v>Materials/Supplies Raw Water</v>
      </c>
      <c r="E53" s="175">
        <f>'Trial Balance'!E46</f>
        <v>3000</v>
      </c>
      <c r="F53" s="176">
        <f>E53*L53</f>
        <v>3000</v>
      </c>
      <c r="G53" s="176">
        <f>E53*M53</f>
        <v>0</v>
      </c>
      <c r="H53" s="176">
        <f>E53*N53</f>
        <v>0</v>
      </c>
      <c r="I53" s="176">
        <f>E53*O53</f>
        <v>0</v>
      </c>
      <c r="J53" s="106"/>
      <c r="L53" s="151">
        <v>1</v>
      </c>
      <c r="M53" s="152">
        <v>0</v>
      </c>
      <c r="N53" s="152">
        <v>0</v>
      </c>
      <c r="O53" s="152">
        <v>0</v>
      </c>
    </row>
    <row r="54" spans="1:15" outlineLevel="2" x14ac:dyDescent="0.25">
      <c r="A54" s="105"/>
      <c r="B54" s="147" t="str">
        <f>'Trial Balance'!A47</f>
        <v>200-6200.20</v>
      </c>
      <c r="C54" s="265" t="str">
        <f>'Trial Balance'!I47</f>
        <v>Operating Supplies</v>
      </c>
      <c r="D54" s="266" t="str">
        <f>'Trial Balance'!B47</f>
        <v>Materials/Supplies Plant</v>
      </c>
      <c r="E54" s="175">
        <f>'Trial Balance'!E47</f>
        <v>30000</v>
      </c>
      <c r="F54" s="176">
        <f>E54*L54</f>
        <v>30000</v>
      </c>
      <c r="G54" s="176">
        <f>E54*M54</f>
        <v>0</v>
      </c>
      <c r="H54" s="176">
        <f>E54*N54</f>
        <v>0</v>
      </c>
      <c r="I54" s="176">
        <f>E54*O54</f>
        <v>0</v>
      </c>
      <c r="J54" s="106"/>
      <c r="L54" s="151">
        <v>1</v>
      </c>
      <c r="M54" s="152">
        <v>0</v>
      </c>
      <c r="N54" s="152">
        <v>0</v>
      </c>
      <c r="O54" s="152">
        <v>0</v>
      </c>
    </row>
    <row r="55" spans="1:15" outlineLevel="2" x14ac:dyDescent="0.25">
      <c r="A55" s="105"/>
      <c r="B55" s="147" t="str">
        <f>'Trial Balance'!A48</f>
        <v>200-6200.40</v>
      </c>
      <c r="C55" s="265" t="str">
        <f>'Trial Balance'!I48</f>
        <v>Operating Supplies</v>
      </c>
      <c r="D55" s="266" t="str">
        <f>'Trial Balance'!B48</f>
        <v>Materials/Supplies Dist</v>
      </c>
      <c r="E55" s="175">
        <f>'Trial Balance'!E48</f>
        <v>30000</v>
      </c>
      <c r="F55" s="176">
        <f>E55*L55</f>
        <v>0</v>
      </c>
      <c r="G55" s="176">
        <f>E55*M55</f>
        <v>30000</v>
      </c>
      <c r="H55" s="176">
        <f>E55*N55</f>
        <v>0</v>
      </c>
      <c r="I55" s="176">
        <f>E55*O55</f>
        <v>0</v>
      </c>
      <c r="J55" s="106"/>
      <c r="L55" s="151">
        <v>0</v>
      </c>
      <c r="M55" s="152">
        <v>1</v>
      </c>
      <c r="N55" s="152">
        <v>0</v>
      </c>
      <c r="O55" s="152">
        <v>0</v>
      </c>
    </row>
    <row r="56" spans="1:15" outlineLevel="2" x14ac:dyDescent="0.25">
      <c r="A56" s="105"/>
      <c r="B56" s="147" t="str">
        <f>'Trial Balance'!A55</f>
        <v>200-6770.20</v>
      </c>
      <c r="C56" s="265" t="str">
        <f>'Trial Balance'!I55</f>
        <v>Operating Supplies</v>
      </c>
      <c r="D56" s="266" t="str">
        <f>'Trial Balance'!B55</f>
        <v>Postage Plant</v>
      </c>
      <c r="E56" s="144">
        <f>'Trial Balance'!E55</f>
        <v>1000</v>
      </c>
      <c r="F56" s="150">
        <f>E56*L56</f>
        <v>1000</v>
      </c>
      <c r="G56" s="150">
        <f>E56*M56</f>
        <v>0</v>
      </c>
      <c r="H56" s="150">
        <f>E56*N56</f>
        <v>0</v>
      </c>
      <c r="I56" s="150">
        <f>E56*O56</f>
        <v>0</v>
      </c>
      <c r="J56" s="106"/>
      <c r="L56" s="151">
        <v>1</v>
      </c>
      <c r="M56" s="152">
        <v>0</v>
      </c>
      <c r="N56" s="152">
        <v>0</v>
      </c>
      <c r="O56" s="152">
        <v>0</v>
      </c>
    </row>
    <row r="57" spans="1:15" outlineLevel="1" x14ac:dyDescent="0.25">
      <c r="A57" s="105"/>
      <c r="B57" s="147"/>
      <c r="C57" s="267" t="s">
        <v>170</v>
      </c>
      <c r="D57" s="266"/>
      <c r="E57" s="175">
        <f>SUBTOTAL(9,E53:E56)</f>
        <v>64000</v>
      </c>
      <c r="F57" s="176">
        <f>SUBTOTAL(9,F53:F56)</f>
        <v>34000</v>
      </c>
      <c r="G57" s="176">
        <f>SUBTOTAL(9,G53:G56)</f>
        <v>30000</v>
      </c>
      <c r="H57" s="176">
        <f>SUBTOTAL(9,H53:H56)</f>
        <v>0</v>
      </c>
      <c r="I57" s="176">
        <f>SUBTOTAL(9,I53:I56)</f>
        <v>0</v>
      </c>
      <c r="J57" s="106"/>
      <c r="L57" s="151"/>
      <c r="M57" s="152"/>
      <c r="N57" s="152"/>
      <c r="O57" s="152"/>
    </row>
    <row r="58" spans="1:15" outlineLevel="2" x14ac:dyDescent="0.25">
      <c r="A58" s="105"/>
      <c r="B58" s="147" t="str">
        <f>'Trial Balance'!A14</f>
        <v>200-6150.10</v>
      </c>
      <c r="C58" s="265" t="str">
        <f>'Trial Balance'!I14</f>
        <v>Purchased Power</v>
      </c>
      <c r="D58" s="266" t="str">
        <f>'Trial Balance'!B14</f>
        <v>Utilities Raw Water</v>
      </c>
      <c r="E58" s="175">
        <f>'Trial Balance'!E14</f>
        <v>245000</v>
      </c>
      <c r="F58" s="176">
        <f>E58*L58</f>
        <v>245000</v>
      </c>
      <c r="G58" s="176">
        <f>E58*M58</f>
        <v>0</v>
      </c>
      <c r="H58" s="176">
        <f>E58*N58</f>
        <v>0</v>
      </c>
      <c r="I58" s="176">
        <f>E58*O58</f>
        <v>0</v>
      </c>
      <c r="J58" s="106"/>
      <c r="L58" s="151">
        <v>1</v>
      </c>
      <c r="M58" s="152">
        <v>0</v>
      </c>
      <c r="N58" s="152">
        <v>0</v>
      </c>
      <c r="O58" s="152">
        <v>0</v>
      </c>
    </row>
    <row r="59" spans="1:15" outlineLevel="2" x14ac:dyDescent="0.25">
      <c r="A59" s="105"/>
      <c r="B59" s="147" t="str">
        <f>'Trial Balance'!A15</f>
        <v>200-6150.20</v>
      </c>
      <c r="C59" s="265" t="str">
        <f>'Trial Balance'!I15</f>
        <v>Purchased Power</v>
      </c>
      <c r="D59" s="266" t="str">
        <f>'Trial Balance'!B15</f>
        <v>Utilities Plant</v>
      </c>
      <c r="E59" s="144">
        <f>'Trial Balance'!E15</f>
        <v>120000</v>
      </c>
      <c r="F59" s="150">
        <f>E59*L59</f>
        <v>120000</v>
      </c>
      <c r="G59" s="150">
        <f>E59*M59</f>
        <v>0</v>
      </c>
      <c r="H59" s="150">
        <f>E59*N59</f>
        <v>0</v>
      </c>
      <c r="I59" s="150">
        <f>E59*O59</f>
        <v>0</v>
      </c>
      <c r="J59" s="106"/>
      <c r="L59" s="151">
        <v>1</v>
      </c>
      <c r="M59" s="152">
        <v>0</v>
      </c>
      <c r="N59" s="152">
        <v>0</v>
      </c>
      <c r="O59" s="152">
        <v>0</v>
      </c>
    </row>
    <row r="60" spans="1:15" outlineLevel="1" x14ac:dyDescent="0.25">
      <c r="A60" s="105"/>
      <c r="B60" s="147"/>
      <c r="C60" s="267" t="s">
        <v>171</v>
      </c>
      <c r="D60" s="266"/>
      <c r="E60" s="175">
        <f>SUBTOTAL(9,E58:E59)</f>
        <v>365000</v>
      </c>
      <c r="F60" s="176">
        <f>SUBTOTAL(9,F58:F59)</f>
        <v>365000</v>
      </c>
      <c r="G60" s="176">
        <f>SUBTOTAL(9,G58:G59)</f>
        <v>0</v>
      </c>
      <c r="H60" s="176">
        <f>SUBTOTAL(9,H58:H59)</f>
        <v>0</v>
      </c>
      <c r="I60" s="176">
        <f>SUBTOTAL(9,I58:I59)</f>
        <v>0</v>
      </c>
      <c r="J60" s="106"/>
      <c r="L60" s="151"/>
      <c r="M60" s="152"/>
      <c r="N60" s="152"/>
      <c r="O60" s="152"/>
    </row>
    <row r="61" spans="1:15" outlineLevel="2" x14ac:dyDescent="0.25">
      <c r="A61" s="105"/>
      <c r="B61" s="147" t="str">
        <f>'Trial Balance'!A7</f>
        <v>200-6010.20</v>
      </c>
      <c r="C61" s="265" t="str">
        <f>'Trial Balance'!I7</f>
        <v>Salaries and Wages</v>
      </c>
      <c r="D61" s="266" t="str">
        <f>'Trial Balance'!B7</f>
        <v>Salaries/Wages Plant</v>
      </c>
      <c r="E61" s="175">
        <f>'Trial Balance'!E7</f>
        <v>215000</v>
      </c>
      <c r="F61" s="176">
        <f>E61*L61</f>
        <v>215000</v>
      </c>
      <c r="G61" s="176">
        <f>E61*M61</f>
        <v>0</v>
      </c>
      <c r="H61" s="176">
        <f>E61*N61</f>
        <v>0</v>
      </c>
      <c r="I61" s="176">
        <f>E61*O61</f>
        <v>0</v>
      </c>
      <c r="J61" s="106"/>
      <c r="L61" s="151">
        <v>1</v>
      </c>
      <c r="M61" s="152">
        <v>0</v>
      </c>
      <c r="N61" s="152">
        <v>0</v>
      </c>
      <c r="O61" s="152">
        <v>0</v>
      </c>
    </row>
    <row r="62" spans="1:15" outlineLevel="2" x14ac:dyDescent="0.25">
      <c r="A62" s="105"/>
      <c r="B62" s="147" t="str">
        <f>'Trial Balance'!A8</f>
        <v>200-6010.40</v>
      </c>
      <c r="C62" s="265" t="str">
        <f>'Trial Balance'!I8</f>
        <v>Salaries and Wages</v>
      </c>
      <c r="D62" s="266" t="str">
        <f>'Trial Balance'!B8</f>
        <v>Salaries/Wages Distribution</v>
      </c>
      <c r="E62" s="175">
        <f>'Trial Balance'!E8</f>
        <v>145000</v>
      </c>
      <c r="F62" s="176">
        <f>E62*L62</f>
        <v>0</v>
      </c>
      <c r="G62" s="176">
        <f>E62*M62</f>
        <v>145000</v>
      </c>
      <c r="H62" s="176">
        <f>E62*N62</f>
        <v>0</v>
      </c>
      <c r="I62" s="176">
        <f>E62*O62</f>
        <v>0</v>
      </c>
      <c r="J62" s="106"/>
      <c r="L62" s="151">
        <v>0</v>
      </c>
      <c r="M62" s="152">
        <v>1</v>
      </c>
      <c r="N62" s="152">
        <v>0</v>
      </c>
      <c r="O62" s="152">
        <v>0</v>
      </c>
    </row>
    <row r="63" spans="1:15" outlineLevel="2" x14ac:dyDescent="0.25">
      <c r="A63" s="105"/>
      <c r="B63" s="147" t="str">
        <f>'Trial Balance'!A9</f>
        <v>200-6010.50</v>
      </c>
      <c r="C63" s="265" t="str">
        <f>'Trial Balance'!I9</f>
        <v>Salaries and Wages</v>
      </c>
      <c r="D63" s="266" t="str">
        <f>'Trial Balance'!B9</f>
        <v>Salaries Admin</v>
      </c>
      <c r="E63" s="144">
        <f>'Trial Balance'!E9</f>
        <v>100000</v>
      </c>
      <c r="F63" s="150">
        <f>E63*L63</f>
        <v>0</v>
      </c>
      <c r="G63" s="150">
        <f>E63*M63</f>
        <v>0</v>
      </c>
      <c r="H63" s="150">
        <f>E63*N63</f>
        <v>73000</v>
      </c>
      <c r="I63" s="150">
        <f>E63*O63</f>
        <v>27000</v>
      </c>
      <c r="J63" s="106"/>
      <c r="L63" s="151">
        <v>0</v>
      </c>
      <c r="M63" s="152">
        <v>0</v>
      </c>
      <c r="N63" s="152">
        <v>0.73</v>
      </c>
      <c r="O63" s="152">
        <v>0.27</v>
      </c>
    </row>
    <row r="64" spans="1:15" outlineLevel="1" x14ac:dyDescent="0.25">
      <c r="A64" s="105"/>
      <c r="B64" s="147"/>
      <c r="C64" s="267" t="s">
        <v>172</v>
      </c>
      <c r="D64" s="266"/>
      <c r="E64" s="175">
        <f>SUBTOTAL(9,E61:E63)</f>
        <v>460000</v>
      </c>
      <c r="F64" s="176">
        <f>SUBTOTAL(9,F61:F63)</f>
        <v>215000</v>
      </c>
      <c r="G64" s="176">
        <f>SUBTOTAL(9,G61:G63)</f>
        <v>145000</v>
      </c>
      <c r="H64" s="176">
        <f>SUBTOTAL(9,H61:H63)</f>
        <v>73000</v>
      </c>
      <c r="I64" s="176">
        <f>SUBTOTAL(9,I61:I63)</f>
        <v>27000</v>
      </c>
      <c r="J64" s="106"/>
      <c r="L64" s="151"/>
      <c r="M64" s="152"/>
      <c r="N64" s="152"/>
      <c r="O64" s="152"/>
    </row>
    <row r="65" spans="1:15" outlineLevel="2" x14ac:dyDescent="0.25">
      <c r="A65" s="105"/>
      <c r="B65" s="147" t="str">
        <f>'Trial Balance'!A49</f>
        <v>200-6420.10</v>
      </c>
      <c r="C65" s="265" t="str">
        <f>'Trial Balance'!I49</f>
        <v>Transportation</v>
      </c>
      <c r="D65" s="266" t="str">
        <f>'Trial Balance'!B49</f>
        <v>Equipment Rental Raw Water</v>
      </c>
      <c r="E65" s="175">
        <f>'Trial Balance'!E49</f>
        <v>500</v>
      </c>
      <c r="F65" s="176">
        <f t="shared" ref="F65:F70" si="12">E65*L65</f>
        <v>500</v>
      </c>
      <c r="G65" s="176">
        <f t="shared" ref="G65:G70" si="13">E65*M65</f>
        <v>0</v>
      </c>
      <c r="H65" s="176">
        <f t="shared" ref="H65:H70" si="14">E65*N65</f>
        <v>0</v>
      </c>
      <c r="I65" s="176">
        <f t="shared" ref="I65:I70" si="15">E65*O65</f>
        <v>0</v>
      </c>
      <c r="J65" s="106"/>
      <c r="L65" s="151">
        <v>1</v>
      </c>
      <c r="M65" s="152">
        <v>0</v>
      </c>
      <c r="N65" s="152">
        <v>0</v>
      </c>
      <c r="O65" s="152">
        <v>0</v>
      </c>
    </row>
    <row r="66" spans="1:15" outlineLevel="2" x14ac:dyDescent="0.25">
      <c r="A66" s="105"/>
      <c r="B66" s="147" t="str">
        <f>'Trial Balance'!A50</f>
        <v>200-6420.40</v>
      </c>
      <c r="C66" s="265" t="str">
        <f>'Trial Balance'!I50</f>
        <v>Transportation</v>
      </c>
      <c r="D66" s="266" t="str">
        <f>'Trial Balance'!B50</f>
        <v>Equipment Rental Dist</v>
      </c>
      <c r="E66" s="175">
        <f>'Trial Balance'!E50</f>
        <v>0</v>
      </c>
      <c r="F66" s="176">
        <f t="shared" si="12"/>
        <v>0</v>
      </c>
      <c r="G66" s="176">
        <f t="shared" si="13"/>
        <v>0</v>
      </c>
      <c r="H66" s="176">
        <f t="shared" si="14"/>
        <v>0</v>
      </c>
      <c r="I66" s="176">
        <f t="shared" si="15"/>
        <v>0</v>
      </c>
      <c r="J66" s="106"/>
      <c r="L66" s="151">
        <v>0</v>
      </c>
      <c r="M66" s="152">
        <v>1</v>
      </c>
      <c r="N66" s="152">
        <v>0</v>
      </c>
      <c r="O66" s="152">
        <v>0</v>
      </c>
    </row>
    <row r="67" spans="1:15" outlineLevel="2" x14ac:dyDescent="0.25">
      <c r="A67" s="105"/>
      <c r="B67" s="147" t="str">
        <f>'Trial Balance'!A51</f>
        <v>200-6500.10</v>
      </c>
      <c r="C67" s="265" t="str">
        <f>'Trial Balance'!I51</f>
        <v>Transportation</v>
      </c>
      <c r="D67" s="266" t="str">
        <f>'Trial Balance'!B51</f>
        <v>Vehicle Gas</v>
      </c>
      <c r="E67" s="175">
        <f>'Trial Balance'!E51</f>
        <v>1000</v>
      </c>
      <c r="F67" s="176">
        <f t="shared" si="12"/>
        <v>200</v>
      </c>
      <c r="G67" s="176">
        <f t="shared" si="13"/>
        <v>800</v>
      </c>
      <c r="H67" s="176">
        <f t="shared" si="14"/>
        <v>0</v>
      </c>
      <c r="I67" s="176">
        <f t="shared" si="15"/>
        <v>0</v>
      </c>
      <c r="J67" s="106"/>
      <c r="L67" s="152">
        <v>0.2</v>
      </c>
      <c r="M67" s="152">
        <v>0.8</v>
      </c>
      <c r="N67" s="152">
        <v>0</v>
      </c>
      <c r="O67" s="152">
        <v>0</v>
      </c>
    </row>
    <row r="68" spans="1:15" outlineLevel="2" x14ac:dyDescent="0.25">
      <c r="A68" s="105"/>
      <c r="B68" s="147" t="str">
        <f>'Trial Balance'!A52</f>
        <v>200-6500.20</v>
      </c>
      <c r="C68" s="265" t="str">
        <f>'Trial Balance'!I52</f>
        <v>Transportation</v>
      </c>
      <c r="D68" s="266" t="str">
        <f>'Trial Balance'!B52</f>
        <v>Vehicle Gas Plant</v>
      </c>
      <c r="E68" s="175">
        <f>'Trial Balance'!E52</f>
        <v>750</v>
      </c>
      <c r="F68" s="176">
        <f t="shared" si="12"/>
        <v>750</v>
      </c>
      <c r="G68" s="176">
        <f t="shared" si="13"/>
        <v>0</v>
      </c>
      <c r="H68" s="176">
        <f t="shared" si="14"/>
        <v>0</v>
      </c>
      <c r="I68" s="176">
        <f t="shared" si="15"/>
        <v>0</v>
      </c>
      <c r="J68" s="106"/>
      <c r="L68" s="151">
        <v>1</v>
      </c>
      <c r="M68" s="152">
        <v>0</v>
      </c>
      <c r="N68" s="152">
        <v>0</v>
      </c>
      <c r="O68" s="152">
        <v>0</v>
      </c>
    </row>
    <row r="69" spans="1:15" outlineLevel="2" x14ac:dyDescent="0.25">
      <c r="A69" s="105"/>
      <c r="B69" s="147" t="str">
        <f>'Trial Balance'!A53</f>
        <v>200-6500.40</v>
      </c>
      <c r="C69" s="265" t="str">
        <f>'Trial Balance'!I53</f>
        <v>Transportation</v>
      </c>
      <c r="D69" s="266" t="str">
        <f>'Trial Balance'!B53</f>
        <v>Vehicle Gas Dist</v>
      </c>
      <c r="E69" s="175">
        <f>'Trial Balance'!E53</f>
        <v>13500</v>
      </c>
      <c r="F69" s="176">
        <f t="shared" si="12"/>
        <v>0</v>
      </c>
      <c r="G69" s="176">
        <f t="shared" si="13"/>
        <v>13500</v>
      </c>
      <c r="H69" s="176">
        <f t="shared" si="14"/>
        <v>0</v>
      </c>
      <c r="I69" s="176">
        <f t="shared" si="15"/>
        <v>0</v>
      </c>
      <c r="J69" s="106"/>
      <c r="L69" s="151">
        <v>0</v>
      </c>
      <c r="M69" s="152">
        <v>1</v>
      </c>
      <c r="N69" s="152">
        <v>0</v>
      </c>
      <c r="O69" s="152">
        <v>0</v>
      </c>
    </row>
    <row r="70" spans="1:15" outlineLevel="2" x14ac:dyDescent="0.25">
      <c r="A70" s="105"/>
      <c r="B70" s="147" t="str">
        <f>'Trial Balance'!A54</f>
        <v>200-6500.50</v>
      </c>
      <c r="C70" s="265" t="str">
        <f>'Trial Balance'!I54</f>
        <v>Transportation</v>
      </c>
      <c r="D70" s="266" t="str">
        <f>'Trial Balance'!B54</f>
        <v>Vehicle Maint</v>
      </c>
      <c r="E70" s="144">
        <f>'Trial Balance'!E54</f>
        <v>9000</v>
      </c>
      <c r="F70" s="150">
        <f t="shared" si="12"/>
        <v>1800</v>
      </c>
      <c r="G70" s="150">
        <f t="shared" si="13"/>
        <v>7200</v>
      </c>
      <c r="H70" s="150">
        <f t="shared" si="14"/>
        <v>0</v>
      </c>
      <c r="I70" s="150">
        <f t="shared" si="15"/>
        <v>0</v>
      </c>
      <c r="J70" s="106"/>
      <c r="L70" s="152">
        <v>0.2</v>
      </c>
      <c r="M70" s="152">
        <v>0.8</v>
      </c>
      <c r="N70" s="152">
        <v>0</v>
      </c>
      <c r="O70" s="152">
        <v>0</v>
      </c>
    </row>
    <row r="71" spans="1:15" outlineLevel="1" x14ac:dyDescent="0.25">
      <c r="A71" s="105"/>
      <c r="B71" s="147"/>
      <c r="C71" s="267" t="s">
        <v>173</v>
      </c>
      <c r="D71" s="266"/>
      <c r="E71" s="175">
        <f>SUBTOTAL(9,E65:E70)</f>
        <v>24750</v>
      </c>
      <c r="F71" s="176">
        <f>SUBTOTAL(9,F65:F70)</f>
        <v>3250</v>
      </c>
      <c r="G71" s="176">
        <f>SUBTOTAL(9,G65:G70)</f>
        <v>21500</v>
      </c>
      <c r="H71" s="176">
        <f>SUBTOTAL(9,H65:H70)</f>
        <v>0</v>
      </c>
      <c r="I71" s="176">
        <f>SUBTOTAL(9,I65:I70)</f>
        <v>0</v>
      </c>
      <c r="J71" s="106"/>
      <c r="L71" s="152"/>
      <c r="M71" s="152"/>
      <c r="N71" s="152"/>
      <c r="O71" s="152"/>
    </row>
    <row r="72" spans="1:15" x14ac:dyDescent="0.25">
      <c r="A72" s="105"/>
      <c r="B72" s="147"/>
      <c r="C72" s="267" t="s">
        <v>174</v>
      </c>
      <c r="D72" s="266"/>
      <c r="E72" s="175">
        <f>SUBTOTAL(9,E10:E70)</f>
        <v>1609750</v>
      </c>
      <c r="F72" s="176">
        <f>SUBTOTAL(9,F10:F70)</f>
        <v>1081100</v>
      </c>
      <c r="G72" s="176">
        <f>SUBTOTAL(9,G10:G70)</f>
        <v>364650</v>
      </c>
      <c r="H72" s="176">
        <f>SUBTOTAL(9,H10:H70)</f>
        <v>123000</v>
      </c>
      <c r="I72" s="176">
        <f>SUBTOTAL(9,I10:I70)</f>
        <v>41000</v>
      </c>
      <c r="J72" s="106"/>
      <c r="L72" s="152"/>
      <c r="M72" s="152"/>
      <c r="N72" s="152"/>
      <c r="O72" s="152"/>
    </row>
    <row r="73" spans="1:15" x14ac:dyDescent="0.25">
      <c r="A73" s="126"/>
      <c r="B73" s="127"/>
      <c r="C73" s="127"/>
      <c r="D73" s="127"/>
      <c r="E73" s="144"/>
      <c r="F73" s="144"/>
      <c r="G73" s="144"/>
      <c r="H73" s="144"/>
      <c r="I73" s="144"/>
      <c r="J73" s="129"/>
    </row>
    <row r="75" spans="1:15" x14ac:dyDescent="0.25">
      <c r="D75" s="46" t="s">
        <v>148</v>
      </c>
      <c r="E75" s="47">
        <f>SUM(F72:I72)</f>
        <v>1609750</v>
      </c>
      <c r="F75" s="173" t="str">
        <f>IF(E75=E72,"OK","Out of Balance")</f>
        <v>OK</v>
      </c>
    </row>
    <row r="76" spans="1:15" x14ac:dyDescent="0.25">
      <c r="F76" s="173"/>
    </row>
    <row r="77" spans="1:15" x14ac:dyDescent="0.25">
      <c r="D77" s="46" t="s">
        <v>149</v>
      </c>
      <c r="E77" s="47">
        <f>'Trial Balance'!E57</f>
        <v>1609750</v>
      </c>
      <c r="F77" s="173" t="str">
        <f>IF(E77=E72,"OK","Out of Balance")</f>
        <v>OK</v>
      </c>
    </row>
  </sheetData>
  <sortState xmlns:xlrd2="http://schemas.microsoft.com/office/spreadsheetml/2017/richdata2" ref="B10:O70">
    <sortCondition ref="C10:C70"/>
    <sortCondition ref="B10:B70"/>
  </sortState>
  <mergeCells count="4">
    <mergeCell ref="B2:I2"/>
    <mergeCell ref="B4:I4"/>
    <mergeCell ref="B5:I5"/>
    <mergeCell ref="B6:I6"/>
  </mergeCells>
  <pageMargins left="0.25" right="0.25" top="0.75" bottom="0.75" header="0.3" footer="0.3"/>
  <pageSetup scale="6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AD632-F5B9-40BF-B275-4CFD59667848}">
  <sheetPr>
    <pageSetUpPr fitToPage="1"/>
  </sheetPr>
  <dimension ref="A2:P36"/>
  <sheetViews>
    <sheetView topLeftCell="A5" workbookViewId="0">
      <selection activeCell="M27" sqref="A1:M27"/>
    </sheetView>
  </sheetViews>
  <sheetFormatPr defaultRowHeight="15.75" x14ac:dyDescent="0.25"/>
  <cols>
    <col min="1" max="1" width="3.109375" style="259" customWidth="1"/>
    <col min="2" max="2" width="1.33203125" customWidth="1"/>
    <col min="3" max="3" width="23.6640625" bestFit="1" customWidth="1"/>
    <col min="4" max="6" width="9.77734375" customWidth="1"/>
    <col min="7" max="11" width="12.5546875" customWidth="1"/>
    <col min="12" max="12" width="1.33203125" customWidth="1"/>
    <col min="13" max="13" width="2.5546875" customWidth="1"/>
  </cols>
  <sheetData>
    <row r="2" spans="1:13" x14ac:dyDescent="0.25">
      <c r="B2" s="15"/>
      <c r="C2" s="16"/>
      <c r="D2" s="16"/>
      <c r="E2" s="16"/>
      <c r="F2" s="16"/>
      <c r="G2" s="16"/>
      <c r="H2" s="16"/>
      <c r="I2" s="16"/>
      <c r="J2" s="16"/>
      <c r="K2" s="16"/>
      <c r="L2" s="17"/>
      <c r="M2" s="7"/>
    </row>
    <row r="3" spans="1:13" ht="18.75" x14ac:dyDescent="0.3">
      <c r="B3" s="8"/>
      <c r="C3" s="278" t="s">
        <v>0</v>
      </c>
      <c r="D3" s="278"/>
      <c r="E3" s="278"/>
      <c r="F3" s="278"/>
      <c r="G3" s="278"/>
      <c r="H3" s="278"/>
      <c r="I3" s="278"/>
      <c r="J3" s="278"/>
      <c r="K3" s="278"/>
      <c r="L3" s="18"/>
      <c r="M3" s="11"/>
    </row>
    <row r="4" spans="1:13" ht="18.75" x14ac:dyDescent="0.3">
      <c r="B4" s="8"/>
      <c r="C4" s="9" t="s">
        <v>110</v>
      </c>
      <c r="D4" s="10"/>
      <c r="E4" s="10"/>
      <c r="F4" s="10"/>
      <c r="G4" s="10"/>
      <c r="H4" s="10"/>
      <c r="I4" s="10"/>
      <c r="J4" s="10"/>
      <c r="K4" s="10"/>
      <c r="L4" s="18"/>
      <c r="M4" s="11"/>
    </row>
    <row r="5" spans="1:13" x14ac:dyDescent="0.25">
      <c r="B5" s="8"/>
      <c r="C5" s="1" t="s">
        <v>147</v>
      </c>
      <c r="D5" s="10"/>
      <c r="E5" s="10"/>
      <c r="F5" s="10"/>
      <c r="G5" s="10"/>
      <c r="H5" s="10"/>
      <c r="I5" s="10"/>
      <c r="J5" s="10"/>
      <c r="K5" s="10"/>
      <c r="L5" s="18"/>
      <c r="M5" s="11"/>
    </row>
    <row r="6" spans="1:13" x14ac:dyDescent="0.25">
      <c r="B6" s="8"/>
      <c r="C6" s="11"/>
      <c r="D6" s="11"/>
      <c r="E6" s="11"/>
      <c r="F6" s="11"/>
      <c r="G6" s="11"/>
      <c r="H6" s="11"/>
      <c r="I6" s="11"/>
      <c r="J6" s="11"/>
      <c r="K6" s="11"/>
      <c r="L6" s="18"/>
      <c r="M6" s="11"/>
    </row>
    <row r="7" spans="1:13" x14ac:dyDescent="0.25">
      <c r="B7" s="8"/>
      <c r="C7" s="11"/>
      <c r="D7" s="11"/>
      <c r="E7" s="11"/>
      <c r="F7" s="11"/>
      <c r="G7" s="11"/>
      <c r="H7" s="11"/>
      <c r="I7" s="11"/>
      <c r="J7" s="11"/>
      <c r="K7" s="11"/>
      <c r="L7" s="18"/>
      <c r="M7" s="11"/>
    </row>
    <row r="8" spans="1:13" x14ac:dyDescent="0.25">
      <c r="B8" s="8"/>
      <c r="C8" s="11"/>
      <c r="D8" s="258"/>
      <c r="E8" s="155" t="s">
        <v>153</v>
      </c>
      <c r="F8" s="156"/>
      <c r="G8" s="45" t="s">
        <v>69</v>
      </c>
      <c r="H8" s="45" t="s">
        <v>125</v>
      </c>
      <c r="I8" s="45" t="s">
        <v>102</v>
      </c>
      <c r="J8" s="45" t="s">
        <v>126</v>
      </c>
      <c r="K8" s="12"/>
      <c r="L8" s="18"/>
      <c r="M8" s="11"/>
    </row>
    <row r="9" spans="1:13" x14ac:dyDescent="0.25">
      <c r="B9" s="8"/>
      <c r="C9" s="11"/>
      <c r="D9" s="161" t="s">
        <v>152</v>
      </c>
      <c r="E9" s="161" t="s">
        <v>154</v>
      </c>
      <c r="F9" s="162" t="s">
        <v>16</v>
      </c>
      <c r="G9" s="161" t="s">
        <v>70</v>
      </c>
      <c r="H9" s="161" t="s">
        <v>26</v>
      </c>
      <c r="I9" s="161" t="s">
        <v>103</v>
      </c>
      <c r="J9" s="161" t="s">
        <v>127</v>
      </c>
      <c r="K9" s="161" t="s">
        <v>24</v>
      </c>
      <c r="L9" s="22"/>
      <c r="M9" s="11"/>
    </row>
    <row r="10" spans="1:13" x14ac:dyDescent="0.25">
      <c r="B10" s="8"/>
      <c r="C10" s="11"/>
      <c r="D10" s="11"/>
      <c r="E10" s="11"/>
      <c r="F10" s="18"/>
      <c r="G10" s="11"/>
      <c r="H10" s="11"/>
      <c r="I10" s="11"/>
      <c r="J10" s="11"/>
      <c r="K10" s="11"/>
      <c r="L10" s="18"/>
      <c r="M10" s="11"/>
    </row>
    <row r="11" spans="1:13" x14ac:dyDescent="0.25">
      <c r="A11" s="259">
        <v>1</v>
      </c>
      <c r="B11" s="8"/>
      <c r="C11" s="11" t="s">
        <v>122</v>
      </c>
      <c r="D11" s="25">
        <f>17396.88+11400+2856.84+7089.63+584.03</f>
        <v>39327.379999999997</v>
      </c>
      <c r="E11" s="25">
        <f>E33</f>
        <v>7142.8571428571431</v>
      </c>
      <c r="F11" s="39">
        <f>D11+E11</f>
        <v>46470.237142857142</v>
      </c>
      <c r="G11" s="25">
        <f>F11</f>
        <v>46470.237142857142</v>
      </c>
      <c r="H11" s="25">
        <v>0</v>
      </c>
      <c r="I11" s="25">
        <v>0</v>
      </c>
      <c r="J11" s="25">
        <v>0</v>
      </c>
      <c r="K11" s="25">
        <v>0</v>
      </c>
      <c r="L11" s="18"/>
      <c r="M11" s="7"/>
    </row>
    <row r="12" spans="1:13" x14ac:dyDescent="0.25">
      <c r="A12" s="259">
        <f>A11+1</f>
        <v>2</v>
      </c>
      <c r="B12" s="8"/>
      <c r="C12" s="11" t="s">
        <v>123</v>
      </c>
      <c r="D12" s="25">
        <f>39078.38+17132.19+2015.24+3489.5-1674.36+1000+141.2</f>
        <v>61182.149999999987</v>
      </c>
      <c r="E12" s="25">
        <f>E32</f>
        <v>268528.28571428574</v>
      </c>
      <c r="F12" s="39">
        <f t="shared" ref="F12:F25" si="0">D12+E12</f>
        <v>329710.4357142857</v>
      </c>
      <c r="G12" s="25">
        <f>F12</f>
        <v>329710.4357142857</v>
      </c>
      <c r="H12" s="25">
        <v>0</v>
      </c>
      <c r="I12" s="25">
        <v>0</v>
      </c>
      <c r="J12" s="25">
        <v>0</v>
      </c>
      <c r="K12" s="25">
        <v>0</v>
      </c>
      <c r="L12" s="18"/>
      <c r="M12" s="7"/>
    </row>
    <row r="13" spans="1:13" x14ac:dyDescent="0.25">
      <c r="A13" s="259">
        <f t="shared" ref="A13:A23" si="1">A12+1</f>
        <v>3</v>
      </c>
      <c r="B13" s="8"/>
      <c r="C13" s="11" t="s">
        <v>121</v>
      </c>
      <c r="D13" s="25">
        <v>0</v>
      </c>
      <c r="E13" s="25">
        <v>0</v>
      </c>
      <c r="F13" s="39">
        <f t="shared" si="0"/>
        <v>0</v>
      </c>
      <c r="G13" s="25">
        <f>D13</f>
        <v>0</v>
      </c>
      <c r="H13" s="25">
        <v>0</v>
      </c>
      <c r="I13" s="25">
        <v>0</v>
      </c>
      <c r="J13" s="25">
        <v>0</v>
      </c>
      <c r="K13" s="25">
        <v>0</v>
      </c>
      <c r="L13" s="18"/>
      <c r="M13" s="7"/>
    </row>
    <row r="14" spans="1:13" x14ac:dyDescent="0.25">
      <c r="A14" s="259">
        <f t="shared" si="1"/>
        <v>4</v>
      </c>
      <c r="B14" s="8"/>
      <c r="C14" s="11" t="s">
        <v>82</v>
      </c>
      <c r="D14" s="25">
        <f>11063.34+988+3717.43+3710+5639.33</f>
        <v>25118.1</v>
      </c>
      <c r="E14" s="25">
        <f>E34</f>
        <v>7142.8571428571431</v>
      </c>
      <c r="F14" s="39">
        <f t="shared" si="0"/>
        <v>32260.957142857143</v>
      </c>
      <c r="G14" s="25">
        <v>0</v>
      </c>
      <c r="H14" s="25">
        <v>0</v>
      </c>
      <c r="I14" s="25">
        <f>F14</f>
        <v>32260.957142857143</v>
      </c>
      <c r="J14" s="25">
        <v>0</v>
      </c>
      <c r="K14" s="25">
        <v>0</v>
      </c>
      <c r="L14" s="18"/>
      <c r="M14" s="11"/>
    </row>
    <row r="15" spans="1:13" x14ac:dyDescent="0.25">
      <c r="A15" s="259">
        <f t="shared" si="1"/>
        <v>5</v>
      </c>
      <c r="B15" s="8"/>
      <c r="C15" s="11" t="s">
        <v>124</v>
      </c>
      <c r="D15" s="25">
        <v>0</v>
      </c>
      <c r="E15" s="25">
        <v>0</v>
      </c>
      <c r="F15" s="39">
        <f t="shared" si="0"/>
        <v>0</v>
      </c>
      <c r="G15" s="25">
        <v>0</v>
      </c>
      <c r="H15" s="25">
        <v>0</v>
      </c>
      <c r="I15" s="25">
        <f>D15</f>
        <v>0</v>
      </c>
      <c r="J15" s="25">
        <v>0</v>
      </c>
      <c r="K15" s="25">
        <v>0</v>
      </c>
      <c r="L15" s="18"/>
      <c r="M15" s="11"/>
    </row>
    <row r="16" spans="1:13" x14ac:dyDescent="0.25">
      <c r="A16" s="259">
        <f t="shared" si="1"/>
        <v>6</v>
      </c>
      <c r="B16" s="8"/>
      <c r="C16" s="11" t="s">
        <v>86</v>
      </c>
      <c r="D16" s="25">
        <f>517.91+113.55+340.82+998.8+4130.01+16.88+749.99+790+197.5+1875.13+2070.33+38050+52483.25+588.93+5529.7+1403.75+250+4641.1+8445.16+187.5+1127.19+112.5+7865.38</f>
        <v>132485.38</v>
      </c>
      <c r="E16" s="25">
        <v>0</v>
      </c>
      <c r="F16" s="39">
        <f t="shared" si="0"/>
        <v>132485.38</v>
      </c>
      <c r="G16" s="25">
        <v>0</v>
      </c>
      <c r="H16" s="25">
        <f>F16</f>
        <v>132485.38</v>
      </c>
      <c r="I16" s="25">
        <v>0</v>
      </c>
      <c r="J16" s="25">
        <v>0</v>
      </c>
      <c r="K16" s="25">
        <v>0</v>
      </c>
      <c r="L16" s="18"/>
      <c r="M16" s="11"/>
    </row>
    <row r="17" spans="1:16" x14ac:dyDescent="0.25">
      <c r="A17" s="259">
        <f t="shared" si="1"/>
        <v>7</v>
      </c>
      <c r="B17" s="8"/>
      <c r="C17" s="11" t="s">
        <v>87</v>
      </c>
      <c r="D17" s="25">
        <v>0</v>
      </c>
      <c r="E17" s="25">
        <v>0</v>
      </c>
      <c r="F17" s="39">
        <f t="shared" si="0"/>
        <v>0</v>
      </c>
      <c r="G17" s="25">
        <v>0</v>
      </c>
      <c r="H17" s="25">
        <f>D17</f>
        <v>0</v>
      </c>
      <c r="I17" s="25">
        <v>0</v>
      </c>
      <c r="J17" s="25">
        <v>0</v>
      </c>
      <c r="K17" s="25">
        <v>0</v>
      </c>
      <c r="L17" s="18"/>
      <c r="M17" s="11"/>
    </row>
    <row r="18" spans="1:16" x14ac:dyDescent="0.25">
      <c r="A18" s="259">
        <f t="shared" si="1"/>
        <v>8</v>
      </c>
      <c r="B18" s="8"/>
      <c r="C18" s="11" t="s">
        <v>88</v>
      </c>
      <c r="D18" s="25">
        <v>0</v>
      </c>
      <c r="E18" s="25">
        <v>0</v>
      </c>
      <c r="F18" s="39">
        <f t="shared" si="0"/>
        <v>0</v>
      </c>
      <c r="G18" s="25">
        <v>0</v>
      </c>
      <c r="H18" s="25">
        <v>0</v>
      </c>
      <c r="I18" s="25">
        <v>0</v>
      </c>
      <c r="J18" s="25">
        <v>0</v>
      </c>
      <c r="K18" s="25">
        <f>D18</f>
        <v>0</v>
      </c>
      <c r="L18" s="18"/>
      <c r="M18" s="11"/>
    </row>
    <row r="19" spans="1:16" x14ac:dyDescent="0.25">
      <c r="A19" s="259">
        <f t="shared" si="1"/>
        <v>9</v>
      </c>
      <c r="B19" s="8"/>
      <c r="C19" s="11" t="s">
        <v>84</v>
      </c>
      <c r="D19" s="25">
        <f>100+3854.6+737.48+1499.5</f>
        <v>6191.58</v>
      </c>
      <c r="E19" s="25">
        <v>0</v>
      </c>
      <c r="F19" s="39">
        <f t="shared" si="0"/>
        <v>6191.58</v>
      </c>
      <c r="G19" s="25">
        <v>0</v>
      </c>
      <c r="H19" s="25">
        <v>0</v>
      </c>
      <c r="I19" s="25">
        <v>0</v>
      </c>
      <c r="J19" s="25">
        <v>0</v>
      </c>
      <c r="K19" s="25">
        <f>F19</f>
        <v>6191.58</v>
      </c>
      <c r="L19" s="18"/>
      <c r="M19" s="11"/>
    </row>
    <row r="20" spans="1:16" x14ac:dyDescent="0.25">
      <c r="A20" s="259">
        <f t="shared" si="1"/>
        <v>10</v>
      </c>
      <c r="B20" s="8"/>
      <c r="C20" s="11" t="s">
        <v>83</v>
      </c>
      <c r="D20" s="25">
        <v>0</v>
      </c>
      <c r="E20" s="25">
        <v>0</v>
      </c>
      <c r="F20" s="39">
        <f t="shared" si="0"/>
        <v>0</v>
      </c>
      <c r="G20" s="25">
        <v>0</v>
      </c>
      <c r="H20" s="25">
        <v>0</v>
      </c>
      <c r="I20" s="25">
        <v>0</v>
      </c>
      <c r="J20" s="25">
        <v>0</v>
      </c>
      <c r="K20" s="25">
        <f>D20</f>
        <v>0</v>
      </c>
      <c r="L20" s="18"/>
      <c r="M20" s="11"/>
    </row>
    <row r="21" spans="1:16" x14ac:dyDescent="0.25">
      <c r="A21" s="259">
        <f t="shared" si="1"/>
        <v>11</v>
      </c>
      <c r="B21" s="8"/>
      <c r="C21" s="11" t="s">
        <v>12</v>
      </c>
      <c r="D21" s="25">
        <v>439.94</v>
      </c>
      <c r="E21" s="25">
        <v>0</v>
      </c>
      <c r="F21" s="39">
        <f t="shared" si="0"/>
        <v>439.94</v>
      </c>
      <c r="G21" s="25">
        <v>0</v>
      </c>
      <c r="H21" s="25">
        <v>0</v>
      </c>
      <c r="I21" s="25">
        <v>0</v>
      </c>
      <c r="J21" s="25">
        <f>F21-K21</f>
        <v>65.990999999999985</v>
      </c>
      <c r="K21" s="25">
        <f>F21*0.85</f>
        <v>373.94900000000001</v>
      </c>
      <c r="L21" s="18"/>
    </row>
    <row r="22" spans="1:16" x14ac:dyDescent="0.25">
      <c r="A22" s="259">
        <f t="shared" si="1"/>
        <v>12</v>
      </c>
      <c r="B22" s="8"/>
      <c r="C22" s="11" t="s">
        <v>9</v>
      </c>
      <c r="D22" s="25">
        <v>7319.6</v>
      </c>
      <c r="E22" s="25">
        <v>0</v>
      </c>
      <c r="F22" s="39">
        <f t="shared" si="0"/>
        <v>7319.6</v>
      </c>
      <c r="G22" s="25">
        <f>0.5*Depreciation!D22</f>
        <v>3659.8</v>
      </c>
      <c r="H22" s="25">
        <f>0.5*Depreciation!D22</f>
        <v>3659.8</v>
      </c>
      <c r="I22" s="25">
        <v>0</v>
      </c>
      <c r="J22" s="25">
        <v>0</v>
      </c>
      <c r="K22" s="25">
        <v>0</v>
      </c>
      <c r="L22" s="18"/>
      <c r="M22" s="11"/>
    </row>
    <row r="23" spans="1:16" x14ac:dyDescent="0.25">
      <c r="A23" s="259">
        <f t="shared" si="1"/>
        <v>13</v>
      </c>
      <c r="B23" s="8"/>
      <c r="C23" s="11" t="s">
        <v>85</v>
      </c>
      <c r="D23" s="51">
        <v>1178.57</v>
      </c>
      <c r="E23" s="51">
        <v>0</v>
      </c>
      <c r="F23" s="97">
        <f t="shared" si="0"/>
        <v>1178.57</v>
      </c>
      <c r="G23" s="51">
        <v>0</v>
      </c>
      <c r="H23" s="51">
        <v>0</v>
      </c>
      <c r="I23" s="51">
        <v>0</v>
      </c>
      <c r="J23" s="51">
        <f>F23-K23</f>
        <v>176.78550000000007</v>
      </c>
      <c r="K23" s="51">
        <f>F23*0.85</f>
        <v>1001.7844999999999</v>
      </c>
      <c r="L23" s="22"/>
      <c r="M23" s="11"/>
    </row>
    <row r="24" spans="1:16" x14ac:dyDescent="0.25">
      <c r="B24" s="8"/>
      <c r="C24" s="11"/>
      <c r="D24" s="11"/>
      <c r="E24" s="11"/>
      <c r="F24" s="18"/>
      <c r="G24" s="11"/>
      <c r="H24" s="11"/>
      <c r="I24" s="11"/>
      <c r="J24" s="11"/>
      <c r="K24" s="11"/>
      <c r="L24" s="18"/>
      <c r="M24" s="11"/>
    </row>
    <row r="25" spans="1:16" x14ac:dyDescent="0.25">
      <c r="B25" s="8"/>
      <c r="C25" s="13" t="s">
        <v>115</v>
      </c>
      <c r="D25" s="19">
        <f>SUM(D11:D24)</f>
        <v>273242.69999999995</v>
      </c>
      <c r="E25" s="19">
        <f>SUM(E11:E24)</f>
        <v>282814.00000000006</v>
      </c>
      <c r="F25" s="160">
        <f t="shared" si="0"/>
        <v>556056.69999999995</v>
      </c>
      <c r="G25" s="158">
        <f t="shared" ref="G25:K25" si="2">SUM(G11:G24)</f>
        <v>379840.47285714286</v>
      </c>
      <c r="H25" s="19">
        <f t="shared" si="2"/>
        <v>136145.18</v>
      </c>
      <c r="I25" s="19">
        <f t="shared" si="2"/>
        <v>32260.957142857143</v>
      </c>
      <c r="J25" s="19">
        <f t="shared" si="2"/>
        <v>242.77650000000006</v>
      </c>
      <c r="K25" s="19">
        <f t="shared" si="2"/>
        <v>7567.3134999999993</v>
      </c>
      <c r="L25" s="18"/>
      <c r="M25" s="11"/>
      <c r="N25" s="11">
        <f>SUM(G25:K25)</f>
        <v>556056.70000000007</v>
      </c>
      <c r="O25" s="7" t="s">
        <v>151</v>
      </c>
      <c r="P25" s="7"/>
    </row>
    <row r="26" spans="1:16" x14ac:dyDescent="0.25">
      <c r="B26" s="20"/>
      <c r="C26" s="21"/>
      <c r="D26" s="21"/>
      <c r="E26" s="21"/>
      <c r="F26" s="22"/>
      <c r="G26" s="159"/>
      <c r="H26" s="21"/>
      <c r="I26" s="21"/>
      <c r="J26" s="21"/>
      <c r="K26" s="21"/>
      <c r="L26" s="22"/>
      <c r="M26" s="11"/>
      <c r="N26" s="45" t="str">
        <f>IF(N25=F25,"OK","Out of Balance")</f>
        <v>OK</v>
      </c>
      <c r="O26" s="7"/>
      <c r="P26" s="7"/>
    </row>
    <row r="27" spans="1:16" x14ac:dyDescent="0.25">
      <c r="B27" s="7"/>
      <c r="C27" s="11"/>
      <c r="D27" s="11"/>
      <c r="E27" s="11"/>
      <c r="F27" s="11"/>
      <c r="G27" s="23"/>
      <c r="H27" s="19"/>
      <c r="I27" s="19"/>
      <c r="J27" s="23"/>
      <c r="K27" s="23"/>
      <c r="L27" s="11"/>
      <c r="M27" s="23"/>
    </row>
    <row r="28" spans="1:16" x14ac:dyDescent="0.25">
      <c r="B28" s="7"/>
      <c r="C28" s="11" t="s">
        <v>150</v>
      </c>
      <c r="D28" s="50">
        <v>273242.7</v>
      </c>
      <c r="E28" s="50"/>
      <c r="F28" s="50"/>
      <c r="G28" s="11"/>
      <c r="H28" s="11"/>
      <c r="I28" s="11"/>
      <c r="J28" s="11"/>
      <c r="K28" s="11"/>
      <c r="L28" s="11"/>
      <c r="M28" s="11"/>
    </row>
    <row r="29" spans="1:16" x14ac:dyDescent="0.25">
      <c r="D29" s="153" t="str">
        <f>IF(D28=D25,"OK","Out of Balance")</f>
        <v>OK</v>
      </c>
      <c r="E29" s="153"/>
      <c r="F29" s="153"/>
    </row>
    <row r="31" spans="1:16" x14ac:dyDescent="0.25">
      <c r="C31" s="157" t="s">
        <v>155</v>
      </c>
      <c r="D31" s="11"/>
      <c r="E31" s="11"/>
      <c r="F31" s="11"/>
    </row>
    <row r="32" spans="1:16" x14ac:dyDescent="0.25">
      <c r="C32" s="157" t="s">
        <v>156</v>
      </c>
      <c r="D32" s="11">
        <f>9898490-500000</f>
        <v>9398490</v>
      </c>
      <c r="E32" s="11">
        <f>D32/35</f>
        <v>268528.28571428574</v>
      </c>
      <c r="F32" s="11"/>
    </row>
    <row r="33" spans="3:6" x14ac:dyDescent="0.25">
      <c r="C33" s="157" t="s">
        <v>157</v>
      </c>
      <c r="D33" s="11">
        <f>500000/2</f>
        <v>250000</v>
      </c>
      <c r="E33" s="11">
        <f>D33/35</f>
        <v>7142.8571428571431</v>
      </c>
      <c r="F33" s="11"/>
    </row>
    <row r="34" spans="3:6" x14ac:dyDescent="0.25">
      <c r="C34" s="157" t="s">
        <v>158</v>
      </c>
      <c r="D34" s="21">
        <f>500000/2</f>
        <v>250000</v>
      </c>
      <c r="E34" s="21">
        <f>D34/35</f>
        <v>7142.8571428571431</v>
      </c>
      <c r="F34" s="11"/>
    </row>
    <row r="35" spans="3:6" x14ac:dyDescent="0.25">
      <c r="C35" s="157" t="s">
        <v>16</v>
      </c>
      <c r="D35" s="11">
        <f>SUM(D32:D34)</f>
        <v>9898490</v>
      </c>
      <c r="E35" s="11">
        <f>SUM(E32:E34)</f>
        <v>282814.00000000006</v>
      </c>
      <c r="F35" s="11"/>
    </row>
    <row r="36" spans="3:6" x14ac:dyDescent="0.25">
      <c r="C36" s="32"/>
      <c r="D36" s="11"/>
      <c r="E36" s="174" t="str">
        <f>IF(E25=E35,"OK","Out of Balance")</f>
        <v>OK</v>
      </c>
      <c r="F36" s="11"/>
    </row>
  </sheetData>
  <mergeCells count="1">
    <mergeCell ref="C3:K3"/>
  </mergeCells>
  <printOptions horizontalCentered="1"/>
  <pageMargins left="0.7" right="0.7" top="1.25" bottom="0.75" header="0.3" footer="0.3"/>
  <pageSetup scale="6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3D8E-B217-4471-A1C8-9A8F1B3D0677}">
  <sheetPr>
    <pageSetUpPr fitToPage="1"/>
  </sheetPr>
  <dimension ref="B1:R18"/>
  <sheetViews>
    <sheetView workbookViewId="0">
      <selection activeCell="Q19" sqref="A1:Q19"/>
    </sheetView>
  </sheetViews>
  <sheetFormatPr defaultRowHeight="15" x14ac:dyDescent="0.2"/>
  <cols>
    <col min="1" max="1" width="1.77734375" customWidth="1"/>
    <col min="2" max="2" width="18.6640625" customWidth="1"/>
    <col min="3" max="12" width="7.77734375" customWidth="1"/>
    <col min="13" max="13" width="11.88671875" bestFit="1" customWidth="1"/>
    <col min="14" max="15" width="10.6640625" customWidth="1"/>
    <col min="16" max="16" width="0.77734375" customWidth="1"/>
    <col min="17" max="17" width="2.33203125" customWidth="1"/>
    <col min="18" max="18" width="9.6640625" customWidth="1"/>
  </cols>
  <sheetData>
    <row r="1" spans="2:18" ht="15.75" x14ac:dyDescent="0.25"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2:18" ht="15.75" x14ac:dyDescent="0.25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  <c r="Q2" s="52"/>
      <c r="R2" s="52"/>
    </row>
    <row r="3" spans="2:18" ht="18.75" x14ac:dyDescent="0.3">
      <c r="B3" s="56" t="s">
        <v>27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8"/>
      <c r="Q3" s="52"/>
      <c r="R3" s="52"/>
    </row>
    <row r="4" spans="2:18" ht="18.75" x14ac:dyDescent="0.3">
      <c r="B4" s="59" t="s">
        <v>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58"/>
      <c r="Q4" s="52"/>
      <c r="R4" s="52"/>
    </row>
    <row r="5" spans="2:18" ht="15.75" x14ac:dyDescent="0.25">
      <c r="B5" s="142" t="s">
        <v>147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8"/>
      <c r="Q5" s="52"/>
      <c r="R5" s="52"/>
    </row>
    <row r="6" spans="2:18" ht="15.75" x14ac:dyDescent="0.25">
      <c r="B6" s="61" t="s">
        <v>128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58"/>
      <c r="Q6" s="52"/>
      <c r="R6" s="52"/>
    </row>
    <row r="7" spans="2:18" ht="15.75" x14ac:dyDescent="0.25">
      <c r="B7" s="63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58"/>
      <c r="Q7" s="52"/>
      <c r="R7" s="52"/>
    </row>
    <row r="8" spans="2:18" ht="15.75" x14ac:dyDescent="0.25">
      <c r="B8" s="64"/>
      <c r="C8" s="65"/>
      <c r="D8" s="66"/>
      <c r="E8" s="65"/>
      <c r="F8" s="67"/>
      <c r="G8" s="65"/>
      <c r="H8" s="67"/>
      <c r="I8" s="65"/>
      <c r="J8" s="67"/>
      <c r="K8" s="65"/>
      <c r="L8" s="67"/>
      <c r="M8" s="66"/>
      <c r="N8" s="66"/>
      <c r="O8" s="66"/>
      <c r="P8" s="55"/>
      <c r="Q8" s="52"/>
      <c r="R8" s="52"/>
    </row>
    <row r="9" spans="2:18" ht="15.75" x14ac:dyDescent="0.25">
      <c r="B9" s="68"/>
      <c r="C9" s="279" t="s">
        <v>129</v>
      </c>
      <c r="D9" s="280"/>
      <c r="E9" s="279" t="s">
        <v>130</v>
      </c>
      <c r="F9" s="280"/>
      <c r="G9" s="279" t="s">
        <v>131</v>
      </c>
      <c r="H9" s="280"/>
      <c r="I9" s="279" t="s">
        <v>132</v>
      </c>
      <c r="J9" s="280"/>
      <c r="K9" s="279" t="s">
        <v>133</v>
      </c>
      <c r="L9" s="280"/>
      <c r="M9" s="91" t="s">
        <v>135</v>
      </c>
      <c r="N9" s="91" t="s">
        <v>135</v>
      </c>
      <c r="O9" s="91" t="s">
        <v>135</v>
      </c>
      <c r="P9" s="58"/>
      <c r="Q9" s="52"/>
      <c r="R9" s="52"/>
    </row>
    <row r="10" spans="2:18" ht="17.25" x14ac:dyDescent="0.25">
      <c r="B10" s="68"/>
      <c r="C10" s="70"/>
      <c r="D10" s="71" t="s">
        <v>7</v>
      </c>
      <c r="E10" s="72"/>
      <c r="F10" s="71" t="s">
        <v>7</v>
      </c>
      <c r="G10" s="72"/>
      <c r="H10" s="71" t="s">
        <v>7</v>
      </c>
      <c r="I10" s="72"/>
      <c r="J10" s="71" t="s">
        <v>7</v>
      </c>
      <c r="K10" s="72"/>
      <c r="L10" s="71" t="s">
        <v>7</v>
      </c>
      <c r="M10" s="91" t="s">
        <v>136</v>
      </c>
      <c r="N10" s="91" t="s">
        <v>136</v>
      </c>
      <c r="O10" s="91" t="s">
        <v>136</v>
      </c>
      <c r="P10" s="58"/>
      <c r="Q10" s="52"/>
      <c r="R10" s="52"/>
    </row>
    <row r="11" spans="2:18" ht="17.25" x14ac:dyDescent="0.25">
      <c r="B11" s="68"/>
      <c r="C11" s="70" t="s">
        <v>6</v>
      </c>
      <c r="D11" s="69" t="s">
        <v>134</v>
      </c>
      <c r="E11" s="70" t="s">
        <v>6</v>
      </c>
      <c r="F11" s="69" t="s">
        <v>134</v>
      </c>
      <c r="G11" s="70" t="s">
        <v>6</v>
      </c>
      <c r="H11" s="69" t="s">
        <v>134</v>
      </c>
      <c r="I11" s="70" t="s">
        <v>6</v>
      </c>
      <c r="J11" s="69" t="s">
        <v>134</v>
      </c>
      <c r="K11" s="70" t="s">
        <v>6</v>
      </c>
      <c r="L11" s="69" t="s">
        <v>134</v>
      </c>
      <c r="M11" s="73" t="s">
        <v>80</v>
      </c>
      <c r="N11" s="73" t="s">
        <v>79</v>
      </c>
      <c r="O11" s="73" t="s">
        <v>16</v>
      </c>
      <c r="P11" s="58"/>
      <c r="Q11" s="52"/>
      <c r="R11" s="52"/>
    </row>
    <row r="12" spans="2:18" ht="15.75" x14ac:dyDescent="0.25">
      <c r="B12" s="68" t="s">
        <v>159</v>
      </c>
      <c r="C12" s="98">
        <f>52862.95+52995.11</f>
        <v>105858.06</v>
      </c>
      <c r="D12" s="99">
        <f>8237.66+4118.83+8105.5+4052.74</f>
        <v>24514.729999999996</v>
      </c>
      <c r="E12" s="163">
        <f>53127.6+53260.42</f>
        <v>106388.01999999999</v>
      </c>
      <c r="F12" s="100">
        <f>7973.01+7840.19+3986.51+3920.09</f>
        <v>23719.8</v>
      </c>
      <c r="G12" s="98">
        <f>53393.57+53527.05</f>
        <v>106920.62</v>
      </c>
      <c r="H12" s="100">
        <f>7707.04+7573.56+3853.52+3786.78</f>
        <v>22920.899999999998</v>
      </c>
      <c r="I12" s="98">
        <f>53660.87+53795.02</f>
        <v>107455.89</v>
      </c>
      <c r="J12" s="100">
        <f>7439.74+7305.59+3719.87+3652.8</f>
        <v>22118</v>
      </c>
      <c r="K12" s="98">
        <f>53929.51+54064.34</f>
        <v>107993.85</v>
      </c>
      <c r="L12" s="100">
        <f>7171.1+7036.27+3585.55+3518.14</f>
        <v>21311.06</v>
      </c>
      <c r="M12" s="74">
        <f t="shared" ref="M12" si="0">SUM(C12:L12)/5</f>
        <v>129840.18600000002</v>
      </c>
      <c r="N12" s="74">
        <f t="shared" ref="N12:N16" si="1">M12*0.2</f>
        <v>25968.037200000006</v>
      </c>
      <c r="O12" s="74">
        <f t="shared" ref="O12:O16" si="2">M12+N12</f>
        <v>155808.22320000001</v>
      </c>
      <c r="P12" s="58"/>
      <c r="Q12" s="52"/>
      <c r="R12" s="52"/>
    </row>
    <row r="13" spans="2:18" ht="15.75" x14ac:dyDescent="0.25">
      <c r="B13" s="68" t="s">
        <v>182</v>
      </c>
      <c r="C13" s="98">
        <v>85500</v>
      </c>
      <c r="D13" s="99">
        <v>64990</v>
      </c>
      <c r="E13" s="163">
        <v>86500</v>
      </c>
      <c r="F13" s="100">
        <v>63710</v>
      </c>
      <c r="G13" s="98">
        <v>88000</v>
      </c>
      <c r="H13" s="99">
        <v>62410</v>
      </c>
      <c r="I13" s="163">
        <v>89500</v>
      </c>
      <c r="J13" s="99">
        <v>61090</v>
      </c>
      <c r="K13" s="163">
        <v>90500</v>
      </c>
      <c r="L13" s="100">
        <v>59750</v>
      </c>
      <c r="M13" s="74">
        <f t="shared" ref="M13:M14" si="3">SUM(C13:L13)/5</f>
        <v>150390</v>
      </c>
      <c r="N13" s="74">
        <f t="shared" ref="N13:N14" si="4">M13*0.2</f>
        <v>30078</v>
      </c>
      <c r="O13" s="74">
        <f t="shared" ref="O13:O14" si="5">M13+N13</f>
        <v>180468</v>
      </c>
      <c r="P13" s="58"/>
      <c r="Q13" s="52"/>
      <c r="R13" s="52"/>
    </row>
    <row r="14" spans="2:18" ht="15.75" x14ac:dyDescent="0.25">
      <c r="B14" s="68" t="s">
        <v>160</v>
      </c>
      <c r="C14" s="98">
        <v>22000</v>
      </c>
      <c r="D14" s="99">
        <v>18680</v>
      </c>
      <c r="E14" s="163">
        <v>22500</v>
      </c>
      <c r="F14" s="100">
        <v>18160</v>
      </c>
      <c r="G14" s="98">
        <v>23000</v>
      </c>
      <c r="H14" s="99">
        <v>17630</v>
      </c>
      <c r="I14" s="163">
        <v>24000</v>
      </c>
      <c r="J14" s="99">
        <v>17080</v>
      </c>
      <c r="K14" s="163">
        <v>24500</v>
      </c>
      <c r="L14" s="100">
        <v>16510</v>
      </c>
      <c r="M14" s="74">
        <f t="shared" si="3"/>
        <v>40812</v>
      </c>
      <c r="N14" s="74">
        <f t="shared" si="4"/>
        <v>8162.4000000000005</v>
      </c>
      <c r="O14" s="74">
        <f t="shared" si="5"/>
        <v>48974.400000000001</v>
      </c>
      <c r="P14" s="58"/>
      <c r="Q14" s="52"/>
      <c r="R14" s="52"/>
    </row>
    <row r="15" spans="2:18" ht="15.75" x14ac:dyDescent="0.25">
      <c r="B15" s="75" t="s">
        <v>181</v>
      </c>
      <c r="C15" s="76">
        <v>34000</v>
      </c>
      <c r="D15" s="77">
        <v>33640</v>
      </c>
      <c r="E15" s="76">
        <v>34500</v>
      </c>
      <c r="F15" s="78">
        <v>32790</v>
      </c>
      <c r="G15" s="79">
        <v>35500</v>
      </c>
      <c r="H15" s="79">
        <v>31930</v>
      </c>
      <c r="I15" s="76">
        <v>36500</v>
      </c>
      <c r="J15" s="79">
        <v>31040</v>
      </c>
      <c r="K15" s="76">
        <v>37500</v>
      </c>
      <c r="L15" s="78">
        <v>30130</v>
      </c>
      <c r="M15" s="74">
        <f t="shared" ref="M15:M16" si="6">SUM(C15:L15)/5</f>
        <v>67506</v>
      </c>
      <c r="N15" s="74">
        <f t="shared" si="1"/>
        <v>13501.2</v>
      </c>
      <c r="O15" s="74">
        <f t="shared" si="2"/>
        <v>81007.199999999997</v>
      </c>
      <c r="P15" s="58"/>
      <c r="Q15" s="52"/>
      <c r="R15" s="52"/>
    </row>
    <row r="16" spans="2:18" ht="15.75" x14ac:dyDescent="0.25">
      <c r="B16" s="75" t="s">
        <v>161</v>
      </c>
      <c r="C16" s="89">
        <f>((8333.33*7)+(8750*5))*0.75</f>
        <v>76562.482499999998</v>
      </c>
      <c r="D16" s="90">
        <f>(((2262+266.67)*7)+((2075+245.84)*5))*0.75</f>
        <v>21978.667500000003</v>
      </c>
      <c r="E16" s="89">
        <f>((8750*7)+(8750*5))*0.75</f>
        <v>78750</v>
      </c>
      <c r="F16" s="90">
        <f>(((2075+245.83)*7)+((1878.13+223.96)*5))*0.75</f>
        <v>20067.195</v>
      </c>
      <c r="G16" s="89">
        <f>((8750*7)+(9166.67*5))*0.75</f>
        <v>80312.512500000012</v>
      </c>
      <c r="H16" s="90">
        <f>(((1878.12+223.96)*7)+((1681.25+202.08)*5))*0.75</f>
        <v>18098.407500000001</v>
      </c>
      <c r="I16" s="89">
        <f>((9166.67*7)+(9166.67*5))*0.75</f>
        <v>82500.03</v>
      </c>
      <c r="J16" s="90">
        <f>(((1681.25+202.08)*7)+((1475+179.17)*5))*0.75</f>
        <v>16090.619999999999</v>
      </c>
      <c r="K16" s="89">
        <f>((9166.67*7)+(3333.34*5))*0.75</f>
        <v>60625.042499999996</v>
      </c>
      <c r="L16" s="90">
        <f>(((1475+179.16)*7)+((1268.75+156.25)*5))*0.75</f>
        <v>14028.090000000002</v>
      </c>
      <c r="M16" s="164">
        <f t="shared" si="6"/>
        <v>93802.609500000006</v>
      </c>
      <c r="N16" s="92">
        <f t="shared" si="1"/>
        <v>18760.521900000003</v>
      </c>
      <c r="O16" s="92">
        <f t="shared" si="2"/>
        <v>112563.13140000001</v>
      </c>
      <c r="P16" s="88"/>
      <c r="Q16" s="52"/>
      <c r="R16" s="52"/>
    </row>
    <row r="17" spans="2:18" ht="15.75" x14ac:dyDescent="0.25">
      <c r="B17" s="80" t="s">
        <v>1</v>
      </c>
      <c r="C17" s="81">
        <f>SUM(C12:C16)</f>
        <v>323920.54249999998</v>
      </c>
      <c r="D17" s="82">
        <f>SUM(D12:D16)</f>
        <v>163803.39749999999</v>
      </c>
      <c r="E17" s="81">
        <f t="shared" ref="E17:L17" si="7">SUM(E12:E16)</f>
        <v>328638.02</v>
      </c>
      <c r="F17" s="82">
        <f t="shared" si="7"/>
        <v>158446.995</v>
      </c>
      <c r="G17" s="81">
        <f t="shared" si="7"/>
        <v>333733.13250000001</v>
      </c>
      <c r="H17" s="82">
        <f t="shared" si="7"/>
        <v>152989.3075</v>
      </c>
      <c r="I17" s="81">
        <f t="shared" si="7"/>
        <v>339955.92000000004</v>
      </c>
      <c r="J17" s="82">
        <f t="shared" si="7"/>
        <v>147418.62</v>
      </c>
      <c r="K17" s="81">
        <f t="shared" si="7"/>
        <v>321118.89250000002</v>
      </c>
      <c r="L17" s="82">
        <f t="shared" si="7"/>
        <v>141729.15</v>
      </c>
      <c r="M17" s="83">
        <f>SUM(M12:M16)</f>
        <v>482350.79550000001</v>
      </c>
      <c r="N17" s="83">
        <f>SUM(N12:N16)</f>
        <v>96470.159100000019</v>
      </c>
      <c r="O17" s="83">
        <f>SUM(O12:O16)</f>
        <v>578820.95460000006</v>
      </c>
      <c r="P17" s="58"/>
      <c r="Q17" s="52"/>
      <c r="R17" s="52"/>
    </row>
    <row r="18" spans="2:18" ht="15.75" x14ac:dyDescent="0.25">
      <c r="B18" s="84"/>
      <c r="C18" s="85"/>
      <c r="D18" s="86"/>
      <c r="E18" s="85"/>
      <c r="F18" s="87"/>
      <c r="G18" s="85"/>
      <c r="H18" s="87"/>
      <c r="I18" s="85"/>
      <c r="J18" s="87"/>
      <c r="K18" s="85"/>
      <c r="L18" s="87"/>
      <c r="M18" s="86"/>
      <c r="N18" s="86"/>
      <c r="O18" s="86"/>
      <c r="P18" s="88"/>
      <c r="Q18" s="52"/>
      <c r="R18" s="52"/>
    </row>
  </sheetData>
  <mergeCells count="5">
    <mergeCell ref="C9:D9"/>
    <mergeCell ref="E9:F9"/>
    <mergeCell ref="G9:H9"/>
    <mergeCell ref="I9:J9"/>
    <mergeCell ref="K9:L9"/>
  </mergeCells>
  <pageMargins left="0.7" right="0.7" top="0.75" bottom="0.75" header="0.3" footer="0.3"/>
  <pageSetup scale="76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0DFC-3825-4794-AB48-C9D0AC192887}">
  <sheetPr>
    <pageSetUpPr fitToPage="1"/>
  </sheetPr>
  <dimension ref="B2:N24"/>
  <sheetViews>
    <sheetView workbookViewId="0">
      <selection activeCell="J19" sqref="A1:J19"/>
    </sheetView>
  </sheetViews>
  <sheetFormatPr defaultColWidth="8.88671875" defaultRowHeight="15" x14ac:dyDescent="0.25"/>
  <cols>
    <col min="1" max="1" width="4.21875" style="7" customWidth="1"/>
    <col min="2" max="2" width="1.109375" style="7" customWidth="1"/>
    <col min="3" max="3" width="20.5546875" style="7" customWidth="1"/>
    <col min="4" max="4" width="32.5546875" style="45" customWidth="1"/>
    <col min="5" max="8" width="12.5546875" style="7" customWidth="1"/>
    <col min="9" max="9" width="1.33203125" style="7" customWidth="1"/>
    <col min="10" max="10" width="2.6640625" style="7" customWidth="1"/>
    <col min="11" max="16384" width="8.88671875" style="7"/>
  </cols>
  <sheetData>
    <row r="2" spans="2:14" x14ac:dyDescent="0.25">
      <c r="B2" s="15"/>
      <c r="C2" s="16"/>
      <c r="D2" s="170"/>
      <c r="E2" s="16"/>
      <c r="F2" s="16"/>
      <c r="G2" s="16"/>
      <c r="H2" s="16"/>
      <c r="I2" s="17"/>
    </row>
    <row r="3" spans="2:14" ht="18.75" x14ac:dyDescent="0.3">
      <c r="B3" s="8"/>
      <c r="C3" s="278" t="s">
        <v>45</v>
      </c>
      <c r="D3" s="278"/>
      <c r="E3" s="278"/>
      <c r="F3" s="278"/>
      <c r="G3" s="278"/>
      <c r="H3" s="278"/>
      <c r="I3" s="18"/>
      <c r="J3" s="11"/>
    </row>
    <row r="4" spans="2:14" ht="18.75" x14ac:dyDescent="0.3">
      <c r="B4" s="8"/>
      <c r="C4" s="282" t="s">
        <v>81</v>
      </c>
      <c r="D4" s="282"/>
      <c r="E4" s="282"/>
      <c r="F4" s="282"/>
      <c r="G4" s="282"/>
      <c r="H4" s="282"/>
      <c r="I4" s="18"/>
      <c r="J4" s="11"/>
    </row>
    <row r="5" spans="2:14" ht="15.75" x14ac:dyDescent="0.25">
      <c r="B5" s="8"/>
      <c r="C5" s="281" t="s">
        <v>147</v>
      </c>
      <c r="D5" s="281"/>
      <c r="E5" s="281"/>
      <c r="F5" s="281"/>
      <c r="G5" s="281"/>
      <c r="H5" s="281"/>
      <c r="I5" s="18"/>
      <c r="J5" s="33"/>
      <c r="K5" s="33"/>
      <c r="L5" s="33"/>
      <c r="M5" s="33"/>
      <c r="N5" s="33"/>
    </row>
    <row r="6" spans="2:14" x14ac:dyDescent="0.25">
      <c r="B6" s="8"/>
      <c r="C6" s="11"/>
      <c r="D6" s="155"/>
      <c r="E6" s="11"/>
      <c r="F6" s="11"/>
      <c r="G6" s="11"/>
      <c r="H6" s="11"/>
      <c r="I6" s="18"/>
      <c r="J6" s="11"/>
    </row>
    <row r="7" spans="2:14" x14ac:dyDescent="0.25">
      <c r="B7" s="8"/>
      <c r="C7" s="11"/>
      <c r="D7" s="155"/>
      <c r="E7" s="19" t="s">
        <v>137</v>
      </c>
      <c r="F7" s="11"/>
      <c r="G7" s="11"/>
      <c r="H7" s="11"/>
      <c r="I7" s="18"/>
      <c r="J7" s="11"/>
    </row>
    <row r="8" spans="2:14" x14ac:dyDescent="0.25">
      <c r="B8" s="8"/>
      <c r="C8" s="11"/>
      <c r="D8" s="155"/>
      <c r="E8" s="93" t="s">
        <v>80</v>
      </c>
      <c r="F8" s="136" t="s">
        <v>69</v>
      </c>
      <c r="G8" s="136" t="s">
        <v>125</v>
      </c>
      <c r="H8" s="136" t="s">
        <v>102</v>
      </c>
      <c r="I8" s="18"/>
      <c r="J8" s="11"/>
    </row>
    <row r="9" spans="2:14" x14ac:dyDescent="0.25">
      <c r="B9" s="8"/>
      <c r="C9" s="94" t="s">
        <v>138</v>
      </c>
      <c r="D9" s="95" t="s">
        <v>78</v>
      </c>
      <c r="E9" s="95" t="s">
        <v>107</v>
      </c>
      <c r="F9" s="96" t="s">
        <v>70</v>
      </c>
      <c r="G9" s="96" t="s">
        <v>26</v>
      </c>
      <c r="H9" s="96" t="s">
        <v>103</v>
      </c>
      <c r="I9" s="18"/>
      <c r="J9" s="11"/>
    </row>
    <row r="10" spans="2:14" x14ac:dyDescent="0.25">
      <c r="B10" s="8"/>
      <c r="C10" s="165"/>
      <c r="D10" s="166"/>
      <c r="E10" s="166"/>
      <c r="F10" s="136"/>
      <c r="G10" s="136"/>
      <c r="H10" s="136"/>
      <c r="I10" s="18"/>
      <c r="J10" s="11"/>
    </row>
    <row r="11" spans="2:14" x14ac:dyDescent="0.25">
      <c r="B11" s="8"/>
      <c r="C11" s="74" t="str">
        <f>'Debt Service'!B12</f>
        <v>KIA F18-017</v>
      </c>
      <c r="D11" s="74" t="s">
        <v>183</v>
      </c>
      <c r="E11" s="167">
        <f>'Debt Service'!O12</f>
        <v>155808.22320000001</v>
      </c>
      <c r="F11" s="168">
        <f>E11</f>
        <v>155808.22320000001</v>
      </c>
      <c r="G11" s="25"/>
      <c r="H11" s="25"/>
      <c r="I11" s="18"/>
      <c r="J11" s="11"/>
    </row>
    <row r="12" spans="2:14" x14ac:dyDescent="0.25">
      <c r="B12" s="8"/>
      <c r="C12" s="74" t="str">
        <f>'Debt Service'!B13</f>
        <v>RD 91-14</v>
      </c>
      <c r="D12" s="171" t="s">
        <v>183</v>
      </c>
      <c r="E12" s="167">
        <f>'Debt Service'!O13</f>
        <v>180468</v>
      </c>
      <c r="F12" s="25">
        <f>E12</f>
        <v>180468</v>
      </c>
      <c r="G12" s="29"/>
      <c r="H12" s="25"/>
      <c r="I12" s="18"/>
      <c r="J12" s="11"/>
    </row>
    <row r="13" spans="2:14" x14ac:dyDescent="0.25">
      <c r="B13" s="8"/>
      <c r="C13" s="74" t="str">
        <f>'Debt Service'!B14</f>
        <v>RD 91-08</v>
      </c>
      <c r="D13" s="177" t="s">
        <v>184</v>
      </c>
      <c r="E13" s="167">
        <f>'Debt Service'!O14</f>
        <v>48974.400000000001</v>
      </c>
      <c r="F13" s="139"/>
      <c r="G13" s="178">
        <f>E13</f>
        <v>48974.400000000001</v>
      </c>
      <c r="H13" s="139"/>
      <c r="I13" s="18"/>
      <c r="J13" s="11"/>
    </row>
    <row r="14" spans="2:14" x14ac:dyDescent="0.25">
      <c r="B14" s="8"/>
      <c r="C14" s="74" t="str">
        <f>'Debt Service'!B15</f>
        <v>RD 93-10</v>
      </c>
      <c r="D14" s="177" t="s">
        <v>184</v>
      </c>
      <c r="E14" s="167">
        <f>'Debt Service'!O15</f>
        <v>81007.199999999997</v>
      </c>
      <c r="F14" s="139"/>
      <c r="G14" s="178">
        <f>E14</f>
        <v>81007.199999999997</v>
      </c>
      <c r="H14" s="139"/>
      <c r="I14" s="18"/>
      <c r="J14" s="11"/>
    </row>
    <row r="15" spans="2:14" x14ac:dyDescent="0.25">
      <c r="B15" s="8"/>
      <c r="C15" s="74" t="str">
        <f>'Debt Service'!B16</f>
        <v>KLOC KBC W75/S25</v>
      </c>
      <c r="D15" s="177" t="s">
        <v>184</v>
      </c>
      <c r="E15" s="169">
        <f>'Debt Service'!O16</f>
        <v>112563.13140000001</v>
      </c>
      <c r="F15" s="179"/>
      <c r="G15" s="180">
        <f>E15</f>
        <v>112563.13140000001</v>
      </c>
      <c r="H15" s="179"/>
      <c r="I15" s="18"/>
      <c r="J15" s="11"/>
    </row>
    <row r="16" spans="2:14" x14ac:dyDescent="0.25">
      <c r="B16" s="8"/>
      <c r="C16" s="11"/>
      <c r="D16" s="155"/>
      <c r="E16" s="25"/>
      <c r="F16" s="25"/>
      <c r="G16" s="25"/>
      <c r="H16" s="25"/>
      <c r="I16" s="18"/>
      <c r="J16" s="11"/>
    </row>
    <row r="17" spans="2:11" x14ac:dyDescent="0.25">
      <c r="B17" s="8"/>
      <c r="C17" s="7" t="s">
        <v>8</v>
      </c>
      <c r="E17" s="26">
        <f>SUM(E11:E16)</f>
        <v>578820.95460000006</v>
      </c>
      <c r="F17" s="26">
        <f>SUM(F11:F16)</f>
        <v>336276.22320000001</v>
      </c>
      <c r="G17" s="26">
        <f>SUM(G11:G16)</f>
        <v>242544.73140000002</v>
      </c>
      <c r="H17" s="26">
        <f>SUM(H11:H16)</f>
        <v>0</v>
      </c>
      <c r="I17" s="18"/>
      <c r="K17" s="34">
        <f>SUM(F17:J17)</f>
        <v>578820.95460000006</v>
      </c>
    </row>
    <row r="18" spans="2:11" x14ac:dyDescent="0.25">
      <c r="B18" s="20"/>
      <c r="C18" s="27"/>
      <c r="D18" s="96"/>
      <c r="E18" s="28"/>
      <c r="F18" s="28"/>
      <c r="G18" s="28"/>
      <c r="H18" s="28"/>
      <c r="I18" s="22"/>
      <c r="J18" s="11"/>
    </row>
    <row r="19" spans="2:11" x14ac:dyDescent="0.25">
      <c r="C19" s="11"/>
      <c r="D19" s="155"/>
      <c r="E19" s="11"/>
      <c r="F19" s="11"/>
      <c r="G19" s="11"/>
      <c r="H19" s="11"/>
      <c r="I19" s="11"/>
      <c r="J19" s="11"/>
    </row>
    <row r="20" spans="2:11" x14ac:dyDescent="0.25">
      <c r="I20" s="11"/>
    </row>
    <row r="23" spans="2:11" x14ac:dyDescent="0.25">
      <c r="D23" s="172"/>
      <c r="E23" s="29"/>
      <c r="F23" s="29"/>
      <c r="H23" s="29"/>
    </row>
    <row r="24" spans="2:11" x14ac:dyDescent="0.25">
      <c r="F24" s="30"/>
      <c r="H24" s="30"/>
    </row>
  </sheetData>
  <mergeCells count="3">
    <mergeCell ref="C3:H3"/>
    <mergeCell ref="C5:H5"/>
    <mergeCell ref="C4:H4"/>
  </mergeCells>
  <pageMargins left="0.7" right="0.7" top="0.75" bottom="0.75" header="0.3" footer="0.3"/>
  <pageSetup scale="9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60"/>
  <sheetViews>
    <sheetView topLeftCell="A31" workbookViewId="0">
      <selection activeCell="H57" sqref="H57"/>
    </sheetView>
  </sheetViews>
  <sheetFormatPr defaultRowHeight="15.75" x14ac:dyDescent="0.25"/>
  <cols>
    <col min="1" max="1" width="3.44140625" style="104" customWidth="1"/>
    <col min="2" max="2" width="2.6640625" style="104" customWidth="1"/>
    <col min="3" max="3" width="9.6640625" style="104" customWidth="1"/>
    <col min="4" max="5" width="12.5546875" style="104" customWidth="1"/>
    <col min="6" max="6" width="10.77734375" style="104" bestFit="1" customWidth="1"/>
    <col min="7" max="7" width="9.6640625" style="104" customWidth="1"/>
    <col min="8" max="8" width="11.88671875" style="104" bestFit="1" customWidth="1"/>
    <col min="9" max="9" width="2.77734375" style="104" customWidth="1"/>
    <col min="10" max="10" width="2.44140625" style="104" customWidth="1"/>
    <col min="11" max="11" width="10.6640625" style="104" customWidth="1"/>
    <col min="12" max="12" width="13.77734375" style="234" bestFit="1" customWidth="1"/>
    <col min="13" max="16384" width="8.88671875" style="104"/>
  </cols>
  <sheetData>
    <row r="2" spans="2:20" x14ac:dyDescent="0.25">
      <c r="B2" s="186"/>
      <c r="C2" s="187"/>
      <c r="D2" s="187"/>
      <c r="E2" s="187"/>
      <c r="F2" s="187"/>
      <c r="G2" s="187"/>
      <c r="H2" s="187"/>
      <c r="I2" s="188"/>
    </row>
    <row r="3" spans="2:20" ht="18.75" x14ac:dyDescent="0.3">
      <c r="B3" s="189"/>
      <c r="C3" s="283" t="s">
        <v>72</v>
      </c>
      <c r="D3" s="283"/>
      <c r="E3" s="283"/>
      <c r="F3" s="283"/>
      <c r="G3" s="283"/>
      <c r="H3" s="283"/>
      <c r="I3" s="190"/>
    </row>
    <row r="4" spans="2:20" ht="18.75" x14ac:dyDescent="0.3">
      <c r="B4" s="189"/>
      <c r="C4" s="107" t="s">
        <v>28</v>
      </c>
      <c r="D4" s="191"/>
      <c r="E4" s="191"/>
      <c r="F4" s="191"/>
      <c r="G4" s="191"/>
      <c r="H4" s="191"/>
      <c r="I4" s="190"/>
    </row>
    <row r="5" spans="2:20" x14ac:dyDescent="0.25">
      <c r="B5" s="189"/>
      <c r="C5" s="109" t="s">
        <v>147</v>
      </c>
      <c r="D5" s="191"/>
      <c r="E5" s="191"/>
      <c r="F5" s="191"/>
      <c r="G5" s="191"/>
      <c r="H5" s="191"/>
      <c r="I5" s="190"/>
    </row>
    <row r="6" spans="2:20" x14ac:dyDescent="0.25">
      <c r="B6" s="189"/>
      <c r="C6" s="46"/>
      <c r="D6" s="46"/>
      <c r="E6" s="46"/>
      <c r="F6" s="46"/>
      <c r="G6" s="46"/>
      <c r="H6" s="46"/>
      <c r="I6" s="190"/>
    </row>
    <row r="7" spans="2:20" x14ac:dyDescent="0.25">
      <c r="B7" s="189"/>
      <c r="C7" s="46"/>
      <c r="D7" s="46"/>
      <c r="E7" s="46"/>
      <c r="F7" s="46"/>
      <c r="G7" s="46"/>
      <c r="H7" s="46"/>
      <c r="I7" s="190"/>
    </row>
    <row r="8" spans="2:20" x14ac:dyDescent="0.25">
      <c r="B8" s="189"/>
      <c r="C8" s="110" t="s">
        <v>29</v>
      </c>
      <c r="D8" s="110"/>
      <c r="E8" s="108"/>
      <c r="F8" s="108"/>
      <c r="G8" s="108"/>
      <c r="H8" s="108"/>
      <c r="I8" s="190"/>
      <c r="L8" s="235"/>
      <c r="M8" s="46"/>
      <c r="N8" s="46"/>
      <c r="O8" s="46"/>
      <c r="P8" s="46"/>
      <c r="Q8" s="46"/>
      <c r="R8" s="46"/>
      <c r="S8" s="46"/>
      <c r="T8" s="46"/>
    </row>
    <row r="9" spans="2:20" ht="6.95" customHeight="1" x14ac:dyDescent="0.25">
      <c r="B9" s="189"/>
      <c r="C9" s="192"/>
      <c r="D9" s="192"/>
      <c r="E9" s="192"/>
      <c r="F9" s="192"/>
      <c r="G9" s="192"/>
      <c r="H9" s="192"/>
      <c r="I9" s="190"/>
      <c r="L9" s="235"/>
      <c r="M9" s="46"/>
      <c r="N9" s="46"/>
      <c r="O9" s="46"/>
      <c r="P9" s="46"/>
      <c r="Q9" s="46"/>
      <c r="R9" s="46"/>
      <c r="S9" s="46"/>
      <c r="T9" s="46"/>
    </row>
    <row r="10" spans="2:20" x14ac:dyDescent="0.25">
      <c r="B10" s="189"/>
      <c r="C10" s="193"/>
      <c r="D10" s="191" t="s">
        <v>30</v>
      </c>
      <c r="E10" s="191"/>
      <c r="F10" s="191"/>
      <c r="G10" s="194" t="s">
        <v>31</v>
      </c>
      <c r="H10" s="191"/>
      <c r="I10" s="190"/>
      <c r="L10" s="235"/>
      <c r="M10" s="195" t="s">
        <v>95</v>
      </c>
      <c r="N10" s="195" t="s">
        <v>89</v>
      </c>
      <c r="O10" s="195" t="s">
        <v>90</v>
      </c>
      <c r="P10" s="195" t="s">
        <v>94</v>
      </c>
      <c r="Q10" s="195" t="s">
        <v>91</v>
      </c>
      <c r="R10" s="195" t="s">
        <v>92</v>
      </c>
      <c r="S10" s="195" t="s">
        <v>93</v>
      </c>
      <c r="T10" s="46"/>
    </row>
    <row r="11" spans="2:20" x14ac:dyDescent="0.25">
      <c r="B11" s="189"/>
      <c r="C11" s="196" t="s">
        <v>32</v>
      </c>
      <c r="D11" s="197" t="s">
        <v>33</v>
      </c>
      <c r="E11" s="197" t="s">
        <v>34</v>
      </c>
      <c r="F11" s="197" t="s">
        <v>35</v>
      </c>
      <c r="G11" s="198" t="s">
        <v>34</v>
      </c>
      <c r="H11" s="197" t="s">
        <v>35</v>
      </c>
      <c r="I11" s="190"/>
      <c r="L11" s="235" t="s">
        <v>185</v>
      </c>
      <c r="M11" s="195"/>
      <c r="N11" s="199">
        <v>0.85</v>
      </c>
      <c r="O11" s="195"/>
      <c r="P11" s="195"/>
      <c r="Q11" s="195"/>
      <c r="R11" s="195"/>
      <c r="S11" s="195"/>
      <c r="T11" s="46"/>
    </row>
    <row r="12" spans="2:20" x14ac:dyDescent="0.25">
      <c r="B12" s="189"/>
      <c r="C12" s="196" t="s">
        <v>10</v>
      </c>
      <c r="D12" s="196" t="s">
        <v>36</v>
      </c>
      <c r="E12" s="196" t="s">
        <v>37</v>
      </c>
      <c r="F12" s="196" t="s">
        <v>38</v>
      </c>
      <c r="G12" s="200" t="s">
        <v>37</v>
      </c>
      <c r="H12" s="196" t="s">
        <v>38</v>
      </c>
      <c r="I12" s="190"/>
      <c r="L12" s="235" t="s">
        <v>186</v>
      </c>
      <c r="M12" s="195"/>
      <c r="N12" s="199">
        <v>2.17</v>
      </c>
      <c r="O12" s="195"/>
      <c r="P12" s="195"/>
      <c r="Q12" s="195"/>
      <c r="R12" s="195"/>
      <c r="S12" s="195"/>
      <c r="T12" s="46"/>
    </row>
    <row r="13" spans="2:20" x14ac:dyDescent="0.25">
      <c r="B13" s="189"/>
      <c r="C13" s="124">
        <v>20</v>
      </c>
      <c r="D13" s="201"/>
      <c r="E13" s="202">
        <f>D13/5280</f>
        <v>0</v>
      </c>
      <c r="F13" s="175">
        <f t="shared" ref="F13:F20" si="0">E13*C13</f>
        <v>0</v>
      </c>
      <c r="G13" s="203">
        <f>E13</f>
        <v>0</v>
      </c>
      <c r="H13" s="175">
        <f t="shared" ref="H13:H14" si="1">G13*C13</f>
        <v>0</v>
      </c>
      <c r="I13" s="190"/>
      <c r="L13" s="235" t="s">
        <v>187</v>
      </c>
      <c r="M13" s="195"/>
      <c r="N13" s="199">
        <v>1.7</v>
      </c>
      <c r="O13" s="195"/>
      <c r="P13" s="195"/>
      <c r="Q13" s="195"/>
      <c r="R13" s="195"/>
      <c r="S13" s="195"/>
      <c r="T13" s="46"/>
    </row>
    <row r="14" spans="2:20" x14ac:dyDescent="0.25">
      <c r="B14" s="189"/>
      <c r="C14" s="204">
        <v>16</v>
      </c>
      <c r="D14" s="201"/>
      <c r="E14" s="202">
        <f>D14/5280</f>
        <v>0</v>
      </c>
      <c r="F14" s="175">
        <f t="shared" si="0"/>
        <v>0</v>
      </c>
      <c r="G14" s="203">
        <f>E14</f>
        <v>0</v>
      </c>
      <c r="H14" s="175">
        <f t="shared" si="1"/>
        <v>0</v>
      </c>
      <c r="I14" s="190"/>
      <c r="L14" s="235" t="s">
        <v>188</v>
      </c>
      <c r="M14" s="195"/>
      <c r="N14" s="199">
        <v>2.13</v>
      </c>
      <c r="O14" s="195"/>
      <c r="P14" s="195"/>
      <c r="Q14" s="195"/>
      <c r="R14" s="195"/>
      <c r="S14" s="195"/>
      <c r="T14" s="46"/>
    </row>
    <row r="15" spans="2:20" x14ac:dyDescent="0.25">
      <c r="B15" s="189"/>
      <c r="C15" s="204">
        <v>12</v>
      </c>
      <c r="D15" s="201"/>
      <c r="E15" s="202">
        <f t="shared" ref="E15:E20" si="2">D15/5280</f>
        <v>0</v>
      </c>
      <c r="F15" s="175">
        <f t="shared" si="0"/>
        <v>0</v>
      </c>
      <c r="G15" s="203">
        <f>Q19</f>
        <v>0</v>
      </c>
      <c r="H15" s="175">
        <f>G15*C15</f>
        <v>0</v>
      </c>
      <c r="I15" s="190"/>
      <c r="L15" s="236" t="s">
        <v>189</v>
      </c>
      <c r="M15" s="205"/>
      <c r="N15" s="206">
        <v>2.65</v>
      </c>
      <c r="O15" s="205"/>
      <c r="P15" s="205"/>
      <c r="Q15" s="205"/>
      <c r="R15" s="205"/>
      <c r="S15" s="205"/>
      <c r="T15" s="143"/>
    </row>
    <row r="16" spans="2:20" x14ac:dyDescent="0.25">
      <c r="B16" s="189"/>
      <c r="C16" s="204">
        <v>10</v>
      </c>
      <c r="D16" s="201"/>
      <c r="E16" s="202">
        <f t="shared" si="2"/>
        <v>0</v>
      </c>
      <c r="F16" s="175">
        <f t="shared" si="0"/>
        <v>0</v>
      </c>
      <c r="G16" s="203">
        <f>E16</f>
        <v>0</v>
      </c>
      <c r="H16" s="175">
        <f>G16*C16</f>
        <v>0</v>
      </c>
      <c r="I16" s="190"/>
      <c r="L16" s="236" t="s">
        <v>190</v>
      </c>
      <c r="M16" s="205"/>
      <c r="N16" s="206">
        <v>2.5499999999999998</v>
      </c>
      <c r="O16" s="205"/>
      <c r="P16" s="205"/>
      <c r="Q16" s="205"/>
      <c r="R16" s="205"/>
      <c r="S16" s="205"/>
      <c r="T16" s="46"/>
    </row>
    <row r="17" spans="2:20" x14ac:dyDescent="0.25">
      <c r="B17" s="189"/>
      <c r="C17" s="204">
        <v>8</v>
      </c>
      <c r="D17" s="201"/>
      <c r="E17" s="202">
        <f t="shared" si="2"/>
        <v>0</v>
      </c>
      <c r="F17" s="175">
        <f t="shared" si="0"/>
        <v>0</v>
      </c>
      <c r="G17" s="203">
        <f>O19</f>
        <v>0</v>
      </c>
      <c r="H17" s="175">
        <f>G17*C17</f>
        <v>0</v>
      </c>
      <c r="I17" s="190"/>
      <c r="L17" s="236" t="s">
        <v>191</v>
      </c>
      <c r="M17" s="205"/>
      <c r="N17" s="205">
        <v>1.42</v>
      </c>
      <c r="O17" s="205"/>
      <c r="P17" s="205"/>
      <c r="Q17" s="205"/>
      <c r="R17" s="205"/>
      <c r="S17" s="205"/>
      <c r="T17" s="143"/>
    </row>
    <row r="18" spans="2:20" x14ac:dyDescent="0.25">
      <c r="B18" s="189" t="s">
        <v>192</v>
      </c>
      <c r="C18" s="204">
        <v>6</v>
      </c>
      <c r="D18" s="201">
        <v>289080</v>
      </c>
      <c r="E18" s="202">
        <f>D18/5280</f>
        <v>54.75</v>
      </c>
      <c r="F18" s="175">
        <f t="shared" si="0"/>
        <v>328.5</v>
      </c>
      <c r="G18" s="203">
        <f>N18</f>
        <v>13.47</v>
      </c>
      <c r="H18" s="175">
        <f>G18*C18</f>
        <v>80.820000000000007</v>
      </c>
      <c r="I18" s="190" t="s">
        <v>193</v>
      </c>
      <c r="L18" s="235" t="s">
        <v>16</v>
      </c>
      <c r="M18" s="143"/>
      <c r="N18" s="143">
        <f>SUM(N11:N17)</f>
        <v>13.47</v>
      </c>
      <c r="O18" s="205"/>
      <c r="P18" s="205"/>
      <c r="Q18" s="205"/>
      <c r="R18" s="205"/>
      <c r="S18" s="205"/>
      <c r="T18" s="143"/>
    </row>
    <row r="19" spans="2:20" x14ac:dyDescent="0.25">
      <c r="B19" s="189"/>
      <c r="C19" s="204">
        <v>4</v>
      </c>
      <c r="D19" s="201"/>
      <c r="E19" s="202">
        <f>D19/5280</f>
        <v>0</v>
      </c>
      <c r="F19" s="175">
        <f t="shared" si="0"/>
        <v>0</v>
      </c>
      <c r="G19" s="203">
        <f>M18</f>
        <v>0</v>
      </c>
      <c r="H19" s="175">
        <f>G19*C19</f>
        <v>0</v>
      </c>
      <c r="I19" s="190"/>
      <c r="L19" s="235"/>
      <c r="M19" s="46"/>
      <c r="N19" s="46"/>
      <c r="O19" s="143"/>
      <c r="P19" s="143"/>
      <c r="Q19" s="143"/>
      <c r="R19" s="143"/>
      <c r="S19" s="143"/>
      <c r="T19" s="46"/>
    </row>
    <row r="20" spans="2:20" x14ac:dyDescent="0.25">
      <c r="B20" s="189"/>
      <c r="C20" s="204">
        <v>2</v>
      </c>
      <c r="D20" s="201"/>
      <c r="E20" s="202">
        <f t="shared" si="2"/>
        <v>0</v>
      </c>
      <c r="F20" s="175">
        <f t="shared" si="0"/>
        <v>0</v>
      </c>
      <c r="G20" s="207"/>
      <c r="H20" s="175"/>
      <c r="I20" s="190"/>
      <c r="L20" s="235"/>
      <c r="M20" s="46"/>
      <c r="N20" s="46"/>
      <c r="O20" s="46"/>
      <c r="P20" s="46"/>
      <c r="Q20" s="46"/>
      <c r="R20" s="46"/>
      <c r="S20" s="46"/>
      <c r="T20" s="46"/>
    </row>
    <row r="21" spans="2:20" x14ac:dyDescent="0.25">
      <c r="B21" s="189"/>
      <c r="C21" s="204"/>
      <c r="D21" s="208"/>
      <c r="E21" s="209"/>
      <c r="F21" s="202"/>
      <c r="G21" s="207"/>
      <c r="H21" s="175"/>
      <c r="I21" s="190"/>
      <c r="O21" s="46"/>
      <c r="P21" s="46"/>
      <c r="Q21" s="46"/>
      <c r="R21" s="46"/>
      <c r="S21" s="46"/>
    </row>
    <row r="22" spans="2:20" x14ac:dyDescent="0.25">
      <c r="B22" s="189"/>
      <c r="C22" s="204" t="s">
        <v>8</v>
      </c>
      <c r="D22" s="208">
        <f>SUM(D13:D21)</f>
        <v>289080</v>
      </c>
      <c r="E22" s="202">
        <f t="shared" ref="E22:F22" si="3">SUM(E13:E21)</f>
        <v>54.75</v>
      </c>
      <c r="F22" s="202">
        <f t="shared" si="3"/>
        <v>328.5</v>
      </c>
      <c r="G22" s="203">
        <f t="shared" ref="G22" si="4">SUM(G13:G21)</f>
        <v>13.47</v>
      </c>
      <c r="H22" s="175">
        <f t="shared" ref="H22" si="5">SUM(H13:H21)</f>
        <v>80.820000000000007</v>
      </c>
      <c r="I22" s="190"/>
    </row>
    <row r="23" spans="2:20" x14ac:dyDescent="0.25">
      <c r="B23" s="189"/>
      <c r="C23" s="46"/>
      <c r="D23" s="46"/>
      <c r="E23" s="46"/>
      <c r="F23" s="106"/>
      <c r="G23" s="46"/>
      <c r="H23" s="46"/>
      <c r="I23" s="190"/>
    </row>
    <row r="24" spans="2:20" x14ac:dyDescent="0.25">
      <c r="B24" s="189"/>
      <c r="C24" s="46" t="s">
        <v>195</v>
      </c>
      <c r="D24" s="46"/>
      <c r="E24" s="46"/>
      <c r="F24" s="46"/>
      <c r="G24" s="46"/>
      <c r="H24" s="46"/>
      <c r="I24" s="190"/>
    </row>
    <row r="25" spans="2:20" x14ac:dyDescent="0.25">
      <c r="B25" s="189"/>
      <c r="C25" s="46" t="s">
        <v>196</v>
      </c>
      <c r="D25" s="46"/>
      <c r="E25" s="46"/>
      <c r="F25" s="46"/>
      <c r="G25" s="46"/>
      <c r="H25" s="46"/>
      <c r="I25" s="190"/>
    </row>
    <row r="26" spans="2:20" x14ac:dyDescent="0.25">
      <c r="B26" s="189"/>
      <c r="C26" s="46" t="s">
        <v>194</v>
      </c>
      <c r="D26" s="46"/>
      <c r="E26" s="46"/>
      <c r="F26" s="46"/>
      <c r="G26" s="46"/>
      <c r="H26" s="46"/>
      <c r="I26" s="190"/>
    </row>
    <row r="27" spans="2:20" x14ac:dyDescent="0.25">
      <c r="B27" s="189"/>
      <c r="C27" s="46"/>
      <c r="D27" s="46"/>
      <c r="E27" s="46"/>
      <c r="F27" s="46"/>
      <c r="G27" s="46"/>
      <c r="H27" s="46"/>
      <c r="I27" s="190"/>
    </row>
    <row r="28" spans="2:20" x14ac:dyDescent="0.25">
      <c r="B28" s="189"/>
      <c r="C28" s="46"/>
      <c r="D28" s="110" t="s">
        <v>39</v>
      </c>
      <c r="E28" s="110"/>
      <c r="F28" s="110"/>
      <c r="G28" s="110"/>
      <c r="H28" s="46"/>
      <c r="I28" s="190"/>
    </row>
    <row r="29" spans="2:20" ht="6.95" customHeight="1" x14ac:dyDescent="0.25">
      <c r="B29" s="189"/>
      <c r="C29" s="46"/>
      <c r="D29" s="192"/>
      <c r="E29" s="192"/>
      <c r="F29" s="192"/>
      <c r="G29" s="192"/>
      <c r="H29" s="46"/>
      <c r="I29" s="190"/>
    </row>
    <row r="30" spans="2:20" x14ac:dyDescent="0.25">
      <c r="B30" s="189"/>
      <c r="C30" s="46"/>
      <c r="D30" s="46"/>
      <c r="E30" s="46"/>
      <c r="F30" s="196" t="s">
        <v>40</v>
      </c>
      <c r="G30" s="196"/>
      <c r="H30" s="46"/>
      <c r="I30" s="190"/>
    </row>
    <row r="31" spans="2:20" x14ac:dyDescent="0.25">
      <c r="B31" s="189"/>
      <c r="C31" s="46"/>
      <c r="D31" s="46"/>
      <c r="E31" s="46"/>
      <c r="F31" s="196" t="s">
        <v>41</v>
      </c>
      <c r="G31" s="196" t="s">
        <v>11</v>
      </c>
      <c r="H31" s="46"/>
      <c r="I31" s="190"/>
    </row>
    <row r="32" spans="2:20" x14ac:dyDescent="0.25">
      <c r="B32" s="189"/>
      <c r="C32" s="46"/>
      <c r="D32" s="111" t="s">
        <v>63</v>
      </c>
      <c r="E32" s="111"/>
      <c r="F32" s="212">
        <f>D55</f>
        <v>605504000</v>
      </c>
      <c r="G32" s="111"/>
      <c r="H32" s="46"/>
      <c r="I32" s="190"/>
    </row>
    <row r="33" spans="1:12" x14ac:dyDescent="0.25">
      <c r="B33" s="189"/>
      <c r="C33" s="46"/>
      <c r="D33" s="111" t="s">
        <v>220</v>
      </c>
      <c r="E33" s="111"/>
      <c r="F33" s="212">
        <f>L55+K55</f>
        <v>117166170</v>
      </c>
      <c r="G33" s="210">
        <f>F33/F35</f>
        <v>0.24715702124392161</v>
      </c>
      <c r="H33" s="46"/>
      <c r="I33" s="190"/>
    </row>
    <row r="34" spans="1:12" x14ac:dyDescent="0.25">
      <c r="B34" s="189"/>
      <c r="C34" s="46"/>
      <c r="D34" s="111" t="s">
        <v>219</v>
      </c>
      <c r="E34" s="111"/>
      <c r="F34" s="233">
        <f>H55</f>
        <v>356889430</v>
      </c>
      <c r="G34" s="210">
        <f>F34/F35</f>
        <v>0.75284297875607842</v>
      </c>
      <c r="H34" s="46"/>
      <c r="I34" s="190"/>
    </row>
    <row r="35" spans="1:12" x14ac:dyDescent="0.25">
      <c r="B35" s="189"/>
      <c r="C35" s="46"/>
      <c r="D35" s="111" t="s">
        <v>42</v>
      </c>
      <c r="E35" s="111"/>
      <c r="F35" s="212">
        <f>SUM(F33:F34)</f>
        <v>474055600</v>
      </c>
      <c r="G35" s="111"/>
      <c r="H35" s="46"/>
      <c r="I35" s="190"/>
    </row>
    <row r="36" spans="1:12" x14ac:dyDescent="0.25">
      <c r="B36" s="189"/>
      <c r="C36" s="46"/>
      <c r="D36" s="111"/>
      <c r="E36" s="111"/>
      <c r="F36" s="211"/>
      <c r="G36" s="210"/>
      <c r="H36" s="46"/>
      <c r="I36" s="190"/>
    </row>
    <row r="37" spans="1:12" x14ac:dyDescent="0.25">
      <c r="B37" s="189"/>
      <c r="C37" s="46"/>
      <c r="D37" s="111" t="s">
        <v>64</v>
      </c>
      <c r="E37" s="111"/>
      <c r="F37" s="212">
        <f>F55</f>
        <v>5263000</v>
      </c>
      <c r="G37" s="210">
        <f>F37/$F$32</f>
        <v>8.6919326709650139E-3</v>
      </c>
      <c r="H37" s="46"/>
      <c r="I37" s="190"/>
    </row>
    <row r="38" spans="1:12" x14ac:dyDescent="0.25">
      <c r="B38" s="189"/>
      <c r="C38" s="46"/>
      <c r="D38" s="111" t="s">
        <v>43</v>
      </c>
      <c r="E38" s="111"/>
      <c r="F38" s="212">
        <v>0</v>
      </c>
      <c r="G38" s="210">
        <f>F38/$F$32</f>
        <v>0</v>
      </c>
      <c r="H38" s="46"/>
      <c r="I38" s="190"/>
    </row>
    <row r="39" spans="1:12" x14ac:dyDescent="0.25">
      <c r="B39" s="189"/>
      <c r="C39" s="46"/>
      <c r="D39" s="111" t="s">
        <v>44</v>
      </c>
      <c r="E39" s="111"/>
      <c r="F39" s="212">
        <f>F32-F35-F37-F38</f>
        <v>126185400</v>
      </c>
      <c r="G39" s="210">
        <f>F39/$F$32</f>
        <v>0.20839730208223231</v>
      </c>
      <c r="H39" s="46"/>
      <c r="I39" s="190"/>
    </row>
    <row r="40" spans="1:12" x14ac:dyDescent="0.25">
      <c r="B40" s="213"/>
      <c r="C40" s="127"/>
      <c r="D40" s="127"/>
      <c r="E40" s="214"/>
      <c r="F40" s="127"/>
      <c r="G40" s="127"/>
      <c r="H40" s="127"/>
      <c r="I40" s="215"/>
    </row>
    <row r="42" spans="1:12" x14ac:dyDescent="0.25">
      <c r="B42" s="46"/>
      <c r="C42" s="204"/>
      <c r="D42" s="216" t="s">
        <v>63</v>
      </c>
      <c r="E42" s="217"/>
      <c r="F42" s="49" t="s">
        <v>197</v>
      </c>
      <c r="G42" s="218"/>
      <c r="H42" s="220" t="s">
        <v>210</v>
      </c>
      <c r="K42" s="49" t="s">
        <v>211</v>
      </c>
      <c r="L42" s="237" t="s">
        <v>221</v>
      </c>
    </row>
    <row r="43" spans="1:12" x14ac:dyDescent="0.25">
      <c r="A43" s="184" t="s">
        <v>198</v>
      </c>
      <c r="D43" s="50">
        <v>52594000</v>
      </c>
      <c r="E43" s="50"/>
      <c r="F43" s="50">
        <v>615600</v>
      </c>
      <c r="G43" s="46"/>
      <c r="H43" s="221">
        <v>33137940</v>
      </c>
      <c r="K43" s="50">
        <v>4293393</v>
      </c>
    </row>
    <row r="44" spans="1:12" x14ac:dyDescent="0.25">
      <c r="A44" s="184" t="s">
        <v>199</v>
      </c>
      <c r="D44" s="50">
        <v>50364000</v>
      </c>
      <c r="E44" s="50"/>
      <c r="F44" s="50">
        <v>502200</v>
      </c>
      <c r="G44" s="46"/>
      <c r="H44" s="221">
        <v>32553780</v>
      </c>
      <c r="K44" s="50">
        <v>4020656</v>
      </c>
    </row>
    <row r="45" spans="1:12" x14ac:dyDescent="0.25">
      <c r="A45" s="184" t="s">
        <v>200</v>
      </c>
      <c r="C45" s="46"/>
      <c r="D45" s="50">
        <v>47701000</v>
      </c>
      <c r="E45" s="50"/>
      <c r="F45" s="50">
        <v>542700</v>
      </c>
      <c r="G45" s="46"/>
      <c r="H45" s="221">
        <v>31736600</v>
      </c>
      <c r="K45" s="50">
        <v>3811898</v>
      </c>
    </row>
    <row r="46" spans="1:12" x14ac:dyDescent="0.25">
      <c r="A46" s="185" t="s">
        <v>201</v>
      </c>
      <c r="C46" s="46"/>
      <c r="D46" s="50">
        <f>(1979+1638+1545+1622+1501+1667+1310+1327+1443+1455+1660+1700+1720+1721+1721+1403+1376+1560+995+1800+2163+1569+1361+1431+1875+1494+2161+1846+1496+1381+1529)*1000</f>
        <v>49449000</v>
      </c>
      <c r="E46" s="50"/>
      <c r="F46" s="50">
        <v>469800</v>
      </c>
      <c r="G46" s="46"/>
      <c r="H46" s="221">
        <v>30972160</v>
      </c>
      <c r="K46" s="50">
        <v>3903102</v>
      </c>
    </row>
    <row r="47" spans="1:12" x14ac:dyDescent="0.25">
      <c r="A47" s="184" t="s">
        <v>202</v>
      </c>
      <c r="B47" s="46"/>
      <c r="C47" s="46"/>
      <c r="D47" s="50">
        <v>49744000</v>
      </c>
      <c r="E47" s="50"/>
      <c r="F47" s="50">
        <v>317000</v>
      </c>
      <c r="G47" s="46"/>
      <c r="H47" s="221">
        <v>27868240</v>
      </c>
      <c r="K47" s="50">
        <v>4106092</v>
      </c>
    </row>
    <row r="48" spans="1:12" x14ac:dyDescent="0.25">
      <c r="A48" s="184" t="s">
        <v>203</v>
      </c>
      <c r="B48" s="46"/>
      <c r="C48" s="46"/>
      <c r="D48" s="50">
        <v>53355000</v>
      </c>
      <c r="E48" s="50"/>
      <c r="F48" s="50">
        <v>391300</v>
      </c>
      <c r="G48" s="46"/>
      <c r="H48" s="221">
        <v>27637260</v>
      </c>
      <c r="K48" s="50">
        <v>3350319</v>
      </c>
    </row>
    <row r="49" spans="1:12" x14ac:dyDescent="0.25">
      <c r="A49" s="184" t="s">
        <v>204</v>
      </c>
      <c r="B49" s="46"/>
      <c r="C49" s="46"/>
      <c r="D49" s="50">
        <v>57172000</v>
      </c>
      <c r="E49" s="50"/>
      <c r="F49" s="50">
        <v>343000</v>
      </c>
      <c r="G49" s="46"/>
      <c r="H49" s="221">
        <v>31585930</v>
      </c>
      <c r="K49" s="50">
        <v>4194952</v>
      </c>
    </row>
    <row r="50" spans="1:12" x14ac:dyDescent="0.25">
      <c r="A50" s="184" t="s">
        <v>205</v>
      </c>
      <c r="B50" s="46"/>
      <c r="C50" s="46"/>
      <c r="D50" s="50">
        <v>46530000</v>
      </c>
      <c r="E50" s="50"/>
      <c r="F50" s="50">
        <v>384500</v>
      </c>
      <c r="G50" s="46"/>
      <c r="H50" s="221">
        <v>33362770</v>
      </c>
      <c r="K50" s="50">
        <v>5767182</v>
      </c>
    </row>
    <row r="51" spans="1:12" x14ac:dyDescent="0.25">
      <c r="A51" s="184" t="s">
        <v>206</v>
      </c>
      <c r="B51" s="46"/>
      <c r="C51" s="46"/>
      <c r="D51" s="50">
        <v>46958000</v>
      </c>
      <c r="E51" s="50"/>
      <c r="F51" s="50">
        <v>424500</v>
      </c>
      <c r="G51" s="46"/>
      <c r="H51" s="221">
        <v>30525690</v>
      </c>
      <c r="K51" s="50">
        <v>4485933</v>
      </c>
    </row>
    <row r="52" spans="1:12" x14ac:dyDescent="0.25">
      <c r="A52" s="184" t="s">
        <v>207</v>
      </c>
      <c r="B52" s="46"/>
      <c r="C52" s="46"/>
      <c r="D52" s="50">
        <v>44064000</v>
      </c>
      <c r="E52" s="50"/>
      <c r="F52" s="50">
        <v>432200</v>
      </c>
      <c r="G52" s="46"/>
      <c r="H52" s="221">
        <v>23047540</v>
      </c>
      <c r="K52" s="50">
        <v>3808232</v>
      </c>
    </row>
    <row r="53" spans="1:12" x14ac:dyDescent="0.25">
      <c r="A53" s="184" t="s">
        <v>208</v>
      </c>
      <c r="B53" s="46"/>
      <c r="C53" s="46"/>
      <c r="D53" s="50">
        <v>49901000</v>
      </c>
      <c r="E53" s="50"/>
      <c r="F53" s="50">
        <v>326400</v>
      </c>
      <c r="G53" s="46"/>
      <c r="H53" s="221">
        <v>27336880</v>
      </c>
      <c r="K53" s="50">
        <v>4239685</v>
      </c>
    </row>
    <row r="54" spans="1:12" x14ac:dyDescent="0.25">
      <c r="A54" s="184" t="s">
        <v>209</v>
      </c>
      <c r="B54" s="46"/>
      <c r="C54" s="46"/>
      <c r="D54" s="219">
        <v>57672000</v>
      </c>
      <c r="E54" s="50"/>
      <c r="F54" s="219">
        <f>138500+137300+101900+136100</f>
        <v>513800</v>
      </c>
      <c r="G54" s="46"/>
      <c r="H54" s="222">
        <v>27124640</v>
      </c>
      <c r="K54" s="219">
        <v>3191971</v>
      </c>
      <c r="L54" s="239"/>
    </row>
    <row r="55" spans="1:12" x14ac:dyDescent="0.25">
      <c r="A55" s="46" t="s">
        <v>16</v>
      </c>
      <c r="B55" s="46"/>
      <c r="C55" s="46"/>
      <c r="D55" s="50">
        <f>SUM(D43:D54)</f>
        <v>605504000</v>
      </c>
      <c r="E55" s="50"/>
      <c r="F55" s="50">
        <f>SUM(F43:F54)</f>
        <v>5263000</v>
      </c>
      <c r="G55" s="46"/>
      <c r="H55" s="221">
        <f>SUM(H43:H54)</f>
        <v>356889430</v>
      </c>
      <c r="K55" s="221">
        <f>SUM(K43:K54)</f>
        <v>49173415</v>
      </c>
      <c r="L55" s="238">
        <v>67992755</v>
      </c>
    </row>
    <row r="56" spans="1:12" x14ac:dyDescent="0.25">
      <c r="B56" s="46"/>
      <c r="C56" s="46"/>
      <c r="D56" s="46"/>
      <c r="E56" s="46"/>
      <c r="F56" s="46"/>
      <c r="G56" s="46"/>
    </row>
    <row r="57" spans="1:12" x14ac:dyDescent="0.25">
      <c r="B57" s="46"/>
      <c r="C57" s="46"/>
      <c r="D57" s="46"/>
      <c r="E57" s="46"/>
      <c r="F57" s="46"/>
      <c r="G57" s="46"/>
      <c r="H57" s="270">
        <f>H55/12</f>
        <v>29740785.833333332</v>
      </c>
    </row>
    <row r="58" spans="1:12" x14ac:dyDescent="0.25">
      <c r="B58" s="46"/>
      <c r="C58" s="46"/>
      <c r="D58" s="46"/>
      <c r="E58" s="46"/>
      <c r="F58" s="46"/>
      <c r="G58" s="46"/>
    </row>
    <row r="59" spans="1:12" x14ac:dyDescent="0.25">
      <c r="B59" s="46"/>
      <c r="C59" s="46"/>
      <c r="D59" s="46"/>
      <c r="E59" s="46"/>
    </row>
    <row r="60" spans="1:12" x14ac:dyDescent="0.25">
      <c r="B60" s="46"/>
      <c r="C60" s="46"/>
      <c r="D60" s="46"/>
      <c r="E60" s="46"/>
    </row>
  </sheetData>
  <mergeCells count="1">
    <mergeCell ref="C3:H3"/>
  </mergeCells>
  <printOptions horizontalCentered="1"/>
  <pageMargins left="0.7" right="0.7" top="1" bottom="0.75" header="0.3" footer="0.3"/>
  <pageSetup scale="98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48"/>
  <sheetViews>
    <sheetView workbookViewId="0">
      <selection activeCell="K46" sqref="A1:K46"/>
    </sheetView>
  </sheetViews>
  <sheetFormatPr defaultRowHeight="15.75" x14ac:dyDescent="0.25"/>
  <cols>
    <col min="1" max="1" width="3.77734375" style="104" customWidth="1"/>
    <col min="2" max="2" width="2.77734375" style="104" customWidth="1"/>
    <col min="3" max="3" width="32.5546875" style="104" customWidth="1"/>
    <col min="4" max="4" width="1.21875" style="104" customWidth="1"/>
    <col min="5" max="5" width="16.77734375" style="229" bestFit="1" customWidth="1"/>
    <col min="6" max="6" width="2.5546875" style="104" customWidth="1"/>
    <col min="7" max="7" width="10.5546875" style="229" customWidth="1"/>
    <col min="8" max="8" width="3.6640625" style="104" customWidth="1"/>
    <col min="9" max="9" width="11.88671875" style="104" bestFit="1" customWidth="1"/>
    <col min="10" max="10" width="2.77734375" style="104" customWidth="1"/>
    <col min="11" max="11" width="2.5546875" style="104" customWidth="1"/>
    <col min="12" max="12" width="52.5546875" style="104" customWidth="1"/>
    <col min="13" max="16384" width="8.88671875" style="104"/>
  </cols>
  <sheetData>
    <row r="2" spans="1:11" ht="21" x14ac:dyDescent="0.35">
      <c r="A2" s="46"/>
      <c r="B2" s="101"/>
      <c r="C2" s="284"/>
      <c r="D2" s="284"/>
      <c r="E2" s="284"/>
      <c r="F2" s="284"/>
      <c r="G2" s="284"/>
      <c r="H2" s="284"/>
      <c r="I2" s="284"/>
      <c r="J2" s="102"/>
      <c r="K2" s="103"/>
    </row>
    <row r="3" spans="1:11" ht="18.75" x14ac:dyDescent="0.3">
      <c r="A3" s="46"/>
      <c r="B3" s="105"/>
      <c r="C3" s="283" t="s">
        <v>73</v>
      </c>
      <c r="D3" s="283"/>
      <c r="E3" s="283"/>
      <c r="F3" s="283"/>
      <c r="G3" s="283"/>
      <c r="H3" s="283"/>
      <c r="I3" s="283"/>
      <c r="J3" s="106"/>
      <c r="K3" s="46"/>
    </row>
    <row r="4" spans="1:11" ht="18.75" x14ac:dyDescent="0.3">
      <c r="A4" s="46"/>
      <c r="B4" s="105"/>
      <c r="C4" s="107" t="s">
        <v>46</v>
      </c>
      <c r="D4" s="108"/>
      <c r="E4" s="224"/>
      <c r="F4" s="108"/>
      <c r="G4" s="224"/>
      <c r="H4" s="108"/>
      <c r="I4" s="108"/>
      <c r="J4" s="106"/>
      <c r="K4" s="46"/>
    </row>
    <row r="5" spans="1:11" x14ac:dyDescent="0.25">
      <c r="A5" s="46"/>
      <c r="B5" s="105"/>
      <c r="C5" s="109" t="s">
        <v>147</v>
      </c>
      <c r="D5" s="110"/>
      <c r="E5" s="225"/>
      <c r="F5" s="110"/>
      <c r="G5" s="225"/>
      <c r="H5" s="110"/>
      <c r="I5" s="110"/>
      <c r="J5" s="106"/>
      <c r="K5" s="46"/>
    </row>
    <row r="6" spans="1:11" x14ac:dyDescent="0.25">
      <c r="A6" s="46"/>
      <c r="B6" s="105"/>
      <c r="C6" s="46"/>
      <c r="D6" s="46"/>
      <c r="E6" s="193"/>
      <c r="F6" s="46"/>
      <c r="G6" s="193"/>
      <c r="H6" s="46"/>
      <c r="I6" s="46"/>
      <c r="J6" s="106"/>
      <c r="K6" s="46"/>
    </row>
    <row r="7" spans="1:11" x14ac:dyDescent="0.25">
      <c r="A7" s="46"/>
      <c r="B7" s="105"/>
      <c r="C7" s="111"/>
      <c r="D7" s="112"/>
      <c r="E7" s="212"/>
      <c r="F7" s="112"/>
      <c r="G7" s="212"/>
      <c r="H7" s="111"/>
      <c r="I7" s="113" t="s">
        <v>47</v>
      </c>
      <c r="J7" s="106"/>
      <c r="K7" s="46"/>
    </row>
    <row r="8" spans="1:11" ht="6.95" customHeight="1" x14ac:dyDescent="0.25">
      <c r="A8" s="46"/>
      <c r="B8" s="105"/>
      <c r="C8" s="111"/>
      <c r="D8" s="112"/>
      <c r="E8" s="212"/>
      <c r="F8" s="112"/>
      <c r="G8" s="212"/>
      <c r="H8" s="111"/>
      <c r="I8" s="113"/>
      <c r="J8" s="106"/>
      <c r="K8" s="46"/>
    </row>
    <row r="9" spans="1:11" x14ac:dyDescent="0.25">
      <c r="A9" s="46"/>
      <c r="B9" s="105"/>
      <c r="C9" s="111" t="s">
        <v>48</v>
      </c>
      <c r="D9" s="112"/>
      <c r="E9" s="212"/>
      <c r="F9" s="112"/>
      <c r="G9" s="212"/>
      <c r="H9" s="111"/>
      <c r="I9" s="114">
        <f>'System Information'!G39</f>
        <v>0.20839730208223231</v>
      </c>
      <c r="J9" s="106"/>
      <c r="K9" s="46"/>
    </row>
    <row r="10" spans="1:11" x14ac:dyDescent="0.25">
      <c r="A10" s="46"/>
      <c r="B10" s="105"/>
      <c r="C10" s="111" t="s">
        <v>66</v>
      </c>
      <c r="D10" s="112"/>
      <c r="E10" s="212"/>
      <c r="F10" s="112"/>
      <c r="G10" s="212"/>
      <c r="H10" s="111"/>
      <c r="I10" s="114">
        <f>'System Information'!G37</f>
        <v>8.6919326709650139E-3</v>
      </c>
      <c r="J10" s="106"/>
      <c r="K10" s="46"/>
    </row>
    <row r="11" spans="1:11" x14ac:dyDescent="0.25">
      <c r="A11" s="46"/>
      <c r="B11" s="105"/>
      <c r="C11" s="111" t="s">
        <v>65</v>
      </c>
      <c r="D11" s="112"/>
      <c r="E11" s="212"/>
      <c r="F11" s="112"/>
      <c r="G11" s="212"/>
      <c r="H11" s="111"/>
      <c r="I11" s="114">
        <f>I10+I9</f>
        <v>0.21708923475319733</v>
      </c>
      <c r="J11" s="106"/>
      <c r="K11" s="46"/>
    </row>
    <row r="12" spans="1:11" x14ac:dyDescent="0.25">
      <c r="A12" s="46"/>
      <c r="B12" s="105"/>
      <c r="C12" s="111" t="s">
        <v>49</v>
      </c>
      <c r="D12" s="112"/>
      <c r="E12" s="212"/>
      <c r="F12" s="112"/>
      <c r="G12" s="212"/>
      <c r="H12" s="111"/>
      <c r="I12" s="115">
        <f>'System Information'!H22</f>
        <v>80.820000000000007</v>
      </c>
      <c r="J12" s="106"/>
      <c r="K12" s="46"/>
    </row>
    <row r="13" spans="1:11" x14ac:dyDescent="0.25">
      <c r="A13" s="46"/>
      <c r="B13" s="105"/>
      <c r="C13" s="111" t="s">
        <v>50</v>
      </c>
      <c r="D13" s="112"/>
      <c r="E13" s="212"/>
      <c r="F13" s="112"/>
      <c r="G13" s="212"/>
      <c r="H13" s="111"/>
      <c r="I13" s="115">
        <f>'System Information'!F22</f>
        <v>328.5</v>
      </c>
      <c r="J13" s="106"/>
      <c r="K13" s="46"/>
    </row>
    <row r="14" spans="1:11" x14ac:dyDescent="0.25">
      <c r="A14" s="46"/>
      <c r="B14" s="105"/>
      <c r="C14" s="111" t="s">
        <v>51</v>
      </c>
      <c r="D14" s="112"/>
      <c r="E14" s="212"/>
      <c r="F14" s="112"/>
      <c r="G14" s="212"/>
      <c r="H14" s="111"/>
      <c r="I14" s="223">
        <f>'System Information'!F34</f>
        <v>356889430</v>
      </c>
      <c r="J14" s="106"/>
      <c r="K14" s="46"/>
    </row>
    <row r="15" spans="1:11" x14ac:dyDescent="0.25">
      <c r="A15" s="46"/>
      <c r="B15" s="105"/>
      <c r="C15" s="111" t="s">
        <v>52</v>
      </c>
      <c r="D15" s="112"/>
      <c r="E15" s="212"/>
      <c r="F15" s="112"/>
      <c r="G15" s="212"/>
      <c r="H15" s="111"/>
      <c r="I15" s="223">
        <f>'System Information'!F35</f>
        <v>474055600</v>
      </c>
      <c r="J15" s="106"/>
      <c r="K15" s="46"/>
    </row>
    <row r="16" spans="1:11" x14ac:dyDescent="0.25">
      <c r="A16" s="46"/>
      <c r="B16" s="105"/>
      <c r="C16" s="111"/>
      <c r="D16" s="112"/>
      <c r="E16" s="212"/>
      <c r="F16" s="112"/>
      <c r="G16" s="212"/>
      <c r="H16" s="111"/>
      <c r="I16" s="114"/>
      <c r="J16" s="106"/>
      <c r="K16" s="46"/>
    </row>
    <row r="17" spans="1:11" x14ac:dyDescent="0.25">
      <c r="A17" s="46"/>
      <c r="B17" s="105"/>
      <c r="C17" s="111"/>
      <c r="D17" s="112"/>
      <c r="E17" s="212"/>
      <c r="F17" s="112"/>
      <c r="G17" s="226">
        <v>1</v>
      </c>
      <c r="H17" s="111"/>
      <c r="I17" s="114"/>
      <c r="J17" s="106"/>
      <c r="K17" s="46"/>
    </row>
    <row r="18" spans="1:11" x14ac:dyDescent="0.25">
      <c r="A18" s="46"/>
      <c r="B18" s="105"/>
      <c r="C18" s="122" t="s">
        <v>53</v>
      </c>
      <c r="D18" s="112"/>
      <c r="E18" s="193" t="s">
        <v>104</v>
      </c>
      <c r="F18" s="184" t="s">
        <v>214</v>
      </c>
      <c r="G18" s="230" t="s">
        <v>215</v>
      </c>
      <c r="H18" s="112" t="s">
        <v>54</v>
      </c>
      <c r="I18" s="123">
        <f>1/(1-I11)</f>
        <v>1.2772847741910442</v>
      </c>
      <c r="J18" s="106"/>
      <c r="K18" s="46"/>
    </row>
    <row r="19" spans="1:11" x14ac:dyDescent="0.25">
      <c r="A19" s="46"/>
      <c r="B19" s="105"/>
      <c r="C19" s="111"/>
      <c r="D19" s="112"/>
      <c r="E19" s="212">
        <v>1</v>
      </c>
      <c r="F19" s="112" t="s">
        <v>55</v>
      </c>
      <c r="G19" s="120">
        <f>I11</f>
        <v>0.21708923475319733</v>
      </c>
      <c r="H19" s="112"/>
      <c r="I19" s="114"/>
      <c r="J19" s="106"/>
      <c r="K19" s="46"/>
    </row>
    <row r="20" spans="1:11" ht="52.15" customHeight="1" x14ac:dyDescent="0.25">
      <c r="A20" s="46"/>
      <c r="B20" s="105"/>
      <c r="C20" s="132" t="s">
        <v>212</v>
      </c>
      <c r="D20" s="112"/>
      <c r="E20" s="212"/>
      <c r="F20" s="112"/>
      <c r="G20" s="212"/>
      <c r="H20" s="112"/>
      <c r="I20" s="114"/>
      <c r="J20" s="106"/>
      <c r="K20" s="46"/>
    </row>
    <row r="21" spans="1:11" x14ac:dyDescent="0.25">
      <c r="A21" s="46"/>
      <c r="B21" s="105"/>
      <c r="C21" s="111"/>
      <c r="D21" s="112"/>
      <c r="E21" s="212"/>
      <c r="F21" s="46"/>
      <c r="G21" s="117">
        <f>I12</f>
        <v>80.820000000000007</v>
      </c>
      <c r="H21" s="112"/>
      <c r="I21" s="114"/>
      <c r="J21" s="106"/>
      <c r="K21" s="46"/>
    </row>
    <row r="22" spans="1:11" x14ac:dyDescent="0.25">
      <c r="A22" s="46"/>
      <c r="B22" s="105"/>
      <c r="C22" s="122" t="s">
        <v>56</v>
      </c>
      <c r="D22" s="112"/>
      <c r="E22" s="193"/>
      <c r="F22" s="116" t="s">
        <v>105</v>
      </c>
      <c r="G22" s="226"/>
      <c r="H22" s="112" t="s">
        <v>54</v>
      </c>
      <c r="I22" s="123">
        <f>G21/G23</f>
        <v>0.24602739726027401</v>
      </c>
      <c r="J22" s="106"/>
      <c r="K22" s="46"/>
    </row>
    <row r="23" spans="1:11" x14ac:dyDescent="0.25">
      <c r="A23" s="46"/>
      <c r="B23" s="105"/>
      <c r="C23" s="111"/>
      <c r="D23" s="112"/>
      <c r="E23" s="212"/>
      <c r="F23" s="112"/>
      <c r="G23" s="117">
        <f>I13</f>
        <v>328.5</v>
      </c>
      <c r="H23" s="112"/>
      <c r="I23" s="114"/>
      <c r="J23" s="106"/>
      <c r="K23" s="46"/>
    </row>
    <row r="24" spans="1:11" ht="71.25" customHeight="1" x14ac:dyDescent="0.25">
      <c r="A24" s="46"/>
      <c r="B24" s="105"/>
      <c r="C24" s="132" t="s">
        <v>139</v>
      </c>
      <c r="D24" s="112"/>
      <c r="E24" s="212"/>
      <c r="F24" s="112"/>
      <c r="G24" s="212"/>
      <c r="H24" s="112"/>
      <c r="I24" s="114"/>
      <c r="J24" s="106"/>
      <c r="K24" s="46"/>
    </row>
    <row r="25" spans="1:11" x14ac:dyDescent="0.25">
      <c r="A25" s="46"/>
      <c r="B25" s="105"/>
      <c r="C25" s="122" t="s">
        <v>114</v>
      </c>
      <c r="D25" s="118"/>
      <c r="E25" s="119">
        <f>I9</f>
        <v>0.20839730208223231</v>
      </c>
      <c r="F25" s="112" t="s">
        <v>57</v>
      </c>
      <c r="G25" s="120">
        <f>I22</f>
        <v>0.24602739726027401</v>
      </c>
      <c r="H25" s="112" t="s">
        <v>54</v>
      </c>
      <c r="I25" s="123">
        <f>E25*G25</f>
        <v>5.1271445827354697E-2</v>
      </c>
      <c r="J25" s="106"/>
      <c r="K25" s="46"/>
    </row>
    <row r="26" spans="1:11" ht="31.5" customHeight="1" x14ac:dyDescent="0.25">
      <c r="A26" s="46"/>
      <c r="B26" s="105"/>
      <c r="C26" s="133" t="s">
        <v>140</v>
      </c>
      <c r="D26" s="118"/>
      <c r="E26" s="212"/>
      <c r="F26" s="112"/>
      <c r="G26" s="226"/>
      <c r="H26" s="112"/>
      <c r="I26" s="114"/>
      <c r="J26" s="106"/>
      <c r="K26" s="46"/>
    </row>
    <row r="27" spans="1:11" x14ac:dyDescent="0.25">
      <c r="A27" s="46"/>
      <c r="B27" s="105"/>
      <c r="C27" s="111"/>
      <c r="D27" s="118"/>
      <c r="E27" s="212"/>
      <c r="F27" s="112"/>
      <c r="G27" s="226"/>
      <c r="H27" s="112"/>
      <c r="I27" s="114"/>
      <c r="J27" s="106"/>
      <c r="K27" s="46"/>
    </row>
    <row r="28" spans="1:11" x14ac:dyDescent="0.25">
      <c r="A28" s="46"/>
      <c r="B28" s="105"/>
      <c r="C28" s="122" t="s">
        <v>67</v>
      </c>
      <c r="D28" s="118"/>
      <c r="E28" s="119">
        <f>I25</f>
        <v>5.1271445827354697E-2</v>
      </c>
      <c r="F28" s="112" t="s">
        <v>68</v>
      </c>
      <c r="G28" s="120">
        <f>I10</f>
        <v>8.6919326709650139E-3</v>
      </c>
      <c r="H28" s="112" t="s">
        <v>54</v>
      </c>
      <c r="I28" s="123">
        <f>E28+G28</f>
        <v>5.996337849831971E-2</v>
      </c>
      <c r="J28" s="106"/>
      <c r="K28" s="46"/>
    </row>
    <row r="29" spans="1:11" ht="41.25" customHeight="1" x14ac:dyDescent="0.25">
      <c r="A29" s="46"/>
      <c r="B29" s="105"/>
      <c r="C29" s="132" t="s">
        <v>141</v>
      </c>
      <c r="D29" s="118"/>
      <c r="E29" s="212"/>
      <c r="F29" s="112"/>
      <c r="G29" s="212"/>
      <c r="H29" s="112"/>
      <c r="I29" s="114"/>
      <c r="J29" s="106"/>
      <c r="K29" s="46"/>
    </row>
    <row r="30" spans="1:11" x14ac:dyDescent="0.25">
      <c r="A30" s="46"/>
      <c r="B30" s="105"/>
      <c r="C30" s="111"/>
      <c r="D30" s="112"/>
      <c r="E30" s="212"/>
      <c r="F30" s="112"/>
      <c r="G30" s="226">
        <v>1</v>
      </c>
      <c r="H30" s="112"/>
      <c r="I30" s="121"/>
      <c r="J30" s="106"/>
      <c r="K30" s="46"/>
    </row>
    <row r="31" spans="1:11" x14ac:dyDescent="0.25">
      <c r="A31" s="46"/>
      <c r="B31" s="105"/>
      <c r="C31" s="122" t="s">
        <v>58</v>
      </c>
      <c r="D31" s="112"/>
      <c r="E31" s="193" t="s">
        <v>104</v>
      </c>
      <c r="F31" s="184" t="s">
        <v>216</v>
      </c>
      <c r="G31" s="230" t="s">
        <v>215</v>
      </c>
      <c r="H31" s="112" t="s">
        <v>54</v>
      </c>
      <c r="I31" s="123">
        <f>1/(1-G32)</f>
        <v>1.0637883430568162</v>
      </c>
      <c r="J31" s="106"/>
      <c r="K31" s="46"/>
    </row>
    <row r="32" spans="1:11" x14ac:dyDescent="0.25">
      <c r="A32" s="46"/>
      <c r="B32" s="105"/>
      <c r="C32" s="111"/>
      <c r="D32" s="112"/>
      <c r="E32" s="212">
        <v>1</v>
      </c>
      <c r="F32" s="112" t="s">
        <v>55</v>
      </c>
      <c r="G32" s="120">
        <f>I28</f>
        <v>5.996337849831971E-2</v>
      </c>
      <c r="H32" s="112"/>
      <c r="I32" s="114"/>
      <c r="J32" s="106"/>
      <c r="K32" s="46"/>
    </row>
    <row r="33" spans="1:11" ht="67.5" customHeight="1" x14ac:dyDescent="0.25">
      <c r="A33" s="46"/>
      <c r="B33" s="105"/>
      <c r="C33" s="132" t="s">
        <v>213</v>
      </c>
      <c r="D33" s="112"/>
      <c r="E33" s="212"/>
      <c r="F33" s="112"/>
      <c r="G33" s="226"/>
      <c r="H33" s="112"/>
      <c r="I33" s="114"/>
      <c r="J33" s="106"/>
      <c r="K33" s="46"/>
    </row>
    <row r="34" spans="1:11" x14ac:dyDescent="0.25">
      <c r="A34" s="46"/>
      <c r="B34" s="105"/>
      <c r="C34" s="131"/>
      <c r="D34" s="112"/>
      <c r="E34" s="227">
        <f>I31</f>
        <v>1.0637883430568162</v>
      </c>
      <c r="F34" s="112"/>
      <c r="G34" s="227">
        <f>$I$14</f>
        <v>356889430</v>
      </c>
      <c r="H34" s="112"/>
      <c r="I34" s="114"/>
      <c r="J34" s="106"/>
      <c r="K34" s="46"/>
    </row>
    <row r="35" spans="1:11" x14ac:dyDescent="0.25">
      <c r="A35" s="46"/>
      <c r="B35" s="105"/>
      <c r="C35" s="122" t="s">
        <v>108</v>
      </c>
      <c r="D35" s="112"/>
      <c r="E35" s="227" t="s">
        <v>59</v>
      </c>
      <c r="F35" s="112" t="s">
        <v>57</v>
      </c>
      <c r="G35" s="227" t="s">
        <v>59</v>
      </c>
      <c r="H35" s="112" t="s">
        <v>54</v>
      </c>
      <c r="I35" s="123">
        <f>(I31/I18)*(+G34/G36)</f>
        <v>0.62700628797529268</v>
      </c>
      <c r="J35" s="106"/>
      <c r="K35" s="46"/>
    </row>
    <row r="36" spans="1:11" x14ac:dyDescent="0.25">
      <c r="A36" s="46"/>
      <c r="B36" s="105"/>
      <c r="C36" s="111"/>
      <c r="D36" s="112"/>
      <c r="E36" s="118">
        <f>I18</f>
        <v>1.2772847741910442</v>
      </c>
      <c r="F36" s="112"/>
      <c r="G36" s="227">
        <f>$I$15</f>
        <v>474055600</v>
      </c>
      <c r="H36" s="112"/>
      <c r="I36" s="123"/>
      <c r="J36" s="106"/>
      <c r="K36" s="46"/>
    </row>
    <row r="37" spans="1:11" ht="60" x14ac:dyDescent="0.25">
      <c r="A37" s="46"/>
      <c r="B37" s="105"/>
      <c r="C37" s="132" t="s">
        <v>142</v>
      </c>
      <c r="D37" s="112"/>
      <c r="E37" s="227"/>
      <c r="F37" s="112"/>
      <c r="G37" s="227"/>
      <c r="H37" s="112"/>
      <c r="I37" s="123"/>
      <c r="J37" s="106"/>
      <c r="K37" s="46"/>
    </row>
    <row r="38" spans="1:11" x14ac:dyDescent="0.25">
      <c r="A38" s="46"/>
      <c r="B38" s="105"/>
      <c r="C38" s="132"/>
      <c r="D38" s="112"/>
      <c r="E38" s="227">
        <f>$I$14</f>
        <v>356889430</v>
      </c>
      <c r="F38" s="112"/>
      <c r="G38" s="212"/>
      <c r="H38" s="112"/>
      <c r="I38" s="123"/>
      <c r="J38" s="106"/>
      <c r="K38" s="46"/>
    </row>
    <row r="39" spans="1:11" x14ac:dyDescent="0.25">
      <c r="A39" s="46"/>
      <c r="B39" s="105"/>
      <c r="C39" s="122" t="s">
        <v>60</v>
      </c>
      <c r="D39" s="112"/>
      <c r="E39" s="227" t="s">
        <v>59</v>
      </c>
      <c r="F39" s="112" t="s">
        <v>57</v>
      </c>
      <c r="G39" s="120">
        <f>I22</f>
        <v>0.24602739726027401</v>
      </c>
      <c r="H39" s="112" t="s">
        <v>54</v>
      </c>
      <c r="I39" s="123">
        <f>(+E38/E40)*I22</f>
        <v>0.18521999860902974</v>
      </c>
      <c r="J39" s="106"/>
      <c r="K39" s="46"/>
    </row>
    <row r="40" spans="1:11" x14ac:dyDescent="0.25">
      <c r="A40" s="46"/>
      <c r="B40" s="105"/>
      <c r="C40" s="111"/>
      <c r="D40" s="112"/>
      <c r="E40" s="227">
        <f>$I$15</f>
        <v>474055600</v>
      </c>
      <c r="F40" s="112"/>
      <c r="G40" s="212"/>
      <c r="H40" s="112"/>
      <c r="I40" s="123"/>
      <c r="J40" s="106"/>
      <c r="K40" s="46"/>
    </row>
    <row r="41" spans="1:11" ht="36.75" customHeight="1" x14ac:dyDescent="0.25">
      <c r="A41" s="46"/>
      <c r="B41" s="105"/>
      <c r="C41" s="132" t="s">
        <v>143</v>
      </c>
      <c r="D41" s="112"/>
      <c r="E41" s="212"/>
      <c r="F41" s="112"/>
      <c r="G41" s="212"/>
      <c r="H41" s="112"/>
      <c r="I41" s="123"/>
      <c r="J41" s="106"/>
      <c r="K41" s="46"/>
    </row>
    <row r="42" spans="1:11" x14ac:dyDescent="0.25">
      <c r="A42" s="46"/>
      <c r="B42" s="105"/>
      <c r="C42" s="111"/>
      <c r="D42" s="112"/>
      <c r="E42" s="212"/>
      <c r="F42" s="112"/>
      <c r="G42" s="227">
        <f>$I$14</f>
        <v>356889430</v>
      </c>
      <c r="H42" s="112"/>
      <c r="I42" s="123"/>
      <c r="J42" s="106"/>
      <c r="K42" s="46"/>
    </row>
    <row r="43" spans="1:11" x14ac:dyDescent="0.25">
      <c r="A43" s="46"/>
      <c r="B43" s="105"/>
      <c r="C43" s="122" t="s">
        <v>61</v>
      </c>
      <c r="D43" s="112"/>
      <c r="E43" s="212"/>
      <c r="F43" s="112"/>
      <c r="G43" s="227" t="s">
        <v>59</v>
      </c>
      <c r="H43" s="112" t="s">
        <v>54</v>
      </c>
      <c r="I43" s="123">
        <f>G42/G44</f>
        <v>0.75284297875607842</v>
      </c>
      <c r="J43" s="106"/>
      <c r="K43" s="46"/>
    </row>
    <row r="44" spans="1:11" x14ac:dyDescent="0.25">
      <c r="A44" s="46"/>
      <c r="B44" s="105"/>
      <c r="C44" s="46"/>
      <c r="D44" s="124"/>
      <c r="E44" s="193"/>
      <c r="F44" s="124"/>
      <c r="G44" s="227">
        <f>$I$15</f>
        <v>474055600</v>
      </c>
      <c r="H44" s="46"/>
      <c r="I44" s="125"/>
      <c r="J44" s="106"/>
      <c r="K44" s="46"/>
    </row>
    <row r="45" spans="1:11" ht="53.65" customHeight="1" x14ac:dyDescent="0.25">
      <c r="A45" s="46"/>
      <c r="B45" s="126"/>
      <c r="C45" s="135" t="s">
        <v>144</v>
      </c>
      <c r="D45" s="128"/>
      <c r="E45" s="228"/>
      <c r="F45" s="128"/>
      <c r="G45" s="228"/>
      <c r="H45" s="127"/>
      <c r="I45" s="127"/>
      <c r="J45" s="129"/>
      <c r="K45" s="46"/>
    </row>
    <row r="46" spans="1:11" x14ac:dyDescent="0.25">
      <c r="A46" s="46"/>
      <c r="B46" s="46"/>
      <c r="C46" s="134"/>
      <c r="D46" s="124"/>
      <c r="E46" s="193"/>
      <c r="F46" s="124"/>
      <c r="G46" s="193"/>
      <c r="H46" s="46"/>
      <c r="I46" s="46"/>
      <c r="J46" s="46"/>
      <c r="K46" s="46"/>
    </row>
    <row r="47" spans="1:11" x14ac:dyDescent="0.25">
      <c r="A47" s="46"/>
      <c r="B47" s="46"/>
      <c r="C47" s="46"/>
      <c r="D47" s="46"/>
      <c r="E47" s="193"/>
      <c r="F47" s="46"/>
      <c r="G47" s="193"/>
      <c r="H47" s="46"/>
      <c r="I47" s="46"/>
      <c r="J47" s="46"/>
      <c r="K47" s="46"/>
    </row>
    <row r="48" spans="1:11" x14ac:dyDescent="0.25">
      <c r="A48" s="46"/>
      <c r="B48" s="46"/>
      <c r="C48" s="46"/>
      <c r="D48" s="46"/>
      <c r="E48" s="193"/>
      <c r="F48" s="46"/>
      <c r="G48" s="193"/>
      <c r="H48" s="46"/>
      <c r="I48" s="46"/>
      <c r="J48" s="46"/>
      <c r="K48" s="46"/>
    </row>
  </sheetData>
  <mergeCells count="2">
    <mergeCell ref="C2:I2"/>
    <mergeCell ref="C3:I3"/>
  </mergeCells>
  <printOptions horizontalCentered="1"/>
  <pageMargins left="0.25" right="0.25" top="0.75" bottom="0.75" header="0.3" footer="0.3"/>
  <pageSetup scale="68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S88"/>
  <sheetViews>
    <sheetView topLeftCell="A40" workbookViewId="0">
      <selection activeCell="C62" sqref="C62:I63"/>
    </sheetView>
  </sheetViews>
  <sheetFormatPr defaultRowHeight="15" x14ac:dyDescent="0.2"/>
  <cols>
    <col min="1" max="1" width="2.6640625" customWidth="1"/>
    <col min="2" max="2" width="1.77734375" customWidth="1"/>
    <col min="3" max="3" width="4.6640625" customWidth="1"/>
    <col min="4" max="4" width="18.5546875" customWidth="1"/>
    <col min="5" max="5" width="11.6640625" customWidth="1"/>
    <col min="6" max="6" width="8.21875" customWidth="1"/>
    <col min="7" max="7" width="8.77734375" customWidth="1"/>
    <col min="8" max="8" width="12.6640625" customWidth="1"/>
    <col min="9" max="9" width="11.33203125" customWidth="1"/>
    <col min="10" max="10" width="1.33203125" customWidth="1"/>
    <col min="11" max="11" width="2.6640625" customWidth="1"/>
    <col min="12" max="13" width="10.6640625" customWidth="1"/>
    <col min="16" max="16" width="10" customWidth="1"/>
  </cols>
  <sheetData>
    <row r="2" spans="2:13" x14ac:dyDescent="0.2">
      <c r="B2" s="3"/>
      <c r="C2" s="4"/>
      <c r="D2" s="4"/>
      <c r="E2" s="4"/>
      <c r="F2" s="4"/>
      <c r="G2" s="4"/>
      <c r="H2" s="4"/>
      <c r="I2" s="4"/>
      <c r="J2" s="5"/>
    </row>
    <row r="3" spans="2:13" ht="18.75" x14ac:dyDescent="0.3">
      <c r="B3" s="2"/>
      <c r="C3" s="278" t="s">
        <v>111</v>
      </c>
      <c r="D3" s="278"/>
      <c r="E3" s="278"/>
      <c r="F3" s="278"/>
      <c r="G3" s="278"/>
      <c r="H3" s="278"/>
      <c r="I3" s="278"/>
      <c r="J3" s="285"/>
      <c r="K3" s="7"/>
      <c r="L3" s="7"/>
      <c r="M3" s="7"/>
    </row>
    <row r="4" spans="2:13" ht="18.75" x14ac:dyDescent="0.3">
      <c r="B4" s="2"/>
      <c r="C4" s="9" t="s">
        <v>13</v>
      </c>
      <c r="D4" s="10"/>
      <c r="E4" s="10"/>
      <c r="F4" s="10"/>
      <c r="G4" s="10"/>
      <c r="H4" s="10"/>
      <c r="I4" s="10"/>
      <c r="J4" s="37"/>
      <c r="K4" s="7"/>
      <c r="L4" s="11"/>
      <c r="M4" s="11"/>
    </row>
    <row r="5" spans="2:13" ht="15.75" x14ac:dyDescent="0.25">
      <c r="B5" s="2"/>
      <c r="C5" s="1" t="s">
        <v>147</v>
      </c>
      <c r="D5" s="10"/>
      <c r="E5" s="10"/>
      <c r="F5" s="10"/>
      <c r="G5" s="10"/>
      <c r="H5" s="10"/>
      <c r="I5" s="10"/>
      <c r="J5" s="37"/>
      <c r="K5" s="7"/>
      <c r="L5" s="11"/>
      <c r="M5" s="11"/>
    </row>
    <row r="6" spans="2:13" ht="15.75" x14ac:dyDescent="0.25">
      <c r="B6" s="2"/>
      <c r="C6" s="7"/>
      <c r="D6" s="11"/>
      <c r="E6" s="11"/>
      <c r="F6" s="11"/>
      <c r="G6" s="11"/>
      <c r="H6" s="11"/>
      <c r="I6" s="11"/>
      <c r="J6" s="18"/>
      <c r="K6" s="7"/>
      <c r="L6" s="11"/>
      <c r="M6" s="12"/>
    </row>
    <row r="7" spans="2:13" ht="15.75" x14ac:dyDescent="0.25">
      <c r="B7" s="2"/>
      <c r="C7" s="7"/>
      <c r="D7" s="11"/>
      <c r="E7" s="12"/>
      <c r="F7" s="286" t="s">
        <v>112</v>
      </c>
      <c r="G7" s="286"/>
      <c r="H7" s="140" t="s">
        <v>15</v>
      </c>
      <c r="I7" s="140" t="s">
        <v>18</v>
      </c>
      <c r="J7" s="38"/>
      <c r="K7" s="12"/>
      <c r="L7" s="12"/>
      <c r="M7" s="12"/>
    </row>
    <row r="8" spans="2:13" ht="15.75" x14ac:dyDescent="0.25">
      <c r="B8" s="2"/>
      <c r="C8" s="7"/>
      <c r="D8" s="11"/>
      <c r="E8" s="12" t="s">
        <v>16</v>
      </c>
      <c r="F8" s="12" t="s">
        <v>113</v>
      </c>
      <c r="G8" s="12" t="s">
        <v>17</v>
      </c>
      <c r="H8" s="140" t="s">
        <v>14</v>
      </c>
      <c r="I8" s="140" t="s">
        <v>14</v>
      </c>
      <c r="J8" s="38"/>
      <c r="K8" s="12"/>
      <c r="L8" s="12"/>
      <c r="M8" s="12"/>
    </row>
    <row r="9" spans="2:13" ht="15.75" x14ac:dyDescent="0.25">
      <c r="B9" s="2"/>
      <c r="C9" s="7" t="s">
        <v>175</v>
      </c>
      <c r="D9" s="11"/>
      <c r="E9" s="11"/>
      <c r="F9" s="11"/>
      <c r="G9" s="11"/>
      <c r="H9" s="11"/>
      <c r="I9" s="11"/>
      <c r="J9" s="18"/>
      <c r="K9" s="7"/>
      <c r="L9" s="11"/>
      <c r="M9" s="11"/>
    </row>
    <row r="10" spans="2:13" ht="15.75" x14ac:dyDescent="0.25">
      <c r="B10" s="2"/>
      <c r="C10" s="7"/>
      <c r="D10" s="11" t="s">
        <v>62</v>
      </c>
      <c r="E10" s="141">
        <f>Matrix!F64</f>
        <v>215000</v>
      </c>
      <c r="F10" s="45" t="s">
        <v>109</v>
      </c>
      <c r="G10" s="35">
        <f>'Wholesale Factors'!$I$35</f>
        <v>0.62700628797529268</v>
      </c>
      <c r="H10" s="44">
        <f>E10*G10</f>
        <v>134806.35191468793</v>
      </c>
      <c r="I10" s="44">
        <f>E10-H10</f>
        <v>80193.648085312074</v>
      </c>
      <c r="J10" s="39"/>
      <c r="L10" s="11"/>
      <c r="M10" s="11"/>
    </row>
    <row r="11" spans="2:13" ht="15.75" x14ac:dyDescent="0.25">
      <c r="B11" s="2"/>
      <c r="C11" s="7"/>
      <c r="D11" s="11" t="s">
        <v>19</v>
      </c>
      <c r="E11" s="25">
        <f>Matrix!G64</f>
        <v>145000</v>
      </c>
      <c r="F11" s="45" t="s">
        <v>20</v>
      </c>
      <c r="G11" s="35">
        <f>'Wholesale Factors'!$I$39</f>
        <v>0.18521999860902974</v>
      </c>
      <c r="H11" s="25">
        <f>E11*G11</f>
        <v>26856.899798309314</v>
      </c>
      <c r="I11" s="25">
        <f>E11-H11</f>
        <v>118143.10020169069</v>
      </c>
      <c r="J11" s="39"/>
      <c r="L11" s="11"/>
      <c r="M11" s="11"/>
    </row>
    <row r="12" spans="2:13" ht="15.75" x14ac:dyDescent="0.25">
      <c r="B12" s="2"/>
      <c r="C12" s="7" t="s">
        <v>176</v>
      </c>
      <c r="D12" s="11"/>
      <c r="E12" s="25"/>
      <c r="F12" s="45"/>
      <c r="G12" s="36"/>
      <c r="H12" s="25"/>
      <c r="I12" s="25"/>
      <c r="J12" s="39"/>
      <c r="L12" s="11"/>
      <c r="M12" s="11"/>
    </row>
    <row r="13" spans="2:13" ht="15.75" x14ac:dyDescent="0.25">
      <c r="B13" s="2"/>
      <c r="C13" s="7"/>
      <c r="D13" s="11" t="s">
        <v>62</v>
      </c>
      <c r="E13" s="44">
        <f>Matrix!F17</f>
        <v>99100</v>
      </c>
      <c r="F13" s="45" t="s">
        <v>109</v>
      </c>
      <c r="G13" s="35">
        <f>'Wholesale Factors'!$I$35</f>
        <v>0.62700628797529268</v>
      </c>
      <c r="H13" s="25">
        <f t="shared" ref="H13:H14" si="0">E13*G13</f>
        <v>62136.323138351501</v>
      </c>
      <c r="I13" s="25">
        <f t="shared" ref="I13:I14" si="1">E13-H13</f>
        <v>36963.676861648499</v>
      </c>
      <c r="J13" s="39"/>
      <c r="L13" s="11"/>
      <c r="M13" s="11"/>
    </row>
    <row r="14" spans="2:13" ht="15.75" x14ac:dyDescent="0.25">
      <c r="B14" s="2"/>
      <c r="C14" s="7"/>
      <c r="D14" s="11" t="s">
        <v>19</v>
      </c>
      <c r="E14" s="25">
        <f>Matrix!G17</f>
        <v>97900</v>
      </c>
      <c r="F14" s="45" t="s">
        <v>20</v>
      </c>
      <c r="G14" s="35">
        <f>'Wholesale Factors'!$I$39</f>
        <v>0.18521999860902974</v>
      </c>
      <c r="H14" s="25">
        <f t="shared" si="0"/>
        <v>18133.037863824011</v>
      </c>
      <c r="I14" s="25">
        <f t="shared" si="1"/>
        <v>79766.962136175993</v>
      </c>
      <c r="J14" s="39"/>
      <c r="L14" s="11"/>
      <c r="M14" s="11"/>
    </row>
    <row r="15" spans="2:13" ht="15.75" x14ac:dyDescent="0.25">
      <c r="B15" s="2"/>
      <c r="C15" s="7" t="s">
        <v>177</v>
      </c>
      <c r="D15" s="11"/>
      <c r="E15" s="25"/>
      <c r="F15" s="45"/>
      <c r="G15" s="35"/>
      <c r="H15" s="25"/>
      <c r="I15" s="25"/>
      <c r="J15" s="39"/>
      <c r="L15" s="11"/>
      <c r="M15" s="11"/>
    </row>
    <row r="16" spans="2:13" ht="15.75" x14ac:dyDescent="0.25">
      <c r="B16" s="2"/>
      <c r="C16" s="31"/>
      <c r="D16" s="11" t="s">
        <v>62</v>
      </c>
      <c r="E16" s="44">
        <f>Matrix!F45</f>
        <v>44000</v>
      </c>
      <c r="F16" s="45" t="s">
        <v>109</v>
      </c>
      <c r="G16" s="35">
        <f>'Wholesale Factors'!$I$35</f>
        <v>0.62700628797529268</v>
      </c>
      <c r="H16" s="25">
        <f t="shared" ref="H16:H18" si="2">E16*G16</f>
        <v>27588.276670912877</v>
      </c>
      <c r="I16" s="25">
        <f t="shared" ref="I16:I18" si="3">E16-H16</f>
        <v>16411.723329087123</v>
      </c>
      <c r="J16" s="39"/>
      <c r="L16" s="11"/>
      <c r="M16" s="11"/>
    </row>
    <row r="17" spans="2:13" ht="15.75" x14ac:dyDescent="0.25">
      <c r="B17" s="2"/>
      <c r="C17" s="7"/>
      <c r="D17" s="11" t="s">
        <v>19</v>
      </c>
      <c r="E17" s="25">
        <f>Matrix!G45</f>
        <v>49000</v>
      </c>
      <c r="F17" s="45" t="s">
        <v>20</v>
      </c>
      <c r="G17" s="35">
        <f>'Wholesale Factors'!$I$39</f>
        <v>0.18521999860902974</v>
      </c>
      <c r="H17" s="25">
        <f t="shared" si="2"/>
        <v>9075.7799318424568</v>
      </c>
      <c r="I17" s="25">
        <f t="shared" si="3"/>
        <v>39924.220068157541</v>
      </c>
      <c r="J17" s="39"/>
      <c r="L17" s="11"/>
      <c r="M17" s="11"/>
    </row>
    <row r="18" spans="2:13" ht="15.75" x14ac:dyDescent="0.25">
      <c r="B18" s="2"/>
      <c r="C18" s="7" t="s">
        <v>4</v>
      </c>
      <c r="D18" s="11"/>
      <c r="E18" s="25">
        <f>Matrix!F60</f>
        <v>365000</v>
      </c>
      <c r="F18" s="45" t="s">
        <v>109</v>
      </c>
      <c r="G18" s="35">
        <f>'Wholesale Factors'!$I$35</f>
        <v>0.62700628797529268</v>
      </c>
      <c r="H18" s="25">
        <f t="shared" si="2"/>
        <v>228857.29511098182</v>
      </c>
      <c r="I18" s="25">
        <f t="shared" si="3"/>
        <v>136142.70488901818</v>
      </c>
      <c r="J18" s="39"/>
      <c r="L18" s="11"/>
      <c r="M18" s="11"/>
    </row>
    <row r="19" spans="2:13" ht="15.75" x14ac:dyDescent="0.25">
      <c r="B19" s="2"/>
      <c r="C19" s="7" t="s">
        <v>178</v>
      </c>
      <c r="D19" s="11"/>
      <c r="E19" s="139">
        <f>Matrix!F12</f>
        <v>260000</v>
      </c>
      <c r="F19" s="45" t="s">
        <v>109</v>
      </c>
      <c r="G19" s="35">
        <f>'Wholesale Factors'!$I$35</f>
        <v>0.62700628797529268</v>
      </c>
      <c r="H19" s="25">
        <f>E19*G19</f>
        <v>163021.63487357608</v>
      </c>
      <c r="I19" s="25">
        <f>E19-H19</f>
        <v>96978.365126423916</v>
      </c>
      <c r="J19" s="39"/>
      <c r="L19" s="11"/>
      <c r="M19" s="11"/>
    </row>
    <row r="20" spans="2:13" ht="15.75" x14ac:dyDescent="0.25">
      <c r="B20" s="2"/>
      <c r="C20" s="7" t="s">
        <v>76</v>
      </c>
      <c r="D20" s="11"/>
      <c r="E20" s="139"/>
      <c r="F20" s="45"/>
      <c r="G20" s="36"/>
      <c r="H20" s="25"/>
      <c r="I20" s="25"/>
      <c r="J20" s="39"/>
      <c r="L20" s="11"/>
      <c r="M20" s="11"/>
    </row>
    <row r="21" spans="2:13" ht="15.75" x14ac:dyDescent="0.25">
      <c r="B21" s="2"/>
      <c r="C21" s="7"/>
      <c r="D21" s="11" t="s">
        <v>62</v>
      </c>
      <c r="E21" s="44">
        <f>Matrix!F57</f>
        <v>34000</v>
      </c>
      <c r="F21" s="45" t="s">
        <v>109</v>
      </c>
      <c r="G21" s="35">
        <f>'Wholesale Factors'!$I$35</f>
        <v>0.62700628797529268</v>
      </c>
      <c r="H21" s="25">
        <f t="shared" ref="H21:H22" si="4">E21*G21</f>
        <v>21318.213791159949</v>
      </c>
      <c r="I21" s="25">
        <f t="shared" ref="I21:I22" si="5">E21-H21</f>
        <v>12681.786208840051</v>
      </c>
      <c r="J21" s="39"/>
      <c r="L21" s="11"/>
      <c r="M21" s="11"/>
    </row>
    <row r="22" spans="2:13" ht="15.75" x14ac:dyDescent="0.25">
      <c r="B22" s="2"/>
      <c r="C22" s="7"/>
      <c r="D22" s="11" t="s">
        <v>19</v>
      </c>
      <c r="E22" s="25">
        <f>Matrix!G57</f>
        <v>30000</v>
      </c>
      <c r="F22" s="45" t="s">
        <v>20</v>
      </c>
      <c r="G22" s="35">
        <f>'Wholesale Factors'!$I$39</f>
        <v>0.18521999860902974</v>
      </c>
      <c r="H22" s="25">
        <f t="shared" si="4"/>
        <v>5556.5999582708919</v>
      </c>
      <c r="I22" s="25">
        <f t="shared" si="5"/>
        <v>24443.40004172911</v>
      </c>
      <c r="J22" s="39"/>
      <c r="L22" s="11"/>
      <c r="M22" s="11"/>
    </row>
    <row r="23" spans="2:13" ht="15.75" x14ac:dyDescent="0.25">
      <c r="B23" s="2"/>
      <c r="C23" s="7" t="s">
        <v>74</v>
      </c>
      <c r="D23" s="11"/>
      <c r="E23" s="25"/>
      <c r="F23" s="45"/>
      <c r="G23" s="35"/>
      <c r="H23" s="25"/>
      <c r="I23" s="25"/>
      <c r="J23" s="39"/>
      <c r="L23" s="11"/>
      <c r="M23" s="11"/>
    </row>
    <row r="24" spans="2:13" ht="15.75" x14ac:dyDescent="0.25">
      <c r="B24" s="2"/>
      <c r="C24" s="7"/>
      <c r="D24" s="11" t="s">
        <v>62</v>
      </c>
      <c r="E24" s="44">
        <f>Matrix!F36</f>
        <v>46250</v>
      </c>
      <c r="F24" s="45" t="s">
        <v>109</v>
      </c>
      <c r="G24" s="35">
        <f>'Wholesale Factors'!$I$35</f>
        <v>0.62700628797529268</v>
      </c>
      <c r="H24" s="25">
        <f>E24*G24</f>
        <v>28999.040818857287</v>
      </c>
      <c r="I24" s="25">
        <f>E24-H24</f>
        <v>17250.959181142713</v>
      </c>
      <c r="J24" s="39"/>
      <c r="L24" s="11"/>
      <c r="M24" s="11"/>
    </row>
    <row r="25" spans="2:13" ht="15.75" x14ac:dyDescent="0.25">
      <c r="B25" s="2"/>
      <c r="C25" s="7"/>
      <c r="D25" s="11" t="s">
        <v>19</v>
      </c>
      <c r="E25" s="25">
        <f>Matrix!G36</f>
        <v>18750</v>
      </c>
      <c r="F25" s="45" t="s">
        <v>20</v>
      </c>
      <c r="G25" s="35">
        <f>'Wholesale Factors'!$I$39</f>
        <v>0.18521999860902974</v>
      </c>
      <c r="H25" s="25">
        <f>E25*G25</f>
        <v>3472.8749739193076</v>
      </c>
      <c r="I25" s="25">
        <f>E25-H25</f>
        <v>15277.125026080692</v>
      </c>
      <c r="J25" s="39"/>
      <c r="L25" s="11"/>
      <c r="M25" s="11"/>
    </row>
    <row r="26" spans="2:13" ht="15.75" x14ac:dyDescent="0.25">
      <c r="B26" s="2"/>
      <c r="C26" s="7" t="s">
        <v>77</v>
      </c>
      <c r="D26" s="11"/>
      <c r="E26" s="25">
        <f>Matrix!F40</f>
        <v>12000</v>
      </c>
      <c r="F26" s="45" t="s">
        <v>109</v>
      </c>
      <c r="G26" s="35">
        <f>'Wholesale Factors'!$I$35</f>
        <v>0.62700628797529268</v>
      </c>
      <c r="H26" s="25">
        <f>E26*G26</f>
        <v>7524.0754557035125</v>
      </c>
      <c r="I26" s="25">
        <f>E26-H26</f>
        <v>4475.9245442964875</v>
      </c>
      <c r="J26" s="39"/>
      <c r="L26" s="11"/>
      <c r="M26" s="11"/>
    </row>
    <row r="27" spans="2:13" ht="15.75" x14ac:dyDescent="0.25">
      <c r="B27" s="2"/>
      <c r="C27" s="7" t="s">
        <v>75</v>
      </c>
      <c r="D27" s="11"/>
      <c r="E27" s="25"/>
      <c r="F27" s="45"/>
      <c r="G27" s="36"/>
      <c r="H27" s="25"/>
      <c r="I27" s="25"/>
      <c r="J27" s="39"/>
      <c r="L27" s="11"/>
      <c r="M27" s="11"/>
    </row>
    <row r="28" spans="2:13" ht="15.75" x14ac:dyDescent="0.25">
      <c r="B28" s="2"/>
      <c r="C28" s="7"/>
      <c r="D28" s="11" t="s">
        <v>62</v>
      </c>
      <c r="E28" s="44">
        <f>Matrix!F52</f>
        <v>0</v>
      </c>
      <c r="F28" s="45" t="s">
        <v>109</v>
      </c>
      <c r="G28" s="35">
        <f>'Wholesale Factors'!$I$35</f>
        <v>0.62700628797529268</v>
      </c>
      <c r="H28" s="25">
        <f t="shared" ref="H28:H29" si="6">E28*G28</f>
        <v>0</v>
      </c>
      <c r="I28" s="25">
        <f t="shared" ref="I28:I29" si="7">E28-H28</f>
        <v>0</v>
      </c>
      <c r="J28" s="39"/>
      <c r="L28" s="11"/>
      <c r="M28" s="11"/>
    </row>
    <row r="29" spans="2:13" ht="15.75" x14ac:dyDescent="0.25">
      <c r="B29" s="2"/>
      <c r="C29" s="7"/>
      <c r="D29" s="11" t="s">
        <v>19</v>
      </c>
      <c r="E29" s="25">
        <f>Matrix!G52</f>
        <v>0</v>
      </c>
      <c r="F29" s="45" t="s">
        <v>20</v>
      </c>
      <c r="G29" s="35">
        <f>'Wholesale Factors'!$I$39</f>
        <v>0.18521999860902974</v>
      </c>
      <c r="H29" s="25">
        <f t="shared" si="6"/>
        <v>0</v>
      </c>
      <c r="I29" s="25">
        <f t="shared" si="7"/>
        <v>0</v>
      </c>
      <c r="J29" s="39"/>
      <c r="L29" s="11"/>
      <c r="M29" s="11"/>
    </row>
    <row r="30" spans="2:13" ht="15.75" x14ac:dyDescent="0.25">
      <c r="B30" s="2"/>
      <c r="C30" s="7" t="s">
        <v>179</v>
      </c>
      <c r="D30" s="11"/>
      <c r="E30" s="44">
        <f>Matrix!F38</f>
        <v>0</v>
      </c>
      <c r="F30" s="45" t="s">
        <v>109</v>
      </c>
      <c r="G30" s="35">
        <f>'Wholesale Factors'!$I$35</f>
        <v>0.62700628797529268</v>
      </c>
      <c r="H30" s="25">
        <f t="shared" ref="H30" si="8">E30*G30</f>
        <v>0</v>
      </c>
      <c r="I30" s="25">
        <f t="shared" ref="I30" si="9">E30-H30</f>
        <v>0</v>
      </c>
      <c r="J30" s="39"/>
      <c r="L30" s="11"/>
      <c r="M30" s="11"/>
    </row>
    <row r="31" spans="2:13" ht="15.75" x14ac:dyDescent="0.25">
      <c r="B31" s="2"/>
      <c r="C31" s="7" t="s">
        <v>180</v>
      </c>
      <c r="D31" s="11"/>
      <c r="E31" s="25"/>
      <c r="F31" s="45"/>
      <c r="G31" s="36"/>
      <c r="H31" s="25"/>
      <c r="I31" s="25"/>
      <c r="J31" s="39"/>
      <c r="L31" s="11"/>
      <c r="M31" s="11"/>
    </row>
    <row r="32" spans="2:13" ht="15.75" x14ac:dyDescent="0.25">
      <c r="B32" s="2"/>
      <c r="C32" s="7"/>
      <c r="D32" s="11" t="s">
        <v>62</v>
      </c>
      <c r="E32" s="44">
        <f>Matrix!F71</f>
        <v>3250</v>
      </c>
      <c r="F32" s="45" t="s">
        <v>109</v>
      </c>
      <c r="G32" s="35">
        <f>'Wholesale Factors'!$I$35</f>
        <v>0.62700628797529268</v>
      </c>
      <c r="H32" s="25">
        <f t="shared" ref="H32:H33" si="10">E32*G32</f>
        <v>2037.7704359197012</v>
      </c>
      <c r="I32" s="25">
        <f t="shared" ref="I32:I33" si="11">E32-H32</f>
        <v>1212.2295640802988</v>
      </c>
      <c r="J32" s="39"/>
      <c r="L32" s="11"/>
      <c r="M32" s="11"/>
    </row>
    <row r="33" spans="2:13" ht="15.75" x14ac:dyDescent="0.25">
      <c r="B33" s="2"/>
      <c r="C33" s="7"/>
      <c r="D33" s="11" t="s">
        <v>19</v>
      </c>
      <c r="E33" s="25">
        <f>Matrix!G71</f>
        <v>21500</v>
      </c>
      <c r="F33" s="45" t="s">
        <v>20</v>
      </c>
      <c r="G33" s="35">
        <f>'Wholesale Factors'!$I$39</f>
        <v>0.18521999860902974</v>
      </c>
      <c r="H33" s="25">
        <f t="shared" si="10"/>
        <v>3982.2299700941394</v>
      </c>
      <c r="I33" s="25">
        <f t="shared" si="11"/>
        <v>17517.77002990586</v>
      </c>
      <c r="J33" s="39"/>
      <c r="L33" s="11"/>
      <c r="M33" s="11"/>
    </row>
    <row r="34" spans="2:13" ht="15.75" x14ac:dyDescent="0.25">
      <c r="B34" s="2"/>
      <c r="C34" s="7" t="s">
        <v>96</v>
      </c>
      <c r="D34" s="11"/>
      <c r="E34" s="25"/>
      <c r="F34" s="45"/>
      <c r="G34" s="36"/>
      <c r="H34" s="25"/>
      <c r="I34" s="25"/>
      <c r="J34" s="39"/>
      <c r="L34" s="11"/>
      <c r="M34" s="11"/>
    </row>
    <row r="35" spans="2:13" ht="15.75" x14ac:dyDescent="0.25">
      <c r="B35" s="2"/>
      <c r="C35" s="7"/>
      <c r="D35" s="11" t="s">
        <v>21</v>
      </c>
      <c r="E35" s="44">
        <f>Matrix!F29</f>
        <v>2500</v>
      </c>
      <c r="F35" s="45" t="s">
        <v>20</v>
      </c>
      <c r="G35" s="35">
        <f>'Wholesale Factors'!$I$39</f>
        <v>0.18521999860902974</v>
      </c>
      <c r="H35" s="25">
        <f t="shared" ref="H35:H36" si="12">E35*G35</f>
        <v>463.04999652257436</v>
      </c>
      <c r="I35" s="25">
        <f t="shared" ref="I35:I36" si="13">E35-H35</f>
        <v>2036.9500034774255</v>
      </c>
      <c r="J35" s="39"/>
      <c r="L35" s="11"/>
      <c r="M35" s="11"/>
    </row>
    <row r="36" spans="2:13" ht="15.75" x14ac:dyDescent="0.25">
      <c r="B36" s="2"/>
      <c r="C36" s="7"/>
      <c r="D36" s="11" t="s">
        <v>24</v>
      </c>
      <c r="E36" s="25">
        <f>Matrix!G29</f>
        <v>2500</v>
      </c>
      <c r="G36" s="35">
        <v>0</v>
      </c>
      <c r="H36" s="25">
        <f t="shared" si="12"/>
        <v>0</v>
      </c>
      <c r="I36" s="25">
        <f t="shared" si="13"/>
        <v>2500</v>
      </c>
      <c r="J36" s="39"/>
      <c r="L36" s="11"/>
      <c r="M36" s="11"/>
    </row>
    <row r="37" spans="2:13" ht="6.95" customHeight="1" x14ac:dyDescent="0.25">
      <c r="B37" s="2"/>
      <c r="C37" s="7"/>
      <c r="D37" s="11"/>
      <c r="E37" s="25"/>
      <c r="F37" s="45"/>
      <c r="G37" s="36"/>
      <c r="H37" s="25"/>
      <c r="I37" s="25"/>
      <c r="J37" s="39"/>
      <c r="L37" s="11"/>
      <c r="M37" s="11"/>
    </row>
    <row r="38" spans="2:13" ht="15.75" x14ac:dyDescent="0.25">
      <c r="B38" s="2"/>
      <c r="C38" s="7" t="s">
        <v>2</v>
      </c>
      <c r="D38" s="11"/>
      <c r="E38" s="25">
        <f>SUM(E10:E37)</f>
        <v>1445750</v>
      </c>
      <c r="F38" s="45"/>
      <c r="G38" s="36"/>
      <c r="H38" s="25">
        <f>SUM(H10:H37)</f>
        <v>743829.45470293355</v>
      </c>
      <c r="I38" s="25">
        <f>SUM(I10:I37)</f>
        <v>701920.54529706645</v>
      </c>
      <c r="J38" s="39"/>
      <c r="L38" s="11"/>
      <c r="M38" s="11"/>
    </row>
    <row r="39" spans="2:13" ht="6.95" customHeight="1" x14ac:dyDescent="0.25">
      <c r="B39" s="2"/>
      <c r="C39" s="7"/>
      <c r="D39" s="11"/>
      <c r="E39" s="25"/>
      <c r="F39" s="45"/>
      <c r="G39" s="36"/>
      <c r="H39" s="25"/>
      <c r="I39" s="25"/>
      <c r="J39" s="39"/>
      <c r="L39" s="11"/>
      <c r="M39" s="11"/>
    </row>
    <row r="40" spans="2:13" ht="15.75" x14ac:dyDescent="0.25">
      <c r="B40" s="2"/>
      <c r="C40" s="7" t="s">
        <v>3</v>
      </c>
      <c r="D40" s="11"/>
      <c r="E40" s="25"/>
      <c r="F40" s="45"/>
      <c r="G40" s="36"/>
      <c r="H40" s="25"/>
      <c r="I40" s="25"/>
      <c r="J40" s="39"/>
      <c r="L40" s="11"/>
      <c r="M40" s="11"/>
    </row>
    <row r="41" spans="2:13" ht="15.75" x14ac:dyDescent="0.25">
      <c r="B41" s="2"/>
      <c r="C41" s="7"/>
      <c r="D41" s="11" t="s">
        <v>62</v>
      </c>
      <c r="E41" s="25">
        <f>Depreciation!G25</f>
        <v>379840.47285714286</v>
      </c>
      <c r="F41" s="45" t="s">
        <v>109</v>
      </c>
      <c r="G41" s="35">
        <f>'Wholesale Factors'!$I$35</f>
        <v>0.62700628797529268</v>
      </c>
      <c r="H41" s="25">
        <f>E41*G41</f>
        <v>238162.36490893704</v>
      </c>
      <c r="I41" s="25">
        <f>E41-H41</f>
        <v>141678.10794820581</v>
      </c>
      <c r="J41" s="39"/>
      <c r="L41" s="11"/>
      <c r="M41" s="11"/>
    </row>
    <row r="42" spans="2:13" ht="15.75" x14ac:dyDescent="0.25">
      <c r="B42" s="2"/>
      <c r="C42" s="7"/>
      <c r="D42" s="7" t="s">
        <v>23</v>
      </c>
      <c r="E42" s="25">
        <f>Depreciation!H25</f>
        <v>136145.18</v>
      </c>
      <c r="F42" s="45" t="s">
        <v>20</v>
      </c>
      <c r="G42" s="35">
        <f>'Wholesale Factors'!I39</f>
        <v>0.18521999860902974</v>
      </c>
      <c r="H42" s="25">
        <f>E42*G42</f>
        <v>25216.810050226104</v>
      </c>
      <c r="I42" s="25">
        <f>E42-H42</f>
        <v>110928.36994977389</v>
      </c>
      <c r="J42" s="39"/>
      <c r="L42" s="11"/>
      <c r="M42" s="11"/>
    </row>
    <row r="43" spans="2:13" ht="15.75" x14ac:dyDescent="0.25">
      <c r="B43" s="2"/>
      <c r="C43" s="7"/>
      <c r="D43" s="7" t="s">
        <v>106</v>
      </c>
      <c r="E43" s="25">
        <f>Depreciation!I25</f>
        <v>32260.957142857143</v>
      </c>
      <c r="F43" s="45" t="s">
        <v>22</v>
      </c>
      <c r="G43" s="35">
        <f>'Wholesale Factors'!$I$43</f>
        <v>0.75284297875607842</v>
      </c>
      <c r="H43" s="25">
        <f>E43*G43</f>
        <v>24287.435072950757</v>
      </c>
      <c r="I43" s="25">
        <f>E43-H43</f>
        <v>7973.5220699063866</v>
      </c>
      <c r="J43" s="39"/>
      <c r="L43" s="11"/>
      <c r="M43" s="11"/>
    </row>
    <row r="44" spans="2:13" ht="15.75" x14ac:dyDescent="0.25">
      <c r="B44" s="2"/>
      <c r="C44" s="7"/>
      <c r="D44" s="11" t="s">
        <v>21</v>
      </c>
      <c r="E44" s="25">
        <f>Depreciation!J25</f>
        <v>242.77650000000006</v>
      </c>
      <c r="F44" s="45" t="s">
        <v>20</v>
      </c>
      <c r="G44" s="35">
        <f>'Wholesale Factors'!$I$39</f>
        <v>0.18521999860902974</v>
      </c>
      <c r="H44" s="25">
        <f>E44*G44</f>
        <v>44.967062992305117</v>
      </c>
      <c r="I44" s="25">
        <f>E44-H44</f>
        <v>197.80943700769495</v>
      </c>
      <c r="J44" s="39"/>
      <c r="L44" s="11"/>
      <c r="M44" s="11"/>
    </row>
    <row r="45" spans="2:13" ht="15.75" x14ac:dyDescent="0.25">
      <c r="B45" s="2"/>
      <c r="C45" s="7"/>
      <c r="D45" s="11" t="s">
        <v>24</v>
      </c>
      <c r="E45" s="25">
        <f>Depreciation!K25</f>
        <v>7567.3134999999993</v>
      </c>
      <c r="F45" s="45"/>
      <c r="G45" s="35">
        <v>0</v>
      </c>
      <c r="H45" s="25">
        <f t="shared" ref="H45" si="14">E45*G45</f>
        <v>0</v>
      </c>
      <c r="I45" s="25">
        <f>E45</f>
        <v>7567.3134999999993</v>
      </c>
      <c r="J45" s="39"/>
      <c r="L45" s="11"/>
      <c r="M45" s="11"/>
    </row>
    <row r="46" spans="2:13" ht="15.75" x14ac:dyDescent="0.25">
      <c r="B46" s="2"/>
      <c r="C46" s="7" t="s">
        <v>71</v>
      </c>
      <c r="D46" s="11"/>
      <c r="E46" s="25"/>
      <c r="F46" s="45"/>
      <c r="G46" s="36"/>
      <c r="H46" s="25"/>
      <c r="I46" s="25"/>
      <c r="J46" s="39"/>
      <c r="L46" s="11"/>
      <c r="M46" s="11"/>
    </row>
    <row r="47" spans="2:13" ht="15.75" x14ac:dyDescent="0.25">
      <c r="B47" s="2"/>
      <c r="C47" s="7"/>
      <c r="D47" s="11" t="s">
        <v>62</v>
      </c>
      <c r="E47" s="25">
        <f>'DS Allocation'!F17</f>
        <v>336276.22320000001</v>
      </c>
      <c r="F47" s="45" t="s">
        <v>109</v>
      </c>
      <c r="G47" s="35">
        <f>'Wholesale Factors'!$I$35</f>
        <v>0.62700628797529268</v>
      </c>
      <c r="H47" s="25">
        <f>E47*G47</f>
        <v>210847.30644298301</v>
      </c>
      <c r="I47" s="25">
        <f>E47-H47</f>
        <v>125428.916757017</v>
      </c>
      <c r="J47" s="39"/>
      <c r="L47" s="11"/>
      <c r="M47" s="11"/>
    </row>
    <row r="48" spans="2:13" ht="15.75" x14ac:dyDescent="0.25">
      <c r="B48" s="2"/>
      <c r="C48" s="7"/>
      <c r="D48" s="7" t="s">
        <v>23</v>
      </c>
      <c r="E48" s="25">
        <f>'DS Allocation'!G17</f>
        <v>242544.73140000002</v>
      </c>
      <c r="F48" s="45" t="s">
        <v>20</v>
      </c>
      <c r="G48" s="35">
        <f>'Wholesale Factors'!I39</f>
        <v>0.18521999860902974</v>
      </c>
      <c r="H48" s="25">
        <f>E48*G48</f>
        <v>44924.134812535493</v>
      </c>
      <c r="I48" s="25">
        <f>E48-H48</f>
        <v>197620.59658746453</v>
      </c>
      <c r="J48" s="39"/>
      <c r="L48" s="11"/>
      <c r="M48" s="11"/>
    </row>
    <row r="49" spans="2:13" ht="15.75" x14ac:dyDescent="0.25">
      <c r="B49" s="2"/>
      <c r="C49" s="7"/>
      <c r="D49" s="7" t="s">
        <v>106</v>
      </c>
      <c r="E49" s="25">
        <f>'DS Allocation'!H17</f>
        <v>0</v>
      </c>
      <c r="F49" s="45" t="s">
        <v>22</v>
      </c>
      <c r="G49" s="35">
        <f>'Wholesale Factors'!$I$43</f>
        <v>0.75284297875607842</v>
      </c>
      <c r="H49" s="25">
        <f>E49*G49</f>
        <v>0</v>
      </c>
      <c r="I49" s="25">
        <f>E49-H49</f>
        <v>0</v>
      </c>
      <c r="J49" s="39"/>
      <c r="L49" s="11"/>
      <c r="M49" s="11"/>
    </row>
    <row r="50" spans="2:13" ht="6.95" customHeight="1" x14ac:dyDescent="0.25">
      <c r="B50" s="2"/>
      <c r="C50" s="7"/>
      <c r="D50" s="11"/>
      <c r="E50" s="25"/>
      <c r="F50" s="25"/>
      <c r="G50" s="36"/>
      <c r="H50" s="25"/>
      <c r="I50" s="25"/>
      <c r="J50" s="39"/>
      <c r="K50" s="7"/>
      <c r="L50" s="11"/>
      <c r="M50" s="11"/>
    </row>
    <row r="51" spans="2:13" ht="15.75" x14ac:dyDescent="0.25">
      <c r="B51" s="2"/>
      <c r="C51" s="13" t="s">
        <v>25</v>
      </c>
      <c r="D51" s="7"/>
      <c r="E51" s="25">
        <f>SUM(E41:E49)+E38</f>
        <v>2580627.6546</v>
      </c>
      <c r="F51" s="25"/>
      <c r="G51" s="36"/>
      <c r="H51" s="25">
        <f>SUM(H41:H49)+H38</f>
        <v>1287312.4730535583</v>
      </c>
      <c r="I51" s="25">
        <f>SUM(I41:I49)+I38</f>
        <v>1293315.1815464417</v>
      </c>
      <c r="J51" s="39"/>
      <c r="K51" s="7"/>
      <c r="L51" s="11"/>
      <c r="M51" s="11"/>
    </row>
    <row r="52" spans="2:13" ht="6.95" customHeight="1" x14ac:dyDescent="0.25">
      <c r="B52" s="2"/>
      <c r="C52" s="7"/>
      <c r="D52" s="11"/>
      <c r="E52" s="11"/>
      <c r="F52" s="11"/>
      <c r="G52" s="11"/>
      <c r="H52" s="25"/>
      <c r="I52" s="25"/>
      <c r="J52" s="39"/>
      <c r="K52" s="7"/>
      <c r="L52" s="11"/>
      <c r="M52" s="11"/>
    </row>
    <row r="53" spans="2:13" ht="15.75" x14ac:dyDescent="0.25">
      <c r="B53" s="2"/>
      <c r="C53" s="11" t="s">
        <v>217</v>
      </c>
      <c r="E53" s="11"/>
      <c r="F53" s="11"/>
      <c r="G53" s="11"/>
      <c r="H53" s="25">
        <v>325000</v>
      </c>
      <c r="I53" s="25"/>
      <c r="J53" s="39"/>
      <c r="K53" s="7"/>
      <c r="L53" s="11"/>
      <c r="M53" s="11"/>
    </row>
    <row r="54" spans="2:13" ht="15.75" x14ac:dyDescent="0.25">
      <c r="B54" s="2"/>
      <c r="C54" s="11" t="s">
        <v>218</v>
      </c>
      <c r="E54" s="11"/>
      <c r="F54" s="11"/>
      <c r="G54" s="11"/>
      <c r="H54" s="25">
        <f>('System Information'!H55/1000)-H53</f>
        <v>31889.429999999993</v>
      </c>
      <c r="I54" s="25"/>
      <c r="J54" s="39"/>
      <c r="K54" s="7"/>
      <c r="L54" s="11"/>
      <c r="M54" s="11"/>
    </row>
    <row r="55" spans="2:13" ht="6.95" customHeight="1" x14ac:dyDescent="0.25">
      <c r="B55" s="2"/>
      <c r="C55" s="7"/>
      <c r="D55" s="11"/>
      <c r="E55" s="11"/>
      <c r="F55" s="11"/>
      <c r="G55" s="11"/>
      <c r="H55" s="11"/>
      <c r="I55" s="11"/>
      <c r="J55" s="18"/>
      <c r="K55" s="7"/>
      <c r="L55" s="11"/>
      <c r="M55" s="11"/>
    </row>
    <row r="56" spans="2:13" ht="15.75" x14ac:dyDescent="0.25">
      <c r="B56" s="2"/>
      <c r="C56" s="42" t="s">
        <v>224</v>
      </c>
      <c r="D56" s="43"/>
      <c r="E56" s="43"/>
      <c r="F56" s="43"/>
      <c r="G56" s="43"/>
      <c r="H56" s="240">
        <f>'Billing Analysis'!C12</f>
        <v>3.75</v>
      </c>
      <c r="I56" s="14"/>
      <c r="J56" s="40"/>
      <c r="K56" s="24"/>
      <c r="L56" s="14">
        <f>H56*H53</f>
        <v>1218750</v>
      </c>
      <c r="M56" s="11"/>
    </row>
    <row r="57" spans="2:13" ht="15.75" x14ac:dyDescent="0.25">
      <c r="B57" s="2"/>
      <c r="C57" s="42" t="s">
        <v>225</v>
      </c>
      <c r="D57" s="43"/>
      <c r="E57" s="43"/>
      <c r="F57" s="43"/>
      <c r="G57" s="43"/>
      <c r="H57" s="240">
        <f>'Billing Analysis'!C13</f>
        <v>2.11</v>
      </c>
      <c r="I57" s="14"/>
      <c r="J57" s="40"/>
      <c r="K57" s="24"/>
      <c r="L57" s="242">
        <f>H57*H54</f>
        <v>67286.697299999985</v>
      </c>
      <c r="M57" s="11"/>
    </row>
    <row r="58" spans="2:13" ht="6.75" customHeight="1" x14ac:dyDescent="0.2">
      <c r="B58" s="2"/>
      <c r="J58" s="232"/>
    </row>
    <row r="59" spans="2:13" ht="15.75" x14ac:dyDescent="0.25">
      <c r="B59" s="2"/>
      <c r="C59" s="42" t="s">
        <v>222</v>
      </c>
      <c r="D59" s="43"/>
      <c r="E59" s="43"/>
      <c r="F59" s="43"/>
      <c r="G59" s="43"/>
      <c r="H59" s="240">
        <v>2.4900000000000002</v>
      </c>
      <c r="I59" s="14"/>
      <c r="J59" s="40"/>
      <c r="K59" s="24"/>
      <c r="L59" s="14">
        <f>SUM(L56:L58)</f>
        <v>1286036.6972999999</v>
      </c>
      <c r="M59" s="11"/>
    </row>
    <row r="60" spans="2:13" ht="15.75" x14ac:dyDescent="0.25">
      <c r="B60" s="2"/>
      <c r="C60" s="42" t="s">
        <v>223</v>
      </c>
      <c r="D60" s="43"/>
      <c r="E60" s="43"/>
      <c r="F60" s="43"/>
      <c r="G60" s="43"/>
      <c r="H60" s="240">
        <v>1.4</v>
      </c>
      <c r="I60" s="14"/>
      <c r="J60" s="40"/>
      <c r="K60" s="24"/>
      <c r="L60" s="242">
        <f>H51</f>
        <v>1287312.4730535583</v>
      </c>
      <c r="M60" s="11"/>
    </row>
    <row r="61" spans="2:13" ht="18" x14ac:dyDescent="0.4">
      <c r="B61" s="2"/>
      <c r="C61" s="42"/>
      <c r="D61" s="43"/>
      <c r="E61" s="43"/>
      <c r="F61" s="43"/>
      <c r="G61" s="43"/>
      <c r="H61" s="231"/>
      <c r="I61" s="14"/>
      <c r="J61" s="40"/>
      <c r="K61" s="24"/>
      <c r="L61" s="14">
        <f>L59-L60</f>
        <v>-1275.7757535583805</v>
      </c>
      <c r="M61" s="11"/>
    </row>
    <row r="62" spans="2:13" ht="15.75" x14ac:dyDescent="0.25">
      <c r="B62" s="2"/>
      <c r="C62" s="42" t="s">
        <v>226</v>
      </c>
      <c r="D62" s="43"/>
      <c r="E62" s="43"/>
      <c r="F62" s="43"/>
      <c r="G62" s="43"/>
      <c r="H62" s="240">
        <f>H56-H59</f>
        <v>1.2599999999999998</v>
      </c>
      <c r="I62" s="271">
        <f>ROUND(H62/H59,4)</f>
        <v>0.50600000000000001</v>
      </c>
      <c r="J62" s="40"/>
      <c r="K62" s="24"/>
      <c r="L62" s="14"/>
      <c r="M62" s="11"/>
    </row>
    <row r="63" spans="2:13" ht="15.75" x14ac:dyDescent="0.25">
      <c r="B63" s="2"/>
      <c r="C63" s="42" t="s">
        <v>227</v>
      </c>
      <c r="D63" s="43"/>
      <c r="E63" s="43"/>
      <c r="F63" s="43"/>
      <c r="G63" s="43"/>
      <c r="H63" s="240">
        <f>H57-H60</f>
        <v>0.71</v>
      </c>
      <c r="I63" s="271">
        <f>ROUND(H63/H60,4)</f>
        <v>0.5071</v>
      </c>
      <c r="J63" s="40"/>
      <c r="K63" s="24"/>
      <c r="L63" s="14"/>
      <c r="M63" s="11"/>
    </row>
    <row r="64" spans="2:13" ht="15.75" x14ac:dyDescent="0.25">
      <c r="B64" s="6"/>
      <c r="C64" s="41"/>
      <c r="D64" s="21"/>
      <c r="E64" s="21"/>
      <c r="F64" s="21"/>
      <c r="G64" s="21"/>
      <c r="H64" s="41"/>
      <c r="I64" s="21"/>
      <c r="J64" s="22"/>
      <c r="K64" s="7"/>
      <c r="L64" s="11"/>
      <c r="M64" s="11"/>
    </row>
    <row r="65" spans="3:19" ht="15.75" x14ac:dyDescent="0.25">
      <c r="C65" s="7"/>
      <c r="D65" s="11"/>
      <c r="E65" s="11"/>
      <c r="F65" s="11"/>
      <c r="G65" s="11"/>
      <c r="H65" s="7"/>
      <c r="I65" s="11"/>
      <c r="J65" s="11"/>
      <c r="K65" s="7"/>
      <c r="L65" s="11"/>
      <c r="M65" s="11"/>
    </row>
    <row r="66" spans="3:19" ht="15.75" x14ac:dyDescent="0.25">
      <c r="C66" s="7"/>
      <c r="D66" s="11"/>
      <c r="E66" s="11"/>
      <c r="F66" s="11"/>
      <c r="G66" s="11"/>
      <c r="H66" s="7"/>
      <c r="I66" s="11"/>
      <c r="J66" s="11"/>
      <c r="K66" s="7"/>
      <c r="L66" s="11"/>
      <c r="M66" s="11"/>
    </row>
    <row r="67" spans="3:19" ht="15.75" x14ac:dyDescent="0.25">
      <c r="C67" s="7"/>
      <c r="D67" s="11"/>
      <c r="E67" s="11"/>
      <c r="F67" s="11"/>
      <c r="G67" s="11"/>
      <c r="H67" s="7"/>
      <c r="I67" s="11"/>
      <c r="J67" s="11"/>
      <c r="K67" s="7"/>
      <c r="L67" s="11"/>
      <c r="M67" s="11"/>
    </row>
    <row r="68" spans="3:19" ht="15.75" x14ac:dyDescent="0.25">
      <c r="C68" s="7"/>
      <c r="D68" s="7"/>
      <c r="E68" s="7"/>
      <c r="F68" s="7"/>
      <c r="G68" s="7"/>
      <c r="H68" s="29"/>
      <c r="I68" s="29"/>
      <c r="J68" s="29"/>
      <c r="K68" s="29"/>
      <c r="L68" s="7"/>
      <c r="M68" s="7"/>
      <c r="O68" s="7"/>
      <c r="P68" s="7"/>
      <c r="Q68" s="7"/>
      <c r="R68" s="7"/>
      <c r="S68" s="7"/>
    </row>
    <row r="69" spans="3:19" ht="15.75" x14ac:dyDescent="0.25">
      <c r="C69" s="7"/>
      <c r="D69" s="7"/>
    </row>
    <row r="70" spans="3:19" ht="15.75" x14ac:dyDescent="0.25">
      <c r="C70" s="7"/>
      <c r="D70" s="7"/>
    </row>
    <row r="71" spans="3:19" ht="15.75" x14ac:dyDescent="0.25">
      <c r="C71" s="7"/>
      <c r="D71" s="7"/>
    </row>
    <row r="72" spans="3:19" ht="15.75" x14ac:dyDescent="0.25">
      <c r="C72" s="7"/>
      <c r="D72" s="7"/>
    </row>
    <row r="73" spans="3:19" ht="15.75" x14ac:dyDescent="0.25">
      <c r="C73" s="7"/>
      <c r="D73" s="7"/>
    </row>
    <row r="74" spans="3:19" ht="15.75" x14ac:dyDescent="0.25">
      <c r="C74" s="7"/>
      <c r="D74" s="7"/>
    </row>
    <row r="75" spans="3:19" ht="15.75" x14ac:dyDescent="0.25">
      <c r="C75" s="7"/>
      <c r="D75" s="7"/>
    </row>
    <row r="76" spans="3:19" ht="15.75" x14ac:dyDescent="0.25">
      <c r="C76" s="7"/>
      <c r="D76" s="7"/>
    </row>
    <row r="77" spans="3:19" ht="15.75" x14ac:dyDescent="0.25">
      <c r="C77" s="7"/>
      <c r="D77" s="7"/>
    </row>
    <row r="78" spans="3:19" ht="15.75" x14ac:dyDescent="0.25">
      <c r="C78" s="7"/>
      <c r="D78" s="7"/>
    </row>
    <row r="79" spans="3:19" ht="15.75" x14ac:dyDescent="0.25">
      <c r="C79" s="7"/>
      <c r="D79" s="7"/>
    </row>
    <row r="80" spans="3:19" ht="15.75" x14ac:dyDescent="0.25">
      <c r="C80" s="7"/>
      <c r="D80" s="7"/>
    </row>
    <row r="81" spans="3:13" ht="15.75" x14ac:dyDescent="0.25">
      <c r="C81" s="7"/>
      <c r="D81" s="7"/>
    </row>
    <row r="82" spans="3:13" ht="15.75" x14ac:dyDescent="0.25">
      <c r="C82" s="7"/>
      <c r="D82" s="7"/>
    </row>
    <row r="83" spans="3:13" ht="15.75" x14ac:dyDescent="0.25">
      <c r="C83" s="7"/>
      <c r="D83" s="7"/>
      <c r="E83" s="7"/>
      <c r="F83" s="7"/>
      <c r="G83" s="7"/>
      <c r="H83" s="29"/>
      <c r="I83" s="29"/>
      <c r="J83" s="29"/>
      <c r="K83" s="29"/>
      <c r="L83" s="7"/>
      <c r="M83" s="7"/>
    </row>
    <row r="84" spans="3:13" ht="15.75" x14ac:dyDescent="0.25">
      <c r="C84" s="7"/>
      <c r="D84" s="7"/>
      <c r="E84" s="7"/>
      <c r="F84" s="7"/>
      <c r="G84" s="7"/>
      <c r="H84" s="29"/>
      <c r="I84" s="29"/>
      <c r="J84" s="29"/>
      <c r="K84" s="29"/>
      <c r="L84" s="7"/>
      <c r="M84" s="7"/>
    </row>
    <row r="85" spans="3:13" ht="15.75" x14ac:dyDescent="0.25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</row>
    <row r="86" spans="3:13" ht="15.75" x14ac:dyDescent="0.25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3:13" ht="15.75" x14ac:dyDescent="0.25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3:13" ht="15.75" x14ac:dyDescent="0.25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</sheetData>
  <mergeCells count="2">
    <mergeCell ref="C3:J3"/>
    <mergeCell ref="F7:G7"/>
  </mergeCells>
  <printOptions horizontalCentered="1"/>
  <pageMargins left="0.45" right="0.45" top="0.3" bottom="0.3" header="0.3" footer="0.3"/>
  <pageSetup scale="7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CBD45-A52D-4BE4-80AF-93F2DC833567}">
  <dimension ref="A1:D31"/>
  <sheetViews>
    <sheetView topLeftCell="A10" workbookViewId="0">
      <selection activeCell="B5" sqref="B5"/>
    </sheetView>
  </sheetViews>
  <sheetFormatPr defaultRowHeight="15" x14ac:dyDescent="0.25"/>
  <cols>
    <col min="1" max="1" width="20.5546875" style="46" customWidth="1"/>
    <col min="2" max="2" width="14.6640625" style="46" customWidth="1"/>
    <col min="3" max="3" width="8.88671875" style="46"/>
    <col min="4" max="4" width="12.5546875" style="46" customWidth="1"/>
    <col min="5" max="16384" width="8.88671875" style="46"/>
  </cols>
  <sheetData>
    <row r="1" spans="1:4" x14ac:dyDescent="0.25">
      <c r="A1" s="243" t="s">
        <v>239</v>
      </c>
      <c r="B1" s="244"/>
      <c r="C1" s="244"/>
      <c r="D1" s="245"/>
    </row>
    <row r="2" spans="1:4" x14ac:dyDescent="0.25">
      <c r="A2" s="105"/>
      <c r="D2" s="106"/>
    </row>
    <row r="3" spans="1:4" x14ac:dyDescent="0.25">
      <c r="A3" s="246" t="s">
        <v>236</v>
      </c>
      <c r="B3" s="247" t="s">
        <v>228</v>
      </c>
      <c r="C3" s="247" t="s">
        <v>229</v>
      </c>
      <c r="D3" s="248" t="s">
        <v>230</v>
      </c>
    </row>
    <row r="4" spans="1:4" x14ac:dyDescent="0.25">
      <c r="A4" s="105" t="s">
        <v>232</v>
      </c>
      <c r="B4" s="249">
        <v>325000</v>
      </c>
      <c r="C4" s="250">
        <f>'Revenue Required Computation'!H59</f>
        <v>2.4900000000000002</v>
      </c>
      <c r="D4" s="251">
        <f>B4*C4</f>
        <v>809250.00000000012</v>
      </c>
    </row>
    <row r="5" spans="1:4" x14ac:dyDescent="0.25">
      <c r="A5" s="105" t="s">
        <v>233</v>
      </c>
      <c r="B5" s="241">
        <f>('System Information'!H55/1000)-'Billing Analysis'!B4</f>
        <v>31889.429999999993</v>
      </c>
      <c r="C5" s="250">
        <f>'Revenue Required Computation'!H60</f>
        <v>1.4</v>
      </c>
      <c r="D5" s="252">
        <f>B5*C5</f>
        <v>44645.20199999999</v>
      </c>
    </row>
    <row r="6" spans="1:4" ht="15" customHeight="1" x14ac:dyDescent="0.25">
      <c r="A6" s="253" t="s">
        <v>231</v>
      </c>
      <c r="B6" s="254">
        <f>SUM(B4:B5)</f>
        <v>356889.43</v>
      </c>
      <c r="D6" s="255">
        <f>SUM(D4:D5)</f>
        <v>853895.20200000005</v>
      </c>
    </row>
    <row r="7" spans="1:4" x14ac:dyDescent="0.25">
      <c r="A7" s="105" t="s">
        <v>234</v>
      </c>
      <c r="D7" s="252">
        <f>'Revenue Required Computation'!H51</f>
        <v>1287312.4730535583</v>
      </c>
    </row>
    <row r="8" spans="1:4" x14ac:dyDescent="0.25">
      <c r="A8" s="105" t="s">
        <v>235</v>
      </c>
      <c r="D8" s="255">
        <f>+D7-D6</f>
        <v>433417.27105355822</v>
      </c>
    </row>
    <row r="9" spans="1:4" x14ac:dyDescent="0.25">
      <c r="A9" s="105" t="s">
        <v>11</v>
      </c>
      <c r="D9" s="256">
        <f>D8/D6</f>
        <v>0.50757665582193801</v>
      </c>
    </row>
    <row r="10" spans="1:4" x14ac:dyDescent="0.25">
      <c r="A10" s="105"/>
      <c r="D10" s="106"/>
    </row>
    <row r="11" spans="1:4" x14ac:dyDescent="0.25">
      <c r="A11" s="246" t="s">
        <v>237</v>
      </c>
      <c r="B11" s="247" t="s">
        <v>228</v>
      </c>
      <c r="C11" s="247" t="s">
        <v>229</v>
      </c>
      <c r="D11" s="248" t="s">
        <v>230</v>
      </c>
    </row>
    <row r="12" spans="1:4" x14ac:dyDescent="0.25">
      <c r="A12" s="105" t="s">
        <v>232</v>
      </c>
      <c r="B12" s="249">
        <v>325000</v>
      </c>
      <c r="C12" s="250">
        <f>ROUND(C4*(1+D9),2)</f>
        <v>3.75</v>
      </c>
      <c r="D12" s="251">
        <f>B12*C12</f>
        <v>1218750</v>
      </c>
    </row>
    <row r="13" spans="1:4" x14ac:dyDescent="0.25">
      <c r="A13" s="105" t="s">
        <v>233</v>
      </c>
      <c r="B13" s="241">
        <f>('System Information'!H55/1000)-'Billing Analysis'!B12</f>
        <v>31889.429999999993</v>
      </c>
      <c r="C13" s="250">
        <f>ROUND(C5*(1+D9),2)</f>
        <v>2.11</v>
      </c>
      <c r="D13" s="252">
        <f>B13*C13</f>
        <v>67286.697299999985</v>
      </c>
    </row>
    <row r="14" spans="1:4" x14ac:dyDescent="0.25">
      <c r="A14" s="253" t="s">
        <v>238</v>
      </c>
      <c r="B14" s="254">
        <f>SUM(B12:B13)</f>
        <v>356889.43</v>
      </c>
      <c r="D14" s="255">
        <f>SUM(D12:D13)</f>
        <v>1286036.6972999999</v>
      </c>
    </row>
    <row r="15" spans="1:4" x14ac:dyDescent="0.25">
      <c r="A15" s="105" t="s">
        <v>234</v>
      </c>
      <c r="D15" s="252">
        <f>'Revenue Required Computation'!H51</f>
        <v>1287312.4730535583</v>
      </c>
    </row>
    <row r="16" spans="1:4" x14ac:dyDescent="0.25">
      <c r="A16" s="105" t="s">
        <v>235</v>
      </c>
      <c r="D16" s="255">
        <f>+D14-D15</f>
        <v>-1275.7757535583805</v>
      </c>
    </row>
    <row r="17" spans="1:4" x14ac:dyDescent="0.25">
      <c r="A17" s="126" t="s">
        <v>11</v>
      </c>
      <c r="B17" s="127"/>
      <c r="C17" s="127"/>
      <c r="D17" s="257">
        <f>D16/D14</f>
        <v>-9.9202126676232343E-4</v>
      </c>
    </row>
    <row r="19" spans="1:4" x14ac:dyDescent="0.25">
      <c r="A19" s="243" t="s">
        <v>211</v>
      </c>
      <c r="B19" s="244"/>
      <c r="C19" s="244"/>
      <c r="D19" s="245"/>
    </row>
    <row r="20" spans="1:4" x14ac:dyDescent="0.25">
      <c r="A20" s="105"/>
      <c r="D20" s="106"/>
    </row>
    <row r="21" spans="1:4" x14ac:dyDescent="0.25">
      <c r="A21" s="246" t="s">
        <v>236</v>
      </c>
      <c r="B21" s="247" t="s">
        <v>228</v>
      </c>
      <c r="C21" s="247" t="s">
        <v>229</v>
      </c>
      <c r="D21" s="248" t="s">
        <v>230</v>
      </c>
    </row>
    <row r="22" spans="1:4" x14ac:dyDescent="0.25">
      <c r="A22" s="253" t="s">
        <v>231</v>
      </c>
      <c r="B22" s="254">
        <f>'System Information'!K55/1000</f>
        <v>49173.415000000001</v>
      </c>
      <c r="C22" s="250">
        <f>C4</f>
        <v>2.4900000000000002</v>
      </c>
      <c r="D22" s="251">
        <f>B22*C22</f>
        <v>122441.80335000002</v>
      </c>
    </row>
    <row r="23" spans="1:4" x14ac:dyDescent="0.25">
      <c r="A23" s="253" t="s">
        <v>234</v>
      </c>
      <c r="B23" s="254"/>
      <c r="C23" s="250"/>
      <c r="D23" s="252">
        <f>D22*(1+D9)</f>
        <v>184590.40442720038</v>
      </c>
    </row>
    <row r="24" spans="1:4" x14ac:dyDescent="0.25">
      <c r="A24" s="253" t="s">
        <v>235</v>
      </c>
      <c r="B24" s="254"/>
      <c r="C24" s="250"/>
      <c r="D24" s="251">
        <f>D23-D22</f>
        <v>62148.601077200365</v>
      </c>
    </row>
    <row r="25" spans="1:4" x14ac:dyDescent="0.25">
      <c r="A25" s="253" t="s">
        <v>11</v>
      </c>
      <c r="B25" s="254"/>
      <c r="C25" s="250"/>
      <c r="D25" s="256">
        <f>D24/D22</f>
        <v>0.50757665582193789</v>
      </c>
    </row>
    <row r="26" spans="1:4" x14ac:dyDescent="0.25">
      <c r="A26" s="105"/>
      <c r="D26" s="106"/>
    </row>
    <row r="27" spans="1:4" x14ac:dyDescent="0.25">
      <c r="A27" s="246" t="s">
        <v>237</v>
      </c>
      <c r="B27" s="247" t="s">
        <v>228</v>
      </c>
      <c r="C27" s="247" t="s">
        <v>229</v>
      </c>
      <c r="D27" s="248" t="s">
        <v>230</v>
      </c>
    </row>
    <row r="28" spans="1:4" x14ac:dyDescent="0.25">
      <c r="A28" s="253" t="s">
        <v>238</v>
      </c>
      <c r="B28" s="254">
        <f>B22</f>
        <v>49173.415000000001</v>
      </c>
      <c r="C28" s="250">
        <f>C12</f>
        <v>3.75</v>
      </c>
      <c r="D28" s="255">
        <f>B28*C28</f>
        <v>184400.30624999999</v>
      </c>
    </row>
    <row r="29" spans="1:4" x14ac:dyDescent="0.25">
      <c r="A29" s="105" t="s">
        <v>234</v>
      </c>
      <c r="D29" s="252">
        <f>D23</f>
        <v>184590.40442720038</v>
      </c>
    </row>
    <row r="30" spans="1:4" x14ac:dyDescent="0.25">
      <c r="A30" s="105" t="s">
        <v>235</v>
      </c>
      <c r="D30" s="255">
        <f>+D28-D29</f>
        <v>-190.098177200387</v>
      </c>
    </row>
    <row r="31" spans="1:4" x14ac:dyDescent="0.25">
      <c r="A31" s="126" t="s">
        <v>11</v>
      </c>
      <c r="B31" s="127"/>
      <c r="C31" s="127"/>
      <c r="D31" s="257">
        <f>D30/D28</f>
        <v>-1.0308994657669502E-3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Trial Balance</vt:lpstr>
      <vt:lpstr>Matrix</vt:lpstr>
      <vt:lpstr>Depreciation</vt:lpstr>
      <vt:lpstr>Debt Service</vt:lpstr>
      <vt:lpstr>DS Allocation</vt:lpstr>
      <vt:lpstr>System Information</vt:lpstr>
      <vt:lpstr>Wholesale Factors</vt:lpstr>
      <vt:lpstr>Revenue Required Computation</vt:lpstr>
      <vt:lpstr>Billing Analysis</vt:lpstr>
      <vt:lpstr>Monthly Bill Comparison</vt:lpstr>
      <vt:lpstr>'Debt Service'!Print_Area</vt:lpstr>
      <vt:lpstr>Depreciation!Print_Area</vt:lpstr>
      <vt:lpstr>'DS Allocation'!Print_Area</vt:lpstr>
      <vt:lpstr>Matrix!Print_Area</vt:lpstr>
      <vt:lpstr>'Monthly Bill Comparison'!Print_Area</vt:lpstr>
      <vt:lpstr>'Revenue Required Computation'!Print_Area</vt:lpstr>
      <vt:lpstr>'System Information'!Print_Area</vt:lpstr>
      <vt:lpstr>'Trial Balance'!Print_Area</vt:lpstr>
      <vt:lpstr>'Wholesale Factors'!Print_Area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Bruner, Brandon S (PSC)</cp:lastModifiedBy>
  <cp:lastPrinted>2023-12-01T23:41:32Z</cp:lastPrinted>
  <dcterms:created xsi:type="dcterms:W3CDTF">2016-05-18T14:12:06Z</dcterms:created>
  <dcterms:modified xsi:type="dcterms:W3CDTF">2023-12-21T15:58:14Z</dcterms:modified>
</cp:coreProperties>
</file>