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hidePivotFieldList="1" defaultThemeVersion="124226"/>
  <bookViews>
    <workbookView xWindow="-75" yWindow="-165" windowWidth="14940" windowHeight="9105" tabRatio="903"/>
  </bookViews>
  <sheets>
    <sheet name="Pool Energy Summary" sheetId="7" r:id="rId1"/>
    <sheet name="PJM Bill Detail" sheetId="19" r:id="rId2"/>
    <sheet name="Primary Energy" sheetId="6" r:id="rId3"/>
    <sheet name="Cap Equalization" sheetId="10" r:id="rId4"/>
    <sheet name="OSS Reimbursement" sheetId="27" r:id="rId5"/>
    <sheet name="OSS Margins" sheetId="11" r:id="rId6"/>
    <sheet name="OSS MWh" sheetId="13" r:id="rId7"/>
    <sheet name="OSS Cost" sheetId="2" r:id="rId8"/>
    <sheet name="PSUM" sheetId="15" r:id="rId9"/>
    <sheet name="OVEC D Charge" sheetId="16" r:id="rId10"/>
    <sheet name="Trading &amp; Optimization Detail" sheetId="17" r:id="rId11"/>
    <sheet name="Wheeling Power Bill" sheetId="18" r:id="rId12"/>
  </sheets>
  <externalReferences>
    <externalReference r:id="rId13"/>
    <externalReference r:id="rId14"/>
    <externalReference r:id="rId15"/>
    <externalReference r:id="rId16"/>
    <externalReference r:id="rId17"/>
  </externalReferences>
  <definedNames>
    <definedName name="_AEG1">#REF!</definedName>
    <definedName name="_CSP1">#REF!</definedName>
    <definedName name="_Order1" hidden="1">255</definedName>
    <definedName name="_Order2" hidden="1">255</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jAcct5550.035MWH" localSheetId="4">'[1]APPVII PG3'!#REF!</definedName>
    <definedName name="AdjAcct5550.035MWH">'[1]APPVII PG3'!#REF!</definedName>
    <definedName name="AEP">#REF!</definedName>
    <definedName name="APCO">'[2]APCO Rate Trtmnt'!#REF!</definedName>
    <definedName name="APCo1">#REF!</definedName>
    <definedName name="Beg_Bal">#REF!</definedName>
    <definedName name="CPI">[3]Inputs!$C$64</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stName">[4]Determinants!$C$129</definedName>
    <definedName name="Data">#REF!</definedName>
    <definedName name="EastDirectAllcTotal">'[5]APPVIII PG 1'!$C$104</definedName>
    <definedName name="End_Bal">#REF!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tra_Pay">#REF!</definedName>
    <definedName name="Full_Print">#REF!</definedName>
    <definedName name="Header_Row">ROW(#REF!)</definedName>
    <definedName name="IMCO">#REF!</definedName>
    <definedName name="IncrmntlFctr">[4]Detail!#REF!</definedName>
    <definedName name="InM">#REF!</definedName>
    <definedName name="Int">#REF!</definedName>
    <definedName name="Interest_Rate">#REF!</definedName>
    <definedName name="KPCo">#REF!</definedName>
    <definedName name="Last_Row">IF(Values_Entered,Header_Row+Number_of_Payments,Header_Row)</definedName>
    <definedName name="Loan_Amount">#REF!</definedName>
    <definedName name="Loan_Start">#REF!</definedName>
    <definedName name="Loan_Years">#REF!</definedName>
    <definedName name="Num_Pmt_Per_Year">#REF!</definedName>
    <definedName name="Number_of_Payments">MATCH(0.01,End_Bal,-1)+1</definedName>
    <definedName name="OPCO">#REF!</definedName>
    <definedName name="OPCo1">#REF!</definedName>
    <definedName name="Pay_Date">#REF!</definedName>
    <definedName name="Pay_Num">#REF!</definedName>
    <definedName name="Payment_Date">DATE(YEAR(Loan_Start),MONTH(Loan_Start)+Payment_Number,DAY(Loan_Start))</definedName>
    <definedName name="PFADJ">'[4]Current Invoice'!#REF!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Princ">#REF!</definedName>
    <definedName name="_xlnm.Print_Area" localSheetId="7">'OSS Cost'!$A$1:$J$58</definedName>
    <definedName name="_xlnm.Print_Area" localSheetId="6">'OSS MWh'!$A$1:$G$63</definedName>
    <definedName name="_xlnm.Print_Area" localSheetId="4">'OSS Reimbursement'!$A$1:$K$185</definedName>
    <definedName name="_xlnm.Print_Area" localSheetId="0" xml:space="preserve">   'Pool Energy Summary'!$A$1:$I$31</definedName>
    <definedName name="_xlnm.Print_Area" localSheetId="2">'Primary Energy'!$A$1:$O$25</definedName>
    <definedName name="_xlnm.Print_Area">#REF!</definedName>
    <definedName name="Print_Area_Reset">OFFSET(Full_Print,0,0,Last_Row)</definedName>
    <definedName name="Sched_Pay">#REF!</definedName>
    <definedName name="Scheduled_Extra_Payments">#REF!</definedName>
    <definedName name="Scheduled_Interest_Rate">#REF!</definedName>
    <definedName name="Scheduled_Monthly_Payment">#REF!</definedName>
    <definedName name="Total_Interest">#REF!</definedName>
    <definedName name="Total_Pay">#REF!</definedName>
    <definedName name="Total_Payment">Scheduled_Payment+Extra_Payment</definedName>
    <definedName name="Values_Entered">IF(Loan_Amount*Interest_Rate*Loan_Years*Loan_Start&gt;0,1,0)</definedName>
    <definedName name="WestDirectAllcTotal">'[5]APPVIII PG 1'!$D$104</definedName>
  </definedNames>
  <calcPr calcId="101716"/>
</workbook>
</file>

<file path=xl/calcChain.xml><?xml version="1.0" encoding="utf-8"?>
<calcChain xmlns="http://schemas.openxmlformats.org/spreadsheetml/2006/main">
  <c r="I91" i="27"/>
  <c r="F96"/>
  <c r="F91"/>
  <c r="F97"/>
  <c r="H91"/>
  <c r="F98"/>
  <c r="F99"/>
  <c r="D15" i="7"/>
  <c r="D14"/>
  <c r="D16"/>
  <c r="B9" i="17"/>
  <c r="B8"/>
  <c r="B10"/>
  <c r="C4"/>
  <c r="B17"/>
  <c r="B20"/>
  <c r="C3"/>
  <c r="C5"/>
  <c r="G25" i="7"/>
  <c r="D25"/>
  <c r="D27"/>
  <c r="I147" i="27"/>
  <c r="I118"/>
  <c r="I62"/>
  <c r="I17"/>
  <c r="I174"/>
  <c r="D161"/>
  <c r="F17"/>
  <c r="F37"/>
  <c r="H17"/>
  <c r="F38"/>
  <c r="F36"/>
  <c r="F39"/>
  <c r="F62"/>
  <c r="F68"/>
  <c r="H62"/>
  <c r="F69"/>
  <c r="F67"/>
  <c r="F70"/>
  <c r="F118"/>
  <c r="F124"/>
  <c r="H118"/>
  <c r="F125"/>
  <c r="F123"/>
  <c r="F126"/>
  <c r="F147"/>
  <c r="F153"/>
  <c r="H147"/>
  <c r="F154"/>
  <c r="F152"/>
  <c r="F155"/>
  <c r="F181"/>
  <c r="F178"/>
  <c r="G181"/>
  <c r="F180"/>
  <c r="F179"/>
  <c r="F15" i="7"/>
  <c r="E15"/>
  <c r="C15"/>
  <c r="C28" i="27"/>
  <c r="C25"/>
  <c r="C24"/>
  <c r="I24"/>
  <c r="I25"/>
  <c r="F29"/>
  <c r="F26"/>
  <c r="F25"/>
  <c r="F24"/>
  <c r="K17"/>
  <c r="J17"/>
  <c r="F27"/>
  <c r="F32"/>
  <c r="F30"/>
  <c r="C30"/>
  <c r="I27"/>
  <c r="B17"/>
  <c r="C17"/>
  <c r="D17"/>
  <c r="E17"/>
  <c r="G17"/>
  <c r="B62"/>
  <c r="C62"/>
  <c r="D62"/>
  <c r="E62"/>
  <c r="G62"/>
  <c r="B91"/>
  <c r="C91"/>
  <c r="D91"/>
  <c r="E91"/>
  <c r="G91"/>
  <c r="B118"/>
  <c r="C118"/>
  <c r="D118"/>
  <c r="E118"/>
  <c r="G118"/>
  <c r="B147"/>
  <c r="C147"/>
  <c r="D147"/>
  <c r="E147"/>
  <c r="G147"/>
  <c r="B161"/>
  <c r="C161"/>
  <c r="E161"/>
  <c r="F161"/>
  <c r="G161"/>
  <c r="H161"/>
  <c r="B162"/>
  <c r="C162"/>
  <c r="D162"/>
  <c r="E162"/>
  <c r="F162"/>
  <c r="G162"/>
  <c r="H162"/>
  <c r="B163"/>
  <c r="C163"/>
  <c r="D163"/>
  <c r="E163"/>
  <c r="F163"/>
  <c r="G163"/>
  <c r="H163"/>
  <c r="B164"/>
  <c r="C164"/>
  <c r="D164"/>
  <c r="E164"/>
  <c r="F164"/>
  <c r="G164"/>
  <c r="H164"/>
  <c r="B165"/>
  <c r="C165"/>
  <c r="D165"/>
  <c r="E165"/>
  <c r="F165"/>
  <c r="G165"/>
  <c r="H165"/>
  <c r="B166"/>
  <c r="C166"/>
  <c r="D166"/>
  <c r="E166"/>
  <c r="F166"/>
  <c r="G166"/>
  <c r="H166"/>
  <c r="B167"/>
  <c r="C167"/>
  <c r="D167"/>
  <c r="E167"/>
  <c r="F167"/>
  <c r="G167"/>
  <c r="H167"/>
  <c r="B168"/>
  <c r="C168"/>
  <c r="D168"/>
  <c r="E168"/>
  <c r="F168"/>
  <c r="G168"/>
  <c r="H168"/>
  <c r="B169"/>
  <c r="C169"/>
  <c r="D169"/>
  <c r="E169"/>
  <c r="F169"/>
  <c r="G169"/>
  <c r="H169"/>
  <c r="B170"/>
  <c r="C170"/>
  <c r="D170"/>
  <c r="E170"/>
  <c r="F170"/>
  <c r="G170"/>
  <c r="H170"/>
  <c r="B171"/>
  <c r="C171"/>
  <c r="D171"/>
  <c r="E171"/>
  <c r="F171"/>
  <c r="G171"/>
  <c r="H171"/>
  <c r="B172"/>
  <c r="C172"/>
  <c r="D172"/>
  <c r="E172"/>
  <c r="F172"/>
  <c r="G172"/>
  <c r="H172"/>
  <c r="B174"/>
  <c r="C174"/>
  <c r="D174"/>
  <c r="E174"/>
  <c r="F174"/>
  <c r="G174"/>
  <c r="H174"/>
  <c r="G9" i="11"/>
  <c r="F9"/>
  <c r="E9"/>
  <c r="D9"/>
  <c r="C9"/>
  <c r="B9"/>
  <c r="C14" i="7"/>
  <c r="C16"/>
  <c r="C25"/>
  <c r="C27"/>
  <c r="D55" i="2"/>
  <c r="D51"/>
  <c r="J21" i="15"/>
  <c r="B16" i="16"/>
  <c r="B15"/>
  <c r="B14"/>
  <c r="B13"/>
  <c r="B12"/>
  <c r="B11"/>
  <c r="B10"/>
  <c r="B9"/>
  <c r="B8"/>
  <c r="B7"/>
  <c r="B6"/>
  <c r="B5"/>
  <c r="B17" i="15"/>
  <c r="C17"/>
  <c r="D17"/>
  <c r="B28"/>
  <c r="F57"/>
  <c r="B31"/>
  <c r="C35" i="16"/>
  <c r="D23"/>
  <c r="D24"/>
  <c r="D25"/>
  <c r="D26"/>
  <c r="D27"/>
  <c r="D28"/>
  <c r="D29"/>
  <c r="D30"/>
  <c r="D31"/>
  <c r="D32"/>
  <c r="D33"/>
  <c r="D34"/>
  <c r="D35"/>
  <c r="B35"/>
  <c r="E53"/>
  <c r="D53"/>
  <c r="C53"/>
  <c r="B53"/>
  <c r="B17"/>
  <c r="B50" i="19"/>
  <c r="E14" i="7"/>
  <c r="E16"/>
  <c r="E25"/>
  <c r="E27"/>
  <c r="F25"/>
  <c r="F27"/>
  <c r="G27"/>
  <c r="C21"/>
  <c r="D21"/>
  <c r="E21"/>
  <c r="F21"/>
  <c r="G21"/>
  <c r="B30" i="15"/>
  <c r="B32"/>
  <c r="B33"/>
  <c r="C18" i="7"/>
  <c r="D30" i="15"/>
  <c r="D31"/>
  <c r="D32"/>
  <c r="D33"/>
  <c r="D18" i="7"/>
  <c r="C30" i="15"/>
  <c r="C31"/>
  <c r="C32"/>
  <c r="C33"/>
  <c r="E18" i="7"/>
  <c r="E30" i="15"/>
  <c r="E31"/>
  <c r="E32"/>
  <c r="E33"/>
  <c r="F30"/>
  <c r="F31"/>
  <c r="F32"/>
  <c r="F33"/>
  <c r="F18" i="7"/>
  <c r="G18"/>
  <c r="C19"/>
  <c r="D19"/>
  <c r="F19"/>
  <c r="G19"/>
  <c r="C23"/>
  <c r="F23"/>
  <c r="G23"/>
  <c r="C11"/>
  <c r="M21" i="6"/>
  <c r="D11" i="7"/>
  <c r="H21" i="6"/>
  <c r="E11" i="7"/>
  <c r="R21" i="6"/>
  <c r="W21"/>
  <c r="F11" i="7"/>
  <c r="G11"/>
  <c r="E21" i="6"/>
  <c r="C8" i="7"/>
  <c r="O21" i="6"/>
  <c r="D8" i="7"/>
  <c r="J21" i="6"/>
  <c r="E8" i="7"/>
  <c r="T21" i="6"/>
  <c r="F8" i="7"/>
  <c r="G8"/>
  <c r="B20" i="10"/>
  <c r="C5" i="7"/>
  <c r="D5"/>
  <c r="E5"/>
  <c r="F5"/>
  <c r="G5"/>
  <c r="G29"/>
  <c r="F29"/>
  <c r="E29"/>
  <c r="D29"/>
  <c r="C29"/>
  <c r="N27" i="18"/>
  <c r="N26"/>
  <c r="L27"/>
  <c r="K27"/>
  <c r="J27"/>
  <c r="I27"/>
  <c r="H27"/>
  <c r="G27"/>
  <c r="F27"/>
  <c r="E27"/>
  <c r="D27"/>
  <c r="C27"/>
  <c r="B27"/>
  <c r="M27"/>
  <c r="C21" i="6"/>
  <c r="B30" i="18"/>
  <c r="B31"/>
  <c r="B32"/>
  <c r="B33"/>
  <c r="B34"/>
  <c r="B35"/>
  <c r="C30"/>
  <c r="C31"/>
  <c r="C32"/>
  <c r="C33"/>
  <c r="C34"/>
  <c r="C35"/>
  <c r="D30"/>
  <c r="D31"/>
  <c r="D32"/>
  <c r="D33"/>
  <c r="D34"/>
  <c r="D35"/>
  <c r="E30"/>
  <c r="E31"/>
  <c r="E32"/>
  <c r="E33"/>
  <c r="E34"/>
  <c r="E35"/>
  <c r="F30"/>
  <c r="F31"/>
  <c r="F32"/>
  <c r="F33"/>
  <c r="F34"/>
  <c r="F35"/>
  <c r="G30"/>
  <c r="G31"/>
  <c r="G32"/>
  <c r="G33"/>
  <c r="G34"/>
  <c r="G35"/>
  <c r="H30"/>
  <c r="H31"/>
  <c r="H32"/>
  <c r="H33"/>
  <c r="H34"/>
  <c r="H35"/>
  <c r="I30"/>
  <c r="I31"/>
  <c r="I32"/>
  <c r="I33"/>
  <c r="I34"/>
  <c r="I35"/>
  <c r="J30"/>
  <c r="J31"/>
  <c r="J32"/>
  <c r="J33"/>
  <c r="J34"/>
  <c r="J35"/>
  <c r="K30"/>
  <c r="K31"/>
  <c r="K32"/>
  <c r="K33"/>
  <c r="K34"/>
  <c r="K35"/>
  <c r="L30"/>
  <c r="L31"/>
  <c r="L32"/>
  <c r="L33"/>
  <c r="L34"/>
  <c r="L35"/>
  <c r="M30"/>
  <c r="M31"/>
  <c r="M32"/>
  <c r="M33"/>
  <c r="M34"/>
  <c r="M35"/>
  <c r="N35"/>
  <c r="N34"/>
  <c r="N33"/>
  <c r="N32"/>
  <c r="N31"/>
  <c r="N30"/>
  <c r="D53" i="2"/>
  <c r="B37" i="15"/>
  <c r="D20" i="10"/>
  <c r="E20"/>
  <c r="D52" i="2"/>
  <c r="F20" i="10"/>
  <c r="C20"/>
  <c r="F14" i="7"/>
  <c r="F51" i="16"/>
  <c r="F52"/>
  <c r="F53"/>
  <c r="E18"/>
  <c r="D18"/>
  <c r="C18"/>
  <c r="J46" i="15"/>
  <c r="J47"/>
  <c r="J48"/>
  <c r="J40"/>
  <c r="J41"/>
  <c r="J37"/>
  <c r="J38"/>
  <c r="J39"/>
  <c r="J42"/>
  <c r="J43"/>
  <c r="J44"/>
  <c r="J45"/>
  <c r="J49"/>
  <c r="K46"/>
  <c r="K47"/>
  <c r="K48"/>
  <c r="K40"/>
  <c r="K41"/>
  <c r="K37"/>
  <c r="K38"/>
  <c r="K39"/>
  <c r="K42"/>
  <c r="K43"/>
  <c r="K44"/>
  <c r="K45"/>
  <c r="K49"/>
  <c r="L46"/>
  <c r="L47"/>
  <c r="L48"/>
  <c r="L40"/>
  <c r="L41"/>
  <c r="L37"/>
  <c r="L38"/>
  <c r="L39"/>
  <c r="L42"/>
  <c r="L43"/>
  <c r="L44"/>
  <c r="L45"/>
  <c r="L49"/>
  <c r="I46"/>
  <c r="M46"/>
  <c r="I47"/>
  <c r="M47"/>
  <c r="I48"/>
  <c r="M48"/>
  <c r="I40"/>
  <c r="M40"/>
  <c r="I41"/>
  <c r="M41"/>
  <c r="I37"/>
  <c r="M37"/>
  <c r="I38"/>
  <c r="M38"/>
  <c r="I39"/>
  <c r="M39"/>
  <c r="I42"/>
  <c r="M42"/>
  <c r="I43"/>
  <c r="M43"/>
  <c r="I44"/>
  <c r="M44"/>
  <c r="I45"/>
  <c r="M45"/>
  <c r="M49"/>
  <c r="I49"/>
  <c r="C46"/>
  <c r="C47"/>
  <c r="C48"/>
  <c r="C49"/>
  <c r="D46"/>
  <c r="D47"/>
  <c r="D48"/>
  <c r="D49"/>
  <c r="E46"/>
  <c r="E47"/>
  <c r="E48"/>
  <c r="E49"/>
  <c r="F46"/>
  <c r="F47"/>
  <c r="F48"/>
  <c r="F49"/>
  <c r="B46"/>
  <c r="G46"/>
  <c r="B47"/>
  <c r="G47"/>
  <c r="B48"/>
  <c r="G48"/>
  <c r="G49"/>
  <c r="B49"/>
  <c r="H49"/>
  <c r="K30"/>
  <c r="K31"/>
  <c r="K32"/>
  <c r="K24"/>
  <c r="K25"/>
  <c r="K21"/>
  <c r="K22"/>
  <c r="K23"/>
  <c r="K26"/>
  <c r="K27"/>
  <c r="K28"/>
  <c r="K29"/>
  <c r="K33"/>
  <c r="L30"/>
  <c r="L31"/>
  <c r="L32"/>
  <c r="L24"/>
  <c r="L25"/>
  <c r="L21"/>
  <c r="L22"/>
  <c r="L23"/>
  <c r="L26"/>
  <c r="L27"/>
  <c r="L28"/>
  <c r="L29"/>
  <c r="L33"/>
  <c r="M30"/>
  <c r="M31"/>
  <c r="M32"/>
  <c r="M24"/>
  <c r="M25"/>
  <c r="M21"/>
  <c r="M22"/>
  <c r="M23"/>
  <c r="M26"/>
  <c r="M27"/>
  <c r="M28"/>
  <c r="M29"/>
  <c r="M33"/>
  <c r="J30"/>
  <c r="N30"/>
  <c r="J31"/>
  <c r="N31"/>
  <c r="J32"/>
  <c r="N32"/>
  <c r="J24"/>
  <c r="N24"/>
  <c r="J25"/>
  <c r="N25"/>
  <c r="N21"/>
  <c r="J22"/>
  <c r="N22"/>
  <c r="J23"/>
  <c r="N23"/>
  <c r="J26"/>
  <c r="N26"/>
  <c r="J27"/>
  <c r="N27"/>
  <c r="J28"/>
  <c r="N28"/>
  <c r="J29"/>
  <c r="N29"/>
  <c r="N33"/>
  <c r="J33"/>
  <c r="G30"/>
  <c r="G31"/>
  <c r="G32"/>
  <c r="G33"/>
  <c r="G17"/>
  <c r="F17"/>
  <c r="D68"/>
  <c r="B68"/>
  <c r="B86"/>
  <c r="D86"/>
  <c r="F67"/>
  <c r="F66"/>
  <c r="C53" i="13"/>
  <c r="B61"/>
  <c r="G7" i="11"/>
  <c r="G5"/>
  <c r="Q21" i="6"/>
  <c r="V21"/>
  <c r="F10" i="7"/>
  <c r="S21" i="6"/>
  <c r="F7" i="7"/>
  <c r="F50" i="19"/>
  <c r="E50"/>
  <c r="D50"/>
  <c r="C50"/>
  <c r="G50"/>
  <c r="C19" i="16"/>
  <c r="D19"/>
  <c r="F65" i="15"/>
  <c r="F64"/>
  <c r="F63"/>
  <c r="F62"/>
  <c r="F61"/>
  <c r="F60"/>
  <c r="F59"/>
  <c r="F58"/>
  <c r="F56"/>
  <c r="F45"/>
  <c r="E45"/>
  <c r="D45"/>
  <c r="C45"/>
  <c r="B45"/>
  <c r="F44"/>
  <c r="E44"/>
  <c r="D44"/>
  <c r="C44"/>
  <c r="B44"/>
  <c r="F43"/>
  <c r="E43"/>
  <c r="D43"/>
  <c r="C43"/>
  <c r="B43"/>
  <c r="F42"/>
  <c r="E42"/>
  <c r="D42"/>
  <c r="C42"/>
  <c r="B42"/>
  <c r="F41"/>
  <c r="E41"/>
  <c r="D41"/>
  <c r="C41"/>
  <c r="B41"/>
  <c r="F40"/>
  <c r="E40"/>
  <c r="D40"/>
  <c r="C40"/>
  <c r="B40"/>
  <c r="F39"/>
  <c r="E39"/>
  <c r="D39"/>
  <c r="C39"/>
  <c r="B39"/>
  <c r="F38"/>
  <c r="E38"/>
  <c r="D38"/>
  <c r="C38"/>
  <c r="B38"/>
  <c r="F37"/>
  <c r="E37"/>
  <c r="D37"/>
  <c r="C37"/>
  <c r="F29"/>
  <c r="E29"/>
  <c r="D29"/>
  <c r="C29"/>
  <c r="B29"/>
  <c r="F28"/>
  <c r="E28"/>
  <c r="D28"/>
  <c r="C28"/>
  <c r="F27"/>
  <c r="E27"/>
  <c r="D27"/>
  <c r="C27"/>
  <c r="B27"/>
  <c r="F26"/>
  <c r="E26"/>
  <c r="D26"/>
  <c r="C26"/>
  <c r="B26"/>
  <c r="F25"/>
  <c r="E25"/>
  <c r="D25"/>
  <c r="C25"/>
  <c r="B25"/>
  <c r="F24"/>
  <c r="E24"/>
  <c r="D24"/>
  <c r="C24"/>
  <c r="B24"/>
  <c r="F23"/>
  <c r="E23"/>
  <c r="D23"/>
  <c r="C23"/>
  <c r="B23"/>
  <c r="F22"/>
  <c r="E22"/>
  <c r="D22"/>
  <c r="C22"/>
  <c r="B22"/>
  <c r="F21"/>
  <c r="E21"/>
  <c r="D21"/>
  <c r="C21"/>
  <c r="B21"/>
  <c r="B21" i="6"/>
  <c r="G37" i="15"/>
  <c r="G38"/>
  <c r="G39"/>
  <c r="G40"/>
  <c r="G41"/>
  <c r="G42"/>
  <c r="F68"/>
  <c r="G43"/>
  <c r="G44"/>
  <c r="G45"/>
  <c r="G21"/>
  <c r="G22"/>
  <c r="G23"/>
  <c r="G24"/>
  <c r="G25"/>
  <c r="G26"/>
  <c r="G27"/>
  <c r="G28"/>
  <c r="G29"/>
  <c r="F42" i="16"/>
  <c r="F44"/>
  <c r="F46"/>
  <c r="F48"/>
  <c r="F50"/>
  <c r="E19"/>
  <c r="F49"/>
  <c r="F47"/>
  <c r="F45"/>
  <c r="F43"/>
  <c r="F41"/>
  <c r="D54" i="2"/>
  <c r="G15" i="7"/>
  <c r="C55" i="13"/>
  <c r="D61"/>
  <c r="C56"/>
  <c r="C57"/>
  <c r="C58"/>
  <c r="C54"/>
  <c r="G20" i="10"/>
  <c r="H20"/>
  <c r="I20"/>
  <c r="J20"/>
  <c r="K20"/>
  <c r="L20"/>
  <c r="D21" i="6"/>
  <c r="G21"/>
  <c r="I21"/>
  <c r="K21"/>
  <c r="L21"/>
  <c r="N21"/>
  <c r="X21"/>
  <c r="Y21"/>
  <c r="E61" i="13"/>
  <c r="C61"/>
  <c r="F61"/>
  <c r="E13" i="7"/>
  <c r="D13"/>
  <c r="C13"/>
  <c r="G13"/>
  <c r="C10"/>
  <c r="D4"/>
  <c r="E4"/>
  <c r="C4"/>
  <c r="G4"/>
  <c r="C7"/>
  <c r="G14"/>
  <c r="D7"/>
  <c r="D10"/>
  <c r="E7"/>
  <c r="E10"/>
  <c r="G7"/>
  <c r="G10"/>
  <c r="G16"/>
</calcChain>
</file>

<file path=xl/sharedStrings.xml><?xml version="1.0" encoding="utf-8"?>
<sst xmlns="http://schemas.openxmlformats.org/spreadsheetml/2006/main" count="729" uniqueCount="230">
  <si>
    <t>Adjusted Historic East Pool Total</t>
  </si>
  <si>
    <t>APCo</t>
  </si>
  <si>
    <t>KPCo</t>
  </si>
  <si>
    <t>MLR Share of OSS Margins ($)</t>
  </si>
  <si>
    <t>MWh</t>
  </si>
  <si>
    <t>$</t>
  </si>
  <si>
    <t>APCO</t>
  </si>
  <si>
    <t>Primary Delivered</t>
  </si>
  <si>
    <t>Primary Received</t>
  </si>
  <si>
    <t>KPCO</t>
  </si>
  <si>
    <t xml:space="preserve">Primary Delivered </t>
  </si>
  <si>
    <t>I&amp;M</t>
  </si>
  <si>
    <t>MWH</t>
  </si>
  <si>
    <t>CSP</t>
  </si>
  <si>
    <t>OPCO</t>
  </si>
  <si>
    <t>Created from IPS Page3 - Credit (Charge) $</t>
  </si>
  <si>
    <t>Created from IPS Page3 - Surplus (Deficit) Capacity (kW)</t>
  </si>
  <si>
    <t>kW</t>
  </si>
  <si>
    <t>EAST</t>
  </si>
  <si>
    <t>I &amp; M</t>
  </si>
  <si>
    <t>CSPO</t>
  </si>
  <si>
    <t>OPCo</t>
  </si>
  <si>
    <t xml:space="preserve">Pool Capacity MW Provided / (Received) </t>
  </si>
  <si>
    <t>Total</t>
  </si>
  <si>
    <t>Pool Energy MWh Received</t>
  </si>
  <si>
    <t>Pool Energy MWh Delivered</t>
  </si>
  <si>
    <t>A/C 447</t>
  </si>
  <si>
    <t xml:space="preserve">  I.  AEP EXTERNAL ENERGY  *</t>
  </si>
  <si>
    <t>(AS SUPPLIED)</t>
  </si>
  <si>
    <t>AEP</t>
  </si>
  <si>
    <t>mar</t>
  </si>
  <si>
    <t>june</t>
  </si>
  <si>
    <t>july</t>
  </si>
  <si>
    <t>aug</t>
  </si>
  <si>
    <t>oct</t>
  </si>
  <si>
    <t>Jan' 2011</t>
  </si>
  <si>
    <t>feb</t>
  </si>
  <si>
    <t>sept' 2011</t>
  </si>
  <si>
    <t>apr</t>
  </si>
  <si>
    <t>May</t>
  </si>
  <si>
    <t>Sept</t>
  </si>
  <si>
    <t>total</t>
  </si>
  <si>
    <t>OSS MWh Delivered</t>
  </si>
  <si>
    <t>Pool Energy Charge ($)</t>
  </si>
  <si>
    <t xml:space="preserve">Capacity Equalization ($) Payment / (Charge)  </t>
  </si>
  <si>
    <t>III.</t>
  </si>
  <si>
    <t>II.</t>
  </si>
  <si>
    <t>I.</t>
  </si>
  <si>
    <t>IV.</t>
  </si>
  <si>
    <t>V.</t>
  </si>
  <si>
    <t>VI.</t>
  </si>
  <si>
    <t>Source: Page 4 IPS</t>
  </si>
  <si>
    <t>Source: Page 3 IPS</t>
  </si>
  <si>
    <t>**************************************************************************************************</t>
  </si>
  <si>
    <t>Oct' 2011</t>
  </si>
  <si>
    <t>PPRS:</t>
  </si>
  <si>
    <t xml:space="preserve">APCO </t>
  </si>
  <si>
    <t>IM</t>
  </si>
  <si>
    <t>3rd party MWh</t>
  </si>
  <si>
    <t>OVEC  LSE MWh</t>
  </si>
  <si>
    <t>OSS Purchase cost</t>
  </si>
  <si>
    <t>3rd Party Purchases Assigned to Internal Load</t>
  </si>
  <si>
    <t>AP</t>
  </si>
  <si>
    <t>OH</t>
  </si>
  <si>
    <t>OVEC Demand Charge $ assigned to LSE</t>
  </si>
  <si>
    <t>D charge to LSE</t>
  </si>
  <si>
    <t>Third Party Purchase Charge ($)</t>
  </si>
  <si>
    <t>Energy</t>
  </si>
  <si>
    <t>Fuel</t>
  </si>
  <si>
    <t>OVEC Purchase Assigned to Internal Load - Per PSUM</t>
  </si>
  <si>
    <t>Total OVEC Demand Charge:</t>
  </si>
  <si>
    <t>Total AEP OVEC Demand</t>
  </si>
  <si>
    <t>OVEC Demand Charge Information</t>
  </si>
  <si>
    <t xml:space="preserve">Cost of OSS  ($) </t>
  </si>
  <si>
    <t>Total OSS Revenues ($)</t>
  </si>
  <si>
    <t>Financial OSS Margin</t>
  </si>
  <si>
    <t>Phys 3rd Party LSE Purchases</t>
  </si>
  <si>
    <t>Ohio</t>
  </si>
  <si>
    <t>Purchase Summary Information</t>
  </si>
  <si>
    <t>Historic MLRs</t>
  </si>
  <si>
    <t>3rd party Assigned Internal</t>
  </si>
  <si>
    <t>Total OSS energy cost 3rd party &amp; OVEC</t>
  </si>
  <si>
    <t>Total 3rd Party less OVEC</t>
  </si>
  <si>
    <t xml:space="preserve">             OHIO POWER COMPANY SALES TO WHEELING POWER COMPANY</t>
  </si>
  <si>
    <t>On Peak Demand KW</t>
  </si>
  <si>
    <t>Off Peak Demand KW</t>
  </si>
  <si>
    <t>Demand Charge - Generation</t>
  </si>
  <si>
    <t>Demand Charge - Transmission</t>
  </si>
  <si>
    <t>Demand Charge - Distribution</t>
  </si>
  <si>
    <t>Demand Charge - Total</t>
  </si>
  <si>
    <t>Energy Charge - Generation</t>
  </si>
  <si>
    <t>Energy Charge - Transmission</t>
  </si>
  <si>
    <t>Energy Charge - Distribution</t>
  </si>
  <si>
    <t xml:space="preserve">Adjustment for an additional 7hrs. of 10,000kW back-up reservation used and 70,000kW less maintenance energy in April </t>
  </si>
  <si>
    <t>Energy Charge - Total</t>
  </si>
  <si>
    <t>Total Demand &amp; Energy Charge</t>
  </si>
  <si>
    <t>PJM Open Access Transmission Charges</t>
  </si>
  <si>
    <t>Fuel Charges</t>
  </si>
  <si>
    <t>Total Bill</t>
  </si>
  <si>
    <t>VII.</t>
  </si>
  <si>
    <t>VIII.</t>
  </si>
  <si>
    <t>Trading and Optimization Adjustment</t>
  </si>
  <si>
    <t>AVG LMP</t>
  </si>
  <si>
    <t>Cost of 3P purchases</t>
  </si>
  <si>
    <t>MWh of 3P purchases</t>
  </si>
  <si>
    <t>Phys 3rd Party LSE Purchases Adjustment</t>
  </si>
  <si>
    <t>Financial OSS Margins</t>
  </si>
  <si>
    <t>MLR'd Portion of Buckeye OSS</t>
  </si>
  <si>
    <t>Total Adjustment</t>
  </si>
  <si>
    <t xml:space="preserve">PJM Bill ($) Credits / (Charges) </t>
  </si>
  <si>
    <t>IX.</t>
  </si>
  <si>
    <t>Originally Booked (Historic Actuals) MLR</t>
  </si>
  <si>
    <t>KP</t>
  </si>
  <si>
    <t>OP</t>
  </si>
  <si>
    <t>CS</t>
  </si>
  <si>
    <t>Grand Total</t>
  </si>
  <si>
    <t>July Invoice adj</t>
  </si>
  <si>
    <t>Admin Fees GL</t>
  </si>
  <si>
    <t>Total SCG Non-Oss</t>
  </si>
  <si>
    <t>Total Non-scg non -oss</t>
  </si>
  <si>
    <t>Total PJM  non-oss as settled</t>
  </si>
  <si>
    <t>Source:</t>
  </si>
  <si>
    <t>Cap Equalization Tab</t>
  </si>
  <si>
    <t>OSS MWh Tab</t>
  </si>
  <si>
    <t>OSS Margins Tab</t>
  </si>
  <si>
    <t>PJM Bill Detail Tab</t>
  </si>
  <si>
    <t>Wheeling Power Bill Tab</t>
  </si>
  <si>
    <t>Trading &amp;  Optimization Detail Tab</t>
  </si>
  <si>
    <t>Source: GenCo by BU monthly management report produced by Comodity Accounting, produced from GL</t>
  </si>
  <si>
    <t>Primary Energy Tab</t>
  </si>
  <si>
    <t>OVEC Assigned to OSS $</t>
  </si>
  <si>
    <t>OVEC Purchase MWh assigned to oss</t>
  </si>
  <si>
    <t>Purchases Assigned OSS MWh</t>
  </si>
  <si>
    <t>Source: Monthly PSUM Reports</t>
  </si>
  <si>
    <t xml:space="preserve">                 -  </t>
  </si>
  <si>
    <t xml:space="preserve">                  -  </t>
  </si>
  <si>
    <t xml:space="preserve">                    -  </t>
  </si>
  <si>
    <t xml:space="preserve"> $                       -  </t>
  </si>
  <si>
    <t>Cal 11</t>
  </si>
  <si>
    <t>trading Cal 11</t>
  </si>
  <si>
    <t>Jan'11</t>
  </si>
  <si>
    <t>nov</t>
  </si>
  <si>
    <t>dec</t>
  </si>
  <si>
    <t>march</t>
  </si>
  <si>
    <t>april</t>
  </si>
  <si>
    <t>may</t>
  </si>
  <si>
    <t>Nov' 2011</t>
  </si>
  <si>
    <t>Dec' 2011</t>
  </si>
  <si>
    <t>Totals</t>
  </si>
  <si>
    <t xml:space="preserve">                        -  </t>
  </si>
  <si>
    <t xml:space="preserve">                      -  </t>
  </si>
  <si>
    <t xml:space="preserve">                   -  </t>
  </si>
  <si>
    <t>Source: Monthly WPCO Invoices</t>
  </si>
  <si>
    <t>Adjusted Total</t>
  </si>
  <si>
    <t>Current AEP East Pool Revenues and Expenses - Calendar 2011</t>
  </si>
  <si>
    <t>This adjustment is for 3rd party purchases that were MLR'd and assigned to internal load in the base case. These transactions were not captured in the other cases and the MWh were replaced with spot market energy from PJM.  This adjustment if for the cost basis difference of the 1.1M Mwh between the cases.</t>
  </si>
  <si>
    <t>January</t>
  </si>
  <si>
    <t>February</t>
  </si>
  <si>
    <t>March</t>
  </si>
  <si>
    <t>April</t>
  </si>
  <si>
    <t>June</t>
  </si>
  <si>
    <t>July</t>
  </si>
  <si>
    <t>August</t>
  </si>
  <si>
    <t>September</t>
  </si>
  <si>
    <t>October</t>
  </si>
  <si>
    <t>November</t>
  </si>
  <si>
    <t>December</t>
  </si>
  <si>
    <t>TOTALS</t>
  </si>
  <si>
    <t>Cal 11 Including Trading</t>
  </si>
  <si>
    <t>Adjusted OSS Revenues (Excl Trading) for Comparison</t>
  </si>
  <si>
    <t>Less: T&amp;D Costs</t>
  </si>
  <si>
    <t>PSUM Tab</t>
  </si>
  <si>
    <t>OVEC D Charge tab</t>
  </si>
  <si>
    <t>2011 PJM Bill Assigned to Internal Load</t>
  </si>
  <si>
    <t>Account</t>
  </si>
  <si>
    <t>2011 Pool Primary Energy</t>
  </si>
  <si>
    <t>2011 Pool Capacity Equalization Summary</t>
  </si>
  <si>
    <t>Total 2011 EAST OSS Margins</t>
  </si>
  <si>
    <t>2011 OSS MWh Detail</t>
  </si>
  <si>
    <t>2011 Cost of OSS Detail</t>
  </si>
  <si>
    <t xml:space="preserve">    2011 SUMMARY OF CHARGES</t>
  </si>
  <si>
    <t>Total Energy Delivered KWh</t>
  </si>
  <si>
    <t>Metering Adjustment</t>
  </si>
  <si>
    <t>Wheeling Power Bill - Generation Only</t>
  </si>
  <si>
    <t>Total Generation portion of the bill</t>
  </si>
  <si>
    <t>Pool Energy Sales ($)</t>
  </si>
  <si>
    <t>Source: Cal 2011 PJM Bill Re-Settled Stand Alone.xlsx - Has both 2011 current pool as settled and re-settled stand alone</t>
  </si>
  <si>
    <t>Source - OVEC Invoices and Purchase Summary Reports</t>
  </si>
  <si>
    <t>Source: OVEC Monthly Invoices and Purchase Summary Reports</t>
  </si>
  <si>
    <t>Source - O VEC Invoices</t>
  </si>
  <si>
    <t>OVEC Demand Charge Assigned to Internal Load</t>
  </si>
  <si>
    <t>OVEC Fuel (Excl Demand Charge)</t>
  </si>
  <si>
    <t>OVEC Purchased Fuel Assigned to Internal Load</t>
  </si>
  <si>
    <t>Excluding Trading</t>
  </si>
  <si>
    <t>source files - Cal 2011 OSS Margin Backup.xls and OSS Margin East Detail 2011.xlsx</t>
  </si>
  <si>
    <t>External Energy Credit A/C 447</t>
  </si>
  <si>
    <t>External Energy Charge A/C 555</t>
  </si>
  <si>
    <t>Credit Member System Sales Revenue</t>
  </si>
  <si>
    <t>Generation Supplied to Poll for System Sales - Adjusted Cost</t>
  </si>
  <si>
    <t>AEG &amp; OVEC Purchases for System Sales - Adjusted Cost</t>
  </si>
  <si>
    <t>OSS Reimbursement From Other Pool Members</t>
  </si>
  <si>
    <t>Adjustment to Prevent Recognition of Sales by Pool Members to Themselves</t>
  </si>
  <si>
    <t>Purchase Power for OSS</t>
  </si>
  <si>
    <t>pg 4</t>
  </si>
  <si>
    <t>pg 6</t>
  </si>
  <si>
    <t>pg 7</t>
  </si>
  <si>
    <t>p.4,7</t>
  </si>
  <si>
    <t>Revenue</t>
  </si>
  <si>
    <t>OSS Reimbursement - Revenue</t>
  </si>
  <si>
    <t>OSS Cost Reimbursement</t>
  </si>
  <si>
    <t>Pool OSS Reimbursement</t>
  </si>
  <si>
    <t>p.4</t>
  </si>
  <si>
    <t>Own Gen</t>
  </si>
  <si>
    <t>p.7</t>
  </si>
  <si>
    <t>MLR Revenues</t>
  </si>
  <si>
    <t>p.6</t>
  </si>
  <si>
    <t>OVEC</t>
  </si>
  <si>
    <t>Expenses</t>
  </si>
  <si>
    <t>Pool OSS Payment</t>
  </si>
  <si>
    <t>MLR of non-affiliate purchase for OSS</t>
  </si>
  <si>
    <t>Net Impact</t>
  </si>
  <si>
    <t>Avoided Expense of OSS</t>
  </si>
  <si>
    <t>Check</t>
  </si>
  <si>
    <t>Total 2011</t>
  </si>
  <si>
    <t>Total OSS Cost</t>
  </si>
  <si>
    <t>Generation Supplied to Poll for System Sales</t>
  </si>
  <si>
    <t>AEG &amp; OVEC Purchases for System Sales</t>
  </si>
  <si>
    <t>AEP Total</t>
  </si>
  <si>
    <t>OSS Reimbursement Tab</t>
  </si>
  <si>
    <t>OSS Reimbursement</t>
  </si>
</sst>
</file>

<file path=xl/styles.xml><?xml version="1.0" encoding="utf-8"?>
<styleSheet xmlns="http://schemas.openxmlformats.org/spreadsheetml/2006/main">
  <numFmts count="32">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0"/>
    <numFmt numFmtId="167" formatCode="General_)"/>
    <numFmt numFmtId="168" formatCode="[$-409]mmm\-yy;@"/>
    <numFmt numFmtId="169" formatCode="_(&quot;$&quot;* #,##0.0_);_(&quot;$&quot;* \(#,##0.0\);_(&quot;$&quot;* &quot;-&quot;??_);_(@_)"/>
    <numFmt numFmtId="170" formatCode="#,##0.0000_);\(#,##0.0000\)"/>
    <numFmt numFmtId="171" formatCode="#,##0.0_);\(#,##0.0\)"/>
    <numFmt numFmtId="172" formatCode="m/d/yy\ h:mm;@"/>
    <numFmt numFmtId="173" formatCode="_([$€-2]* #,##0.00_);_([$€-2]* \(#,##0.00\);_([$€-2]* &quot;-&quot;??_)"/>
    <numFmt numFmtId="175" formatCode="0.0000_)"/>
    <numFmt numFmtId="176" formatCode="&quot;$&quot;#,##0.0_);[Red]\(&quot;$&quot;#,##0.0\)"/>
    <numFmt numFmtId="177" formatCode="&quot;$&quot;#,##0\ ;\(&quot;$&quot;#,##0\)"/>
    <numFmt numFmtId="178" formatCode="mmm\-d\-yyyy"/>
    <numFmt numFmtId="179" formatCode="#,##0.0_);[Red]\(#,##0.0\)"/>
    <numFmt numFmtId="180" formatCode="mmm\-yyyy"/>
    <numFmt numFmtId="181" formatCode="m/d"/>
    <numFmt numFmtId="182" formatCode="###0_);\(###0\)"/>
    <numFmt numFmtId="183" formatCode="#,##0.0_);[Red]\(#,##0.0\);&quot;N/A &quot;"/>
    <numFmt numFmtId="184" formatCode="#,##0.000_);[Red]\(#,##0.000\)"/>
    <numFmt numFmtId="185" formatCode="#,##0.0_)\ \ ;[Red]\(#,##0.0\)\ \ "/>
    <numFmt numFmtId="186" formatCode="0.0%&quot;NetPPE/sales&quot;"/>
    <numFmt numFmtId="187" formatCode="0.0%&quot;NWI/Sls&quot;"/>
    <numFmt numFmtId="188" formatCode="0%;[Red]\(0%\)"/>
    <numFmt numFmtId="189" formatCode="0.0%;[Red]\(0.0%\)"/>
    <numFmt numFmtId="190" formatCode="0.00%;[Red]\(0.00%\)"/>
    <numFmt numFmtId="191" formatCode="0.0%&quot;Sales&quot;"/>
    <numFmt numFmtId="192" formatCode="&quot;TFCF: &quot;#,##0_);[Red]&quot;No! &quot;\(#,##0\)"/>
  </numFmts>
  <fonts count="94">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0"/>
      <name val="Courier"/>
      <family val="3"/>
    </font>
    <font>
      <sz val="10"/>
      <name val="Helv"/>
    </font>
    <font>
      <sz val="10"/>
      <name val="MS Sans Serif"/>
      <family val="2"/>
    </font>
    <font>
      <b/>
      <sz val="10"/>
      <name val="MS Sans Serif"/>
      <family val="2"/>
    </font>
    <font>
      <b/>
      <sz val="10"/>
      <name val="Arial"/>
      <family val="2"/>
    </font>
    <font>
      <sz val="12"/>
      <name val="Helv"/>
    </font>
    <font>
      <b/>
      <sz val="12"/>
      <color indexed="9"/>
      <name val="Arial"/>
      <family val="2"/>
    </font>
    <font>
      <b/>
      <i/>
      <sz val="10"/>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S Sans Serif"/>
      <family val="2"/>
    </font>
    <font>
      <u/>
      <sz val="10"/>
      <color indexed="12"/>
      <name val="Arial"/>
      <family val="2"/>
    </font>
    <font>
      <b/>
      <sz val="10"/>
      <name val="MS Sans Serif"/>
      <family val="2"/>
    </font>
    <font>
      <sz val="10"/>
      <name val="Courier"/>
      <family val="3"/>
    </font>
    <font>
      <b/>
      <sz val="11"/>
      <color indexed="8"/>
      <name val="Calibri"/>
      <family val="2"/>
    </font>
    <font>
      <sz val="10"/>
      <color indexed="8"/>
      <name val="Arial"/>
      <family val="2"/>
    </font>
    <font>
      <b/>
      <sz val="11"/>
      <color indexed="18"/>
      <name val="Calibri"/>
      <family val="2"/>
    </font>
    <font>
      <b/>
      <sz val="12"/>
      <color indexed="18"/>
      <name val="Calibri"/>
      <family val="2"/>
    </font>
    <font>
      <sz val="10"/>
      <name val="Comic Sans MS"/>
      <family val="4"/>
    </font>
    <font>
      <b/>
      <sz val="10"/>
      <color indexed="18"/>
      <name val="Comic Sans MS"/>
      <family val="4"/>
    </font>
    <font>
      <b/>
      <sz val="11"/>
      <color indexed="18"/>
      <name val="Calibri"/>
      <family val="2"/>
    </font>
    <font>
      <sz val="11"/>
      <color indexed="8"/>
      <name val="Arial"/>
      <family val="2"/>
    </font>
    <font>
      <b/>
      <sz val="11"/>
      <color indexed="8"/>
      <name val="Arial"/>
      <family val="2"/>
    </font>
    <font>
      <b/>
      <u/>
      <sz val="11"/>
      <color indexed="8"/>
      <name val="Calibri"/>
      <family val="2"/>
    </font>
    <font>
      <sz val="11"/>
      <color indexed="8"/>
      <name val="Times New Roman"/>
      <family val="2"/>
    </font>
    <font>
      <sz val="12"/>
      <name val="Arial"/>
      <family val="2"/>
    </font>
    <font>
      <sz val="11"/>
      <color indexed="9"/>
      <name val="Times New Roman"/>
      <family val="2"/>
    </font>
    <font>
      <sz val="11"/>
      <color indexed="20"/>
      <name val="Times New Roman"/>
      <family val="2"/>
    </font>
    <font>
      <b/>
      <sz val="11"/>
      <color indexed="52"/>
      <name val="Times New Roman"/>
      <family val="2"/>
    </font>
    <font>
      <b/>
      <sz val="11"/>
      <color indexed="9"/>
      <name val="Times New Roman"/>
      <family val="2"/>
    </font>
    <font>
      <b/>
      <sz val="12"/>
      <name val="Arial"/>
      <family val="2"/>
    </font>
    <font>
      <b/>
      <u/>
      <sz val="12"/>
      <name val="Arial"/>
      <family val="2"/>
    </font>
    <font>
      <sz val="8"/>
      <name val="Arial"/>
      <family val="2"/>
    </font>
    <font>
      <i/>
      <sz val="11"/>
      <color indexed="23"/>
      <name val="Times New Roman"/>
      <family val="2"/>
    </font>
    <font>
      <sz val="11"/>
      <color indexed="17"/>
      <name val="Times New Roman"/>
      <family val="2"/>
    </font>
    <font>
      <b/>
      <sz val="15"/>
      <color indexed="56"/>
      <name val="Times New Roman"/>
      <family val="2"/>
    </font>
    <font>
      <b/>
      <sz val="13"/>
      <color indexed="56"/>
      <name val="Times New Roman"/>
      <family val="2"/>
    </font>
    <font>
      <b/>
      <sz val="11"/>
      <color indexed="56"/>
      <name val="Times New Roman"/>
      <family val="2"/>
    </font>
    <font>
      <b/>
      <sz val="14"/>
      <name val="Arial"/>
      <family val="2"/>
    </font>
    <font>
      <b/>
      <sz val="12"/>
      <color indexed="10"/>
      <name val="Arial"/>
      <family val="2"/>
    </font>
    <font>
      <sz val="11"/>
      <color indexed="62"/>
      <name val="Times New Roman"/>
      <family val="2"/>
    </font>
    <font>
      <sz val="11"/>
      <color indexed="52"/>
      <name val="Times New Roman"/>
      <family val="2"/>
    </font>
    <font>
      <sz val="11"/>
      <color indexed="60"/>
      <name val="Times New Roman"/>
      <family val="2"/>
    </font>
    <font>
      <sz val="10"/>
      <name val="Trebuchet MS"/>
      <family val="2"/>
    </font>
    <font>
      <b/>
      <sz val="11"/>
      <color indexed="63"/>
      <name val="Times New Roman"/>
      <family val="2"/>
    </font>
    <font>
      <b/>
      <sz val="11"/>
      <color indexed="8"/>
      <name val="Times New Roman"/>
      <family val="2"/>
    </font>
    <font>
      <sz val="11"/>
      <color indexed="10"/>
      <name val="Times New Roman"/>
      <family val="2"/>
    </font>
    <font>
      <sz val="8"/>
      <name val="Calibri"/>
      <family val="2"/>
    </font>
    <font>
      <sz val="10"/>
      <name val="Arial"/>
    </font>
    <font>
      <sz val="10"/>
      <color indexed="8"/>
      <name val="ARIAL"/>
      <charset val="1"/>
    </font>
    <font>
      <b/>
      <sz val="12"/>
      <color indexed="8"/>
      <name val="Arial"/>
      <family val="2"/>
    </font>
    <font>
      <b/>
      <sz val="14"/>
      <color indexed="8"/>
      <name val="Calibri"/>
      <family val="2"/>
    </font>
    <font>
      <sz val="8"/>
      <color indexed="10"/>
      <name val="Arial"/>
      <family val="2"/>
    </font>
    <font>
      <sz val="9"/>
      <name val="Arial"/>
      <family val="2"/>
    </font>
    <font>
      <sz val="9"/>
      <name val="Helv"/>
    </font>
    <font>
      <sz val="12"/>
      <name val="Arial MT"/>
    </font>
    <font>
      <b/>
      <sz val="11"/>
      <color indexed="12"/>
      <name val="Arial"/>
      <family val="2"/>
    </font>
    <font>
      <b/>
      <sz val="8"/>
      <name val="Arial"/>
      <family val="2"/>
    </font>
    <font>
      <sz val="8"/>
      <color indexed="12"/>
      <name val="Arial"/>
      <family val="2"/>
    </font>
    <font>
      <b/>
      <sz val="11"/>
      <name val="Optimum"/>
    </font>
    <font>
      <b/>
      <sz val="12"/>
      <name val="MS Sans Serif"/>
      <family val="2"/>
    </font>
    <font>
      <b/>
      <sz val="9"/>
      <color indexed="12"/>
      <name val="Arial"/>
      <family val="2"/>
    </font>
    <font>
      <u val="double"/>
      <sz val="10"/>
      <name val="Arial"/>
      <family val="2"/>
    </font>
    <font>
      <sz val="7"/>
      <name val="Arial"/>
      <family val="2"/>
    </font>
    <font>
      <sz val="11"/>
      <name val="돋움"/>
      <family val="3"/>
      <charset val="129"/>
    </font>
    <font>
      <sz val="11"/>
      <name val="ＭＳ 明朝"/>
      <family val="1"/>
      <charset val="128"/>
    </font>
    <font>
      <sz val="8"/>
      <name val="Arial"/>
    </font>
    <font>
      <b/>
      <u/>
      <sz val="10"/>
      <name val="Arial"/>
      <family val="2"/>
    </font>
    <font>
      <u/>
      <sz val="10"/>
      <name val="Arial"/>
    </font>
    <font>
      <b/>
      <sz val="18"/>
      <name val="Arial"/>
      <family val="2"/>
    </font>
    <font>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bgColor indexed="64"/>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8"/>
        <bgColor indexed="64"/>
      </patternFill>
    </fill>
    <fill>
      <patternFill patternType="solid">
        <fgColor indexed="13"/>
        <bgColor indexed="64"/>
      </patternFill>
    </fill>
    <fill>
      <patternFill patternType="darkDown">
        <bgColor indexed="9"/>
      </patternFill>
    </fill>
    <fill>
      <patternFill patternType="solid">
        <fgColor indexed="51"/>
        <bgColor indexed="64"/>
      </patternFill>
    </fill>
    <fill>
      <patternFill patternType="solid">
        <fgColor indexed="53"/>
        <bgColor indexed="64"/>
      </patternFill>
    </fill>
  </fills>
  <borders count="45">
    <border>
      <left/>
      <right/>
      <top/>
      <bottom/>
      <diagonal/>
    </border>
    <border>
      <left/>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style="medium">
        <color indexed="9"/>
      </right>
      <top style="medium">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81">
    <xf numFmtId="0" fontId="0" fillId="0" borderId="0"/>
    <xf numFmtId="0" fontId="5" fillId="0" borderId="0"/>
    <xf numFmtId="166" fontId="71" fillId="0" borderId="0">
      <alignment horizontal="left" wrapText="1"/>
    </xf>
    <xf numFmtId="0" fontId="14"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166" fontId="5" fillId="0" borderId="0">
      <alignment horizontal="left" wrapText="1"/>
    </xf>
    <xf numFmtId="38" fontId="8" fillId="0" borderId="0" applyFont="0" applyFill="0" applyBorder="0" applyAlignment="0" applyProtection="0"/>
    <xf numFmtId="0" fontId="14"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38"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38"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38"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72" fillId="0" borderId="0">
      <alignment vertical="top"/>
    </xf>
    <xf numFmtId="0" fontId="72" fillId="0" borderId="0">
      <alignment vertical="top"/>
    </xf>
    <xf numFmtId="0" fontId="72" fillId="0" borderId="0">
      <alignment vertical="top"/>
    </xf>
    <xf numFmtId="0" fontId="72" fillId="0" borderId="0">
      <alignment vertical="top"/>
    </xf>
    <xf numFmtId="0" fontId="14" fillId="0" borderId="0">
      <alignment vertical="top"/>
    </xf>
    <xf numFmtId="0" fontId="14" fillId="0" borderId="0">
      <alignment vertical="top"/>
    </xf>
    <xf numFmtId="0" fontId="38"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38" fillId="0" borderId="0">
      <alignment vertical="top"/>
    </xf>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5" fillId="0" borderId="0"/>
    <xf numFmtId="0" fontId="5" fillId="0" borderId="0"/>
    <xf numFmtId="0" fontId="5" fillId="0" borderId="0"/>
    <xf numFmtId="0" fontId="14" fillId="0" borderId="0">
      <alignment vertical="top"/>
    </xf>
    <xf numFmtId="0" fontId="14" fillId="0" borderId="0">
      <alignment vertical="top"/>
    </xf>
    <xf numFmtId="166" fontId="5" fillId="0" borderId="0">
      <alignment horizontal="left" wrapText="1"/>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0" fontId="5" fillId="0" borderId="0"/>
    <xf numFmtId="0" fontId="5" fillId="0" borderId="0"/>
    <xf numFmtId="166" fontId="5" fillId="0" borderId="0">
      <alignment horizontal="left" wrapText="1"/>
    </xf>
    <xf numFmtId="0" fontId="5" fillId="0" borderId="0"/>
    <xf numFmtId="166" fontId="5" fillId="0" borderId="0">
      <alignment horizontal="left" wrapText="1"/>
    </xf>
    <xf numFmtId="38" fontId="8" fillId="0" borderId="0" applyFont="0" applyFill="0" applyBorder="0" applyAlignment="0" applyProtection="0"/>
    <xf numFmtId="38" fontId="8" fillId="0" borderId="0" applyFont="0" applyFill="0" applyBorder="0" applyAlignment="0" applyProtection="0"/>
    <xf numFmtId="0" fontId="5" fillId="0" borderId="0"/>
    <xf numFmtId="0" fontId="5" fillId="0" borderId="0"/>
    <xf numFmtId="0" fontId="5"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7"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7"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7"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7"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5"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7"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5"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7"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5"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7"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7"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7"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5"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5"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7"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70" fontId="48" fillId="0" borderId="1" applyFill="0" applyBorder="0" applyProtection="0"/>
    <xf numFmtId="0" fontId="16" fillId="12" borderId="0" applyNumberFormat="0" applyBorder="0" applyAlignment="0" applyProtection="0"/>
    <xf numFmtId="0" fontId="49" fillId="12" borderId="0" applyNumberFormat="0" applyBorder="0" applyAlignment="0" applyProtection="0"/>
    <xf numFmtId="0" fontId="16" fillId="9" borderId="0" applyNumberFormat="0" applyBorder="0" applyAlignment="0" applyProtection="0"/>
    <xf numFmtId="0" fontId="49" fillId="9" borderId="0" applyNumberFormat="0" applyBorder="0" applyAlignment="0" applyProtection="0"/>
    <xf numFmtId="0" fontId="16" fillId="10" borderId="0" applyNumberFormat="0" applyBorder="0" applyAlignment="0" applyProtection="0"/>
    <xf numFmtId="0" fontId="49" fillId="10" borderId="0" applyNumberFormat="0" applyBorder="0" applyAlignment="0" applyProtection="0"/>
    <xf numFmtId="0" fontId="16" fillId="13" borderId="0" applyNumberFormat="0" applyBorder="0" applyAlignment="0" applyProtection="0"/>
    <xf numFmtId="0" fontId="49" fillId="13" borderId="0" applyNumberFormat="0" applyBorder="0" applyAlignment="0" applyProtection="0"/>
    <xf numFmtId="0" fontId="16" fillId="14" borderId="0" applyNumberFormat="0" applyBorder="0" applyAlignment="0" applyProtection="0"/>
    <xf numFmtId="0" fontId="49" fillId="14" borderId="0" applyNumberFormat="0" applyBorder="0" applyAlignment="0" applyProtection="0"/>
    <xf numFmtId="0" fontId="16" fillId="15" borderId="0" applyNumberFormat="0" applyBorder="0" applyAlignment="0" applyProtection="0"/>
    <xf numFmtId="0" fontId="49" fillId="15" borderId="0" applyNumberFormat="0" applyBorder="0" applyAlignment="0" applyProtection="0"/>
    <xf numFmtId="0" fontId="16" fillId="16" borderId="0" applyNumberFormat="0" applyBorder="0" applyAlignment="0" applyProtection="0"/>
    <xf numFmtId="0" fontId="49" fillId="16" borderId="0" applyNumberFormat="0" applyBorder="0" applyAlignment="0" applyProtection="0"/>
    <xf numFmtId="0" fontId="16" fillId="17" borderId="0" applyNumberFormat="0" applyBorder="0" applyAlignment="0" applyProtection="0"/>
    <xf numFmtId="0" fontId="49" fillId="17" borderId="0" applyNumberFormat="0" applyBorder="0" applyAlignment="0" applyProtection="0"/>
    <xf numFmtId="0" fontId="16" fillId="18" borderId="0" applyNumberFormat="0" applyBorder="0" applyAlignment="0" applyProtection="0"/>
    <xf numFmtId="0" fontId="49" fillId="18" borderId="0" applyNumberFormat="0" applyBorder="0" applyAlignment="0" applyProtection="0"/>
    <xf numFmtId="0" fontId="16" fillId="13" borderId="0" applyNumberFormat="0" applyBorder="0" applyAlignment="0" applyProtection="0"/>
    <xf numFmtId="0" fontId="49" fillId="13" borderId="0" applyNumberFormat="0" applyBorder="0" applyAlignment="0" applyProtection="0"/>
    <xf numFmtId="0" fontId="16" fillId="14" borderId="0" applyNumberFormat="0" applyBorder="0" applyAlignment="0" applyProtection="0"/>
    <xf numFmtId="0" fontId="49" fillId="14" borderId="0" applyNumberFormat="0" applyBorder="0" applyAlignment="0" applyProtection="0"/>
    <xf numFmtId="0" fontId="16" fillId="19" borderId="0" applyNumberFormat="0" applyBorder="0" applyAlignment="0" applyProtection="0"/>
    <xf numFmtId="0" fontId="49" fillId="19" borderId="0" applyNumberFormat="0" applyBorder="0" applyAlignment="0" applyProtection="0"/>
    <xf numFmtId="171" fontId="48" fillId="0" borderId="0" applyFill="0" applyBorder="0" applyProtection="0"/>
    <xf numFmtId="171" fontId="48" fillId="20" borderId="2" applyFill="0" applyBorder="0" applyProtection="0">
      <alignment horizontal="center"/>
    </xf>
    <xf numFmtId="0" fontId="75" fillId="21" borderId="3" applyNumberFormat="0" applyFont="0" applyBorder="0" applyAlignment="0" applyProtection="0">
      <alignment horizontal="center"/>
    </xf>
    <xf numFmtId="0" fontId="17" fillId="3" borderId="0" applyNumberFormat="0" applyBorder="0" applyAlignment="0" applyProtection="0"/>
    <xf numFmtId="0" fontId="50" fillId="3" borderId="0" applyNumberFormat="0" applyBorder="0" applyAlignment="0" applyProtection="0"/>
    <xf numFmtId="37" fontId="76" fillId="0" borderId="0" applyFill="0" applyBorder="0" applyProtection="0"/>
    <xf numFmtId="0" fontId="77" fillId="0" borderId="0"/>
    <xf numFmtId="167" fontId="6" fillId="0" borderId="0" applyNumberFormat="0" applyFont="0" applyAlignment="0" applyProtection="0"/>
    <xf numFmtId="167" fontId="36" fillId="0" borderId="0" applyNumberFormat="0" applyFont="0" applyAlignment="0" applyProtection="0"/>
    <xf numFmtId="167" fontId="6" fillId="0" borderId="0" applyNumberFormat="0" applyFont="0" applyAlignment="0" applyProtection="0"/>
    <xf numFmtId="167" fontId="6" fillId="0" borderId="0" applyNumberFormat="0" applyFont="0" applyAlignment="0" applyProtection="0"/>
    <xf numFmtId="0" fontId="18" fillId="22" borderId="4" applyNumberFormat="0" applyAlignment="0" applyProtection="0"/>
    <xf numFmtId="0" fontId="51" fillId="22" borderId="4" applyNumberFormat="0" applyAlignment="0" applyProtection="0"/>
    <xf numFmtId="0" fontId="8" fillId="0" borderId="0">
      <alignment horizontal="centerContinuous"/>
    </xf>
    <xf numFmtId="0" fontId="19" fillId="23" borderId="5" applyNumberFormat="0" applyAlignment="0" applyProtection="0"/>
    <xf numFmtId="0" fontId="52" fillId="23" borderId="5" applyNumberFormat="0" applyAlignment="0" applyProtection="0"/>
    <xf numFmtId="37" fontId="53" fillId="0" borderId="6" applyNumberFormat="0" applyFill="0" applyBorder="0" applyProtection="0">
      <alignment horizontal="right"/>
    </xf>
    <xf numFmtId="37" fontId="53" fillId="20" borderId="6" applyNumberFormat="0" applyFill="0" applyBorder="0" applyProtection="0">
      <alignment horizontal="center"/>
    </xf>
    <xf numFmtId="37" fontId="54" fillId="0" borderId="0" applyNumberFormat="0" applyFill="0" applyBorder="0" applyProtection="0">
      <alignment horizontal="right"/>
    </xf>
    <xf numFmtId="37" fontId="55" fillId="0" borderId="0" applyFill="0" applyBorder="0" applyProtection="0">
      <alignment horizontal="right"/>
    </xf>
    <xf numFmtId="37" fontId="55" fillId="0" borderId="0" applyFill="0" applyBorder="0" applyProtection="0">
      <alignment horizontal="right"/>
    </xf>
    <xf numFmtId="43" fontId="4" fillId="0" borderId="0" applyFont="0" applyFill="0" applyBorder="0" applyAlignment="0" applyProtection="0"/>
    <xf numFmtId="175" fontId="78" fillId="0" borderId="0" applyFont="0" applyFill="0" applyBorder="0" applyAlignment="0" applyProtection="0">
      <alignment horizontal="righ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5" fillId="0" borderId="0" applyNumberFormat="0" applyFont="0" applyFill="0" applyBorder="0" applyAlignment="0" applyProtection="0"/>
    <xf numFmtId="43" fontId="5" fillId="0" borderId="0" applyNumberFormat="0" applyFont="0" applyFill="0" applyBorder="0" applyAlignment="0" applyProtection="0"/>
    <xf numFmtId="43"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0"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0" fontId="11" fillId="0" borderId="0"/>
    <xf numFmtId="0" fontId="79" fillId="0" borderId="0">
      <alignment horizontal="left" vertical="center" indent="1"/>
    </xf>
    <xf numFmtId="44" fontId="4" fillId="0" borderId="0" applyFont="0" applyFill="0" applyBorder="0" applyAlignment="0" applyProtection="0"/>
    <xf numFmtId="176" fontId="55" fillId="0" borderId="0" applyFont="0" applyFill="0" applyBorder="0" applyAlignment="0"/>
    <xf numFmtId="8" fontId="5" fillId="0" borderId="0" applyFont="0" applyFill="0" applyBorder="0" applyAlignment="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NumberFormat="0" applyFont="0" applyFill="0" applyBorder="0" applyAlignment="0" applyProtection="0"/>
    <xf numFmtId="44" fontId="5" fillId="0" borderId="0" applyNumberFormat="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7" fontId="5" fillId="0" borderId="0" applyFont="0" applyFill="0" applyBorder="0" applyAlignment="0" applyProtection="0"/>
    <xf numFmtId="0" fontId="12" fillId="0" borderId="0" applyNumberFormat="0" applyFill="0" applyBorder="0"/>
    <xf numFmtId="14" fontId="80" fillId="24" borderId="7" applyFill="0" applyBorder="0">
      <alignment horizontal="right"/>
    </xf>
    <xf numFmtId="178" fontId="81" fillId="25" borderId="8" applyFont="0" applyFill="0" applyBorder="0" applyAlignment="0" applyProtection="0"/>
    <xf numFmtId="179" fontId="55" fillId="25" borderId="0" applyFont="0" applyFill="0" applyBorder="0" applyAlignment="0" applyProtection="0"/>
    <xf numFmtId="180" fontId="80" fillId="0" borderId="9"/>
    <xf numFmtId="181" fontId="5" fillId="0" borderId="0" applyFont="0" applyFill="0" applyBorder="0" applyAlignment="0" applyProtection="0"/>
    <xf numFmtId="178" fontId="80" fillId="0" borderId="0" applyFill="0" applyBorder="0">
      <alignment horizontal="right"/>
    </xf>
    <xf numFmtId="172" fontId="48" fillId="0" borderId="0" applyFill="0" applyBorder="0" applyProtection="0"/>
    <xf numFmtId="0" fontId="82" fillId="0" borderId="0" applyNumberFormat="0"/>
    <xf numFmtId="0" fontId="83" fillId="0" borderId="0">
      <alignment horizontal="centerContinuous"/>
    </xf>
    <xf numFmtId="0" fontId="83" fillId="0" borderId="0" applyNumberFormat="0"/>
    <xf numFmtId="0" fontId="84" fillId="0" borderId="9" applyFont="0" applyFill="0" applyBorder="0" applyAlignment="0" applyProtection="0"/>
    <xf numFmtId="0" fontId="85" fillId="0" borderId="10">
      <alignment horizontal="centerContinuous" vertical="center"/>
    </xf>
    <xf numFmtId="173" fontId="5" fillId="0" borderId="0" applyFont="0" applyFill="0" applyBorder="0" applyAlignment="0" applyProtection="0"/>
    <xf numFmtId="173" fontId="5" fillId="0" borderId="0" applyFont="0" applyFill="0" applyBorder="0" applyAlignment="0" applyProtection="0"/>
    <xf numFmtId="0" fontId="21" fillId="0" borderId="0" applyNumberFormat="0" applyFill="0" applyBorder="0" applyAlignment="0" applyProtection="0"/>
    <xf numFmtId="0" fontId="56" fillId="0" borderId="0" applyNumberFormat="0" applyFill="0" applyBorder="0" applyAlignment="0" applyProtection="0"/>
    <xf numFmtId="38" fontId="8" fillId="0" borderId="0"/>
    <xf numFmtId="2" fontId="5" fillId="0" borderId="0" applyFill="0" applyBorder="0" applyAlignment="0" applyProtection="0"/>
    <xf numFmtId="182" fontId="5" fillId="25" borderId="0" applyFont="0" applyFill="0" applyBorder="0" applyAlignment="0"/>
    <xf numFmtId="2" fontId="5" fillId="0" borderId="0" applyFont="0" applyFill="0" applyBorder="0" applyAlignment="0" applyProtection="0"/>
    <xf numFmtId="0" fontId="11" fillId="0" borderId="0"/>
    <xf numFmtId="0" fontId="13" fillId="0" borderId="0">
      <alignment horizontal="right"/>
    </xf>
    <xf numFmtId="0" fontId="13" fillId="0" borderId="0"/>
    <xf numFmtId="0" fontId="22" fillId="4" borderId="0" applyNumberFormat="0" applyBorder="0" applyAlignment="0" applyProtection="0"/>
    <xf numFmtId="0" fontId="57" fillId="4" borderId="0" applyNumberFormat="0" applyBorder="0" applyAlignment="0" applyProtection="0"/>
    <xf numFmtId="0" fontId="23" fillId="0" borderId="11" applyNumberFormat="0" applyFill="0" applyAlignment="0" applyProtection="0"/>
    <xf numFmtId="0" fontId="58" fillId="0" borderId="11" applyNumberFormat="0" applyFill="0" applyAlignment="0" applyProtection="0"/>
    <xf numFmtId="0" fontId="24" fillId="0" borderId="12" applyNumberFormat="0" applyFill="0" applyAlignment="0" applyProtection="0"/>
    <xf numFmtId="0" fontId="59" fillId="0" borderId="12" applyNumberFormat="0" applyFill="0" applyAlignment="0" applyProtection="0"/>
    <xf numFmtId="0" fontId="25" fillId="0" borderId="13" applyNumberFormat="0" applyFill="0" applyAlignment="0" applyProtection="0"/>
    <xf numFmtId="0" fontId="60" fillId="0" borderId="13" applyNumberFormat="0" applyFill="0" applyAlignment="0" applyProtection="0"/>
    <xf numFmtId="0" fontId="25" fillId="0" borderId="0" applyNumberFormat="0" applyFill="0" applyBorder="0" applyAlignment="0" applyProtection="0"/>
    <xf numFmtId="0" fontId="60" fillId="0" borderId="0" applyNumberFormat="0" applyFill="0" applyBorder="0" applyAlignment="0" applyProtection="0"/>
    <xf numFmtId="37" fontId="61" fillId="0" borderId="0" applyNumberFormat="0" applyFill="0" applyBorder="0" applyProtection="0">
      <alignment horizontal="centerContinuous"/>
    </xf>
    <xf numFmtId="37" fontId="62" fillId="0" borderId="0">
      <alignment horizontal="centerContinuous"/>
    </xf>
    <xf numFmtId="49" fontId="10" fillId="0" borderId="0">
      <alignment vertical="top"/>
    </xf>
    <xf numFmtId="0" fontId="34" fillId="0" borderId="0" applyNumberFormat="0" applyFill="0" applyBorder="0" applyAlignment="0" applyProtection="0">
      <alignment vertical="top"/>
      <protection locked="0"/>
    </xf>
    <xf numFmtId="0" fontId="26" fillId="7" borderId="4" applyNumberFormat="0" applyAlignment="0" applyProtection="0"/>
    <xf numFmtId="0" fontId="63" fillId="7" borderId="4" applyNumberFormat="0" applyAlignment="0" applyProtection="0"/>
    <xf numFmtId="0" fontId="27" fillId="0" borderId="14" applyNumberFormat="0" applyFill="0" applyAlignment="0" applyProtection="0"/>
    <xf numFmtId="0" fontId="64" fillId="0" borderId="14" applyNumberFormat="0" applyFill="0" applyAlignment="0" applyProtection="0"/>
    <xf numFmtId="0" fontId="76" fillId="0" borderId="0" applyFont="0" applyFill="0" applyBorder="0" applyAlignment="0" applyProtection="0"/>
    <xf numFmtId="183" fontId="55" fillId="21" borderId="0" applyFont="0" applyBorder="0" applyAlignment="0" applyProtection="0">
      <alignment horizontal="right"/>
      <protection hidden="1"/>
    </xf>
    <xf numFmtId="0" fontId="28" fillId="26" borderId="0" applyNumberFormat="0" applyBorder="0" applyAlignment="0" applyProtection="0"/>
    <xf numFmtId="0" fontId="65" fillId="26" borderId="0" applyNumberFormat="0" applyBorder="0" applyAlignment="0" applyProtection="0"/>
    <xf numFmtId="0" fontId="7" fillId="0" borderId="0"/>
    <xf numFmtId="0" fontId="7" fillId="0" borderId="0"/>
    <xf numFmtId="38" fontId="55" fillId="0" borderId="0" applyFont="0" applyFill="0" applyBorder="0" applyAlignment="0"/>
    <xf numFmtId="179" fontId="5" fillId="0" borderId="0" applyFont="0" applyFill="0" applyBorder="0" applyAlignment="0"/>
    <xf numFmtId="40" fontId="55" fillId="0" borderId="0" applyFont="0" applyFill="0" applyBorder="0" applyAlignment="0"/>
    <xf numFmtId="184" fontId="55" fillId="0" borderId="0" applyFont="0" applyFill="0" applyBorder="0" applyAlignment="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20"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5" fillId="0" borderId="0" applyNumberFormat="0" applyFont="0" applyFill="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applyNumberFormat="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1" fillId="0" borderId="0"/>
    <xf numFmtId="0" fontId="5" fillId="0" borderId="0" applyNumberFormat="0" applyFon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93" fillId="0" borderId="0"/>
    <xf numFmtId="0" fontId="93" fillId="0" borderId="0"/>
    <xf numFmtId="0" fontId="1" fillId="0" borderId="0"/>
    <xf numFmtId="0" fontId="1" fillId="0" borderId="0"/>
    <xf numFmtId="0" fontId="1" fillId="0" borderId="0"/>
    <xf numFmtId="0" fontId="1" fillId="0" borderId="0"/>
    <xf numFmtId="0" fontId="93"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179" fontId="80" fillId="0" borderId="0" applyNumberFormat="0" applyFill="0" applyBorder="0" applyAlignment="0" applyProtection="0"/>
    <xf numFmtId="185" fontId="55" fillId="0" borderId="0" applyFont="0" applyFill="0" applyBorder="0" applyAlignment="0" applyProtection="0"/>
    <xf numFmtId="0" fontId="71" fillId="0" borderId="0"/>
    <xf numFmtId="0" fontId="71" fillId="0" borderId="0"/>
    <xf numFmtId="0" fontId="5" fillId="0" borderId="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20"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66"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5"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0" fontId="1" fillId="27" borderId="15" applyNumberFormat="0" applyFont="0" applyAlignment="0" applyProtection="0"/>
    <xf numFmtId="37" fontId="48" fillId="0" borderId="0" applyNumberFormat="0" applyFill="0" applyBorder="0" applyAlignment="0" applyProtection="0">
      <alignment horizontal="right" vertical="center"/>
      <protection locked="0"/>
    </xf>
    <xf numFmtId="37" fontId="5" fillId="0" borderId="16" applyNumberFormat="0" applyFill="0" applyBorder="0" applyProtection="0">
      <alignment horizontal="center"/>
    </xf>
    <xf numFmtId="37" fontId="5" fillId="0" borderId="16" applyNumberFormat="0" applyFill="0" applyBorder="0" applyProtection="0">
      <alignment horizontal="center"/>
    </xf>
    <xf numFmtId="37" fontId="5" fillId="0" borderId="16" applyNumberFormat="0" applyFill="0" applyBorder="0" applyProtection="0">
      <alignment horizontal="center"/>
    </xf>
    <xf numFmtId="186" fontId="55" fillId="0" borderId="0" applyFont="0" applyFill="0" applyBorder="0" applyAlignment="0" applyProtection="0"/>
    <xf numFmtId="167" fontId="7" fillId="0" borderId="0" applyProtection="0"/>
    <xf numFmtId="187" fontId="55" fillId="0" borderId="0" applyFont="0" applyFill="0" applyBorder="0" applyAlignment="0" applyProtection="0"/>
    <xf numFmtId="0" fontId="29" fillId="22" borderId="17" applyNumberFormat="0" applyAlignment="0" applyProtection="0"/>
    <xf numFmtId="0" fontId="67" fillId="22" borderId="17" applyNumberFormat="0" applyAlignment="0" applyProtection="0"/>
    <xf numFmtId="0" fontId="11" fillId="0" borderId="0"/>
    <xf numFmtId="188" fontId="5" fillId="0" borderId="0" applyFont="0" applyFill="0" applyBorder="0" applyAlignment="0"/>
    <xf numFmtId="189" fontId="55" fillId="0" borderId="0" applyFont="0" applyFill="0" applyBorder="0" applyAlignment="0"/>
    <xf numFmtId="190" fontId="5" fillId="0" borderId="0" applyFont="0" applyFill="0" applyBorder="0" applyAlignment="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NumberFormat="0" applyFont="0" applyFill="0" applyBorder="0" applyAlignment="0" applyProtection="0"/>
    <xf numFmtId="9" fontId="5" fillId="0" borderId="0" applyNumberFormat="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0" fontId="48" fillId="0" borderId="0" applyFill="0" applyBorder="0" applyProtection="0"/>
    <xf numFmtId="10" fontId="48" fillId="0" borderId="0" applyFont="0" applyFill="0" applyBorder="0" applyAlignment="0" applyProtection="0"/>
    <xf numFmtId="191" fontId="55" fillId="0" borderId="0" applyFont="0" applyFill="0" applyBorder="0" applyAlignment="0" applyProtection="0"/>
    <xf numFmtId="0" fontId="8" fillId="0" borderId="0" applyNumberFormat="0" applyFont="0" applyFill="0" applyBorder="0" applyAlignment="0" applyProtection="0">
      <alignment horizontal="left"/>
    </xf>
    <xf numFmtId="0" fontId="33"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0" fontId="8" fillId="0" borderId="0" applyNumberFormat="0" applyFont="0" applyFill="0" applyBorder="0" applyAlignment="0" applyProtection="0">
      <alignment horizontal="left"/>
    </xf>
    <xf numFmtId="15" fontId="8" fillId="0" borderId="0" applyFont="0" applyFill="0" applyBorder="0" applyAlignment="0" applyProtection="0"/>
    <xf numFmtId="15" fontId="8" fillId="0" borderId="0" applyFont="0" applyFill="0" applyBorder="0" applyAlignment="0" applyProtection="0"/>
    <xf numFmtId="15" fontId="8" fillId="0" borderId="0" applyFont="0" applyFill="0" applyBorder="0" applyAlignment="0" applyProtection="0"/>
    <xf numFmtId="15" fontId="8" fillId="0" borderId="0" applyFont="0" applyFill="0" applyBorder="0" applyAlignment="0" applyProtection="0"/>
    <xf numFmtId="15" fontId="8" fillId="0" borderId="0" applyFont="0" applyFill="0" applyBorder="0" applyAlignment="0" applyProtection="0"/>
    <xf numFmtId="15" fontId="8" fillId="0" borderId="0" applyFont="0" applyFill="0" applyBorder="0" applyAlignment="0" applyProtection="0"/>
    <xf numFmtId="15" fontId="8" fillId="0" borderId="0" applyFont="0" applyFill="0" applyBorder="0" applyAlignment="0" applyProtection="0"/>
    <xf numFmtId="15" fontId="8" fillId="0" borderId="0" applyFont="0" applyFill="0" applyBorder="0" applyAlignment="0" applyProtection="0"/>
    <xf numFmtId="15" fontId="8" fillId="0" borderId="0" applyFont="0" applyFill="0" applyBorder="0" applyAlignment="0" applyProtection="0"/>
    <xf numFmtId="15"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4" fontId="8" fillId="0" borderId="0" applyFont="0" applyFill="0" applyBorder="0" applyAlignment="0" applyProtection="0"/>
    <xf numFmtId="0" fontId="9" fillId="0" borderId="18">
      <alignment horizontal="center"/>
    </xf>
    <xf numFmtId="0" fontId="35"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0" fontId="9" fillId="0" borderId="18">
      <alignment horizontal="center"/>
    </xf>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0" fontId="8" fillId="28" borderId="0" applyNumberFormat="0" applyFont="0" applyBorder="0" applyAlignment="0" applyProtection="0"/>
    <xf numFmtId="0" fontId="33" fillId="28" borderId="0" applyNumberFormat="0" applyFont="0" applyBorder="0" applyAlignment="0" applyProtection="0"/>
    <xf numFmtId="0" fontId="8" fillId="28" borderId="0" applyNumberFormat="0" applyFont="0" applyBorder="0" applyAlignment="0" applyProtection="0"/>
    <xf numFmtId="0" fontId="8" fillId="28" borderId="0" applyNumberFormat="0" applyFont="0" applyBorder="0" applyAlignment="0" applyProtection="0"/>
    <xf numFmtId="0" fontId="8" fillId="28" borderId="0" applyNumberFormat="0" applyFont="0" applyBorder="0" applyAlignment="0" applyProtection="0"/>
    <xf numFmtId="0" fontId="8" fillId="28" borderId="0" applyNumberFormat="0" applyFont="0" applyBorder="0" applyAlignment="0" applyProtection="0"/>
    <xf numFmtId="0" fontId="8" fillId="28" borderId="0" applyNumberFormat="0" applyFont="0" applyBorder="0" applyAlignment="0" applyProtection="0"/>
    <xf numFmtId="0" fontId="8" fillId="28" borderId="0" applyNumberFormat="0" applyFont="0" applyBorder="0" applyAlignment="0" applyProtection="0"/>
    <xf numFmtId="0" fontId="8" fillId="28" borderId="0" applyNumberFormat="0" applyFont="0" applyBorder="0" applyAlignment="0" applyProtection="0"/>
    <xf numFmtId="0" fontId="8" fillId="28" borderId="0" applyNumberFormat="0" applyFont="0" applyBorder="0" applyAlignment="0" applyProtection="0"/>
    <xf numFmtId="0" fontId="8" fillId="28" borderId="0" applyNumberFormat="0" applyFont="0" applyBorder="0" applyAlignment="0" applyProtection="0"/>
    <xf numFmtId="179" fontId="75" fillId="0" borderId="0" applyNumberFormat="0" applyFill="0" applyBorder="0" applyAlignment="0" applyProtection="0">
      <alignment horizontal="left"/>
    </xf>
    <xf numFmtId="0" fontId="5" fillId="0" borderId="0" applyNumberFormat="0" applyFill="0" applyBorder="0" applyProtection="0">
      <alignment horizontal="center" wrapText="1"/>
    </xf>
    <xf numFmtId="0" fontId="5" fillId="0" borderId="0" applyNumberFormat="0" applyFill="0" applyBorder="0" applyProtection="0">
      <alignment horizontal="center" wrapText="1"/>
    </xf>
    <xf numFmtId="0" fontId="5" fillId="0" borderId="0" applyNumberFormat="0" applyFill="0" applyBorder="0" applyProtection="0">
      <alignment horizontal="center" wrapText="1"/>
    </xf>
    <xf numFmtId="166" fontId="5" fillId="0" borderId="0">
      <alignment horizontal="left" wrapText="1"/>
    </xf>
    <xf numFmtId="166" fontId="20"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37" fontId="48" fillId="0" borderId="0" applyFill="0" applyBorder="0" applyProtection="0"/>
    <xf numFmtId="37" fontId="48" fillId="0" borderId="0" applyFill="0" applyBorder="0" applyProtection="0"/>
    <xf numFmtId="192" fontId="86" fillId="0" borderId="0" applyFill="0" applyBorder="0" applyAlignment="0" applyProtection="0">
      <alignment horizontal="right"/>
    </xf>
    <xf numFmtId="0" fontId="30" fillId="0" borderId="0" applyNumberFormat="0" applyFill="0" applyBorder="0" applyAlignment="0" applyProtection="0"/>
    <xf numFmtId="0" fontId="31" fillId="0" borderId="19" applyNumberFormat="0" applyFill="0" applyAlignment="0" applyProtection="0"/>
    <xf numFmtId="0" fontId="68" fillId="0" borderId="19" applyNumberFormat="0" applyFill="0" applyAlignment="0" applyProtection="0"/>
    <xf numFmtId="0" fontId="32" fillId="0" borderId="0" applyNumberFormat="0" applyFill="0" applyBorder="0" applyAlignment="0" applyProtection="0"/>
    <xf numFmtId="0" fontId="69" fillId="0" borderId="0" applyNumberFormat="0" applyFill="0" applyBorder="0" applyAlignment="0" applyProtection="0"/>
    <xf numFmtId="0" fontId="12" fillId="29" borderId="20">
      <alignment horizontal="center" vertical="top"/>
    </xf>
    <xf numFmtId="0" fontId="87" fillId="0" borderId="0"/>
    <xf numFmtId="40" fontId="88" fillId="0" borderId="0" applyFont="0" applyFill="0" applyBorder="0" applyAlignment="0" applyProtection="0"/>
    <xf numFmtId="38" fontId="88" fillId="0" borderId="0" applyFont="0" applyFill="0" applyBorder="0" applyAlignment="0" applyProtection="0"/>
    <xf numFmtId="0" fontId="88" fillId="0" borderId="0"/>
  </cellStyleXfs>
  <cellXfs count="209">
    <xf numFmtId="0" fontId="0" fillId="0" borderId="0" xfId="0"/>
    <xf numFmtId="0" fontId="0" fillId="0" borderId="0" xfId="0" applyAlignment="1">
      <alignment horizontal="center"/>
    </xf>
    <xf numFmtId="164" fontId="0" fillId="0" borderId="0" xfId="985" applyNumberFormat="1" applyFont="1"/>
    <xf numFmtId="164" fontId="0" fillId="0" borderId="0" xfId="0" applyNumberFormat="1"/>
    <xf numFmtId="3" fontId="0" fillId="0" borderId="0" xfId="0" applyNumberFormat="1"/>
    <xf numFmtId="165" fontId="0" fillId="0" borderId="0" xfId="1058" applyNumberFormat="1" applyFont="1"/>
    <xf numFmtId="0" fontId="10" fillId="0" borderId="0" xfId="1280" applyFont="1" applyAlignment="1">
      <alignment horizontal="center" wrapText="1"/>
    </xf>
    <xf numFmtId="165" fontId="0" fillId="0" borderId="0" xfId="0" applyNumberFormat="1"/>
    <xf numFmtId="168" fontId="0" fillId="0" borderId="0" xfId="0" applyNumberFormat="1"/>
    <xf numFmtId="164" fontId="10" fillId="0" borderId="0" xfId="985" applyNumberFormat="1" applyFont="1" applyAlignment="1">
      <alignment horizontal="center" wrapText="1"/>
    </xf>
    <xf numFmtId="165" fontId="4" fillId="0" borderId="0" xfId="1058" applyNumberFormat="1" applyFont="1"/>
    <xf numFmtId="0" fontId="10" fillId="30" borderId="0" xfId="1283" applyFont="1" applyFill="1" applyAlignment="1">
      <alignment horizontal="center"/>
    </xf>
    <xf numFmtId="0" fontId="10" fillId="0" borderId="0" xfId="1283" applyFont="1" applyAlignment="1">
      <alignment horizontal="center"/>
    </xf>
    <xf numFmtId="0" fontId="10" fillId="0" borderId="0" xfId="1283" applyFont="1" applyAlignment="1">
      <alignment horizontal="center" wrapText="1"/>
    </xf>
    <xf numFmtId="164" fontId="4" fillId="0" borderId="0" xfId="985" applyNumberFormat="1" applyFont="1"/>
    <xf numFmtId="0" fontId="0" fillId="0" borderId="0" xfId="0" applyFont="1"/>
    <xf numFmtId="0" fontId="37" fillId="0" borderId="0" xfId="0" applyFont="1"/>
    <xf numFmtId="0" fontId="0" fillId="0" borderId="0" xfId="0" applyAlignment="1">
      <alignment wrapText="1"/>
    </xf>
    <xf numFmtId="0" fontId="40" fillId="20" borderId="0" xfId="0" applyFont="1" applyFill="1"/>
    <xf numFmtId="0" fontId="0" fillId="20" borderId="0" xfId="0" applyFill="1"/>
    <xf numFmtId="0" fontId="0" fillId="20" borderId="0" xfId="0" applyFill="1" applyBorder="1"/>
    <xf numFmtId="0" fontId="39" fillId="20" borderId="0" xfId="0" applyFont="1" applyFill="1" applyBorder="1" applyAlignment="1">
      <alignment horizontal="center"/>
    </xf>
    <xf numFmtId="0" fontId="39" fillId="20" borderId="0" xfId="0" applyFont="1" applyFill="1" applyAlignment="1">
      <alignment horizontal="center"/>
    </xf>
    <xf numFmtId="0" fontId="42" fillId="20" borderId="0" xfId="0" applyFont="1" applyFill="1"/>
    <xf numFmtId="0" fontId="39" fillId="20" borderId="21" xfId="0" applyFont="1" applyFill="1" applyBorder="1"/>
    <xf numFmtId="164" fontId="0" fillId="20" borderId="21" xfId="985" applyNumberFormat="1" applyFont="1" applyFill="1" applyBorder="1"/>
    <xf numFmtId="0" fontId="39" fillId="20" borderId="0" xfId="0" applyFont="1" applyFill="1"/>
    <xf numFmtId="0" fontId="39" fillId="20" borderId="0" xfId="0" applyFont="1" applyFill="1" applyBorder="1"/>
    <xf numFmtId="165" fontId="0" fillId="20" borderId="0" xfId="1058" applyNumberFormat="1" applyFont="1" applyFill="1" applyBorder="1"/>
    <xf numFmtId="44" fontId="0" fillId="20" borderId="0" xfId="1058" applyFont="1" applyFill="1" applyBorder="1"/>
    <xf numFmtId="0" fontId="39" fillId="20" borderId="9" xfId="0" applyFont="1" applyFill="1" applyBorder="1"/>
    <xf numFmtId="44" fontId="0" fillId="20" borderId="9" xfId="1058" applyFont="1" applyFill="1" applyBorder="1"/>
    <xf numFmtId="0" fontId="0" fillId="20" borderId="9" xfId="0" applyFill="1" applyBorder="1"/>
    <xf numFmtId="164" fontId="0" fillId="20" borderId="0" xfId="0" applyNumberFormat="1" applyFill="1"/>
    <xf numFmtId="165" fontId="0" fillId="20" borderId="9" xfId="1058" applyNumberFormat="1" applyFont="1" applyFill="1" applyBorder="1"/>
    <xf numFmtId="0" fontId="42" fillId="20" borderId="0" xfId="0" applyFont="1" applyFill="1" applyAlignment="1">
      <alignment vertical="top"/>
    </xf>
    <xf numFmtId="0" fontId="39" fillId="20" borderId="22" xfId="0" applyFont="1" applyFill="1" applyBorder="1" applyAlignment="1">
      <alignment wrapText="1"/>
    </xf>
    <xf numFmtId="165" fontId="0" fillId="20" borderId="22" xfId="1058" applyNumberFormat="1" applyFont="1" applyFill="1" applyBorder="1"/>
    <xf numFmtId="0" fontId="41" fillId="20" borderId="0" xfId="0" applyFont="1" applyFill="1"/>
    <xf numFmtId="165" fontId="0" fillId="20" borderId="0" xfId="1058" applyNumberFormat="1" applyFont="1" applyFill="1"/>
    <xf numFmtId="165" fontId="39" fillId="20" borderId="0" xfId="1058" applyNumberFormat="1" applyFont="1" applyFill="1" applyAlignment="1">
      <alignment horizontal="center"/>
    </xf>
    <xf numFmtId="165" fontId="0" fillId="20" borderId="21" xfId="1058" applyNumberFormat="1" applyFont="1" applyFill="1" applyBorder="1"/>
    <xf numFmtId="0" fontId="43" fillId="20" borderId="9" xfId="0" applyFont="1" applyFill="1" applyBorder="1"/>
    <xf numFmtId="0" fontId="43" fillId="20" borderId="22" xfId="0" applyFont="1" applyFill="1" applyBorder="1"/>
    <xf numFmtId="0" fontId="43" fillId="20" borderId="0" xfId="0" applyFont="1" applyFill="1" applyBorder="1" applyAlignment="1">
      <alignment wrapText="1"/>
    </xf>
    <xf numFmtId="0" fontId="25" fillId="20" borderId="22" xfId="0" applyFont="1" applyFill="1" applyBorder="1"/>
    <xf numFmtId="0" fontId="0" fillId="20" borderId="22" xfId="0" applyFill="1" applyBorder="1"/>
    <xf numFmtId="164" fontId="0" fillId="20" borderId="0" xfId="985" applyNumberFormat="1" applyFont="1" applyFill="1" applyBorder="1"/>
    <xf numFmtId="164" fontId="0" fillId="20" borderId="9" xfId="985" applyNumberFormat="1" applyFont="1" applyFill="1" applyBorder="1"/>
    <xf numFmtId="0" fontId="37" fillId="20" borderId="0" xfId="0" applyFont="1" applyFill="1"/>
    <xf numFmtId="0" fontId="0" fillId="20" borderId="21" xfId="0" applyFill="1" applyBorder="1"/>
    <xf numFmtId="14" fontId="0" fillId="20" borderId="0" xfId="0" applyNumberFormat="1" applyFill="1"/>
    <xf numFmtId="0" fontId="0" fillId="20" borderId="6" xfId="0" applyFill="1" applyBorder="1" applyAlignment="1">
      <alignment horizontal="center"/>
    </xf>
    <xf numFmtId="0" fontId="0" fillId="20" borderId="0" xfId="0" applyFill="1" applyBorder="1" applyAlignment="1">
      <alignment horizontal="center"/>
    </xf>
    <xf numFmtId="0" fontId="0" fillId="20" borderId="23" xfId="0" applyFill="1" applyBorder="1"/>
    <xf numFmtId="0" fontId="10" fillId="20" borderId="6" xfId="1280" applyFont="1" applyFill="1" applyBorder="1" applyAlignment="1">
      <alignment horizontal="center"/>
    </xf>
    <xf numFmtId="0" fontId="10" fillId="20" borderId="0" xfId="1280" applyFont="1" applyFill="1" applyBorder="1" applyAlignment="1">
      <alignment horizontal="center"/>
    </xf>
    <xf numFmtId="0" fontId="10" fillId="20" borderId="23" xfId="1280" applyFont="1" applyFill="1" applyBorder="1" applyAlignment="1">
      <alignment horizontal="center"/>
    </xf>
    <xf numFmtId="164" fontId="0" fillId="20" borderId="6" xfId="985" applyNumberFormat="1" applyFont="1" applyFill="1" applyBorder="1"/>
    <xf numFmtId="0" fontId="0" fillId="20" borderId="6" xfId="0" applyFill="1" applyBorder="1"/>
    <xf numFmtId="0" fontId="0" fillId="20" borderId="16" xfId="0" applyFill="1" applyBorder="1"/>
    <xf numFmtId="0" fontId="0" fillId="20" borderId="24" xfId="0" applyFill="1" applyBorder="1"/>
    <xf numFmtId="165" fontId="0" fillId="20" borderId="9" xfId="0" applyNumberFormat="1" applyFill="1" applyBorder="1"/>
    <xf numFmtId="0" fontId="0" fillId="20" borderId="25" xfId="0" applyFill="1" applyBorder="1" applyAlignment="1">
      <alignment horizontal="right"/>
    </xf>
    <xf numFmtId="0" fontId="0" fillId="20" borderId="26" xfId="0" applyFill="1" applyBorder="1"/>
    <xf numFmtId="0" fontId="0" fillId="20" borderId="27" xfId="0" applyFill="1" applyBorder="1"/>
    <xf numFmtId="0" fontId="0" fillId="20" borderId="28" xfId="0" applyFill="1" applyBorder="1"/>
    <xf numFmtId="0" fontId="0" fillId="20" borderId="29" xfId="0" applyFill="1" applyBorder="1"/>
    <xf numFmtId="0" fontId="10" fillId="20" borderId="30" xfId="1280" applyFont="1" applyFill="1" applyBorder="1" applyAlignment="1">
      <alignment horizontal="center"/>
    </xf>
    <xf numFmtId="14" fontId="0" fillId="20" borderId="29" xfId="0" applyNumberFormat="1" applyFill="1" applyBorder="1"/>
    <xf numFmtId="165" fontId="0" fillId="20" borderId="30" xfId="0" applyNumberFormat="1" applyFill="1" applyBorder="1"/>
    <xf numFmtId="165" fontId="0" fillId="20" borderId="23" xfId="1058" applyNumberFormat="1" applyFont="1" applyFill="1" applyBorder="1"/>
    <xf numFmtId="0" fontId="0" fillId="20" borderId="31" xfId="0" applyFill="1" applyBorder="1"/>
    <xf numFmtId="165" fontId="0" fillId="20" borderId="18" xfId="0" applyNumberFormat="1" applyFill="1" applyBorder="1"/>
    <xf numFmtId="165" fontId="0" fillId="20" borderId="16" xfId="0" applyNumberFormat="1" applyFill="1" applyBorder="1"/>
    <xf numFmtId="0" fontId="10" fillId="20" borderId="0" xfId="1280" applyFont="1" applyFill="1" applyAlignment="1">
      <alignment horizontal="center"/>
    </xf>
    <xf numFmtId="43" fontId="0" fillId="20" borderId="0" xfId="0" applyNumberFormat="1" applyFill="1"/>
    <xf numFmtId="165" fontId="0" fillId="20" borderId="0" xfId="0" applyNumberFormat="1" applyFill="1"/>
    <xf numFmtId="164" fontId="0" fillId="20" borderId="0" xfId="985" applyNumberFormat="1" applyFont="1" applyFill="1"/>
    <xf numFmtId="164" fontId="5" fillId="20" borderId="0" xfId="1054" applyNumberFormat="1" applyFill="1"/>
    <xf numFmtId="0" fontId="0" fillId="31" borderId="0" xfId="0" applyFill="1"/>
    <xf numFmtId="0" fontId="43" fillId="20" borderId="0" xfId="0" applyFont="1" applyFill="1" applyBorder="1"/>
    <xf numFmtId="0" fontId="46" fillId="20" borderId="0" xfId="0" applyFont="1" applyFill="1"/>
    <xf numFmtId="3" fontId="0" fillId="20" borderId="0" xfId="0" applyNumberFormat="1" applyFill="1"/>
    <xf numFmtId="16" fontId="0" fillId="20" borderId="0" xfId="0" applyNumberFormat="1" applyFill="1"/>
    <xf numFmtId="0" fontId="0" fillId="20" borderId="0" xfId="0" applyFill="1" applyAlignment="1">
      <alignment wrapText="1"/>
    </xf>
    <xf numFmtId="0" fontId="0" fillId="20" borderId="32" xfId="0" applyFill="1" applyBorder="1" applyAlignment="1">
      <alignment wrapText="1"/>
    </xf>
    <xf numFmtId="0" fontId="0" fillId="20" borderId="0" xfId="0" applyFill="1" applyBorder="1" applyAlignment="1">
      <alignment wrapText="1"/>
    </xf>
    <xf numFmtId="3" fontId="0" fillId="20" borderId="33" xfId="0" applyNumberFormat="1" applyFill="1" applyBorder="1"/>
    <xf numFmtId="3" fontId="0" fillId="20" borderId="34" xfId="0" applyNumberFormat="1" applyFill="1" applyBorder="1"/>
    <xf numFmtId="0" fontId="0" fillId="20" borderId="10" xfId="0" applyFill="1" applyBorder="1"/>
    <xf numFmtId="8" fontId="0" fillId="20" borderId="0" xfId="0" applyNumberFormat="1" applyFill="1" applyBorder="1"/>
    <xf numFmtId="0" fontId="0" fillId="20" borderId="30" xfId="0" applyFill="1" applyBorder="1"/>
    <xf numFmtId="16" fontId="0" fillId="20" borderId="29" xfId="0" applyNumberFormat="1" applyFill="1" applyBorder="1"/>
    <xf numFmtId="6" fontId="0" fillId="20" borderId="0" xfId="0" applyNumberFormat="1" applyFill="1" applyBorder="1"/>
    <xf numFmtId="6" fontId="0" fillId="20" borderId="30" xfId="0" applyNumberFormat="1" applyFill="1" applyBorder="1"/>
    <xf numFmtId="0" fontId="0" fillId="20" borderId="18" xfId="0" applyFill="1" applyBorder="1"/>
    <xf numFmtId="0" fontId="0" fillId="20" borderId="35" xfId="0" applyFill="1" applyBorder="1"/>
    <xf numFmtId="0" fontId="0" fillId="20" borderId="30" xfId="0" applyFill="1" applyBorder="1" applyAlignment="1">
      <alignment horizontal="center"/>
    </xf>
    <xf numFmtId="165" fontId="0" fillId="20" borderId="30" xfId="1058" applyNumberFormat="1" applyFont="1" applyFill="1" applyBorder="1"/>
    <xf numFmtId="165" fontId="0" fillId="20" borderId="35" xfId="0" applyNumberFormat="1" applyFill="1" applyBorder="1"/>
    <xf numFmtId="44" fontId="0" fillId="20" borderId="28" xfId="1058" applyFont="1" applyFill="1" applyBorder="1"/>
    <xf numFmtId="44" fontId="0" fillId="20" borderId="30" xfId="1058" applyFont="1" applyFill="1" applyBorder="1"/>
    <xf numFmtId="164" fontId="0" fillId="20" borderId="30" xfId="985" applyNumberFormat="1" applyFont="1" applyFill="1" applyBorder="1"/>
    <xf numFmtId="0" fontId="0" fillId="20" borderId="29" xfId="0" applyFill="1" applyBorder="1" applyAlignment="1">
      <alignment wrapText="1"/>
    </xf>
    <xf numFmtId="169" fontId="0" fillId="20" borderId="0" xfId="0" applyNumberFormat="1" applyFill="1"/>
    <xf numFmtId="168" fontId="10" fillId="20" borderId="9" xfId="1653" applyNumberFormat="1" applyFont="1" applyFill="1" applyBorder="1" applyAlignment="1">
      <alignment horizontal="center"/>
    </xf>
    <xf numFmtId="165" fontId="5" fillId="20" borderId="0" xfId="1058" applyNumberFormat="1" applyFont="1" applyFill="1"/>
    <xf numFmtId="165" fontId="10" fillId="20" borderId="0" xfId="1058" applyNumberFormat="1" applyFont="1" applyFill="1"/>
    <xf numFmtId="165" fontId="14" fillId="20" borderId="0" xfId="1058" applyNumberFormat="1" applyFont="1" applyFill="1" applyProtection="1"/>
    <xf numFmtId="165" fontId="5" fillId="20" borderId="9" xfId="1058" applyNumberFormat="1" applyFont="1" applyFill="1" applyBorder="1"/>
    <xf numFmtId="0" fontId="45" fillId="20" borderId="0" xfId="0" applyFont="1" applyFill="1"/>
    <xf numFmtId="0" fontId="44" fillId="20" borderId="0" xfId="0" applyFont="1" applyFill="1"/>
    <xf numFmtId="165" fontId="44" fillId="20" borderId="0" xfId="1058" applyNumberFormat="1" applyFont="1" applyFill="1"/>
    <xf numFmtId="0" fontId="45" fillId="20" borderId="22" xfId="0" applyFont="1" applyFill="1" applyBorder="1"/>
    <xf numFmtId="165" fontId="45" fillId="20" borderId="22" xfId="1058" applyNumberFormat="1" applyFont="1" applyFill="1" applyBorder="1"/>
    <xf numFmtId="165" fontId="0" fillId="20" borderId="22" xfId="0" applyNumberFormat="1" applyFill="1" applyBorder="1"/>
    <xf numFmtId="44" fontId="0" fillId="20" borderId="0" xfId="1058" applyNumberFormat="1" applyFont="1" applyFill="1" applyBorder="1"/>
    <xf numFmtId="8" fontId="0" fillId="20" borderId="0" xfId="0" applyNumberFormat="1" applyFill="1"/>
    <xf numFmtId="169" fontId="0" fillId="20" borderId="0" xfId="1058" applyNumberFormat="1" applyFont="1" applyFill="1"/>
    <xf numFmtId="6" fontId="0" fillId="20" borderId="0" xfId="0" applyNumberFormat="1" applyFill="1"/>
    <xf numFmtId="0" fontId="39" fillId="32" borderId="9" xfId="0" applyFont="1" applyFill="1" applyBorder="1"/>
    <xf numFmtId="165" fontId="0" fillId="32" borderId="9" xfId="1058" applyNumberFormat="1" applyFont="1" applyFill="1" applyBorder="1"/>
    <xf numFmtId="164" fontId="0" fillId="32" borderId="9" xfId="985" applyNumberFormat="1" applyFont="1" applyFill="1" applyBorder="1"/>
    <xf numFmtId="0" fontId="39" fillId="32" borderId="0" xfId="0" applyFont="1" applyFill="1" applyBorder="1"/>
    <xf numFmtId="165" fontId="0" fillId="32" borderId="0" xfId="1058" applyNumberFormat="1" applyFont="1" applyFill="1" applyBorder="1"/>
    <xf numFmtId="164" fontId="0" fillId="32" borderId="0" xfId="985" applyNumberFormat="1" applyFont="1" applyFill="1" applyBorder="1"/>
    <xf numFmtId="165" fontId="0" fillId="32" borderId="22" xfId="1058" applyNumberFormat="1" applyFont="1" applyFill="1" applyBorder="1"/>
    <xf numFmtId="0" fontId="39" fillId="32" borderId="22" xfId="0" applyFont="1" applyFill="1" applyBorder="1"/>
    <xf numFmtId="44" fontId="0" fillId="32" borderId="22" xfId="1058" applyFont="1" applyFill="1" applyBorder="1"/>
    <xf numFmtId="0" fontId="0" fillId="0" borderId="0" xfId="0" applyFill="1"/>
    <xf numFmtId="0" fontId="31" fillId="20" borderId="0" xfId="0" applyFont="1" applyFill="1"/>
    <xf numFmtId="0" fontId="43" fillId="20" borderId="21" xfId="0" applyFont="1" applyFill="1" applyBorder="1"/>
    <xf numFmtId="0" fontId="73" fillId="20" borderId="0" xfId="0" applyFont="1" applyFill="1"/>
    <xf numFmtId="0" fontId="45" fillId="20" borderId="9" xfId="0" applyFont="1" applyFill="1" applyBorder="1"/>
    <xf numFmtId="0" fontId="45" fillId="20" borderId="9" xfId="0" applyFont="1" applyFill="1" applyBorder="1" applyAlignment="1">
      <alignment horizontal="center"/>
    </xf>
    <xf numFmtId="0" fontId="74" fillId="0" borderId="0" xfId="0" applyFont="1"/>
    <xf numFmtId="0" fontId="74" fillId="20" borderId="0" xfId="0" applyFont="1" applyFill="1"/>
    <xf numFmtId="0" fontId="0" fillId="20" borderId="25" xfId="0" applyFill="1" applyBorder="1"/>
    <xf numFmtId="3" fontId="0" fillId="20" borderId="0" xfId="0" applyNumberFormat="1" applyFill="1" applyBorder="1"/>
    <xf numFmtId="3" fontId="0" fillId="20" borderId="23" xfId="0" applyNumberFormat="1" applyFill="1" applyBorder="1"/>
    <xf numFmtId="3" fontId="0" fillId="20" borderId="9" xfId="0" applyNumberFormat="1" applyFill="1" applyBorder="1"/>
    <xf numFmtId="3" fontId="0" fillId="20" borderId="24" xfId="0" applyNumberFormat="1" applyFill="1" applyBorder="1"/>
    <xf numFmtId="164" fontId="5" fillId="20" borderId="0" xfId="985" applyNumberFormat="1" applyFont="1" applyFill="1"/>
    <xf numFmtId="164" fontId="3" fillId="20" borderId="0" xfId="985" applyNumberFormat="1" applyFont="1" applyFill="1"/>
    <xf numFmtId="165" fontId="3" fillId="20" borderId="0" xfId="1058" applyNumberFormat="1" applyFont="1" applyFill="1"/>
    <xf numFmtId="0" fontId="2" fillId="20" borderId="0" xfId="0" applyFont="1" applyFill="1"/>
    <xf numFmtId="0" fontId="31" fillId="30" borderId="0" xfId="0" applyFont="1" applyFill="1" applyAlignment="1">
      <alignment wrapText="1"/>
    </xf>
    <xf numFmtId="165" fontId="31" fillId="30" borderId="21" xfId="1058" applyNumberFormat="1" applyFont="1" applyFill="1" applyBorder="1"/>
    <xf numFmtId="0" fontId="15" fillId="20" borderId="0" xfId="0" applyFont="1" applyFill="1"/>
    <xf numFmtId="165" fontId="2" fillId="20" borderId="0" xfId="1058" applyNumberFormat="1" applyFont="1" applyFill="1"/>
    <xf numFmtId="165" fontId="14" fillId="20" borderId="0" xfId="1058" applyNumberFormat="1" applyFont="1" applyFill="1" applyBorder="1" applyProtection="1"/>
    <xf numFmtId="168" fontId="0" fillId="0" borderId="0" xfId="0" applyNumberFormat="1" applyFill="1"/>
    <xf numFmtId="165" fontId="0" fillId="0" borderId="0" xfId="1058" applyNumberFormat="1" applyFont="1" applyFill="1"/>
    <xf numFmtId="164" fontId="0" fillId="0" borderId="0" xfId="985" applyNumberFormat="1" applyFont="1" applyFill="1"/>
    <xf numFmtId="164" fontId="0" fillId="33" borderId="16" xfId="0" applyNumberFormat="1" applyFill="1" applyBorder="1"/>
    <xf numFmtId="164" fontId="0" fillId="30" borderId="9" xfId="0" applyNumberFormat="1" applyFill="1" applyBorder="1"/>
    <xf numFmtId="164" fontId="0" fillId="33" borderId="9" xfId="0" applyNumberFormat="1" applyFill="1" applyBorder="1"/>
    <xf numFmtId="0" fontId="0" fillId="20" borderId="36" xfId="0" applyFill="1" applyBorder="1"/>
    <xf numFmtId="165" fontId="0" fillId="20" borderId="37" xfId="0" applyNumberFormat="1" applyFill="1" applyBorder="1"/>
    <xf numFmtId="165" fontId="0" fillId="20" borderId="38" xfId="1058" applyNumberFormat="1" applyFont="1" applyFill="1" applyBorder="1"/>
    <xf numFmtId="0" fontId="37" fillId="20" borderId="39" xfId="0" applyFont="1" applyFill="1" applyBorder="1"/>
    <xf numFmtId="8" fontId="37" fillId="20" borderId="21" xfId="0" applyNumberFormat="1" applyFont="1" applyFill="1" applyBorder="1"/>
    <xf numFmtId="6" fontId="37" fillId="20" borderId="21" xfId="0" applyNumberFormat="1" applyFont="1" applyFill="1" applyBorder="1"/>
    <xf numFmtId="6" fontId="37" fillId="20" borderId="40" xfId="0" applyNumberFormat="1" applyFont="1" applyFill="1" applyBorder="1"/>
    <xf numFmtId="3" fontId="0" fillId="20" borderId="21" xfId="0" applyNumberFormat="1" applyFill="1" applyBorder="1"/>
    <xf numFmtId="0" fontId="71" fillId="0" borderId="0" xfId="1651"/>
    <xf numFmtId="0" fontId="71" fillId="0" borderId="0" xfId="1651" applyAlignment="1">
      <alignment horizontal="center" wrapText="1"/>
    </xf>
    <xf numFmtId="0" fontId="71" fillId="0" borderId="0" xfId="1651" applyAlignment="1">
      <alignment wrapText="1"/>
    </xf>
    <xf numFmtId="6" fontId="71" fillId="0" borderId="0" xfId="1651" applyNumberFormat="1"/>
    <xf numFmtId="38" fontId="71" fillId="0" borderId="0" xfId="1651" applyNumberFormat="1"/>
    <xf numFmtId="0" fontId="10" fillId="0" borderId="0" xfId="1651" applyFont="1"/>
    <xf numFmtId="38" fontId="10" fillId="0" borderId="0" xfId="1651" applyNumberFormat="1" applyFont="1"/>
    <xf numFmtId="6" fontId="10" fillId="0" borderId="0" xfId="1651" applyNumberFormat="1" applyFont="1"/>
    <xf numFmtId="6" fontId="90" fillId="0" borderId="0" xfId="1651" applyNumberFormat="1" applyFont="1"/>
    <xf numFmtId="6" fontId="91" fillId="0" borderId="0" xfId="1651" applyNumberFormat="1" applyFont="1"/>
    <xf numFmtId="6" fontId="5" fillId="0" borderId="0" xfId="1651" applyNumberFormat="1" applyFont="1"/>
    <xf numFmtId="6" fontId="71" fillId="0" borderId="0" xfId="1651" applyNumberFormat="1" applyFont="1"/>
    <xf numFmtId="0" fontId="71" fillId="0" borderId="0" xfId="1652"/>
    <xf numFmtId="0" fontId="71" fillId="0" borderId="0" xfId="1652" applyAlignment="1">
      <alignment horizontal="center" wrapText="1"/>
    </xf>
    <xf numFmtId="37" fontId="71" fillId="0" borderId="0" xfId="1652" applyNumberFormat="1"/>
    <xf numFmtId="0" fontId="92" fillId="0" borderId="0" xfId="1652" applyFont="1"/>
    <xf numFmtId="3" fontId="71" fillId="0" borderId="0" xfId="1652" applyNumberFormat="1"/>
    <xf numFmtId="6" fontId="71" fillId="0" borderId="0" xfId="1652" applyNumberFormat="1"/>
    <xf numFmtId="6" fontId="10" fillId="0" borderId="0" xfId="1652" applyNumberFormat="1" applyFont="1"/>
    <xf numFmtId="6" fontId="91" fillId="0" borderId="0" xfId="1652" applyNumberFormat="1" applyFont="1"/>
    <xf numFmtId="0" fontId="10" fillId="30" borderId="0" xfId="1283" applyFont="1" applyFill="1" applyAlignment="1">
      <alignment horizontal="center"/>
    </xf>
    <xf numFmtId="0" fontId="10" fillId="30" borderId="0" xfId="1280" applyFont="1" applyFill="1" applyAlignment="1">
      <alignment horizontal="center"/>
    </xf>
    <xf numFmtId="6" fontId="10" fillId="0" borderId="9" xfId="1651" applyNumberFormat="1" applyFont="1" applyBorder="1" applyAlignment="1">
      <alignment horizontal="center"/>
    </xf>
    <xf numFmtId="0" fontId="0" fillId="20" borderId="0" xfId="0" applyFill="1" applyAlignment="1">
      <alignment horizontal="center"/>
    </xf>
    <xf numFmtId="0" fontId="0" fillId="20" borderId="41" xfId="0" applyFill="1" applyBorder="1" applyAlignment="1">
      <alignment horizontal="center"/>
    </xf>
    <xf numFmtId="0" fontId="0" fillId="20" borderId="22" xfId="0" applyFill="1" applyBorder="1" applyAlignment="1">
      <alignment horizontal="center"/>
    </xf>
    <xf numFmtId="0" fontId="0" fillId="20" borderId="7" xfId="0" applyFill="1" applyBorder="1" applyAlignment="1">
      <alignment horizontal="center"/>
    </xf>
    <xf numFmtId="0" fontId="0" fillId="20" borderId="0" xfId="0" applyFill="1" applyBorder="1" applyAlignment="1">
      <alignment horizontal="center"/>
    </xf>
    <xf numFmtId="0" fontId="0" fillId="20" borderId="23" xfId="0" applyFill="1" applyBorder="1" applyAlignment="1">
      <alignment horizontal="center"/>
    </xf>
    <xf numFmtId="0" fontId="0" fillId="20" borderId="0" xfId="0" applyFill="1" applyAlignment="1">
      <alignment horizontal="center" wrapText="1"/>
    </xf>
    <xf numFmtId="0" fontId="0" fillId="20" borderId="25" xfId="0" applyFill="1" applyBorder="1" applyAlignment="1">
      <alignment horizontal="center"/>
    </xf>
    <xf numFmtId="0" fontId="0" fillId="20" borderId="21" xfId="0" applyFill="1" applyBorder="1" applyAlignment="1">
      <alignment horizontal="center"/>
    </xf>
    <xf numFmtId="0" fontId="0" fillId="20" borderId="26" xfId="0" applyFill="1" applyBorder="1" applyAlignment="1">
      <alignment horizontal="center"/>
    </xf>
    <xf numFmtId="0" fontId="0" fillId="20" borderId="10" xfId="0" applyFill="1" applyBorder="1" applyAlignment="1">
      <alignment horizontal="center"/>
    </xf>
    <xf numFmtId="0" fontId="37" fillId="20" borderId="0" xfId="0" applyFont="1" applyFill="1" applyBorder="1" applyAlignment="1">
      <alignment horizontal="center"/>
    </xf>
    <xf numFmtId="0" fontId="37" fillId="20" borderId="42" xfId="0" applyFont="1" applyFill="1" applyBorder="1" applyAlignment="1">
      <alignment horizontal="center"/>
    </xf>
    <xf numFmtId="0" fontId="37" fillId="20" borderId="43" xfId="0" applyFont="1" applyFill="1" applyBorder="1" applyAlignment="1">
      <alignment horizontal="center"/>
    </xf>
    <xf numFmtId="0" fontId="37" fillId="20" borderId="44" xfId="0" applyFont="1" applyFill="1" applyBorder="1" applyAlignment="1">
      <alignment horizontal="center"/>
    </xf>
    <xf numFmtId="8" fontId="0" fillId="20" borderId="29" xfId="0" applyNumberFormat="1" applyFill="1" applyBorder="1" applyAlignment="1">
      <alignment horizontal="center"/>
    </xf>
    <xf numFmtId="8" fontId="0" fillId="20" borderId="0" xfId="0" applyNumberFormat="1" applyFill="1" applyBorder="1" applyAlignment="1">
      <alignment horizontal="center"/>
    </xf>
    <xf numFmtId="0" fontId="0" fillId="20" borderId="28" xfId="0" applyFill="1" applyBorder="1" applyAlignment="1">
      <alignment horizontal="center"/>
    </xf>
    <xf numFmtId="0" fontId="0" fillId="20" borderId="31" xfId="0" applyFill="1" applyBorder="1" applyAlignment="1">
      <alignment horizontal="left" wrapText="1"/>
    </xf>
    <xf numFmtId="0" fontId="0" fillId="20" borderId="35" xfId="0" applyFill="1" applyBorder="1" applyAlignment="1">
      <alignment horizontal="left" wrapText="1"/>
    </xf>
  </cellXfs>
  <cellStyles count="2281">
    <cellStyle name="_x0013_" xfId="1"/>
    <cellStyle name=" 1" xfId="2"/>
    <cellStyle name="_01January 2011 Actual_ PT" xfId="3"/>
    <cellStyle name="_01January 2011 Actual_ PT_APCo NEC" xfId="4"/>
    <cellStyle name="_01January 2011 Actual_ PT_APCo NEC_11 APCo Impact Summary - 10-30" xfId="5"/>
    <cellStyle name="_01January 2011 Actual_ PT_APCo NEC_Input" xfId="6"/>
    <cellStyle name="_01January 2011 Actual_ PT_APCo NEC_Inputs" xfId="7"/>
    <cellStyle name="_01January 2011 Actual_ PT_I&amp;M NEC" xfId="8"/>
    <cellStyle name="_01January 2011 Actual_ PT_I&amp;M NEC_11 APCo Impact Summary - 10-30" xfId="9"/>
    <cellStyle name="_01January 2011 Actual_ PT_I&amp;M NEC_Input" xfId="10"/>
    <cellStyle name="_01January 2011 Actual_ PT_I&amp;M NEC_Inputs" xfId="11"/>
    <cellStyle name="_01January 2011 Actual_ PT_IPS Slurped 2011 IPS" xfId="12"/>
    <cellStyle name="_01January 2011 Actual_ PT_IPS Slurped 2011 OVEC Demand" xfId="13"/>
    <cellStyle name="_01January 2011 Actual_MLR ECR Reissue" xfId="14"/>
    <cellStyle name="_01January 2011 Actual_MLR ECR Reissue_11 APCo Impact Summary - 10-30" xfId="15"/>
    <cellStyle name="_01January 2011 Actual_MLR ECR Reissue_Input" xfId="16"/>
    <cellStyle name="_01January 2011 Actual_MLR ECR Reissue_Inputs" xfId="17"/>
    <cellStyle name="_01January 2011 Actual_MLR ECR Reissue_IPS Slurped 2011 IPS" xfId="18"/>
    <cellStyle name="_01January 2011 Actual_MLR ECR Reissue_IPS Slurped 2011 OVEC Demand" xfId="19"/>
    <cellStyle name="_020122 TIM MITCHELL" xfId="20"/>
    <cellStyle name="_020205 AEP Mitchell v2.3" xfId="21"/>
    <cellStyle name="_02February 2011 Actual" xfId="22"/>
    <cellStyle name="_02February 2011 Actual_APCo NEC" xfId="23"/>
    <cellStyle name="_02February 2011 Actual_APCo NEC_11 APCo Impact Summary - 10-30" xfId="24"/>
    <cellStyle name="_02February 2011 Actual_APCo NEC_Input" xfId="25"/>
    <cellStyle name="_02February 2011 Actual_APCo NEC_Inputs" xfId="26"/>
    <cellStyle name="_02February 2011 Actual_I&amp;M NEC" xfId="27"/>
    <cellStyle name="_02February 2011 Actual_I&amp;M NEC_11 APCo Impact Summary - 10-30" xfId="28"/>
    <cellStyle name="_02February 2011 Actual_I&amp;M NEC_Input" xfId="29"/>
    <cellStyle name="_02February 2011 Actual_I&amp;M NEC_Inputs" xfId="30"/>
    <cellStyle name="_02February 2011 Actual_IPS Slurped 2011 IPS" xfId="31"/>
    <cellStyle name="_02February 2011 Actual_IPS Slurped 2011 OVEC Demand" xfId="32"/>
    <cellStyle name="_03March 2011 Actual_ ECR" xfId="33"/>
    <cellStyle name="_03March 2011 Actual_ ECR_APCo NEC" xfId="34"/>
    <cellStyle name="_03March 2011 Actual_ ECR_APCo NEC_11 APCo Impact Summary - 10-30" xfId="35"/>
    <cellStyle name="_03March 2011 Actual_ ECR_APCo NEC_Input" xfId="36"/>
    <cellStyle name="_03March 2011 Actual_ ECR_APCo NEC_Inputs" xfId="37"/>
    <cellStyle name="_03March 2011 Actual_ ECR_I&amp;M NEC" xfId="38"/>
    <cellStyle name="_03March 2011 Actual_ ECR_I&amp;M NEC_11 APCo Impact Summary - 10-30" xfId="39"/>
    <cellStyle name="_03March 2011 Actual_ ECR_I&amp;M NEC_Input" xfId="40"/>
    <cellStyle name="_03March 2011 Actual_ ECR_I&amp;M NEC_Inputs" xfId="41"/>
    <cellStyle name="_03March 2011 Actual_ ECR_IPS Slurped 2011 IPS" xfId="42"/>
    <cellStyle name="_03March 2011 Actual_ ECR_IPS Slurped 2011 OVEC Demand" xfId="43"/>
    <cellStyle name="_04April 2011 Actual_ ECR Revised" xfId="44"/>
    <cellStyle name="_04April 2011 Actual_ ECR Revised_APCo NEC" xfId="45"/>
    <cellStyle name="_04April 2011 Actual_ ECR Revised_APCo NEC_11 APCo Impact Summary - 10-30" xfId="46"/>
    <cellStyle name="_04April 2011 Actual_ ECR Revised_APCo NEC_Input" xfId="47"/>
    <cellStyle name="_04April 2011 Actual_ ECR Revised_APCo NEC_Inputs" xfId="48"/>
    <cellStyle name="_04April 2011 Actual_ ECR Revised_I&amp;M NEC" xfId="49"/>
    <cellStyle name="_04April 2011 Actual_ ECR Revised_I&amp;M NEC_11 APCo Impact Summary - 10-30" xfId="50"/>
    <cellStyle name="_04April 2011 Actual_ ECR Revised_I&amp;M NEC_Input" xfId="51"/>
    <cellStyle name="_04April 2011 Actual_ ECR Revised_I&amp;M NEC_Inputs" xfId="52"/>
    <cellStyle name="_04April 2011 Actual_ ECR Revised_IPS Slurped 2011 IPS" xfId="53"/>
    <cellStyle name="_04April 2011 Actual_ ECR Revised_IPS Slurped 2011 OVEC Demand" xfId="54"/>
    <cellStyle name="_08August 2010 Actual" xfId="55"/>
    <cellStyle name="_08August 2010 Actual 2" xfId="56"/>
    <cellStyle name="_08August 2010 Actual 2_11 APCo Impact Summary - 10-30" xfId="57"/>
    <cellStyle name="_08August 2010 Actual 2_Cal 11 Pool Energy Summary" xfId="58"/>
    <cellStyle name="_08August 2010 Actual 2_Cal 11 Pool Energy Summary 10-2" xfId="59"/>
    <cellStyle name="_08August 2010 Actual 2_Cal 11 Pool Energy Summary kdp revised" xfId="60"/>
    <cellStyle name="_08August 2010 Actual_APCo NEC" xfId="61"/>
    <cellStyle name="_08August 2010 Actual_APCo NEC_11 APCo Impact Summary - 10-30" xfId="62"/>
    <cellStyle name="_08August 2010 Actual_APCo NEC_Input" xfId="63"/>
    <cellStyle name="_08August 2010 Actual_APCo NEC_Inputs" xfId="64"/>
    <cellStyle name="_08August 2010 Actual_I&amp;M NEC" xfId="65"/>
    <cellStyle name="_08August 2010 Actual_I&amp;M NEC_11 APCo Impact Summary - 10-30" xfId="66"/>
    <cellStyle name="_08August 2010 Actual_I&amp;M NEC_Input" xfId="67"/>
    <cellStyle name="_08August 2010 Actual_I&amp;M NEC_Inputs" xfId="68"/>
    <cellStyle name="_08August 2010 Actual_IPS Slurped 2011 IPS" xfId="69"/>
    <cellStyle name="_08August 2010 Actual_IPS Slurped 2011 OVEC Demand" xfId="70"/>
    <cellStyle name="_09September 2010 Actual" xfId="71"/>
    <cellStyle name="_09September 2010 Actual 2" xfId="72"/>
    <cellStyle name="_09September 2010 Actual 2_11 APCo Impact Summary - 10-30" xfId="73"/>
    <cellStyle name="_09September 2010 Actual 2_Cal 11 Pool Energy Summary" xfId="74"/>
    <cellStyle name="_09September 2010 Actual 2_Cal 11 Pool Energy Summary 10-2" xfId="75"/>
    <cellStyle name="_09September 2010 Actual 2_Cal 11 Pool Energy Summary kdp revised" xfId="76"/>
    <cellStyle name="_09September 2010 Actual_APCo NEC" xfId="77"/>
    <cellStyle name="_09September 2010 Actual_APCo NEC_11 APCo Impact Summary - 10-30" xfId="78"/>
    <cellStyle name="_09September 2010 Actual_APCo NEC_Input" xfId="79"/>
    <cellStyle name="_09September 2010 Actual_APCo NEC_Inputs" xfId="80"/>
    <cellStyle name="_09September 2010 Actual_I&amp;M NEC" xfId="81"/>
    <cellStyle name="_09September 2010 Actual_I&amp;M NEC_11 APCo Impact Summary - 10-30" xfId="82"/>
    <cellStyle name="_09September 2010 Actual_I&amp;M NEC_Input" xfId="83"/>
    <cellStyle name="_09September 2010 Actual_I&amp;M NEC_Inputs" xfId="84"/>
    <cellStyle name="_09September 2010 Actual_IPS Slurped 2011 IPS" xfId="85"/>
    <cellStyle name="_09September 2010 Actual_IPS Slurped 2011 OVEC Demand" xfId="86"/>
    <cellStyle name="_10October 2010 Actual" xfId="87"/>
    <cellStyle name="_10October 2010 Actual 2" xfId="88"/>
    <cellStyle name="_10October 2010 Actual 2_11 APCo Impact Summary - 10-30" xfId="89"/>
    <cellStyle name="_10October 2010 Actual 2_Cal 11 Pool Energy Summary" xfId="90"/>
    <cellStyle name="_10October 2010 Actual 2_Cal 11 Pool Energy Summary 10-2" xfId="91"/>
    <cellStyle name="_10October 2010 Actual 2_Cal 11 Pool Energy Summary kdp revised" xfId="92"/>
    <cellStyle name="_10October 2010 Actual_APCo NEC" xfId="93"/>
    <cellStyle name="_10October 2010 Actual_APCo NEC_11 APCo Impact Summary - 10-30" xfId="94"/>
    <cellStyle name="_10October 2010 Actual_APCo NEC_Input" xfId="95"/>
    <cellStyle name="_10October 2010 Actual_APCo NEC_Inputs" xfId="96"/>
    <cellStyle name="_10October 2010 Actual_I&amp;M NEC" xfId="97"/>
    <cellStyle name="_10October 2010 Actual_I&amp;M NEC_11 APCo Impact Summary - 10-30" xfId="98"/>
    <cellStyle name="_10October 2010 Actual_I&amp;M NEC_Input" xfId="99"/>
    <cellStyle name="_10October 2010 Actual_I&amp;M NEC_Inputs" xfId="100"/>
    <cellStyle name="_10October 2010 Actual_IPS Slurped 2011 IPS" xfId="101"/>
    <cellStyle name="_10October 2010 Actual_IPS Slurped 2011 OVEC Demand" xfId="102"/>
    <cellStyle name="_11November 2010 Actual" xfId="103"/>
    <cellStyle name="_11November 2010 Actual Revised" xfId="104"/>
    <cellStyle name="_11November 2010 Actual Revised 2" xfId="105"/>
    <cellStyle name="_11November 2010 Actual Revised 2_11 APCo Impact Summary - 10-30" xfId="106"/>
    <cellStyle name="_11November 2010 Actual Revised 2_Cal 11 Pool Energy Summary" xfId="107"/>
    <cellStyle name="_11November 2010 Actual Revised 2_Cal 11 Pool Energy Summary 10-2" xfId="108"/>
    <cellStyle name="_11November 2010 Actual Revised 2_Cal 11 Pool Energy Summary kdp revised" xfId="109"/>
    <cellStyle name="_12December 2010 Actual" xfId="110"/>
    <cellStyle name="_12December 2010 Actual 2" xfId="111"/>
    <cellStyle name="_12December 2010 Actual 2_11 APCo Impact Summary - 10-30" xfId="112"/>
    <cellStyle name="_12December 2010 Actual 2_Cal 11 Pool Energy Summary" xfId="113"/>
    <cellStyle name="_12December 2010 Actual 2_Cal 11 Pool Energy Summary 10-2" xfId="114"/>
    <cellStyle name="_12December 2010 Actual 2_Cal 11 Pool Energy Summary kdp revised" xfId="115"/>
    <cellStyle name="_x0013__12x24 to Strip" xfId="116"/>
    <cellStyle name="_24x12 G - Generic 12X24 Wind Shapes_August 2010" xfId="117"/>
    <cellStyle name="_x0013__24x12 G - Generic 12X24 Wind Shapes_August 2010" xfId="118"/>
    <cellStyle name="_Cap Settlement Model_WP in OPCo no Dres VS. WP Removed no Dres.(5 Co. Model)" xfId="119"/>
    <cellStyle name="_Cap Settlement Summary-Cases 1-4" xfId="120"/>
    <cellStyle name="_Colorado Wind v3.11" xfId="121"/>
    <cellStyle name="_Debt Template" xfId="122"/>
    <cellStyle name="_Depreciation" xfId="123"/>
    <cellStyle name="_enXco NSP IV (mdf) v3.7" xfId="124"/>
    <cellStyle name="_G87 12x24" xfId="125"/>
    <cellStyle name="_G87 12x24_SPP Load " xfId="126"/>
    <cellStyle name="_PJM Load" xfId="127"/>
    <cellStyle name="_x0013__PJM Load" xfId="128"/>
    <cellStyle name="_PSEG asset valuation 1.1" xfId="129"/>
    <cellStyle name="_PSEG Swap v3.1" xfId="130"/>
    <cellStyle name="_PSEG Swap v3.5 PSEG Assets" xfId="131"/>
    <cellStyle name="_S88 12x24" xfId="132"/>
    <cellStyle name="_S88 12x24_SPP Load " xfId="133"/>
    <cellStyle name="_x0013__SPP Load " xfId="134"/>
    <cellStyle name="20% - Accent1 10" xfId="135"/>
    <cellStyle name="20% - Accent1 11" xfId="136"/>
    <cellStyle name="20% - Accent1 12" xfId="137"/>
    <cellStyle name="20% - Accent1 13" xfId="138"/>
    <cellStyle name="20% - Accent1 14" xfId="139"/>
    <cellStyle name="20% - Accent1 15" xfId="140"/>
    <cellStyle name="20% - Accent1 16" xfId="141"/>
    <cellStyle name="20% - Accent1 17" xfId="142"/>
    <cellStyle name="20% - Accent1 18" xfId="143"/>
    <cellStyle name="20% - Accent1 19" xfId="144"/>
    <cellStyle name="20% - Accent1 2" xfId="145"/>
    <cellStyle name="20% - Accent1 20" xfId="146"/>
    <cellStyle name="20% - Accent1 21" xfId="147"/>
    <cellStyle name="20% - Accent1 22" xfId="148"/>
    <cellStyle name="20% - Accent1 23" xfId="149"/>
    <cellStyle name="20% - Accent1 24" xfId="150"/>
    <cellStyle name="20% - Accent1 25" xfId="151"/>
    <cellStyle name="20% - Accent1 26" xfId="152"/>
    <cellStyle name="20% - Accent1 27" xfId="153"/>
    <cellStyle name="20% - Accent1 28" xfId="154"/>
    <cellStyle name="20% - Accent1 29" xfId="155"/>
    <cellStyle name="20% - Accent1 3" xfId="156"/>
    <cellStyle name="20% - Accent1 30" xfId="157"/>
    <cellStyle name="20% - Accent1 31" xfId="158"/>
    <cellStyle name="20% - Accent1 32" xfId="159"/>
    <cellStyle name="20% - Accent1 33" xfId="160"/>
    <cellStyle name="20% - Accent1 34" xfId="161"/>
    <cellStyle name="20% - Accent1 35" xfId="162"/>
    <cellStyle name="20% - Accent1 36" xfId="163"/>
    <cellStyle name="20% - Accent1 37" xfId="164"/>
    <cellStyle name="20% - Accent1 38" xfId="165"/>
    <cellStyle name="20% - Accent1 39" xfId="166"/>
    <cellStyle name="20% - Accent1 4" xfId="167"/>
    <cellStyle name="20% - Accent1 40" xfId="168"/>
    <cellStyle name="20% - Accent1 41" xfId="169"/>
    <cellStyle name="20% - Accent1 42" xfId="170"/>
    <cellStyle name="20% - Accent1 43" xfId="171"/>
    <cellStyle name="20% - Accent1 44" xfId="172"/>
    <cellStyle name="20% - Accent1 45" xfId="173"/>
    <cellStyle name="20% - Accent1 46" xfId="174"/>
    <cellStyle name="20% - Accent1 47" xfId="175"/>
    <cellStyle name="20% - Accent1 48" xfId="176"/>
    <cellStyle name="20% - Accent1 49" xfId="177"/>
    <cellStyle name="20% - Accent1 5" xfId="178"/>
    <cellStyle name="20% - Accent1 50" xfId="179"/>
    <cellStyle name="20% - Accent1 51" xfId="180"/>
    <cellStyle name="20% - Accent1 52" xfId="181"/>
    <cellStyle name="20% - Accent1 53" xfId="182"/>
    <cellStyle name="20% - Accent1 54" xfId="183"/>
    <cellStyle name="20% - Accent1 55" xfId="184"/>
    <cellStyle name="20% - Accent1 56" xfId="185"/>
    <cellStyle name="20% - Accent1 57" xfId="186"/>
    <cellStyle name="20% - Accent1 58" xfId="187"/>
    <cellStyle name="20% - Accent1 59" xfId="188"/>
    <cellStyle name="20% - Accent1 6" xfId="189"/>
    <cellStyle name="20% - Accent1 60" xfId="190"/>
    <cellStyle name="20% - Accent1 61" xfId="191"/>
    <cellStyle name="20% - Accent1 62" xfId="192"/>
    <cellStyle name="20% - Accent1 63" xfId="193"/>
    <cellStyle name="20% - Accent1 64" xfId="194"/>
    <cellStyle name="20% - Accent1 65" xfId="195"/>
    <cellStyle name="20% - Accent1 66" xfId="196"/>
    <cellStyle name="20% - Accent1 67" xfId="197"/>
    <cellStyle name="20% - Accent1 68" xfId="198"/>
    <cellStyle name="20% - Accent1 7" xfId="199"/>
    <cellStyle name="20% - Accent1 8" xfId="200"/>
    <cellStyle name="20% - Accent1 9" xfId="201"/>
    <cellStyle name="20% - Accent2 10" xfId="202"/>
    <cellStyle name="20% - Accent2 11" xfId="203"/>
    <cellStyle name="20% - Accent2 12" xfId="204"/>
    <cellStyle name="20% - Accent2 13" xfId="205"/>
    <cellStyle name="20% - Accent2 14" xfId="206"/>
    <cellStyle name="20% - Accent2 15" xfId="207"/>
    <cellStyle name="20% - Accent2 16" xfId="208"/>
    <cellStyle name="20% - Accent2 17" xfId="209"/>
    <cellStyle name="20% - Accent2 18" xfId="210"/>
    <cellStyle name="20% - Accent2 19" xfId="211"/>
    <cellStyle name="20% - Accent2 2" xfId="212"/>
    <cellStyle name="20% - Accent2 20" xfId="213"/>
    <cellStyle name="20% - Accent2 21" xfId="214"/>
    <cellStyle name="20% - Accent2 22" xfId="215"/>
    <cellStyle name="20% - Accent2 23" xfId="216"/>
    <cellStyle name="20% - Accent2 24" xfId="217"/>
    <cellStyle name="20% - Accent2 25" xfId="218"/>
    <cellStyle name="20% - Accent2 26" xfId="219"/>
    <cellStyle name="20% - Accent2 27" xfId="220"/>
    <cellStyle name="20% - Accent2 28" xfId="221"/>
    <cellStyle name="20% - Accent2 29" xfId="222"/>
    <cellStyle name="20% - Accent2 3" xfId="223"/>
    <cellStyle name="20% - Accent2 30" xfId="224"/>
    <cellStyle name="20% - Accent2 31" xfId="225"/>
    <cellStyle name="20% - Accent2 32" xfId="226"/>
    <cellStyle name="20% - Accent2 33" xfId="227"/>
    <cellStyle name="20% - Accent2 34" xfId="228"/>
    <cellStyle name="20% - Accent2 35" xfId="229"/>
    <cellStyle name="20% - Accent2 36" xfId="230"/>
    <cellStyle name="20% - Accent2 37" xfId="231"/>
    <cellStyle name="20% - Accent2 38" xfId="232"/>
    <cellStyle name="20% - Accent2 39" xfId="233"/>
    <cellStyle name="20% - Accent2 4" xfId="234"/>
    <cellStyle name="20% - Accent2 40" xfId="235"/>
    <cellStyle name="20% - Accent2 41" xfId="236"/>
    <cellStyle name="20% - Accent2 42" xfId="237"/>
    <cellStyle name="20% - Accent2 43" xfId="238"/>
    <cellStyle name="20% - Accent2 44" xfId="239"/>
    <cellStyle name="20% - Accent2 45" xfId="240"/>
    <cellStyle name="20% - Accent2 46" xfId="241"/>
    <cellStyle name="20% - Accent2 47" xfId="242"/>
    <cellStyle name="20% - Accent2 48" xfId="243"/>
    <cellStyle name="20% - Accent2 49" xfId="244"/>
    <cellStyle name="20% - Accent2 5" xfId="245"/>
    <cellStyle name="20% - Accent2 50" xfId="246"/>
    <cellStyle name="20% - Accent2 51" xfId="247"/>
    <cellStyle name="20% - Accent2 52" xfId="248"/>
    <cellStyle name="20% - Accent2 53" xfId="249"/>
    <cellStyle name="20% - Accent2 54" xfId="250"/>
    <cellStyle name="20% - Accent2 55" xfId="251"/>
    <cellStyle name="20% - Accent2 56" xfId="252"/>
    <cellStyle name="20% - Accent2 57" xfId="253"/>
    <cellStyle name="20% - Accent2 58" xfId="254"/>
    <cellStyle name="20% - Accent2 59" xfId="255"/>
    <cellStyle name="20% - Accent2 6" xfId="256"/>
    <cellStyle name="20% - Accent2 60" xfId="257"/>
    <cellStyle name="20% - Accent2 61" xfId="258"/>
    <cellStyle name="20% - Accent2 62" xfId="259"/>
    <cellStyle name="20% - Accent2 63" xfId="260"/>
    <cellStyle name="20% - Accent2 64" xfId="261"/>
    <cellStyle name="20% - Accent2 65" xfId="262"/>
    <cellStyle name="20% - Accent2 66" xfId="263"/>
    <cellStyle name="20% - Accent2 67" xfId="264"/>
    <cellStyle name="20% - Accent2 68" xfId="265"/>
    <cellStyle name="20% - Accent2 7" xfId="266"/>
    <cellStyle name="20% - Accent2 8" xfId="267"/>
    <cellStyle name="20% - Accent2 9" xfId="268"/>
    <cellStyle name="20% - Accent3 10" xfId="269"/>
    <cellStyle name="20% - Accent3 11" xfId="270"/>
    <cellStyle name="20% - Accent3 12" xfId="271"/>
    <cellStyle name="20% - Accent3 13" xfId="272"/>
    <cellStyle name="20% - Accent3 14" xfId="273"/>
    <cellStyle name="20% - Accent3 15" xfId="274"/>
    <cellStyle name="20% - Accent3 16" xfId="275"/>
    <cellStyle name="20% - Accent3 17" xfId="276"/>
    <cellStyle name="20% - Accent3 18" xfId="277"/>
    <cellStyle name="20% - Accent3 19" xfId="278"/>
    <cellStyle name="20% - Accent3 2" xfId="279"/>
    <cellStyle name="20% - Accent3 20" xfId="280"/>
    <cellStyle name="20% - Accent3 21" xfId="281"/>
    <cellStyle name="20% - Accent3 22" xfId="282"/>
    <cellStyle name="20% - Accent3 23" xfId="283"/>
    <cellStyle name="20% - Accent3 24" xfId="284"/>
    <cellStyle name="20% - Accent3 25" xfId="285"/>
    <cellStyle name="20% - Accent3 26" xfId="286"/>
    <cellStyle name="20% - Accent3 27" xfId="287"/>
    <cellStyle name="20% - Accent3 28" xfId="288"/>
    <cellStyle name="20% - Accent3 29" xfId="289"/>
    <cellStyle name="20% - Accent3 3" xfId="290"/>
    <cellStyle name="20% - Accent3 30" xfId="291"/>
    <cellStyle name="20% - Accent3 31" xfId="292"/>
    <cellStyle name="20% - Accent3 32" xfId="293"/>
    <cellStyle name="20% - Accent3 33" xfId="294"/>
    <cellStyle name="20% - Accent3 34" xfId="295"/>
    <cellStyle name="20% - Accent3 35" xfId="296"/>
    <cellStyle name="20% - Accent3 36" xfId="297"/>
    <cellStyle name="20% - Accent3 37" xfId="298"/>
    <cellStyle name="20% - Accent3 38" xfId="299"/>
    <cellStyle name="20% - Accent3 39" xfId="300"/>
    <cellStyle name="20% - Accent3 4" xfId="301"/>
    <cellStyle name="20% - Accent3 40" xfId="302"/>
    <cellStyle name="20% - Accent3 41" xfId="303"/>
    <cellStyle name="20% - Accent3 42" xfId="304"/>
    <cellStyle name="20% - Accent3 43" xfId="305"/>
    <cellStyle name="20% - Accent3 44" xfId="306"/>
    <cellStyle name="20% - Accent3 45" xfId="307"/>
    <cellStyle name="20% - Accent3 46" xfId="308"/>
    <cellStyle name="20% - Accent3 47" xfId="309"/>
    <cellStyle name="20% - Accent3 48" xfId="310"/>
    <cellStyle name="20% - Accent3 49" xfId="311"/>
    <cellStyle name="20% - Accent3 5" xfId="312"/>
    <cellStyle name="20% - Accent3 50" xfId="313"/>
    <cellStyle name="20% - Accent3 51" xfId="314"/>
    <cellStyle name="20% - Accent3 52" xfId="315"/>
    <cellStyle name="20% - Accent3 53" xfId="316"/>
    <cellStyle name="20% - Accent3 54" xfId="317"/>
    <cellStyle name="20% - Accent3 55" xfId="318"/>
    <cellStyle name="20% - Accent3 56" xfId="319"/>
    <cellStyle name="20% - Accent3 57" xfId="320"/>
    <cellStyle name="20% - Accent3 58" xfId="321"/>
    <cellStyle name="20% - Accent3 59" xfId="322"/>
    <cellStyle name="20% - Accent3 6" xfId="323"/>
    <cellStyle name="20% - Accent3 60" xfId="324"/>
    <cellStyle name="20% - Accent3 61" xfId="325"/>
    <cellStyle name="20% - Accent3 62" xfId="326"/>
    <cellStyle name="20% - Accent3 63" xfId="327"/>
    <cellStyle name="20% - Accent3 64" xfId="328"/>
    <cellStyle name="20% - Accent3 65" xfId="329"/>
    <cellStyle name="20% - Accent3 66" xfId="330"/>
    <cellStyle name="20% - Accent3 67" xfId="331"/>
    <cellStyle name="20% - Accent3 68" xfId="332"/>
    <cellStyle name="20% - Accent3 7" xfId="333"/>
    <cellStyle name="20% - Accent3 8" xfId="334"/>
    <cellStyle name="20% - Accent3 9" xfId="335"/>
    <cellStyle name="20% - Accent4 10" xfId="336"/>
    <cellStyle name="20% - Accent4 11" xfId="337"/>
    <cellStyle name="20% - Accent4 12" xfId="338"/>
    <cellStyle name="20% - Accent4 13" xfId="339"/>
    <cellStyle name="20% - Accent4 14" xfId="340"/>
    <cellStyle name="20% - Accent4 15" xfId="341"/>
    <cellStyle name="20% - Accent4 16" xfId="342"/>
    <cellStyle name="20% - Accent4 17" xfId="343"/>
    <cellStyle name="20% - Accent4 18" xfId="344"/>
    <cellStyle name="20% - Accent4 19" xfId="345"/>
    <cellStyle name="20% - Accent4 2" xfId="346"/>
    <cellStyle name="20% - Accent4 20" xfId="347"/>
    <cellStyle name="20% - Accent4 21" xfId="348"/>
    <cellStyle name="20% - Accent4 22" xfId="349"/>
    <cellStyle name="20% - Accent4 23" xfId="350"/>
    <cellStyle name="20% - Accent4 24" xfId="351"/>
    <cellStyle name="20% - Accent4 25" xfId="352"/>
    <cellStyle name="20% - Accent4 26" xfId="353"/>
    <cellStyle name="20% - Accent4 27" xfId="354"/>
    <cellStyle name="20% - Accent4 28" xfId="355"/>
    <cellStyle name="20% - Accent4 29" xfId="356"/>
    <cellStyle name="20% - Accent4 3" xfId="357"/>
    <cellStyle name="20% - Accent4 30" xfId="358"/>
    <cellStyle name="20% - Accent4 31" xfId="359"/>
    <cellStyle name="20% - Accent4 32" xfId="360"/>
    <cellStyle name="20% - Accent4 33" xfId="361"/>
    <cellStyle name="20% - Accent4 34" xfId="362"/>
    <cellStyle name="20% - Accent4 35" xfId="363"/>
    <cellStyle name="20% - Accent4 36" xfId="364"/>
    <cellStyle name="20% - Accent4 37" xfId="365"/>
    <cellStyle name="20% - Accent4 38" xfId="366"/>
    <cellStyle name="20% - Accent4 39" xfId="367"/>
    <cellStyle name="20% - Accent4 4" xfId="368"/>
    <cellStyle name="20% - Accent4 40" xfId="369"/>
    <cellStyle name="20% - Accent4 41" xfId="370"/>
    <cellStyle name="20% - Accent4 42" xfId="371"/>
    <cellStyle name="20% - Accent4 43" xfId="372"/>
    <cellStyle name="20% - Accent4 44" xfId="373"/>
    <cellStyle name="20% - Accent4 45" xfId="374"/>
    <cellStyle name="20% - Accent4 46" xfId="375"/>
    <cellStyle name="20% - Accent4 47" xfId="376"/>
    <cellStyle name="20% - Accent4 48" xfId="377"/>
    <cellStyle name="20% - Accent4 49" xfId="378"/>
    <cellStyle name="20% - Accent4 5" xfId="379"/>
    <cellStyle name="20% - Accent4 50" xfId="380"/>
    <cellStyle name="20% - Accent4 51" xfId="381"/>
    <cellStyle name="20% - Accent4 52" xfId="382"/>
    <cellStyle name="20% - Accent4 53" xfId="383"/>
    <cellStyle name="20% - Accent4 54" xfId="384"/>
    <cellStyle name="20% - Accent4 55" xfId="385"/>
    <cellStyle name="20% - Accent4 56" xfId="386"/>
    <cellStyle name="20% - Accent4 57" xfId="387"/>
    <cellStyle name="20% - Accent4 58" xfId="388"/>
    <cellStyle name="20% - Accent4 59" xfId="389"/>
    <cellStyle name="20% - Accent4 6" xfId="390"/>
    <cellStyle name="20% - Accent4 60" xfId="391"/>
    <cellStyle name="20% - Accent4 61" xfId="392"/>
    <cellStyle name="20% - Accent4 62" xfId="393"/>
    <cellStyle name="20% - Accent4 63" xfId="394"/>
    <cellStyle name="20% - Accent4 64" xfId="395"/>
    <cellStyle name="20% - Accent4 65" xfId="396"/>
    <cellStyle name="20% - Accent4 66" xfId="397"/>
    <cellStyle name="20% - Accent4 67" xfId="398"/>
    <cellStyle name="20% - Accent4 68" xfId="399"/>
    <cellStyle name="20% - Accent4 7" xfId="400"/>
    <cellStyle name="20% - Accent4 8" xfId="401"/>
    <cellStyle name="20% - Accent4 9" xfId="402"/>
    <cellStyle name="20% - Accent5 10" xfId="403"/>
    <cellStyle name="20% - Accent5 11" xfId="404"/>
    <cellStyle name="20% - Accent5 12" xfId="405"/>
    <cellStyle name="20% - Accent5 13" xfId="406"/>
    <cellStyle name="20% - Accent5 14" xfId="407"/>
    <cellStyle name="20% - Accent5 15" xfId="408"/>
    <cellStyle name="20% - Accent5 16" xfId="409"/>
    <cellStyle name="20% - Accent5 17" xfId="410"/>
    <cellStyle name="20% - Accent5 18" xfId="411"/>
    <cellStyle name="20% - Accent5 19" xfId="412"/>
    <cellStyle name="20% - Accent5 2" xfId="413"/>
    <cellStyle name="20% - Accent5 20" xfId="414"/>
    <cellStyle name="20% - Accent5 21" xfId="415"/>
    <cellStyle name="20% - Accent5 22" xfId="416"/>
    <cellStyle name="20% - Accent5 23" xfId="417"/>
    <cellStyle name="20% - Accent5 24" xfId="418"/>
    <cellStyle name="20% - Accent5 25" xfId="419"/>
    <cellStyle name="20% - Accent5 26" xfId="420"/>
    <cellStyle name="20% - Accent5 27" xfId="421"/>
    <cellStyle name="20% - Accent5 28" xfId="422"/>
    <cellStyle name="20% - Accent5 29" xfId="423"/>
    <cellStyle name="20% - Accent5 3" xfId="424"/>
    <cellStyle name="20% - Accent5 30" xfId="425"/>
    <cellStyle name="20% - Accent5 31" xfId="426"/>
    <cellStyle name="20% - Accent5 32" xfId="427"/>
    <cellStyle name="20% - Accent5 33" xfId="428"/>
    <cellStyle name="20% - Accent5 34" xfId="429"/>
    <cellStyle name="20% - Accent5 35" xfId="430"/>
    <cellStyle name="20% - Accent5 36" xfId="431"/>
    <cellStyle name="20% - Accent5 37" xfId="432"/>
    <cellStyle name="20% - Accent5 38" xfId="433"/>
    <cellStyle name="20% - Accent5 39" xfId="434"/>
    <cellStyle name="20% - Accent5 4" xfId="435"/>
    <cellStyle name="20% - Accent5 40" xfId="436"/>
    <cellStyle name="20% - Accent5 41" xfId="437"/>
    <cellStyle name="20% - Accent5 42" xfId="438"/>
    <cellStyle name="20% - Accent5 43" xfId="439"/>
    <cellStyle name="20% - Accent5 44" xfId="440"/>
    <cellStyle name="20% - Accent5 45" xfId="441"/>
    <cellStyle name="20% - Accent5 46" xfId="442"/>
    <cellStyle name="20% - Accent5 47" xfId="443"/>
    <cellStyle name="20% - Accent5 48" xfId="444"/>
    <cellStyle name="20% - Accent5 49" xfId="445"/>
    <cellStyle name="20% - Accent5 5" xfId="446"/>
    <cellStyle name="20% - Accent5 50" xfId="447"/>
    <cellStyle name="20% - Accent5 51" xfId="448"/>
    <cellStyle name="20% - Accent5 52" xfId="449"/>
    <cellStyle name="20% - Accent5 53" xfId="450"/>
    <cellStyle name="20% - Accent5 54" xfId="451"/>
    <cellStyle name="20% - Accent5 55" xfId="452"/>
    <cellStyle name="20% - Accent5 56" xfId="453"/>
    <cellStyle name="20% - Accent5 57" xfId="454"/>
    <cellStyle name="20% - Accent5 58" xfId="455"/>
    <cellStyle name="20% - Accent5 59" xfId="456"/>
    <cellStyle name="20% - Accent5 6" xfId="457"/>
    <cellStyle name="20% - Accent5 60" xfId="458"/>
    <cellStyle name="20% - Accent5 61" xfId="459"/>
    <cellStyle name="20% - Accent5 62" xfId="460"/>
    <cellStyle name="20% - Accent5 63" xfId="461"/>
    <cellStyle name="20% - Accent5 64" xfId="462"/>
    <cellStyle name="20% - Accent5 65" xfId="463"/>
    <cellStyle name="20% - Accent5 66" xfId="464"/>
    <cellStyle name="20% - Accent5 67" xfId="465"/>
    <cellStyle name="20% - Accent5 68" xfId="466"/>
    <cellStyle name="20% - Accent5 7" xfId="467"/>
    <cellStyle name="20% - Accent5 8" xfId="468"/>
    <cellStyle name="20% - Accent5 9" xfId="469"/>
    <cellStyle name="20% - Accent6 10" xfId="470"/>
    <cellStyle name="20% - Accent6 11" xfId="471"/>
    <cellStyle name="20% - Accent6 12" xfId="472"/>
    <cellStyle name="20% - Accent6 13" xfId="473"/>
    <cellStyle name="20% - Accent6 14" xfId="474"/>
    <cellStyle name="20% - Accent6 15" xfId="475"/>
    <cellStyle name="20% - Accent6 16" xfId="476"/>
    <cellStyle name="20% - Accent6 17" xfId="477"/>
    <cellStyle name="20% - Accent6 18" xfId="478"/>
    <cellStyle name="20% - Accent6 19" xfId="479"/>
    <cellStyle name="20% - Accent6 2" xfId="480"/>
    <cellStyle name="20% - Accent6 20" xfId="481"/>
    <cellStyle name="20% - Accent6 21" xfId="482"/>
    <cellStyle name="20% - Accent6 22" xfId="483"/>
    <cellStyle name="20% - Accent6 23" xfId="484"/>
    <cellStyle name="20% - Accent6 24" xfId="485"/>
    <cellStyle name="20% - Accent6 25" xfId="486"/>
    <cellStyle name="20% - Accent6 26" xfId="487"/>
    <cellStyle name="20% - Accent6 27" xfId="488"/>
    <cellStyle name="20% - Accent6 28" xfId="489"/>
    <cellStyle name="20% - Accent6 29" xfId="490"/>
    <cellStyle name="20% - Accent6 3" xfId="491"/>
    <cellStyle name="20% - Accent6 30" xfId="492"/>
    <cellStyle name="20% - Accent6 31" xfId="493"/>
    <cellStyle name="20% - Accent6 32" xfId="494"/>
    <cellStyle name="20% - Accent6 33" xfId="495"/>
    <cellStyle name="20% - Accent6 34" xfId="496"/>
    <cellStyle name="20% - Accent6 35" xfId="497"/>
    <cellStyle name="20% - Accent6 36" xfId="498"/>
    <cellStyle name="20% - Accent6 37" xfId="499"/>
    <cellStyle name="20% - Accent6 38" xfId="500"/>
    <cellStyle name="20% - Accent6 39" xfId="501"/>
    <cellStyle name="20% - Accent6 4" xfId="502"/>
    <cellStyle name="20% - Accent6 40" xfId="503"/>
    <cellStyle name="20% - Accent6 41" xfId="504"/>
    <cellStyle name="20% - Accent6 42" xfId="505"/>
    <cellStyle name="20% - Accent6 43" xfId="506"/>
    <cellStyle name="20% - Accent6 44" xfId="507"/>
    <cellStyle name="20% - Accent6 45" xfId="508"/>
    <cellStyle name="20% - Accent6 46" xfId="509"/>
    <cellStyle name="20% - Accent6 47" xfId="510"/>
    <cellStyle name="20% - Accent6 48" xfId="511"/>
    <cellStyle name="20% - Accent6 49" xfId="512"/>
    <cellStyle name="20% - Accent6 5" xfId="513"/>
    <cellStyle name="20% - Accent6 50" xfId="514"/>
    <cellStyle name="20% - Accent6 51" xfId="515"/>
    <cellStyle name="20% - Accent6 52" xfId="516"/>
    <cellStyle name="20% - Accent6 53" xfId="517"/>
    <cellStyle name="20% - Accent6 54" xfId="518"/>
    <cellStyle name="20% - Accent6 55" xfId="519"/>
    <cellStyle name="20% - Accent6 56" xfId="520"/>
    <cellStyle name="20% - Accent6 57" xfId="521"/>
    <cellStyle name="20% - Accent6 58" xfId="522"/>
    <cellStyle name="20% - Accent6 59" xfId="523"/>
    <cellStyle name="20% - Accent6 6" xfId="524"/>
    <cellStyle name="20% - Accent6 60" xfId="525"/>
    <cellStyle name="20% - Accent6 61" xfId="526"/>
    <cellStyle name="20% - Accent6 62" xfId="527"/>
    <cellStyle name="20% - Accent6 63" xfId="528"/>
    <cellStyle name="20% - Accent6 64" xfId="529"/>
    <cellStyle name="20% - Accent6 65" xfId="530"/>
    <cellStyle name="20% - Accent6 66" xfId="531"/>
    <cellStyle name="20% - Accent6 67" xfId="532"/>
    <cellStyle name="20% - Accent6 68" xfId="533"/>
    <cellStyle name="20% - Accent6 7" xfId="534"/>
    <cellStyle name="20% - Accent6 8" xfId="535"/>
    <cellStyle name="20% - Accent6 9" xfId="536"/>
    <cellStyle name="40% - Accent1 10" xfId="537"/>
    <cellStyle name="40% - Accent1 11" xfId="538"/>
    <cellStyle name="40% - Accent1 12" xfId="539"/>
    <cellStyle name="40% - Accent1 13" xfId="540"/>
    <cellStyle name="40% - Accent1 14" xfId="541"/>
    <cellStyle name="40% - Accent1 15" xfId="542"/>
    <cellStyle name="40% - Accent1 16" xfId="543"/>
    <cellStyle name="40% - Accent1 17" xfId="544"/>
    <cellStyle name="40% - Accent1 18" xfId="545"/>
    <cellStyle name="40% - Accent1 19" xfId="546"/>
    <cellStyle name="40% - Accent1 2" xfId="547"/>
    <cellStyle name="40% - Accent1 20" xfId="548"/>
    <cellStyle name="40% - Accent1 21" xfId="549"/>
    <cellStyle name="40% - Accent1 22" xfId="550"/>
    <cellStyle name="40% - Accent1 23" xfId="551"/>
    <cellStyle name="40% - Accent1 24" xfId="552"/>
    <cellStyle name="40% - Accent1 25" xfId="553"/>
    <cellStyle name="40% - Accent1 26" xfId="554"/>
    <cellStyle name="40% - Accent1 27" xfId="555"/>
    <cellStyle name="40% - Accent1 28" xfId="556"/>
    <cellStyle name="40% - Accent1 29" xfId="557"/>
    <cellStyle name="40% - Accent1 3" xfId="558"/>
    <cellStyle name="40% - Accent1 30" xfId="559"/>
    <cellStyle name="40% - Accent1 31" xfId="560"/>
    <cellStyle name="40% - Accent1 32" xfId="561"/>
    <cellStyle name="40% - Accent1 33" xfId="562"/>
    <cellStyle name="40% - Accent1 34" xfId="563"/>
    <cellStyle name="40% - Accent1 35" xfId="564"/>
    <cellStyle name="40% - Accent1 36" xfId="565"/>
    <cellStyle name="40% - Accent1 37" xfId="566"/>
    <cellStyle name="40% - Accent1 38" xfId="567"/>
    <cellStyle name="40% - Accent1 39" xfId="568"/>
    <cellStyle name="40% - Accent1 4" xfId="569"/>
    <cellStyle name="40% - Accent1 40" xfId="570"/>
    <cellStyle name="40% - Accent1 41" xfId="571"/>
    <cellStyle name="40% - Accent1 42" xfId="572"/>
    <cellStyle name="40% - Accent1 43" xfId="573"/>
    <cellStyle name="40% - Accent1 44" xfId="574"/>
    <cellStyle name="40% - Accent1 45" xfId="575"/>
    <cellStyle name="40% - Accent1 46" xfId="576"/>
    <cellStyle name="40% - Accent1 47" xfId="577"/>
    <cellStyle name="40% - Accent1 48" xfId="578"/>
    <cellStyle name="40% - Accent1 49" xfId="579"/>
    <cellStyle name="40% - Accent1 5" xfId="580"/>
    <cellStyle name="40% - Accent1 50" xfId="581"/>
    <cellStyle name="40% - Accent1 51" xfId="582"/>
    <cellStyle name="40% - Accent1 52" xfId="583"/>
    <cellStyle name="40% - Accent1 53" xfId="584"/>
    <cellStyle name="40% - Accent1 54" xfId="585"/>
    <cellStyle name="40% - Accent1 55" xfId="586"/>
    <cellStyle name="40% - Accent1 56" xfId="587"/>
    <cellStyle name="40% - Accent1 57" xfId="588"/>
    <cellStyle name="40% - Accent1 58" xfId="589"/>
    <cellStyle name="40% - Accent1 59" xfId="590"/>
    <cellStyle name="40% - Accent1 6" xfId="591"/>
    <cellStyle name="40% - Accent1 60" xfId="592"/>
    <cellStyle name="40% - Accent1 61" xfId="593"/>
    <cellStyle name="40% - Accent1 62" xfId="594"/>
    <cellStyle name="40% - Accent1 63" xfId="595"/>
    <cellStyle name="40% - Accent1 64" xfId="596"/>
    <cellStyle name="40% - Accent1 65" xfId="597"/>
    <cellStyle name="40% - Accent1 66" xfId="598"/>
    <cellStyle name="40% - Accent1 67" xfId="599"/>
    <cellStyle name="40% - Accent1 68" xfId="600"/>
    <cellStyle name="40% - Accent1 7" xfId="601"/>
    <cellStyle name="40% - Accent1 8" xfId="602"/>
    <cellStyle name="40% - Accent1 9" xfId="603"/>
    <cellStyle name="40% - Accent2 10" xfId="604"/>
    <cellStyle name="40% - Accent2 11" xfId="605"/>
    <cellStyle name="40% - Accent2 12" xfId="606"/>
    <cellStyle name="40% - Accent2 13" xfId="607"/>
    <cellStyle name="40% - Accent2 14" xfId="608"/>
    <cellStyle name="40% - Accent2 15" xfId="609"/>
    <cellStyle name="40% - Accent2 16" xfId="610"/>
    <cellStyle name="40% - Accent2 17" xfId="611"/>
    <cellStyle name="40% - Accent2 18" xfId="612"/>
    <cellStyle name="40% - Accent2 19" xfId="613"/>
    <cellStyle name="40% - Accent2 2" xfId="614"/>
    <cellStyle name="40% - Accent2 20" xfId="615"/>
    <cellStyle name="40% - Accent2 21" xfId="616"/>
    <cellStyle name="40% - Accent2 22" xfId="617"/>
    <cellStyle name="40% - Accent2 23" xfId="618"/>
    <cellStyle name="40% - Accent2 24" xfId="619"/>
    <cellStyle name="40% - Accent2 25" xfId="620"/>
    <cellStyle name="40% - Accent2 26" xfId="621"/>
    <cellStyle name="40% - Accent2 27" xfId="622"/>
    <cellStyle name="40% - Accent2 28" xfId="623"/>
    <cellStyle name="40% - Accent2 29" xfId="624"/>
    <cellStyle name="40% - Accent2 3" xfId="625"/>
    <cellStyle name="40% - Accent2 30" xfId="626"/>
    <cellStyle name="40% - Accent2 31" xfId="627"/>
    <cellStyle name="40% - Accent2 32" xfId="628"/>
    <cellStyle name="40% - Accent2 33" xfId="629"/>
    <cellStyle name="40% - Accent2 34" xfId="630"/>
    <cellStyle name="40% - Accent2 35" xfId="631"/>
    <cellStyle name="40% - Accent2 36" xfId="632"/>
    <cellStyle name="40% - Accent2 37" xfId="633"/>
    <cellStyle name="40% - Accent2 38" xfId="634"/>
    <cellStyle name="40% - Accent2 39" xfId="635"/>
    <cellStyle name="40% - Accent2 4" xfId="636"/>
    <cellStyle name="40% - Accent2 40" xfId="637"/>
    <cellStyle name="40% - Accent2 41" xfId="638"/>
    <cellStyle name="40% - Accent2 42" xfId="639"/>
    <cellStyle name="40% - Accent2 43" xfId="640"/>
    <cellStyle name="40% - Accent2 44" xfId="641"/>
    <cellStyle name="40% - Accent2 45" xfId="642"/>
    <cellStyle name="40% - Accent2 46" xfId="643"/>
    <cellStyle name="40% - Accent2 47" xfId="644"/>
    <cellStyle name="40% - Accent2 48" xfId="645"/>
    <cellStyle name="40% - Accent2 49" xfId="646"/>
    <cellStyle name="40% - Accent2 5" xfId="647"/>
    <cellStyle name="40% - Accent2 50" xfId="648"/>
    <cellStyle name="40% - Accent2 51" xfId="649"/>
    <cellStyle name="40% - Accent2 52" xfId="650"/>
    <cellStyle name="40% - Accent2 53" xfId="651"/>
    <cellStyle name="40% - Accent2 54" xfId="652"/>
    <cellStyle name="40% - Accent2 55" xfId="653"/>
    <cellStyle name="40% - Accent2 56" xfId="654"/>
    <cellStyle name="40% - Accent2 57" xfId="655"/>
    <cellStyle name="40% - Accent2 58" xfId="656"/>
    <cellStyle name="40% - Accent2 59" xfId="657"/>
    <cellStyle name="40% - Accent2 6" xfId="658"/>
    <cellStyle name="40% - Accent2 60" xfId="659"/>
    <cellStyle name="40% - Accent2 61" xfId="660"/>
    <cellStyle name="40% - Accent2 62" xfId="661"/>
    <cellStyle name="40% - Accent2 63" xfId="662"/>
    <cellStyle name="40% - Accent2 64" xfId="663"/>
    <cellStyle name="40% - Accent2 65" xfId="664"/>
    <cellStyle name="40% - Accent2 66" xfId="665"/>
    <cellStyle name="40% - Accent2 67" xfId="666"/>
    <cellStyle name="40% - Accent2 68" xfId="667"/>
    <cellStyle name="40% - Accent2 7" xfId="668"/>
    <cellStyle name="40% - Accent2 8" xfId="669"/>
    <cellStyle name="40% - Accent2 9" xfId="670"/>
    <cellStyle name="40% - Accent3 10" xfId="671"/>
    <cellStyle name="40% - Accent3 11" xfId="672"/>
    <cellStyle name="40% - Accent3 12" xfId="673"/>
    <cellStyle name="40% - Accent3 13" xfId="674"/>
    <cellStyle name="40% - Accent3 14" xfId="675"/>
    <cellStyle name="40% - Accent3 15" xfId="676"/>
    <cellStyle name="40% - Accent3 16" xfId="677"/>
    <cellStyle name="40% - Accent3 17" xfId="678"/>
    <cellStyle name="40% - Accent3 18" xfId="679"/>
    <cellStyle name="40% - Accent3 19" xfId="680"/>
    <cellStyle name="40% - Accent3 2" xfId="681"/>
    <cellStyle name="40% - Accent3 20" xfId="682"/>
    <cellStyle name="40% - Accent3 21" xfId="683"/>
    <cellStyle name="40% - Accent3 22" xfId="684"/>
    <cellStyle name="40% - Accent3 23" xfId="685"/>
    <cellStyle name="40% - Accent3 24" xfId="686"/>
    <cellStyle name="40% - Accent3 25" xfId="687"/>
    <cellStyle name="40% - Accent3 26" xfId="688"/>
    <cellStyle name="40% - Accent3 27" xfId="689"/>
    <cellStyle name="40% - Accent3 28" xfId="690"/>
    <cellStyle name="40% - Accent3 29" xfId="691"/>
    <cellStyle name="40% - Accent3 3" xfId="692"/>
    <cellStyle name="40% - Accent3 30" xfId="693"/>
    <cellStyle name="40% - Accent3 31" xfId="694"/>
    <cellStyle name="40% - Accent3 32" xfId="695"/>
    <cellStyle name="40% - Accent3 33" xfId="696"/>
    <cellStyle name="40% - Accent3 34" xfId="697"/>
    <cellStyle name="40% - Accent3 35" xfId="698"/>
    <cellStyle name="40% - Accent3 36" xfId="699"/>
    <cellStyle name="40% - Accent3 37" xfId="700"/>
    <cellStyle name="40% - Accent3 38" xfId="701"/>
    <cellStyle name="40% - Accent3 39" xfId="702"/>
    <cellStyle name="40% - Accent3 4" xfId="703"/>
    <cellStyle name="40% - Accent3 40" xfId="704"/>
    <cellStyle name="40% - Accent3 41" xfId="705"/>
    <cellStyle name="40% - Accent3 42" xfId="706"/>
    <cellStyle name="40% - Accent3 43" xfId="707"/>
    <cellStyle name="40% - Accent3 44" xfId="708"/>
    <cellStyle name="40% - Accent3 45" xfId="709"/>
    <cellStyle name="40% - Accent3 46" xfId="710"/>
    <cellStyle name="40% - Accent3 47" xfId="711"/>
    <cellStyle name="40% - Accent3 48" xfId="712"/>
    <cellStyle name="40% - Accent3 49" xfId="713"/>
    <cellStyle name="40% - Accent3 5" xfId="714"/>
    <cellStyle name="40% - Accent3 50" xfId="715"/>
    <cellStyle name="40% - Accent3 51" xfId="716"/>
    <cellStyle name="40% - Accent3 52" xfId="717"/>
    <cellStyle name="40% - Accent3 53" xfId="718"/>
    <cellStyle name="40% - Accent3 54" xfId="719"/>
    <cellStyle name="40% - Accent3 55" xfId="720"/>
    <cellStyle name="40% - Accent3 56" xfId="721"/>
    <cellStyle name="40% - Accent3 57" xfId="722"/>
    <cellStyle name="40% - Accent3 58" xfId="723"/>
    <cellStyle name="40% - Accent3 59" xfId="724"/>
    <cellStyle name="40% - Accent3 6" xfId="725"/>
    <cellStyle name="40% - Accent3 60" xfId="726"/>
    <cellStyle name="40% - Accent3 61" xfId="727"/>
    <cellStyle name="40% - Accent3 62" xfId="728"/>
    <cellStyle name="40% - Accent3 63" xfId="729"/>
    <cellStyle name="40% - Accent3 64" xfId="730"/>
    <cellStyle name="40% - Accent3 65" xfId="731"/>
    <cellStyle name="40% - Accent3 66" xfId="732"/>
    <cellStyle name="40% - Accent3 67" xfId="733"/>
    <cellStyle name="40% - Accent3 68" xfId="734"/>
    <cellStyle name="40% - Accent3 7" xfId="735"/>
    <cellStyle name="40% - Accent3 8" xfId="736"/>
    <cellStyle name="40% - Accent3 9" xfId="737"/>
    <cellStyle name="40% - Accent4 10" xfId="738"/>
    <cellStyle name="40% - Accent4 11" xfId="739"/>
    <cellStyle name="40% - Accent4 12" xfId="740"/>
    <cellStyle name="40% - Accent4 13" xfId="741"/>
    <cellStyle name="40% - Accent4 14" xfId="742"/>
    <cellStyle name="40% - Accent4 15" xfId="743"/>
    <cellStyle name="40% - Accent4 16" xfId="744"/>
    <cellStyle name="40% - Accent4 17" xfId="745"/>
    <cellStyle name="40% - Accent4 18" xfId="746"/>
    <cellStyle name="40% - Accent4 19" xfId="747"/>
    <cellStyle name="40% - Accent4 2" xfId="748"/>
    <cellStyle name="40% - Accent4 20" xfId="749"/>
    <cellStyle name="40% - Accent4 21" xfId="750"/>
    <cellStyle name="40% - Accent4 22" xfId="751"/>
    <cellStyle name="40% - Accent4 23" xfId="752"/>
    <cellStyle name="40% - Accent4 24" xfId="753"/>
    <cellStyle name="40% - Accent4 25" xfId="754"/>
    <cellStyle name="40% - Accent4 26" xfId="755"/>
    <cellStyle name="40% - Accent4 27" xfId="756"/>
    <cellStyle name="40% - Accent4 28" xfId="757"/>
    <cellStyle name="40% - Accent4 29" xfId="758"/>
    <cellStyle name="40% - Accent4 3" xfId="759"/>
    <cellStyle name="40% - Accent4 30" xfId="760"/>
    <cellStyle name="40% - Accent4 31" xfId="761"/>
    <cellStyle name="40% - Accent4 32" xfId="762"/>
    <cellStyle name="40% - Accent4 33" xfId="763"/>
    <cellStyle name="40% - Accent4 34" xfId="764"/>
    <cellStyle name="40% - Accent4 35" xfId="765"/>
    <cellStyle name="40% - Accent4 36" xfId="766"/>
    <cellStyle name="40% - Accent4 37" xfId="767"/>
    <cellStyle name="40% - Accent4 38" xfId="768"/>
    <cellStyle name="40% - Accent4 39" xfId="769"/>
    <cellStyle name="40% - Accent4 4" xfId="770"/>
    <cellStyle name="40% - Accent4 40" xfId="771"/>
    <cellStyle name="40% - Accent4 41" xfId="772"/>
    <cellStyle name="40% - Accent4 42" xfId="773"/>
    <cellStyle name="40% - Accent4 43" xfId="774"/>
    <cellStyle name="40% - Accent4 44" xfId="775"/>
    <cellStyle name="40% - Accent4 45" xfId="776"/>
    <cellStyle name="40% - Accent4 46" xfId="777"/>
    <cellStyle name="40% - Accent4 47" xfId="778"/>
    <cellStyle name="40% - Accent4 48" xfId="779"/>
    <cellStyle name="40% - Accent4 49" xfId="780"/>
    <cellStyle name="40% - Accent4 5" xfId="781"/>
    <cellStyle name="40% - Accent4 50" xfId="782"/>
    <cellStyle name="40% - Accent4 51" xfId="783"/>
    <cellStyle name="40% - Accent4 52" xfId="784"/>
    <cellStyle name="40% - Accent4 53" xfId="785"/>
    <cellStyle name="40% - Accent4 54" xfId="786"/>
    <cellStyle name="40% - Accent4 55" xfId="787"/>
    <cellStyle name="40% - Accent4 56" xfId="788"/>
    <cellStyle name="40% - Accent4 57" xfId="789"/>
    <cellStyle name="40% - Accent4 58" xfId="790"/>
    <cellStyle name="40% - Accent4 59" xfId="791"/>
    <cellStyle name="40% - Accent4 6" xfId="792"/>
    <cellStyle name="40% - Accent4 60" xfId="793"/>
    <cellStyle name="40% - Accent4 61" xfId="794"/>
    <cellStyle name="40% - Accent4 62" xfId="795"/>
    <cellStyle name="40% - Accent4 63" xfId="796"/>
    <cellStyle name="40% - Accent4 64" xfId="797"/>
    <cellStyle name="40% - Accent4 65" xfId="798"/>
    <cellStyle name="40% - Accent4 66" xfId="799"/>
    <cellStyle name="40% - Accent4 67" xfId="800"/>
    <cellStyle name="40% - Accent4 68" xfId="801"/>
    <cellStyle name="40% - Accent4 7" xfId="802"/>
    <cellStyle name="40% - Accent4 8" xfId="803"/>
    <cellStyle name="40% - Accent4 9" xfId="804"/>
    <cellStyle name="40% - Accent5 10" xfId="805"/>
    <cellStyle name="40% - Accent5 11" xfId="806"/>
    <cellStyle name="40% - Accent5 12" xfId="807"/>
    <cellStyle name="40% - Accent5 13" xfId="808"/>
    <cellStyle name="40% - Accent5 14" xfId="809"/>
    <cellStyle name="40% - Accent5 15" xfId="810"/>
    <cellStyle name="40% - Accent5 16" xfId="811"/>
    <cellStyle name="40% - Accent5 17" xfId="812"/>
    <cellStyle name="40% - Accent5 18" xfId="813"/>
    <cellStyle name="40% - Accent5 19" xfId="814"/>
    <cellStyle name="40% - Accent5 2" xfId="815"/>
    <cellStyle name="40% - Accent5 20" xfId="816"/>
    <cellStyle name="40% - Accent5 21" xfId="817"/>
    <cellStyle name="40% - Accent5 22" xfId="818"/>
    <cellStyle name="40% - Accent5 23" xfId="819"/>
    <cellStyle name="40% - Accent5 24" xfId="820"/>
    <cellStyle name="40% - Accent5 25" xfId="821"/>
    <cellStyle name="40% - Accent5 26" xfId="822"/>
    <cellStyle name="40% - Accent5 27" xfId="823"/>
    <cellStyle name="40% - Accent5 28" xfId="824"/>
    <cellStyle name="40% - Accent5 29" xfId="825"/>
    <cellStyle name="40% - Accent5 3" xfId="826"/>
    <cellStyle name="40% - Accent5 30" xfId="827"/>
    <cellStyle name="40% - Accent5 31" xfId="828"/>
    <cellStyle name="40% - Accent5 32" xfId="829"/>
    <cellStyle name="40% - Accent5 33" xfId="830"/>
    <cellStyle name="40% - Accent5 34" xfId="831"/>
    <cellStyle name="40% - Accent5 35" xfId="832"/>
    <cellStyle name="40% - Accent5 36" xfId="833"/>
    <cellStyle name="40% - Accent5 37" xfId="834"/>
    <cellStyle name="40% - Accent5 38" xfId="835"/>
    <cellStyle name="40% - Accent5 39" xfId="836"/>
    <cellStyle name="40% - Accent5 4" xfId="837"/>
    <cellStyle name="40% - Accent5 40" xfId="838"/>
    <cellStyle name="40% - Accent5 41" xfId="839"/>
    <cellStyle name="40% - Accent5 42" xfId="840"/>
    <cellStyle name="40% - Accent5 43" xfId="841"/>
    <cellStyle name="40% - Accent5 44" xfId="842"/>
    <cellStyle name="40% - Accent5 45" xfId="843"/>
    <cellStyle name="40% - Accent5 46" xfId="844"/>
    <cellStyle name="40% - Accent5 47" xfId="845"/>
    <cellStyle name="40% - Accent5 48" xfId="846"/>
    <cellStyle name="40% - Accent5 49" xfId="847"/>
    <cellStyle name="40% - Accent5 5" xfId="848"/>
    <cellStyle name="40% - Accent5 50" xfId="849"/>
    <cellStyle name="40% - Accent5 51" xfId="850"/>
    <cellStyle name="40% - Accent5 52" xfId="851"/>
    <cellStyle name="40% - Accent5 53" xfId="852"/>
    <cellStyle name="40% - Accent5 54" xfId="853"/>
    <cellStyle name="40% - Accent5 55" xfId="854"/>
    <cellStyle name="40% - Accent5 56" xfId="855"/>
    <cellStyle name="40% - Accent5 57" xfId="856"/>
    <cellStyle name="40% - Accent5 58" xfId="857"/>
    <cellStyle name="40% - Accent5 59" xfId="858"/>
    <cellStyle name="40% - Accent5 6" xfId="859"/>
    <cellStyle name="40% - Accent5 60" xfId="860"/>
    <cellStyle name="40% - Accent5 61" xfId="861"/>
    <cellStyle name="40% - Accent5 62" xfId="862"/>
    <cellStyle name="40% - Accent5 63" xfId="863"/>
    <cellStyle name="40% - Accent5 64" xfId="864"/>
    <cellStyle name="40% - Accent5 65" xfId="865"/>
    <cellStyle name="40% - Accent5 66" xfId="866"/>
    <cellStyle name="40% - Accent5 67" xfId="867"/>
    <cellStyle name="40% - Accent5 68" xfId="868"/>
    <cellStyle name="40% - Accent5 7" xfId="869"/>
    <cellStyle name="40% - Accent5 8" xfId="870"/>
    <cellStyle name="40% - Accent5 9" xfId="871"/>
    <cellStyle name="40% - Accent6 10" xfId="872"/>
    <cellStyle name="40% - Accent6 11" xfId="873"/>
    <cellStyle name="40% - Accent6 12" xfId="874"/>
    <cellStyle name="40% - Accent6 13" xfId="875"/>
    <cellStyle name="40% - Accent6 14" xfId="876"/>
    <cellStyle name="40% - Accent6 15" xfId="877"/>
    <cellStyle name="40% - Accent6 16" xfId="878"/>
    <cellStyle name="40% - Accent6 17" xfId="879"/>
    <cellStyle name="40% - Accent6 18" xfId="880"/>
    <cellStyle name="40% - Accent6 19" xfId="881"/>
    <cellStyle name="40% - Accent6 2" xfId="882"/>
    <cellStyle name="40% - Accent6 20" xfId="883"/>
    <cellStyle name="40% - Accent6 21" xfId="884"/>
    <cellStyle name="40% - Accent6 22" xfId="885"/>
    <cellStyle name="40% - Accent6 23" xfId="886"/>
    <cellStyle name="40% - Accent6 24" xfId="887"/>
    <cellStyle name="40% - Accent6 25" xfId="888"/>
    <cellStyle name="40% - Accent6 26" xfId="889"/>
    <cellStyle name="40% - Accent6 27" xfId="890"/>
    <cellStyle name="40% - Accent6 28" xfId="891"/>
    <cellStyle name="40% - Accent6 29" xfId="892"/>
    <cellStyle name="40% - Accent6 3" xfId="893"/>
    <cellStyle name="40% - Accent6 30" xfId="894"/>
    <cellStyle name="40% - Accent6 31" xfId="895"/>
    <cellStyle name="40% - Accent6 32" xfId="896"/>
    <cellStyle name="40% - Accent6 33" xfId="897"/>
    <cellStyle name="40% - Accent6 34" xfId="898"/>
    <cellStyle name="40% - Accent6 35" xfId="899"/>
    <cellStyle name="40% - Accent6 36" xfId="900"/>
    <cellStyle name="40% - Accent6 37" xfId="901"/>
    <cellStyle name="40% - Accent6 38" xfId="902"/>
    <cellStyle name="40% - Accent6 39" xfId="903"/>
    <cellStyle name="40% - Accent6 4" xfId="904"/>
    <cellStyle name="40% - Accent6 40" xfId="905"/>
    <cellStyle name="40% - Accent6 41" xfId="906"/>
    <cellStyle name="40% - Accent6 42" xfId="907"/>
    <cellStyle name="40% - Accent6 43" xfId="908"/>
    <cellStyle name="40% - Accent6 44" xfId="909"/>
    <cellStyle name="40% - Accent6 45" xfId="910"/>
    <cellStyle name="40% - Accent6 46" xfId="911"/>
    <cellStyle name="40% - Accent6 47" xfId="912"/>
    <cellStyle name="40% - Accent6 48" xfId="913"/>
    <cellStyle name="40% - Accent6 49" xfId="914"/>
    <cellStyle name="40% - Accent6 5" xfId="915"/>
    <cellStyle name="40% - Accent6 50" xfId="916"/>
    <cellStyle name="40% - Accent6 51" xfId="917"/>
    <cellStyle name="40% - Accent6 52" xfId="918"/>
    <cellStyle name="40% - Accent6 53" xfId="919"/>
    <cellStyle name="40% - Accent6 54" xfId="920"/>
    <cellStyle name="40% - Accent6 55" xfId="921"/>
    <cellStyle name="40% - Accent6 56" xfId="922"/>
    <cellStyle name="40% - Accent6 57" xfId="923"/>
    <cellStyle name="40% - Accent6 58" xfId="924"/>
    <cellStyle name="40% - Accent6 59" xfId="925"/>
    <cellStyle name="40% - Accent6 6" xfId="926"/>
    <cellStyle name="40% - Accent6 60" xfId="927"/>
    <cellStyle name="40% - Accent6 61" xfId="928"/>
    <cellStyle name="40% - Accent6 62" xfId="929"/>
    <cellStyle name="40% - Accent6 63" xfId="930"/>
    <cellStyle name="40% - Accent6 64" xfId="931"/>
    <cellStyle name="40% - Accent6 65" xfId="932"/>
    <cellStyle name="40% - Accent6 66" xfId="933"/>
    <cellStyle name="40% - Accent6 67" xfId="934"/>
    <cellStyle name="40% - Accent6 68" xfId="935"/>
    <cellStyle name="40% - Accent6 7" xfId="936"/>
    <cellStyle name="40% - Accent6 8" xfId="937"/>
    <cellStyle name="40% - Accent6 9" xfId="938"/>
    <cellStyle name="4Decimals" xfId="939"/>
    <cellStyle name="60% - Accent1 2" xfId="940"/>
    <cellStyle name="60% - Accent1 3" xfId="941"/>
    <cellStyle name="60% - Accent2 2" xfId="942"/>
    <cellStyle name="60% - Accent2 3" xfId="943"/>
    <cellStyle name="60% - Accent3 2" xfId="944"/>
    <cellStyle name="60% - Accent3 3" xfId="945"/>
    <cellStyle name="60% - Accent4 2" xfId="946"/>
    <cellStyle name="60% - Accent4 3" xfId="947"/>
    <cellStyle name="60% - Accent5 2" xfId="948"/>
    <cellStyle name="60% - Accent5 3" xfId="949"/>
    <cellStyle name="60% - Accent6 2" xfId="950"/>
    <cellStyle name="60% - Accent6 3" xfId="951"/>
    <cellStyle name="Accent1 2" xfId="952"/>
    <cellStyle name="Accent1 3" xfId="953"/>
    <cellStyle name="Accent2 2" xfId="954"/>
    <cellStyle name="Accent2 3" xfId="955"/>
    <cellStyle name="Accent3 2" xfId="956"/>
    <cellStyle name="Accent3 3" xfId="957"/>
    <cellStyle name="Accent4 2" xfId="958"/>
    <cellStyle name="Accent4 3" xfId="959"/>
    <cellStyle name="Accent5 2" xfId="960"/>
    <cellStyle name="Accent5 3" xfId="961"/>
    <cellStyle name="Accent6 2" xfId="962"/>
    <cellStyle name="Accent6 3" xfId="963"/>
    <cellStyle name="AsPercent" xfId="964"/>
    <cellStyle name="AsPercentCenter" xfId="965"/>
    <cellStyle name="BackGround" xfId="966"/>
    <cellStyle name="Bad 2" xfId="967"/>
    <cellStyle name="Bad 3" xfId="968"/>
    <cellStyle name="Basic" xfId="969"/>
    <cellStyle name="Basic - Style1" xfId="970"/>
    <cellStyle name="cajun" xfId="971"/>
    <cellStyle name="cajun 2" xfId="972"/>
    <cellStyle name="cajun 2 2" xfId="973"/>
    <cellStyle name="cajun 2 3" xfId="974"/>
    <cellStyle name="Calculation 2" xfId="975"/>
    <cellStyle name="Calculation 3" xfId="976"/>
    <cellStyle name="cd" xfId="977"/>
    <cellStyle name="Check Cell 2" xfId="978"/>
    <cellStyle name="Check Cell 3" xfId="979"/>
    <cellStyle name="ColumnHeader" xfId="980"/>
    <cellStyle name="ColumnHeaderCenter" xfId="981"/>
    <cellStyle name="ColumnHeaderUnderline" xfId="982"/>
    <cellStyle name="ColumnMath" xfId="983"/>
    <cellStyle name="ColumnMath 2" xfId="984"/>
    <cellStyle name="Comma" xfId="985" builtinId="3"/>
    <cellStyle name="Comma [1]" xfId="986"/>
    <cellStyle name="Comma 10" xfId="987"/>
    <cellStyle name="Comma 10 2" xfId="988"/>
    <cellStyle name="Comma 11" xfId="989"/>
    <cellStyle name="Comma 11 2" xfId="990"/>
    <cellStyle name="Comma 11 3" xfId="991"/>
    <cellStyle name="Comma 12" xfId="992"/>
    <cellStyle name="Comma 12 2" xfId="993"/>
    <cellStyle name="Comma 12 3" xfId="994"/>
    <cellStyle name="Comma 13" xfId="995"/>
    <cellStyle name="Comma 14" xfId="996"/>
    <cellStyle name="Comma 15" xfId="997"/>
    <cellStyle name="Comma 16" xfId="998"/>
    <cellStyle name="Comma 17" xfId="999"/>
    <cellStyle name="Comma 18" xfId="1000"/>
    <cellStyle name="Comma 19" xfId="1001"/>
    <cellStyle name="Comma 2" xfId="1002"/>
    <cellStyle name="Comma 2 2" xfId="1003"/>
    <cellStyle name="Comma 2 2 2" xfId="1004"/>
    <cellStyle name="Comma 2 3" xfId="1005"/>
    <cellStyle name="Comma 20" xfId="1006"/>
    <cellStyle name="Comma 21" xfId="1007"/>
    <cellStyle name="Comma 22" xfId="1008"/>
    <cellStyle name="Comma 23" xfId="1009"/>
    <cellStyle name="Comma 24" xfId="1010"/>
    <cellStyle name="Comma 25" xfId="1011"/>
    <cellStyle name="Comma 26" xfId="1012"/>
    <cellStyle name="Comma 27" xfId="1013"/>
    <cellStyle name="Comma 28" xfId="1014"/>
    <cellStyle name="Comma 29" xfId="1015"/>
    <cellStyle name="Comma 3" xfId="1016"/>
    <cellStyle name="Comma 3 2" xfId="1017"/>
    <cellStyle name="Comma 3 3" xfId="1018"/>
    <cellStyle name="Comma 3_11 APCo Impact Summary - 10-30" xfId="1019"/>
    <cellStyle name="Comma 30" xfId="1020"/>
    <cellStyle name="Comma 31" xfId="1021"/>
    <cellStyle name="Comma 32" xfId="1022"/>
    <cellStyle name="Comma 33" xfId="1023"/>
    <cellStyle name="Comma 34" xfId="1024"/>
    <cellStyle name="Comma 35" xfId="1025"/>
    <cellStyle name="Comma 36" xfId="1026"/>
    <cellStyle name="Comma 37" xfId="1027"/>
    <cellStyle name="Comma 38" xfId="1028"/>
    <cellStyle name="Comma 39" xfId="1029"/>
    <cellStyle name="Comma 4" xfId="1030"/>
    <cellStyle name="Comma 4 2" xfId="1031"/>
    <cellStyle name="Comma 4_Amos 3 Forecast" xfId="1032"/>
    <cellStyle name="Comma 40" xfId="1033"/>
    <cellStyle name="Comma 41" xfId="1034"/>
    <cellStyle name="Comma 42" xfId="1035"/>
    <cellStyle name="Comma 43" xfId="1036"/>
    <cellStyle name="Comma 44" xfId="1037"/>
    <cellStyle name="Comma 45" xfId="1038"/>
    <cellStyle name="Comma 46" xfId="1039"/>
    <cellStyle name="Comma 47" xfId="1040"/>
    <cellStyle name="Comma 48" xfId="1041"/>
    <cellStyle name="Comma 5" xfId="1042"/>
    <cellStyle name="Comma 5 2" xfId="1043"/>
    <cellStyle name="Comma 6" xfId="1044"/>
    <cellStyle name="Comma 6 2" xfId="1045"/>
    <cellStyle name="Comma 6 2 2" xfId="1046"/>
    <cellStyle name="Comma 6 3" xfId="1047"/>
    <cellStyle name="Comma 7" xfId="1048"/>
    <cellStyle name="Comma 7 2" xfId="1049"/>
    <cellStyle name="Comma 8" xfId="1050"/>
    <cellStyle name="Comma 8 2" xfId="1051"/>
    <cellStyle name="Comma 9" xfId="1052"/>
    <cellStyle name="Comma 9 2" xfId="1053"/>
    <cellStyle name="Comma_~6724422" xfId="1054"/>
    <cellStyle name="Comma0" xfId="1055"/>
    <cellStyle name="Comma0 - Style3" xfId="1056"/>
    <cellStyle name="ContentsHyperlink" xfId="1057"/>
    <cellStyle name="Currency" xfId="1058" builtinId="4"/>
    <cellStyle name="Currency [1]" xfId="1059"/>
    <cellStyle name="Currency [2]" xfId="1060"/>
    <cellStyle name="Currency 10" xfId="1061"/>
    <cellStyle name="Currency 10 2" xfId="1062"/>
    <cellStyle name="Currency 10 3" xfId="1063"/>
    <cellStyle name="Currency 11" xfId="1064"/>
    <cellStyle name="Currency 12" xfId="1065"/>
    <cellStyle name="Currency 13" xfId="1066"/>
    <cellStyle name="Currency 14" xfId="1067"/>
    <cellStyle name="Currency 15" xfId="1068"/>
    <cellStyle name="Currency 16" xfId="1069"/>
    <cellStyle name="Currency 17" xfId="1070"/>
    <cellStyle name="Currency 18" xfId="1071"/>
    <cellStyle name="Currency 19" xfId="1072"/>
    <cellStyle name="Currency 2" xfId="1073"/>
    <cellStyle name="Currency 2 2" xfId="1074"/>
    <cellStyle name="Currency 2 3" xfId="1075"/>
    <cellStyle name="Currency 20" xfId="1076"/>
    <cellStyle name="Currency 21" xfId="1077"/>
    <cellStyle name="Currency 22" xfId="1078"/>
    <cellStyle name="Currency 23" xfId="1079"/>
    <cellStyle name="Currency 24" xfId="1080"/>
    <cellStyle name="Currency 25" xfId="1081"/>
    <cellStyle name="Currency 26" xfId="1082"/>
    <cellStyle name="Currency 27" xfId="1083"/>
    <cellStyle name="Currency 28" xfId="1084"/>
    <cellStyle name="Currency 29" xfId="1085"/>
    <cellStyle name="Currency 3" xfId="1086"/>
    <cellStyle name="Currency 3 2" xfId="1087"/>
    <cellStyle name="Currency 3_Amos 3 Forecast" xfId="1088"/>
    <cellStyle name="Currency 30" xfId="1089"/>
    <cellStyle name="Currency 31" xfId="1090"/>
    <cellStyle name="Currency 32" xfId="1091"/>
    <cellStyle name="Currency 33" xfId="1092"/>
    <cellStyle name="Currency 34" xfId="1093"/>
    <cellStyle name="Currency 35" xfId="1094"/>
    <cellStyle name="Currency 36" xfId="1095"/>
    <cellStyle name="Currency 37" xfId="1096"/>
    <cellStyle name="Currency 38" xfId="1097"/>
    <cellStyle name="Currency 39" xfId="1098"/>
    <cellStyle name="Currency 4" xfId="1099"/>
    <cellStyle name="Currency 4 2" xfId="1100"/>
    <cellStyle name="Currency 4 2 2" xfId="1101"/>
    <cellStyle name="Currency 4 3" xfId="1102"/>
    <cellStyle name="Currency 40" xfId="1103"/>
    <cellStyle name="Currency 41" xfId="1104"/>
    <cellStyle name="Currency 42" xfId="1105"/>
    <cellStyle name="Currency 43" xfId="1106"/>
    <cellStyle name="Currency 44" xfId="1107"/>
    <cellStyle name="Currency 45" xfId="1108"/>
    <cellStyle name="Currency 46" xfId="1109"/>
    <cellStyle name="Currency 47" xfId="1110"/>
    <cellStyle name="Currency 48" xfId="1111"/>
    <cellStyle name="Currency 49" xfId="1112"/>
    <cellStyle name="Currency 5" xfId="1113"/>
    <cellStyle name="Currency 5 2" xfId="1114"/>
    <cellStyle name="Currency 50" xfId="1115"/>
    <cellStyle name="Currency 51" xfId="1116"/>
    <cellStyle name="Currency 52" xfId="1117"/>
    <cellStyle name="Currency 6" xfId="1118"/>
    <cellStyle name="Currency 6 2" xfId="1119"/>
    <cellStyle name="Currency 7" xfId="1120"/>
    <cellStyle name="Currency 7 2" xfId="1121"/>
    <cellStyle name="Currency 8" xfId="1122"/>
    <cellStyle name="Currency 8 2" xfId="1123"/>
    <cellStyle name="Currency 9" xfId="1124"/>
    <cellStyle name="Currency 9 2" xfId="1125"/>
    <cellStyle name="Currency 9 3" xfId="1126"/>
    <cellStyle name="Currency0" xfId="1127"/>
    <cellStyle name="DATA TYPE" xfId="1128"/>
    <cellStyle name="Date" xfId="1129"/>
    <cellStyle name="Date [mm-d-yyyy]" xfId="1130"/>
    <cellStyle name="Date [mmm-d-yyyy]" xfId="1131"/>
    <cellStyle name="Date [mmm-yyyy]" xfId="1132"/>
    <cellStyle name="Date_2011 baseline" xfId="1133"/>
    <cellStyle name="Date2" xfId="1134"/>
    <cellStyle name="DateTime24H" xfId="1135"/>
    <cellStyle name="dohm" xfId="1136"/>
    <cellStyle name="dohm1" xfId="1137"/>
    <cellStyle name="dohm2" xfId="1138"/>
    <cellStyle name="Dollars" xfId="1139"/>
    <cellStyle name="DOUBLE" xfId="1140"/>
    <cellStyle name="Euro" xfId="1141"/>
    <cellStyle name="Euro 2" xfId="1142"/>
    <cellStyle name="Explanatory Text 2" xfId="1143"/>
    <cellStyle name="Explanatory Text 3" xfId="1144"/>
    <cellStyle name="file" xfId="1145"/>
    <cellStyle name="Fixed" xfId="1146"/>
    <cellStyle name="Fixed [0]" xfId="1147"/>
    <cellStyle name="Fixed_2011 baseline" xfId="1148"/>
    <cellStyle name="Fixed2 - Style2" xfId="1149"/>
    <cellStyle name="FUEL SUBTOTAL" xfId="1150"/>
    <cellStyle name="FUEL TYPE" xfId="1151"/>
    <cellStyle name="Good 2" xfId="1152"/>
    <cellStyle name="Good 3" xfId="1153"/>
    <cellStyle name="Heading 1 2" xfId="1154"/>
    <cellStyle name="Heading 1 3" xfId="1155"/>
    <cellStyle name="Heading 2 2" xfId="1156"/>
    <cellStyle name="Heading 2 3" xfId="1157"/>
    <cellStyle name="Heading 3 2" xfId="1158"/>
    <cellStyle name="Heading 3 3" xfId="1159"/>
    <cellStyle name="Heading 4 2" xfId="1160"/>
    <cellStyle name="Heading 4 3" xfId="1161"/>
    <cellStyle name="Heading1" xfId="1162"/>
    <cellStyle name="Heading2" xfId="1163"/>
    <cellStyle name="HspRow" xfId="1164"/>
    <cellStyle name="Hyperlink 2" xfId="1165"/>
    <cellStyle name="Input 2" xfId="1166"/>
    <cellStyle name="Input 3" xfId="1167"/>
    <cellStyle name="Linked Cell 2" xfId="1168"/>
    <cellStyle name="Linked Cell 3" xfId="1169"/>
    <cellStyle name="Multiple [1]" xfId="1170"/>
    <cellStyle name="NA is zero" xfId="1171"/>
    <cellStyle name="Neutral 2" xfId="1172"/>
    <cellStyle name="Neutral 3" xfId="1173"/>
    <cellStyle name="Normal" xfId="0" builtinId="0"/>
    <cellStyle name="Normal - Style2" xfId="1174"/>
    <cellStyle name="Normal - Style3" xfId="1175"/>
    <cellStyle name="Normal [0]" xfId="1176"/>
    <cellStyle name="Normal [1]" xfId="1177"/>
    <cellStyle name="Normal [2]" xfId="1178"/>
    <cellStyle name="Normal [3]" xfId="1179"/>
    <cellStyle name="Normal 10" xfId="1180"/>
    <cellStyle name="Normal 10 2" xfId="1181"/>
    <cellStyle name="Normal 10 3" xfId="1182"/>
    <cellStyle name="Normal 10 4" xfId="1183"/>
    <cellStyle name="Normal 10 5" xfId="1184"/>
    <cellStyle name="Normal 10 6" xfId="1185"/>
    <cellStyle name="Normal 10_2011 baseline" xfId="1186"/>
    <cellStyle name="Normal 100" xfId="1187"/>
    <cellStyle name="Normal 101" xfId="1188"/>
    <cellStyle name="Normal 102" xfId="1189"/>
    <cellStyle name="Normal 103" xfId="1190"/>
    <cellStyle name="Normal 104" xfId="1191"/>
    <cellStyle name="Normal 105" xfId="1192"/>
    <cellStyle name="Normal 106" xfId="1193"/>
    <cellStyle name="Normal 107" xfId="1194"/>
    <cellStyle name="Normal 108" xfId="1195"/>
    <cellStyle name="Normal 109" xfId="1196"/>
    <cellStyle name="Normal 11" xfId="1197"/>
    <cellStyle name="Normal 11 2" xfId="1198"/>
    <cellStyle name="Normal 11 3" xfId="1199"/>
    <cellStyle name="Normal 11 4" xfId="1200"/>
    <cellStyle name="Normal 11 5" xfId="1201"/>
    <cellStyle name="Normal 11 6" xfId="1202"/>
    <cellStyle name="Normal 11_2011 baseline" xfId="1203"/>
    <cellStyle name="Normal 110" xfId="1204"/>
    <cellStyle name="Normal 111" xfId="1205"/>
    <cellStyle name="Normal 112" xfId="1206"/>
    <cellStyle name="Normal 113" xfId="1207"/>
    <cellStyle name="Normal 114" xfId="1208"/>
    <cellStyle name="Normal 115" xfId="1209"/>
    <cellStyle name="Normal 116" xfId="1210"/>
    <cellStyle name="Normal 117" xfId="1211"/>
    <cellStyle name="Normal 118" xfId="1212"/>
    <cellStyle name="Normal 119" xfId="1213"/>
    <cellStyle name="Normal 12" xfId="1214"/>
    <cellStyle name="Normal 12 2" xfId="1215"/>
    <cellStyle name="Normal 12 3" xfId="1216"/>
    <cellStyle name="Normal 12 4" xfId="1217"/>
    <cellStyle name="Normal 12 5" xfId="1218"/>
    <cellStyle name="Normal 12 6" xfId="1219"/>
    <cellStyle name="Normal 12_2011 baseline" xfId="1220"/>
    <cellStyle name="Normal 120" xfId="1221"/>
    <cellStyle name="Normal 121" xfId="1222"/>
    <cellStyle name="Normal 122" xfId="1223"/>
    <cellStyle name="Normal 123" xfId="1224"/>
    <cellStyle name="Normal 124" xfId="1225"/>
    <cellStyle name="Normal 124 2" xfId="1226"/>
    <cellStyle name="Normal 13" xfId="1227"/>
    <cellStyle name="Normal 13 11" xfId="1228"/>
    <cellStyle name="Normal 13 2" xfId="1229"/>
    <cellStyle name="Normal 13 3" xfId="1230"/>
    <cellStyle name="Normal 13 4" xfId="1231"/>
    <cellStyle name="Normal 13 5" xfId="1232"/>
    <cellStyle name="Normal 13 6" xfId="1233"/>
    <cellStyle name="Normal 13_2011 baseline" xfId="1234"/>
    <cellStyle name="Normal 131" xfId="1235"/>
    <cellStyle name="Normal 14" xfId="1236"/>
    <cellStyle name="Normal 14 2" xfId="1237"/>
    <cellStyle name="Normal 14 3" xfId="1238"/>
    <cellStyle name="Normal 14 4" xfId="1239"/>
    <cellStyle name="Normal 14 5" xfId="1240"/>
    <cellStyle name="Normal 14 6" xfId="1241"/>
    <cellStyle name="Normal 14_2011 baseline" xfId="1242"/>
    <cellStyle name="Normal 15" xfId="1243"/>
    <cellStyle name="Normal 15 2" xfId="1244"/>
    <cellStyle name="Normal 15 3" xfId="1245"/>
    <cellStyle name="Normal 15 4" xfId="1246"/>
    <cellStyle name="Normal 15 5" xfId="1247"/>
    <cellStyle name="Normal 15 6" xfId="1248"/>
    <cellStyle name="Normal 15_2011 baseline" xfId="1249"/>
    <cellStyle name="Normal 16" xfId="1250"/>
    <cellStyle name="Normal 16 2" xfId="1251"/>
    <cellStyle name="Normal 16 3" xfId="1252"/>
    <cellStyle name="Normal 16 4" xfId="1253"/>
    <cellStyle name="Normal 16 5" xfId="1254"/>
    <cellStyle name="Normal 16 6" xfId="1255"/>
    <cellStyle name="Normal 16_2011 baseline" xfId="1256"/>
    <cellStyle name="Normal 17" xfId="1257"/>
    <cellStyle name="Normal 17 2" xfId="1258"/>
    <cellStyle name="Normal 17 3" xfId="1259"/>
    <cellStyle name="Normal 17 4" xfId="1260"/>
    <cellStyle name="Normal 17 5" xfId="1261"/>
    <cellStyle name="Normal 17 6" xfId="1262"/>
    <cellStyle name="Normal 17_2011 baseline" xfId="1263"/>
    <cellStyle name="Normal 171" xfId="1264"/>
    <cellStyle name="Normal 173" xfId="1265"/>
    <cellStyle name="Normal 18" xfId="1266"/>
    <cellStyle name="Normal 18 2" xfId="1267"/>
    <cellStyle name="Normal 18 3" xfId="1268"/>
    <cellStyle name="Normal 18 4" xfId="1269"/>
    <cellStyle name="Normal 18 5" xfId="1270"/>
    <cellStyle name="Normal 18 6" xfId="1271"/>
    <cellStyle name="Normal 18_2011 baseline" xfId="1272"/>
    <cellStyle name="Normal 19" xfId="1273"/>
    <cellStyle name="Normal 19 2" xfId="1274"/>
    <cellStyle name="Normal 19 3" xfId="1275"/>
    <cellStyle name="Normal 19 4" xfId="1276"/>
    <cellStyle name="Normal 19 5" xfId="1277"/>
    <cellStyle name="Normal 19 6" xfId="1278"/>
    <cellStyle name="Normal 19_2011 baseline" xfId="1279"/>
    <cellStyle name="Normal 2" xfId="1280"/>
    <cellStyle name="Normal 2 12" xfId="1281"/>
    <cellStyle name="Normal 2 19" xfId="1282"/>
    <cellStyle name="Normal 2 2" xfId="1283"/>
    <cellStyle name="Normal 2 2 2" xfId="1284"/>
    <cellStyle name="Normal 2 2 3" xfId="1285"/>
    <cellStyle name="Normal 2 2 4" xfId="1286"/>
    <cellStyle name="Normal 2 2 5" xfId="1287"/>
    <cellStyle name="Normal 2 2 6" xfId="1288"/>
    <cellStyle name="Normal 2 2_11 APCo Impact Summary - 10-30" xfId="1289"/>
    <cellStyle name="Normal 2 3" xfId="1290"/>
    <cellStyle name="Normal 2 3 2" xfId="1291"/>
    <cellStyle name="Normal 2 3 3" xfId="1292"/>
    <cellStyle name="Normal 2 3_2011 baseline" xfId="1293"/>
    <cellStyle name="Normal 2 4" xfId="1294"/>
    <cellStyle name="Normal 2 5" xfId="1295"/>
    <cellStyle name="Normal 2 6" xfId="1296"/>
    <cellStyle name="Normal 2 7" xfId="1297"/>
    <cellStyle name="Normal 2 8" xfId="1298"/>
    <cellStyle name="Normal 2 8 2" xfId="1299"/>
    <cellStyle name="Normal 2 8_Cal 11 Pool Energy Summary" xfId="1300"/>
    <cellStyle name="Normal 2_11 KPCo Impact Summary - ML 5050 Case V 9-6" xfId="1301"/>
    <cellStyle name="Normal 20" xfId="1302"/>
    <cellStyle name="Normal 20 2" xfId="1303"/>
    <cellStyle name="Normal 20 3" xfId="1304"/>
    <cellStyle name="Normal 20 4" xfId="1305"/>
    <cellStyle name="Normal 20 5" xfId="1306"/>
    <cellStyle name="Normal 20 6" xfId="1307"/>
    <cellStyle name="Normal 20_2011 baseline" xfId="1308"/>
    <cellStyle name="Normal 21" xfId="1309"/>
    <cellStyle name="Normal 21 2" xfId="1310"/>
    <cellStyle name="Normal 21 3" xfId="1311"/>
    <cellStyle name="Normal 21 4" xfId="1312"/>
    <cellStyle name="Normal 21 5" xfId="1313"/>
    <cellStyle name="Normal 21_2011 baseline" xfId="1314"/>
    <cellStyle name="Normal 22" xfId="1315"/>
    <cellStyle name="Normal 22 2" xfId="1316"/>
    <cellStyle name="Normal 22 3" xfId="1317"/>
    <cellStyle name="Normal 22 4" xfId="1318"/>
    <cellStyle name="Normal 22 5" xfId="1319"/>
    <cellStyle name="Normal 22_2011 baseline" xfId="1320"/>
    <cellStyle name="Normal 23" xfId="1321"/>
    <cellStyle name="Normal 23 2" xfId="1322"/>
    <cellStyle name="Normal 23 3" xfId="1323"/>
    <cellStyle name="Normal 23 4" xfId="1324"/>
    <cellStyle name="Normal 23 5" xfId="1325"/>
    <cellStyle name="Normal 23_2011 baseline" xfId="1326"/>
    <cellStyle name="Normal 24" xfId="1327"/>
    <cellStyle name="Normal 24 2" xfId="1328"/>
    <cellStyle name="Normal 24 3" xfId="1329"/>
    <cellStyle name="Normal 24 4" xfId="1330"/>
    <cellStyle name="Normal 24 5" xfId="1331"/>
    <cellStyle name="Normal 24_2011 baseline" xfId="1332"/>
    <cellStyle name="Normal 25" xfId="1333"/>
    <cellStyle name="Normal 25 2" xfId="1334"/>
    <cellStyle name="Normal 25 3" xfId="1335"/>
    <cellStyle name="Normal 25 4" xfId="1336"/>
    <cellStyle name="Normal 25 5" xfId="1337"/>
    <cellStyle name="Normal 25_2011 baseline" xfId="1338"/>
    <cellStyle name="Normal 26" xfId="1339"/>
    <cellStyle name="Normal 26 2" xfId="1340"/>
    <cellStyle name="Normal 26 3" xfId="1341"/>
    <cellStyle name="Normal 26 4" xfId="1342"/>
    <cellStyle name="Normal 26 5" xfId="1343"/>
    <cellStyle name="Normal 26_2011 baseline" xfId="1344"/>
    <cellStyle name="Normal 27" xfId="1345"/>
    <cellStyle name="Normal 27 2" xfId="1346"/>
    <cellStyle name="Normal 27 3" xfId="1347"/>
    <cellStyle name="Normal 27 4" xfId="1348"/>
    <cellStyle name="Normal 27 5" xfId="1349"/>
    <cellStyle name="Normal 27_2011 baseline" xfId="1350"/>
    <cellStyle name="Normal 28" xfId="1351"/>
    <cellStyle name="Normal 28 2" xfId="1352"/>
    <cellStyle name="Normal 28 3" xfId="1353"/>
    <cellStyle name="Normal 28 4" xfId="1354"/>
    <cellStyle name="Normal 28 5" xfId="1355"/>
    <cellStyle name="Normal 28_2011 baseline" xfId="1356"/>
    <cellStyle name="Normal 29" xfId="1357"/>
    <cellStyle name="Normal 29 2" xfId="1358"/>
    <cellStyle name="Normal 29 3" xfId="1359"/>
    <cellStyle name="Normal 29 4" xfId="1360"/>
    <cellStyle name="Normal 29 5" xfId="1361"/>
    <cellStyle name="Normal 29_2011 baseline" xfId="1362"/>
    <cellStyle name="Normal 3" xfId="1363"/>
    <cellStyle name="Normal 3 2" xfId="1364"/>
    <cellStyle name="Normal 3 2 2" xfId="1365"/>
    <cellStyle name="Normal 3 2 2 2" xfId="1366"/>
    <cellStyle name="Normal 3 2 2 2 2" xfId="1367"/>
    <cellStyle name="Normal 3 2 2 2 2 2" xfId="1368"/>
    <cellStyle name="Normal 3 2 2 2 3" xfId="1369"/>
    <cellStyle name="Normal 3 2 2 2_Cal 11 Pool Energy Summary" xfId="1370"/>
    <cellStyle name="Normal 3 2 2 3" xfId="1371"/>
    <cellStyle name="Normal 3 2 2 3 2" xfId="1372"/>
    <cellStyle name="Normal 3 2 2 3_Cal 11 Pool Energy Summary" xfId="1373"/>
    <cellStyle name="Normal 3 2 2_Cal 11 Pool Energy Summary" xfId="1374"/>
    <cellStyle name="Normal 3 2 3" xfId="1375"/>
    <cellStyle name="Normal 3 2 3 2" xfId="1376"/>
    <cellStyle name="Normal 3 2_2011 baseline" xfId="1377"/>
    <cellStyle name="Normal 3 3" xfId="1378"/>
    <cellStyle name="Normal 3 4" xfId="1379"/>
    <cellStyle name="Normal 3 5" xfId="1380"/>
    <cellStyle name="Normal 3 6" xfId="1381"/>
    <cellStyle name="Normal 3 7" xfId="1382"/>
    <cellStyle name="Normal 3 7 2" xfId="1383"/>
    <cellStyle name="Normal 3 7_Cal 11 Pool Energy Summary" xfId="1384"/>
    <cellStyle name="Normal 3_11 APCo Impact Summary - 10-30" xfId="1385"/>
    <cellStyle name="Normal 30" xfId="1386"/>
    <cellStyle name="Normal 30 2" xfId="1387"/>
    <cellStyle name="Normal 30 3" xfId="1388"/>
    <cellStyle name="Normal 30 4" xfId="1389"/>
    <cellStyle name="Normal 30 5" xfId="1390"/>
    <cellStyle name="Normal 30_2011 baseline" xfId="1391"/>
    <cellStyle name="Normal 31" xfId="1392"/>
    <cellStyle name="Normal 31 2" xfId="1393"/>
    <cellStyle name="Normal 31 3" xfId="1394"/>
    <cellStyle name="Normal 31 4" xfId="1395"/>
    <cellStyle name="Normal 31 5" xfId="1396"/>
    <cellStyle name="Normal 31_2011 baseline" xfId="1397"/>
    <cellStyle name="Normal 32" xfId="1398"/>
    <cellStyle name="Normal 32 2" xfId="1399"/>
    <cellStyle name="Normal 32 3" xfId="1400"/>
    <cellStyle name="Normal 32 4" xfId="1401"/>
    <cellStyle name="Normal 32 5" xfId="1402"/>
    <cellStyle name="Normal 32_2011 baseline" xfId="1403"/>
    <cellStyle name="Normal 33" xfId="1404"/>
    <cellStyle name="Normal 33 2" xfId="1405"/>
    <cellStyle name="Normal 33 3" xfId="1406"/>
    <cellStyle name="Normal 33 4" xfId="1407"/>
    <cellStyle name="Normal 33 5" xfId="1408"/>
    <cellStyle name="Normal 33_2011 baseline" xfId="1409"/>
    <cellStyle name="Normal 34" xfId="1410"/>
    <cellStyle name="Normal 34 2" xfId="1411"/>
    <cellStyle name="Normal 34 3" xfId="1412"/>
    <cellStyle name="Normal 34 4" xfId="1413"/>
    <cellStyle name="Normal 34 5" xfId="1414"/>
    <cellStyle name="Normal 34_2011 baseline" xfId="1415"/>
    <cellStyle name="Normal 35" xfId="1416"/>
    <cellStyle name="Normal 35 2" xfId="1417"/>
    <cellStyle name="Normal 35 3" xfId="1418"/>
    <cellStyle name="Normal 35 4" xfId="1419"/>
    <cellStyle name="Normal 35 5" xfId="1420"/>
    <cellStyle name="Normal 35_2011 baseline" xfId="1421"/>
    <cellStyle name="Normal 36" xfId="1422"/>
    <cellStyle name="Normal 36 2" xfId="1423"/>
    <cellStyle name="Normal 36 3" xfId="1424"/>
    <cellStyle name="Normal 36 4" xfId="1425"/>
    <cellStyle name="Normal 36 5" xfId="1426"/>
    <cellStyle name="Normal 36_2011 baseline" xfId="1427"/>
    <cellStyle name="Normal 37" xfId="1428"/>
    <cellStyle name="Normal 37 2" xfId="1429"/>
    <cellStyle name="Normal 37 3" xfId="1430"/>
    <cellStyle name="Normal 37 4" xfId="1431"/>
    <cellStyle name="Normal 37 5" xfId="1432"/>
    <cellStyle name="Normal 37_2011 baseline" xfId="1433"/>
    <cellStyle name="Normal 38" xfId="1434"/>
    <cellStyle name="Normal 38 2" xfId="1435"/>
    <cellStyle name="Normal 38 3" xfId="1436"/>
    <cellStyle name="Normal 38 4" xfId="1437"/>
    <cellStyle name="Normal 38 5" xfId="1438"/>
    <cellStyle name="Normal 38_2011 baseline" xfId="1439"/>
    <cellStyle name="Normal 39" xfId="1440"/>
    <cellStyle name="Normal 39 2" xfId="1441"/>
    <cellStyle name="Normal 39 3" xfId="1442"/>
    <cellStyle name="Normal 39 4" xfId="1443"/>
    <cellStyle name="Normal 39 5" xfId="1444"/>
    <cellStyle name="Normal 39_2011 baseline" xfId="1445"/>
    <cellStyle name="Normal 4" xfId="1446"/>
    <cellStyle name="Normal 4 2" xfId="1447"/>
    <cellStyle name="Normal 4 3" xfId="1448"/>
    <cellStyle name="Normal 4 3 2" xfId="1449"/>
    <cellStyle name="Normal 4 3 2 2" xfId="1450"/>
    <cellStyle name="Normal 4 3 2_11 APCo Impact Summary - 10-30" xfId="1451"/>
    <cellStyle name="Normal 4 3 3" xfId="1452"/>
    <cellStyle name="Normal 4 3_11 APCo Impact Summary - 10-30" xfId="1453"/>
    <cellStyle name="Normal 4 4" xfId="1454"/>
    <cellStyle name="Normal 4 4 2" xfId="1455"/>
    <cellStyle name="Normal 4 4_11 APCo Impact Summary - 10-30" xfId="1456"/>
    <cellStyle name="Normal 4 5" xfId="1457"/>
    <cellStyle name="Normal 4 6" xfId="1458"/>
    <cellStyle name="Normal 4 7" xfId="1459"/>
    <cellStyle name="Normal 4_11 APCo Impact Summary - 10-30" xfId="1460"/>
    <cellStyle name="Normal 40" xfId="1461"/>
    <cellStyle name="Normal 40 2" xfId="1462"/>
    <cellStyle name="Normal 40 3" xfId="1463"/>
    <cellStyle name="Normal 40 4" xfId="1464"/>
    <cellStyle name="Normal 40 5" xfId="1465"/>
    <cellStyle name="Normal 40_2011 baseline" xfId="1466"/>
    <cellStyle name="Normal 41" xfId="1467"/>
    <cellStyle name="Normal 41 2" xfId="1468"/>
    <cellStyle name="Normal 41 3" xfId="1469"/>
    <cellStyle name="Normal 41 4" xfId="1470"/>
    <cellStyle name="Normal 41 5" xfId="1471"/>
    <cellStyle name="Normal 41_2011 baseline" xfId="1472"/>
    <cellStyle name="Normal 42" xfId="1473"/>
    <cellStyle name="Normal 42 2" xfId="1474"/>
    <cellStyle name="Normal 42 3" xfId="1475"/>
    <cellStyle name="Normal 42 4" xfId="1476"/>
    <cellStyle name="Normal 42 5" xfId="1477"/>
    <cellStyle name="Normal 42_2011 baseline" xfId="1478"/>
    <cellStyle name="Normal 43" xfId="1479"/>
    <cellStyle name="Normal 43 2" xfId="1480"/>
    <cellStyle name="Normal 43 3" xfId="1481"/>
    <cellStyle name="Normal 43 4" xfId="1482"/>
    <cellStyle name="Normal 43 5" xfId="1483"/>
    <cellStyle name="Normal 43_2011 baseline" xfId="1484"/>
    <cellStyle name="Normal 44" xfId="1485"/>
    <cellStyle name="Normal 44 2" xfId="1486"/>
    <cellStyle name="Normal 44 3" xfId="1487"/>
    <cellStyle name="Normal 44 4" xfId="1488"/>
    <cellStyle name="Normal 44 5" xfId="1489"/>
    <cellStyle name="Normal 44_2011 baseline" xfId="1490"/>
    <cellStyle name="Normal 45" xfId="1491"/>
    <cellStyle name="Normal 45 2" xfId="1492"/>
    <cellStyle name="Normal 45 3" xfId="1493"/>
    <cellStyle name="Normal 45 4" xfId="1494"/>
    <cellStyle name="Normal 45 5" xfId="1495"/>
    <cellStyle name="Normal 45_2011 baseline" xfId="1496"/>
    <cellStyle name="Normal 46" xfId="1497"/>
    <cellStyle name="Normal 46 2" xfId="1498"/>
    <cellStyle name="Normal 46 3" xfId="1499"/>
    <cellStyle name="Normal 46 4" xfId="1500"/>
    <cellStyle name="Normal 46 5" xfId="1501"/>
    <cellStyle name="Normal 46_2011 baseline" xfId="1502"/>
    <cellStyle name="Normal 47" xfId="1503"/>
    <cellStyle name="Normal 47 2" xfId="1504"/>
    <cellStyle name="Normal 47 3" xfId="1505"/>
    <cellStyle name="Normal 47 4" xfId="1506"/>
    <cellStyle name="Normal 47 5" xfId="1507"/>
    <cellStyle name="Normal 47_2011 baseline" xfId="1508"/>
    <cellStyle name="Normal 48" xfId="1509"/>
    <cellStyle name="Normal 48 2" xfId="1510"/>
    <cellStyle name="Normal 48 3" xfId="1511"/>
    <cellStyle name="Normal 48 4" xfId="1512"/>
    <cellStyle name="Normal 48 5" xfId="1513"/>
    <cellStyle name="Normal 48_2011 baseline" xfId="1514"/>
    <cellStyle name="Normal 49" xfId="1515"/>
    <cellStyle name="Normal 49 2" xfId="1516"/>
    <cellStyle name="Normal 49 3" xfId="1517"/>
    <cellStyle name="Normal 49 4" xfId="1518"/>
    <cellStyle name="Normal 49 5" xfId="1519"/>
    <cellStyle name="Normal 49_2011 baseline" xfId="1520"/>
    <cellStyle name="Normal 5" xfId="1521"/>
    <cellStyle name="Normal 5 2" xfId="1522"/>
    <cellStyle name="Normal 5 3" xfId="1523"/>
    <cellStyle name="Normal 5 4" xfId="1524"/>
    <cellStyle name="Normal 5 5" xfId="1525"/>
    <cellStyle name="Normal 5 6" xfId="1526"/>
    <cellStyle name="Normal 5 7" xfId="1527"/>
    <cellStyle name="Normal 5_24x12 G - Generic 12X24 Wind Shapes_August 2010" xfId="1528"/>
    <cellStyle name="Normal 50" xfId="1529"/>
    <cellStyle name="Normal 50 2" xfId="1530"/>
    <cellStyle name="Normal 50 3" xfId="1531"/>
    <cellStyle name="Normal 50 4" xfId="1532"/>
    <cellStyle name="Normal 50 5" xfId="1533"/>
    <cellStyle name="Normal 50_2011 baseline" xfId="1534"/>
    <cellStyle name="Normal 51" xfId="1535"/>
    <cellStyle name="Normal 51 2" xfId="1536"/>
    <cellStyle name="Normal 51 3" xfId="1537"/>
    <cellStyle name="Normal 51 4" xfId="1538"/>
    <cellStyle name="Normal 51 5" xfId="1539"/>
    <cellStyle name="Normal 51_2011 baseline" xfId="1540"/>
    <cellStyle name="Normal 52" xfId="1541"/>
    <cellStyle name="Normal 52 2" xfId="1542"/>
    <cellStyle name="Normal 52 3" xfId="1543"/>
    <cellStyle name="Normal 52 4" xfId="1544"/>
    <cellStyle name="Normal 52 5" xfId="1545"/>
    <cellStyle name="Normal 52_2011 baseline" xfId="1546"/>
    <cellStyle name="Normal 53" xfId="1547"/>
    <cellStyle name="Normal 53 2" xfId="1548"/>
    <cellStyle name="Normal 53 3" xfId="1549"/>
    <cellStyle name="Normal 53 4" xfId="1550"/>
    <cellStyle name="Normal 53 5" xfId="1551"/>
    <cellStyle name="Normal 53_2011 baseline" xfId="1552"/>
    <cellStyle name="Normal 54" xfId="1553"/>
    <cellStyle name="Normal 54 2" xfId="1554"/>
    <cellStyle name="Normal 54 3" xfId="1555"/>
    <cellStyle name="Normal 54 4" xfId="1556"/>
    <cellStyle name="Normal 54 5" xfId="1557"/>
    <cellStyle name="Normal 54_2011 baseline" xfId="1558"/>
    <cellStyle name="Normal 55" xfId="1559"/>
    <cellStyle name="Normal 55 2" xfId="1560"/>
    <cellStyle name="Normal 55 3" xfId="1561"/>
    <cellStyle name="Normal 55 4" xfId="1562"/>
    <cellStyle name="Normal 55 5" xfId="1563"/>
    <cellStyle name="Normal 55_Cal 11 Pool Energy Summary" xfId="1564"/>
    <cellStyle name="Normal 56" xfId="1565"/>
    <cellStyle name="Normal 56 2" xfId="1566"/>
    <cellStyle name="Normal 56 3" xfId="1567"/>
    <cellStyle name="Normal 56 4" xfId="1568"/>
    <cellStyle name="Normal 56 5" xfId="1569"/>
    <cellStyle name="Normal 56_Cal 11 Pool Energy Summary" xfId="1570"/>
    <cellStyle name="Normal 57" xfId="1571"/>
    <cellStyle name="Normal 57 2" xfId="1572"/>
    <cellStyle name="Normal 57 3" xfId="1573"/>
    <cellStyle name="Normal 57 4" xfId="1574"/>
    <cellStyle name="Normal 57 5" xfId="1575"/>
    <cellStyle name="Normal 57_Cal 11 Pool Energy Summary" xfId="1576"/>
    <cellStyle name="Normal 58" xfId="1577"/>
    <cellStyle name="Normal 59" xfId="1578"/>
    <cellStyle name="Normal 6" xfId="1579"/>
    <cellStyle name="Normal 6 2" xfId="1580"/>
    <cellStyle name="Normal 6 3" xfId="1581"/>
    <cellStyle name="Normal 6 4" xfId="1582"/>
    <cellStyle name="Normal 6 5" xfId="1583"/>
    <cellStyle name="Normal 6 6" xfId="1584"/>
    <cellStyle name="Normal 6_24x12 G - Generic 12X24 Wind Shapes_August 2010" xfId="1585"/>
    <cellStyle name="Normal 60" xfId="1586"/>
    <cellStyle name="Normal 61" xfId="1587"/>
    <cellStyle name="Normal 62" xfId="1588"/>
    <cellStyle name="Normal 63" xfId="1589"/>
    <cellStyle name="Normal 64" xfId="1590"/>
    <cellStyle name="Normal 65" xfId="1591"/>
    <cellStyle name="Normal 66" xfId="1592"/>
    <cellStyle name="Normal 67" xfId="1593"/>
    <cellStyle name="Normal 68" xfId="1594"/>
    <cellStyle name="Normal 69" xfId="1595"/>
    <cellStyle name="Normal 7" xfId="1596"/>
    <cellStyle name="Normal 7 2" xfId="1597"/>
    <cellStyle name="Normal 7 3" xfId="1598"/>
    <cellStyle name="Normal 7 4" xfId="1599"/>
    <cellStyle name="Normal 7 5" xfId="1600"/>
    <cellStyle name="Normal 7 6" xfId="1601"/>
    <cellStyle name="Normal 7_24x12 G - Generic 12X24 Wind Shapes_August 2010" xfId="1602"/>
    <cellStyle name="Normal 70" xfId="1603"/>
    <cellStyle name="Normal 71" xfId="1604"/>
    <cellStyle name="Normal 72" xfId="1605"/>
    <cellStyle name="Normal 73" xfId="1606"/>
    <cellStyle name="Normal 74" xfId="1607"/>
    <cellStyle name="Normal 75" xfId="1608"/>
    <cellStyle name="Normal 76" xfId="1609"/>
    <cellStyle name="Normal 77" xfId="1610"/>
    <cellStyle name="Normal 78" xfId="1611"/>
    <cellStyle name="Normal 79" xfId="1612"/>
    <cellStyle name="Normal 8" xfId="1613"/>
    <cellStyle name="Normal 8 2" xfId="1614"/>
    <cellStyle name="Normal 8 3" xfId="1615"/>
    <cellStyle name="Normal 8 4" xfId="1616"/>
    <cellStyle name="Normal 8 5" xfId="1617"/>
    <cellStyle name="Normal 8 6" xfId="1618"/>
    <cellStyle name="Normal 8_2011 baseline" xfId="1619"/>
    <cellStyle name="Normal 80" xfId="1620"/>
    <cellStyle name="Normal 81" xfId="1621"/>
    <cellStyle name="Normal 82" xfId="1622"/>
    <cellStyle name="Normal 83" xfId="1623"/>
    <cellStyle name="Normal 84" xfId="1624"/>
    <cellStyle name="Normal 85" xfId="1625"/>
    <cellStyle name="Normal 86" xfId="1626"/>
    <cellStyle name="Normal 87" xfId="1627"/>
    <cellStyle name="Normal 88" xfId="1628"/>
    <cellStyle name="Normal 89" xfId="1629"/>
    <cellStyle name="Normal 9" xfId="1630"/>
    <cellStyle name="Normal 9 2" xfId="1631"/>
    <cellStyle name="Normal 9 3" xfId="1632"/>
    <cellStyle name="Normal 9 4" xfId="1633"/>
    <cellStyle name="Normal 9 5" xfId="1634"/>
    <cellStyle name="Normal 9 6" xfId="1635"/>
    <cellStyle name="Normal 9_2011 baseline" xfId="1636"/>
    <cellStyle name="Normal 90" xfId="1637"/>
    <cellStyle name="Normal 91" xfId="1638"/>
    <cellStyle name="Normal 92" xfId="1639"/>
    <cellStyle name="Normal 92 2" xfId="1640"/>
    <cellStyle name="Normal 92_Cal 11 Pool Energy Summary" xfId="1641"/>
    <cellStyle name="Normal 93" xfId="1642"/>
    <cellStyle name="Normal 94" xfId="1643"/>
    <cellStyle name="Normal 95" xfId="1644"/>
    <cellStyle name="Normal 96" xfId="1645"/>
    <cellStyle name="Normal 97" xfId="1646"/>
    <cellStyle name="Normal 98" xfId="1647"/>
    <cellStyle name="Normal 99" xfId="1648"/>
    <cellStyle name="Normal Bold" xfId="1649"/>
    <cellStyle name="Normal Pct" xfId="1650"/>
    <cellStyle name="Normal_11 APCo Impact Summary - 10-30" xfId="1651"/>
    <cellStyle name="Normal_IPS Slurped 2011 OVEC Demand" xfId="1652"/>
    <cellStyle name="Normal_Totals" xfId="1653"/>
    <cellStyle name="Note 10" xfId="1654"/>
    <cellStyle name="Note 10 2" xfId="1655"/>
    <cellStyle name="Note 10 3" xfId="1656"/>
    <cellStyle name="Note 10 4" xfId="1657"/>
    <cellStyle name="Note 10 5" xfId="1658"/>
    <cellStyle name="Note 10 6" xfId="1659"/>
    <cellStyle name="Note 100" xfId="1660"/>
    <cellStyle name="Note 101" xfId="1661"/>
    <cellStyle name="Note 102" xfId="1662"/>
    <cellStyle name="Note 103" xfId="1663"/>
    <cellStyle name="Note 104" xfId="1664"/>
    <cellStyle name="Note 105" xfId="1665"/>
    <cellStyle name="Note 106" xfId="1666"/>
    <cellStyle name="Note 107" xfId="1667"/>
    <cellStyle name="Note 108" xfId="1668"/>
    <cellStyle name="Note 109" xfId="1669"/>
    <cellStyle name="Note 11" xfId="1670"/>
    <cellStyle name="Note 11 2" xfId="1671"/>
    <cellStyle name="Note 11 3" xfId="1672"/>
    <cellStyle name="Note 11 4" xfId="1673"/>
    <cellStyle name="Note 11 5" xfId="1674"/>
    <cellStyle name="Note 11 6" xfId="1675"/>
    <cellStyle name="Note 110" xfId="1676"/>
    <cellStyle name="Note 111" xfId="1677"/>
    <cellStyle name="Note 112" xfId="1678"/>
    <cellStyle name="Note 113" xfId="1679"/>
    <cellStyle name="Note 114" xfId="1680"/>
    <cellStyle name="Note 115" xfId="1681"/>
    <cellStyle name="Note 116" xfId="1682"/>
    <cellStyle name="Note 117" xfId="1683"/>
    <cellStyle name="Note 118" xfId="1684"/>
    <cellStyle name="Note 119" xfId="1685"/>
    <cellStyle name="Note 12" xfId="1686"/>
    <cellStyle name="Note 12 2" xfId="1687"/>
    <cellStyle name="Note 12 3" xfId="1688"/>
    <cellStyle name="Note 12 4" xfId="1689"/>
    <cellStyle name="Note 12 5" xfId="1690"/>
    <cellStyle name="Note 12 6" xfId="1691"/>
    <cellStyle name="Note 120" xfId="1692"/>
    <cellStyle name="Note 121" xfId="1693"/>
    <cellStyle name="Note 122" xfId="1694"/>
    <cellStyle name="Note 123" xfId="1695"/>
    <cellStyle name="Note 124" xfId="1696"/>
    <cellStyle name="Note 125" xfId="1697"/>
    <cellStyle name="Note 126" xfId="1698"/>
    <cellStyle name="Note 127" xfId="1699"/>
    <cellStyle name="Note 128" xfId="1700"/>
    <cellStyle name="Note 129" xfId="1701"/>
    <cellStyle name="Note 13" xfId="1702"/>
    <cellStyle name="Note 13 2" xfId="1703"/>
    <cellStyle name="Note 13 3" xfId="1704"/>
    <cellStyle name="Note 13 4" xfId="1705"/>
    <cellStyle name="Note 13 5" xfId="1706"/>
    <cellStyle name="Note 13 6" xfId="1707"/>
    <cellStyle name="Note 14" xfId="1708"/>
    <cellStyle name="Note 14 2" xfId="1709"/>
    <cellStyle name="Note 14 3" xfId="1710"/>
    <cellStyle name="Note 14 4" xfId="1711"/>
    <cellStyle name="Note 14 5" xfId="1712"/>
    <cellStyle name="Note 14 6" xfId="1713"/>
    <cellStyle name="Note 15" xfId="1714"/>
    <cellStyle name="Note 15 2" xfId="1715"/>
    <cellStyle name="Note 15 3" xfId="1716"/>
    <cellStyle name="Note 15 4" xfId="1717"/>
    <cellStyle name="Note 15 5" xfId="1718"/>
    <cellStyle name="Note 15 6" xfId="1719"/>
    <cellStyle name="Note 16" xfId="1720"/>
    <cellStyle name="Note 16 2" xfId="1721"/>
    <cellStyle name="Note 16 3" xfId="1722"/>
    <cellStyle name="Note 16 4" xfId="1723"/>
    <cellStyle name="Note 16 5" xfId="1724"/>
    <cellStyle name="Note 16 6" xfId="1725"/>
    <cellStyle name="Note 17" xfId="1726"/>
    <cellStyle name="Note 17 2" xfId="1727"/>
    <cellStyle name="Note 17 3" xfId="1728"/>
    <cellStyle name="Note 17 4" xfId="1729"/>
    <cellStyle name="Note 17 5" xfId="1730"/>
    <cellStyle name="Note 17 6" xfId="1731"/>
    <cellStyle name="Note 18" xfId="1732"/>
    <cellStyle name="Note 18 2" xfId="1733"/>
    <cellStyle name="Note 18 3" xfId="1734"/>
    <cellStyle name="Note 18 4" xfId="1735"/>
    <cellStyle name="Note 18 5" xfId="1736"/>
    <cellStyle name="Note 18 6" xfId="1737"/>
    <cellStyle name="Note 19" xfId="1738"/>
    <cellStyle name="Note 19 2" xfId="1739"/>
    <cellStyle name="Note 19 3" xfId="1740"/>
    <cellStyle name="Note 19 4" xfId="1741"/>
    <cellStyle name="Note 19 5" xfId="1742"/>
    <cellStyle name="Note 19 6" xfId="1743"/>
    <cellStyle name="Note 2" xfId="1744"/>
    <cellStyle name="Note 2 10" xfId="1745"/>
    <cellStyle name="Note 2 11" xfId="1746"/>
    <cellStyle name="Note 2 12" xfId="1747"/>
    <cellStyle name="Note 2 13" xfId="1748"/>
    <cellStyle name="Note 2 14" xfId="1749"/>
    <cellStyle name="Note 2 15" xfId="1750"/>
    <cellStyle name="Note 2 16" xfId="1751"/>
    <cellStyle name="Note 2 17" xfId="1752"/>
    <cellStyle name="Note 2 18" xfId="1753"/>
    <cellStyle name="Note 2 19" xfId="1754"/>
    <cellStyle name="Note 2 2" xfId="1755"/>
    <cellStyle name="Note 2 20" xfId="1756"/>
    <cellStyle name="Note 2 21" xfId="1757"/>
    <cellStyle name="Note 2 22" xfId="1758"/>
    <cellStyle name="Note 2 23" xfId="1759"/>
    <cellStyle name="Note 2 24" xfId="1760"/>
    <cellStyle name="Note 2 25" xfId="1761"/>
    <cellStyle name="Note 2 3" xfId="1762"/>
    <cellStyle name="Note 2 4" xfId="1763"/>
    <cellStyle name="Note 2 5" xfId="1764"/>
    <cellStyle name="Note 2 6" xfId="1765"/>
    <cellStyle name="Note 2 7" xfId="1766"/>
    <cellStyle name="Note 2 8" xfId="1767"/>
    <cellStyle name="Note 2 9" xfId="1768"/>
    <cellStyle name="Note 2_Shaw - SPU +5 Mod Est" xfId="1769"/>
    <cellStyle name="Note 20" xfId="1770"/>
    <cellStyle name="Note 20 2" xfId="1771"/>
    <cellStyle name="Note 20 3" xfId="1772"/>
    <cellStyle name="Note 20 4" xfId="1773"/>
    <cellStyle name="Note 20 5" xfId="1774"/>
    <cellStyle name="Note 20 6" xfId="1775"/>
    <cellStyle name="Note 21" xfId="1776"/>
    <cellStyle name="Note 21 2" xfId="1777"/>
    <cellStyle name="Note 21 3" xfId="1778"/>
    <cellStyle name="Note 21 4" xfId="1779"/>
    <cellStyle name="Note 21 5" xfId="1780"/>
    <cellStyle name="Note 22" xfId="1781"/>
    <cellStyle name="Note 22 2" xfId="1782"/>
    <cellStyle name="Note 22 3" xfId="1783"/>
    <cellStyle name="Note 22 4" xfId="1784"/>
    <cellStyle name="Note 22 5" xfId="1785"/>
    <cellStyle name="Note 23" xfId="1786"/>
    <cellStyle name="Note 23 2" xfId="1787"/>
    <cellStyle name="Note 23 3" xfId="1788"/>
    <cellStyle name="Note 23 4" xfId="1789"/>
    <cellStyle name="Note 23 5" xfId="1790"/>
    <cellStyle name="Note 24" xfId="1791"/>
    <cellStyle name="Note 24 2" xfId="1792"/>
    <cellStyle name="Note 24 3" xfId="1793"/>
    <cellStyle name="Note 24 4" xfId="1794"/>
    <cellStyle name="Note 24 5" xfId="1795"/>
    <cellStyle name="Note 25" xfId="1796"/>
    <cellStyle name="Note 25 2" xfId="1797"/>
    <cellStyle name="Note 25 3" xfId="1798"/>
    <cellStyle name="Note 25 4" xfId="1799"/>
    <cellStyle name="Note 25 5" xfId="1800"/>
    <cellStyle name="Note 26" xfId="1801"/>
    <cellStyle name="Note 26 2" xfId="1802"/>
    <cellStyle name="Note 26 3" xfId="1803"/>
    <cellStyle name="Note 26 4" xfId="1804"/>
    <cellStyle name="Note 26 5" xfId="1805"/>
    <cellStyle name="Note 27" xfId="1806"/>
    <cellStyle name="Note 27 2" xfId="1807"/>
    <cellStyle name="Note 27 3" xfId="1808"/>
    <cellStyle name="Note 27 4" xfId="1809"/>
    <cellStyle name="Note 27 5" xfId="1810"/>
    <cellStyle name="Note 28" xfId="1811"/>
    <cellStyle name="Note 28 2" xfId="1812"/>
    <cellStyle name="Note 28 3" xfId="1813"/>
    <cellStyle name="Note 28 4" xfId="1814"/>
    <cellStyle name="Note 28 5" xfId="1815"/>
    <cellStyle name="Note 29" xfId="1816"/>
    <cellStyle name="Note 29 2" xfId="1817"/>
    <cellStyle name="Note 29 3" xfId="1818"/>
    <cellStyle name="Note 29 4" xfId="1819"/>
    <cellStyle name="Note 29 5" xfId="1820"/>
    <cellStyle name="Note 3" xfId="1821"/>
    <cellStyle name="Note 3 10" xfId="1822"/>
    <cellStyle name="Note 3 11" xfId="1823"/>
    <cellStyle name="Note 3 12" xfId="1824"/>
    <cellStyle name="Note 3 13" xfId="1825"/>
    <cellStyle name="Note 3 14" xfId="1826"/>
    <cellStyle name="Note 3 15" xfId="1827"/>
    <cellStyle name="Note 3 16" xfId="1828"/>
    <cellStyle name="Note 3 17" xfId="1829"/>
    <cellStyle name="Note 3 18" xfId="1830"/>
    <cellStyle name="Note 3 19" xfId="1831"/>
    <cellStyle name="Note 3 2" xfId="1832"/>
    <cellStyle name="Note 3 20" xfId="1833"/>
    <cellStyle name="Note 3 21" xfId="1834"/>
    <cellStyle name="Note 3 22" xfId="1835"/>
    <cellStyle name="Note 3 23" xfId="1836"/>
    <cellStyle name="Note 3 24" xfId="1837"/>
    <cellStyle name="Note 3 25" xfId="1838"/>
    <cellStyle name="Note 3 3" xfId="1839"/>
    <cellStyle name="Note 3 4" xfId="1840"/>
    <cellStyle name="Note 3 5" xfId="1841"/>
    <cellStyle name="Note 3 6" xfId="1842"/>
    <cellStyle name="Note 3 7" xfId="1843"/>
    <cellStyle name="Note 3 8" xfId="1844"/>
    <cellStyle name="Note 3 9" xfId="1845"/>
    <cellStyle name="Note 3_Shaw - SPU +5 Mod Est" xfId="1846"/>
    <cellStyle name="Note 30" xfId="1847"/>
    <cellStyle name="Note 30 2" xfId="1848"/>
    <cellStyle name="Note 30 3" xfId="1849"/>
    <cellStyle name="Note 30 4" xfId="1850"/>
    <cellStyle name="Note 30 5" xfId="1851"/>
    <cellStyle name="Note 31" xfId="1852"/>
    <cellStyle name="Note 31 2" xfId="1853"/>
    <cellStyle name="Note 31 3" xfId="1854"/>
    <cellStyle name="Note 31 4" xfId="1855"/>
    <cellStyle name="Note 31 5" xfId="1856"/>
    <cellStyle name="Note 32" xfId="1857"/>
    <cellStyle name="Note 32 2" xfId="1858"/>
    <cellStyle name="Note 32 3" xfId="1859"/>
    <cellStyle name="Note 32 4" xfId="1860"/>
    <cellStyle name="Note 32 5" xfId="1861"/>
    <cellStyle name="Note 33" xfId="1862"/>
    <cellStyle name="Note 33 2" xfId="1863"/>
    <cellStyle name="Note 33 3" xfId="1864"/>
    <cellStyle name="Note 33 4" xfId="1865"/>
    <cellStyle name="Note 33 5" xfId="1866"/>
    <cellStyle name="Note 34" xfId="1867"/>
    <cellStyle name="Note 34 2" xfId="1868"/>
    <cellStyle name="Note 34 3" xfId="1869"/>
    <cellStyle name="Note 34 4" xfId="1870"/>
    <cellStyle name="Note 34 5" xfId="1871"/>
    <cellStyle name="Note 35" xfId="1872"/>
    <cellStyle name="Note 35 2" xfId="1873"/>
    <cellStyle name="Note 35 3" xfId="1874"/>
    <cellStyle name="Note 35 4" xfId="1875"/>
    <cellStyle name="Note 35 5" xfId="1876"/>
    <cellStyle name="Note 36" xfId="1877"/>
    <cellStyle name="Note 36 2" xfId="1878"/>
    <cellStyle name="Note 36 3" xfId="1879"/>
    <cellStyle name="Note 36 4" xfId="1880"/>
    <cellStyle name="Note 36 5" xfId="1881"/>
    <cellStyle name="Note 37" xfId="1882"/>
    <cellStyle name="Note 37 2" xfId="1883"/>
    <cellStyle name="Note 37 3" xfId="1884"/>
    <cellStyle name="Note 37 4" xfId="1885"/>
    <cellStyle name="Note 37 5" xfId="1886"/>
    <cellStyle name="Note 38" xfId="1887"/>
    <cellStyle name="Note 38 2" xfId="1888"/>
    <cellStyle name="Note 38 3" xfId="1889"/>
    <cellStyle name="Note 38 4" xfId="1890"/>
    <cellStyle name="Note 38 5" xfId="1891"/>
    <cellStyle name="Note 39" xfId="1892"/>
    <cellStyle name="Note 39 2" xfId="1893"/>
    <cellStyle name="Note 39 3" xfId="1894"/>
    <cellStyle name="Note 39 4" xfId="1895"/>
    <cellStyle name="Note 39 5" xfId="1896"/>
    <cellStyle name="Note 4" xfId="1897"/>
    <cellStyle name="Note 4 10" xfId="1898"/>
    <cellStyle name="Note 4 11" xfId="1899"/>
    <cellStyle name="Note 4 12" xfId="1900"/>
    <cellStyle name="Note 4 13" xfId="1901"/>
    <cellStyle name="Note 4 14" xfId="1902"/>
    <cellStyle name="Note 4 15" xfId="1903"/>
    <cellStyle name="Note 4 16" xfId="1904"/>
    <cellStyle name="Note 4 17" xfId="1905"/>
    <cellStyle name="Note 4 18" xfId="1906"/>
    <cellStyle name="Note 4 19" xfId="1907"/>
    <cellStyle name="Note 4 2" xfId="1908"/>
    <cellStyle name="Note 4 20" xfId="1909"/>
    <cellStyle name="Note 4 21" xfId="1910"/>
    <cellStyle name="Note 4 22" xfId="1911"/>
    <cellStyle name="Note 4 23" xfId="1912"/>
    <cellStyle name="Note 4 24" xfId="1913"/>
    <cellStyle name="Note 4 25" xfId="1914"/>
    <cellStyle name="Note 4 3" xfId="1915"/>
    <cellStyle name="Note 4 4" xfId="1916"/>
    <cellStyle name="Note 4 5" xfId="1917"/>
    <cellStyle name="Note 4 6" xfId="1918"/>
    <cellStyle name="Note 4 7" xfId="1919"/>
    <cellStyle name="Note 4 8" xfId="1920"/>
    <cellStyle name="Note 4 9" xfId="1921"/>
    <cellStyle name="Note 4_Shaw - SPU +5 Mod Est" xfId="1922"/>
    <cellStyle name="Note 40" xfId="1923"/>
    <cellStyle name="Note 40 2" xfId="1924"/>
    <cellStyle name="Note 40 3" xfId="1925"/>
    <cellStyle name="Note 40 4" xfId="1926"/>
    <cellStyle name="Note 40 5" xfId="1927"/>
    <cellStyle name="Note 41" xfId="1928"/>
    <cellStyle name="Note 41 2" xfId="1929"/>
    <cellStyle name="Note 41 3" xfId="1930"/>
    <cellStyle name="Note 41 4" xfId="1931"/>
    <cellStyle name="Note 41 5" xfId="1932"/>
    <cellStyle name="Note 42" xfId="1933"/>
    <cellStyle name="Note 42 2" xfId="1934"/>
    <cellStyle name="Note 42 3" xfId="1935"/>
    <cellStyle name="Note 42 4" xfId="1936"/>
    <cellStyle name="Note 42 5" xfId="1937"/>
    <cellStyle name="Note 43" xfId="1938"/>
    <cellStyle name="Note 43 2" xfId="1939"/>
    <cellStyle name="Note 43 3" xfId="1940"/>
    <cellStyle name="Note 43 4" xfId="1941"/>
    <cellStyle name="Note 43 5" xfId="1942"/>
    <cellStyle name="Note 44" xfId="1943"/>
    <cellStyle name="Note 44 2" xfId="1944"/>
    <cellStyle name="Note 44 3" xfId="1945"/>
    <cellStyle name="Note 44 4" xfId="1946"/>
    <cellStyle name="Note 44 5" xfId="1947"/>
    <cellStyle name="Note 45" xfId="1948"/>
    <cellStyle name="Note 45 2" xfId="1949"/>
    <cellStyle name="Note 45 3" xfId="1950"/>
    <cellStyle name="Note 45 4" xfId="1951"/>
    <cellStyle name="Note 45 5" xfId="1952"/>
    <cellStyle name="Note 46" xfId="1953"/>
    <cellStyle name="Note 46 2" xfId="1954"/>
    <cellStyle name="Note 46 3" xfId="1955"/>
    <cellStyle name="Note 46 4" xfId="1956"/>
    <cellStyle name="Note 46 5" xfId="1957"/>
    <cellStyle name="Note 47" xfId="1958"/>
    <cellStyle name="Note 47 2" xfId="1959"/>
    <cellStyle name="Note 47 3" xfId="1960"/>
    <cellStyle name="Note 47 4" xfId="1961"/>
    <cellStyle name="Note 47 5" xfId="1962"/>
    <cellStyle name="Note 48" xfId="1963"/>
    <cellStyle name="Note 48 2" xfId="1964"/>
    <cellStyle name="Note 48 3" xfId="1965"/>
    <cellStyle name="Note 48 4" xfId="1966"/>
    <cellStyle name="Note 48 5" xfId="1967"/>
    <cellStyle name="Note 49" xfId="1968"/>
    <cellStyle name="Note 49 2" xfId="1969"/>
    <cellStyle name="Note 49 3" xfId="1970"/>
    <cellStyle name="Note 49 4" xfId="1971"/>
    <cellStyle name="Note 49 5" xfId="1972"/>
    <cellStyle name="Note 5" xfId="1973"/>
    <cellStyle name="Note 5 10" xfId="1974"/>
    <cellStyle name="Note 5 11" xfId="1975"/>
    <cellStyle name="Note 5 12" xfId="1976"/>
    <cellStyle name="Note 5 13" xfId="1977"/>
    <cellStyle name="Note 5 14" xfId="1978"/>
    <cellStyle name="Note 5 15" xfId="1979"/>
    <cellStyle name="Note 5 16" xfId="1980"/>
    <cellStyle name="Note 5 17" xfId="1981"/>
    <cellStyle name="Note 5 18" xfId="1982"/>
    <cellStyle name="Note 5 19" xfId="1983"/>
    <cellStyle name="Note 5 2" xfId="1984"/>
    <cellStyle name="Note 5 20" xfId="1985"/>
    <cellStyle name="Note 5 21" xfId="1986"/>
    <cellStyle name="Note 5 22" xfId="1987"/>
    <cellStyle name="Note 5 23" xfId="1988"/>
    <cellStyle name="Note 5 24" xfId="1989"/>
    <cellStyle name="Note 5 25" xfId="1990"/>
    <cellStyle name="Note 5 3" xfId="1991"/>
    <cellStyle name="Note 5 4" xfId="1992"/>
    <cellStyle name="Note 5 5" xfId="1993"/>
    <cellStyle name="Note 5 6" xfId="1994"/>
    <cellStyle name="Note 5 7" xfId="1995"/>
    <cellStyle name="Note 5 8" xfId="1996"/>
    <cellStyle name="Note 5 9" xfId="1997"/>
    <cellStyle name="Note 5_Shaw - SPU +5 Mod Est" xfId="1998"/>
    <cellStyle name="Note 50" xfId="1999"/>
    <cellStyle name="Note 50 2" xfId="2000"/>
    <cellStyle name="Note 50 3" xfId="2001"/>
    <cellStyle name="Note 50 4" xfId="2002"/>
    <cellStyle name="Note 50 5" xfId="2003"/>
    <cellStyle name="Note 51" xfId="2004"/>
    <cellStyle name="Note 51 2" xfId="2005"/>
    <cellStyle name="Note 51 3" xfId="2006"/>
    <cellStyle name="Note 51 4" xfId="2007"/>
    <cellStyle name="Note 51 5" xfId="2008"/>
    <cellStyle name="Note 52" xfId="2009"/>
    <cellStyle name="Note 52 2" xfId="2010"/>
    <cellStyle name="Note 52 3" xfId="2011"/>
    <cellStyle name="Note 52 4" xfId="2012"/>
    <cellStyle name="Note 52 5" xfId="2013"/>
    <cellStyle name="Note 53" xfId="2014"/>
    <cellStyle name="Note 53 2" xfId="2015"/>
    <cellStyle name="Note 53 3" xfId="2016"/>
    <cellStyle name="Note 53 4" xfId="2017"/>
    <cellStyle name="Note 53 5" xfId="2018"/>
    <cellStyle name="Note 54" xfId="2019"/>
    <cellStyle name="Note 54 2" xfId="2020"/>
    <cellStyle name="Note 54 3" xfId="2021"/>
    <cellStyle name="Note 54 4" xfId="2022"/>
    <cellStyle name="Note 54 5" xfId="2023"/>
    <cellStyle name="Note 55" xfId="2024"/>
    <cellStyle name="Note 55 2" xfId="2025"/>
    <cellStyle name="Note 55 3" xfId="2026"/>
    <cellStyle name="Note 55 4" xfId="2027"/>
    <cellStyle name="Note 55 5" xfId="2028"/>
    <cellStyle name="Note 56" xfId="2029"/>
    <cellStyle name="Note 56 2" xfId="2030"/>
    <cellStyle name="Note 56 3" xfId="2031"/>
    <cellStyle name="Note 56 4" xfId="2032"/>
    <cellStyle name="Note 56 5" xfId="2033"/>
    <cellStyle name="Note 57" xfId="2034"/>
    <cellStyle name="Note 57 2" xfId="2035"/>
    <cellStyle name="Note 57 3" xfId="2036"/>
    <cellStyle name="Note 57 4" xfId="2037"/>
    <cellStyle name="Note 57 5" xfId="2038"/>
    <cellStyle name="Note 58" xfId="2039"/>
    <cellStyle name="Note 59" xfId="2040"/>
    <cellStyle name="Note 6" xfId="2041"/>
    <cellStyle name="Note 6 2" xfId="2042"/>
    <cellStyle name="Note 6 3" xfId="2043"/>
    <cellStyle name="Note 6 4" xfId="2044"/>
    <cellStyle name="Note 6 5" xfId="2045"/>
    <cellStyle name="Note 6 6" xfId="2046"/>
    <cellStyle name="Note 60" xfId="2047"/>
    <cellStyle name="Note 61" xfId="2048"/>
    <cellStyle name="Note 62" xfId="2049"/>
    <cellStyle name="Note 63" xfId="2050"/>
    <cellStyle name="Note 64" xfId="2051"/>
    <cellStyle name="Note 65" xfId="2052"/>
    <cellStyle name="Note 66" xfId="2053"/>
    <cellStyle name="Note 67" xfId="2054"/>
    <cellStyle name="Note 68" xfId="2055"/>
    <cellStyle name="Note 69" xfId="2056"/>
    <cellStyle name="Note 7" xfId="2057"/>
    <cellStyle name="Note 7 2" xfId="2058"/>
    <cellStyle name="Note 7 3" xfId="2059"/>
    <cellStyle name="Note 7 4" xfId="2060"/>
    <cellStyle name="Note 7 5" xfId="2061"/>
    <cellStyle name="Note 7 6" xfId="2062"/>
    <cellStyle name="Note 70" xfId="2063"/>
    <cellStyle name="Note 71" xfId="2064"/>
    <cellStyle name="Note 72" xfId="2065"/>
    <cellStyle name="Note 73" xfId="2066"/>
    <cellStyle name="Note 74" xfId="2067"/>
    <cellStyle name="Note 75" xfId="2068"/>
    <cellStyle name="Note 76" xfId="2069"/>
    <cellStyle name="Note 77" xfId="2070"/>
    <cellStyle name="Note 78" xfId="2071"/>
    <cellStyle name="Note 79" xfId="2072"/>
    <cellStyle name="Note 8" xfId="2073"/>
    <cellStyle name="Note 8 2" xfId="2074"/>
    <cellStyle name="Note 8 3" xfId="2075"/>
    <cellStyle name="Note 8 4" xfId="2076"/>
    <cellStyle name="Note 8 5" xfId="2077"/>
    <cellStyle name="Note 8 6" xfId="2078"/>
    <cellStyle name="Note 80" xfId="2079"/>
    <cellStyle name="Note 81" xfId="2080"/>
    <cellStyle name="Note 82" xfId="2081"/>
    <cellStyle name="Note 83" xfId="2082"/>
    <cellStyle name="Note 84" xfId="2083"/>
    <cellStyle name="Note 85" xfId="2084"/>
    <cellStyle name="Note 86" xfId="2085"/>
    <cellStyle name="Note 87" xfId="2086"/>
    <cellStyle name="Note 88" xfId="2087"/>
    <cellStyle name="Note 89" xfId="2088"/>
    <cellStyle name="Note 9" xfId="2089"/>
    <cellStyle name="Note 9 2" xfId="2090"/>
    <cellStyle name="Note 9 3" xfId="2091"/>
    <cellStyle name="Note 9 4" xfId="2092"/>
    <cellStyle name="Note 9 5" xfId="2093"/>
    <cellStyle name="Note 9 6" xfId="2094"/>
    <cellStyle name="Note 90" xfId="2095"/>
    <cellStyle name="Note 91" xfId="2096"/>
    <cellStyle name="Note 92" xfId="2097"/>
    <cellStyle name="Note 93" xfId="2098"/>
    <cellStyle name="Note 94" xfId="2099"/>
    <cellStyle name="Note 95" xfId="2100"/>
    <cellStyle name="Note 96" xfId="2101"/>
    <cellStyle name="Note 97" xfId="2102"/>
    <cellStyle name="Note 98" xfId="2103"/>
    <cellStyle name="Note 99" xfId="2104"/>
    <cellStyle name="NotesFooter" xfId="2105"/>
    <cellStyle name="NotesHeader" xfId="2106"/>
    <cellStyle name="NotesHeader 2" xfId="2107"/>
    <cellStyle name="NotesHeader_11 KPCo Impact Summary - ML 5050 Case V 9-6" xfId="2108"/>
    <cellStyle name="NPPESalesPct" xfId="2109"/>
    <cellStyle name="ntec" xfId="2110"/>
    <cellStyle name="NWI%S" xfId="2111"/>
    <cellStyle name="Output 2" xfId="2112"/>
    <cellStyle name="Output 3" xfId="2113"/>
    <cellStyle name="Percen - Style1" xfId="2114"/>
    <cellStyle name="Percent [0]" xfId="2115"/>
    <cellStyle name="Percent [1]" xfId="2116"/>
    <cellStyle name="Percent [2]" xfId="2117"/>
    <cellStyle name="Percent 10" xfId="2118"/>
    <cellStyle name="Percent 10 2" xfId="2119"/>
    <cellStyle name="Percent 10 3" xfId="2120"/>
    <cellStyle name="Percent 11" xfId="2121"/>
    <cellStyle name="Percent 12" xfId="2122"/>
    <cellStyle name="Percent 13" xfId="2123"/>
    <cellStyle name="Percent 14" xfId="2124"/>
    <cellStyle name="Percent 15" xfId="2125"/>
    <cellStyle name="Percent 16" xfId="2126"/>
    <cellStyle name="Percent 17" xfId="2127"/>
    <cellStyle name="Percent 18" xfId="2128"/>
    <cellStyle name="Percent 19" xfId="2129"/>
    <cellStyle name="Percent 2" xfId="2130"/>
    <cellStyle name="Percent 2 2" xfId="2131"/>
    <cellStyle name="Percent 2 3" xfId="2132"/>
    <cellStyle name="Percent 2 4" xfId="2133"/>
    <cellStyle name="Percent 2 5" xfId="2134"/>
    <cellStyle name="Percent 2 6" xfId="2135"/>
    <cellStyle name="Percent 20" xfId="2136"/>
    <cellStyle name="Percent 21" xfId="2137"/>
    <cellStyle name="Percent 22" xfId="2138"/>
    <cellStyle name="Percent 23" xfId="2139"/>
    <cellStyle name="Percent 24" xfId="2140"/>
    <cellStyle name="Percent 25" xfId="2141"/>
    <cellStyle name="Percent 26" xfId="2142"/>
    <cellStyle name="Percent 27" xfId="2143"/>
    <cellStyle name="Percent 28" xfId="2144"/>
    <cellStyle name="Percent 29" xfId="2145"/>
    <cellStyle name="Percent 3" xfId="2146"/>
    <cellStyle name="Percent 3 2" xfId="2147"/>
    <cellStyle name="Percent 3 3" xfId="2148"/>
    <cellStyle name="Percent 3_11 APCo Impact Summary - 10-30" xfId="2149"/>
    <cellStyle name="Percent 30" xfId="2150"/>
    <cellStyle name="Percent 31" xfId="2151"/>
    <cellStyle name="Percent 32" xfId="2152"/>
    <cellStyle name="Percent 33" xfId="2153"/>
    <cellStyle name="Percent 34" xfId="2154"/>
    <cellStyle name="Percent 35" xfId="2155"/>
    <cellStyle name="Percent 36" xfId="2156"/>
    <cellStyle name="Percent 37" xfId="2157"/>
    <cellStyle name="Percent 38" xfId="2158"/>
    <cellStyle name="Percent 39" xfId="2159"/>
    <cellStyle name="Percent 4" xfId="2160"/>
    <cellStyle name="Percent 4 2" xfId="2161"/>
    <cellStyle name="Percent 4 2 2" xfId="2162"/>
    <cellStyle name="Percent 4 3" xfId="2163"/>
    <cellStyle name="Percent 40" xfId="2164"/>
    <cellStyle name="Percent 41" xfId="2165"/>
    <cellStyle name="Percent 42" xfId="2166"/>
    <cellStyle name="Percent 43" xfId="2167"/>
    <cellStyle name="Percent 44" xfId="2168"/>
    <cellStyle name="Percent 45" xfId="2169"/>
    <cellStyle name="Percent 46" xfId="2170"/>
    <cellStyle name="Percent 47" xfId="2171"/>
    <cellStyle name="Percent 48" xfId="2172"/>
    <cellStyle name="Percent 5" xfId="2173"/>
    <cellStyle name="Percent 5 2" xfId="2174"/>
    <cellStyle name="Percent 6" xfId="2175"/>
    <cellStyle name="Percent 6 2" xfId="2176"/>
    <cellStyle name="Percent 7" xfId="2177"/>
    <cellStyle name="Percent 7 2" xfId="2178"/>
    <cellStyle name="Percent 8" xfId="2179"/>
    <cellStyle name="Percent 8 2" xfId="2180"/>
    <cellStyle name="Percent 9" xfId="2181"/>
    <cellStyle name="Percent 9 2" xfId="2182"/>
    <cellStyle name="Percent 9 3" xfId="2183"/>
    <cellStyle name="Percent2Decimals" xfId="2184"/>
    <cellStyle name="Percentage" xfId="2185"/>
    <cellStyle name="PercentSales" xfId="2186"/>
    <cellStyle name="PSChar" xfId="2187"/>
    <cellStyle name="PSChar 2" xfId="2188"/>
    <cellStyle name="PSChar 2 2" xfId="2189"/>
    <cellStyle name="PSChar 2 3" xfId="2190"/>
    <cellStyle name="PSChar 3" xfId="2191"/>
    <cellStyle name="PSChar 3 2" xfId="2192"/>
    <cellStyle name="PSChar 4" xfId="2193"/>
    <cellStyle name="PSChar 4 2" xfId="2194"/>
    <cellStyle name="PSChar 5" xfId="2195"/>
    <cellStyle name="PSChar 5 2" xfId="2196"/>
    <cellStyle name="PSChar 6" xfId="2197"/>
    <cellStyle name="PSDate" xfId="2198"/>
    <cellStyle name="PSDate 2" xfId="2199"/>
    <cellStyle name="PSDate 2 2" xfId="2200"/>
    <cellStyle name="PSDate 3" xfId="2201"/>
    <cellStyle name="PSDate 3 2" xfId="2202"/>
    <cellStyle name="PSDate 4" xfId="2203"/>
    <cellStyle name="PSDate 4 2" xfId="2204"/>
    <cellStyle name="PSDate 5" xfId="2205"/>
    <cellStyle name="PSDate 5 2" xfId="2206"/>
    <cellStyle name="PSDate 6" xfId="2207"/>
    <cellStyle name="PSDec" xfId="2208"/>
    <cellStyle name="PSDec 2" xfId="2209"/>
    <cellStyle name="PSDec 2 2" xfId="2210"/>
    <cellStyle name="PSDec 3" xfId="2211"/>
    <cellStyle name="PSDec 3 2" xfId="2212"/>
    <cellStyle name="PSDec 4" xfId="2213"/>
    <cellStyle name="PSDec 4 2" xfId="2214"/>
    <cellStyle name="PSDec 5" xfId="2215"/>
    <cellStyle name="PSDec 5 2" xfId="2216"/>
    <cellStyle name="PSDec 6" xfId="2217"/>
    <cellStyle name="PSHeading" xfId="2218"/>
    <cellStyle name="PSHeading 2" xfId="2219"/>
    <cellStyle name="PSHeading 2 2" xfId="2220"/>
    <cellStyle name="PSHeading 2 3" xfId="2221"/>
    <cellStyle name="PSHeading 2_11 APCo Impact Summary - 10-30" xfId="2222"/>
    <cellStyle name="PSHeading 3" xfId="2223"/>
    <cellStyle name="PSHeading 3 2" xfId="2224"/>
    <cellStyle name="PSHeading 3_Input" xfId="2225"/>
    <cellStyle name="PSHeading 4" xfId="2226"/>
    <cellStyle name="PSHeading 4 2" xfId="2227"/>
    <cellStyle name="PSHeading 4_Input" xfId="2228"/>
    <cellStyle name="PSHeading 5" xfId="2229"/>
    <cellStyle name="PSHeading 5 2" xfId="2230"/>
    <cellStyle name="PSHeading 5_Input" xfId="2231"/>
    <cellStyle name="PSHeading 6" xfId="2232"/>
    <cellStyle name="PSHeading_2012_6  GLR2200T_BU117" xfId="2233"/>
    <cellStyle name="PSInt" xfId="2234"/>
    <cellStyle name="PSInt 2" xfId="2235"/>
    <cellStyle name="PSInt 2 2" xfId="2236"/>
    <cellStyle name="PSInt 3" xfId="2237"/>
    <cellStyle name="PSInt 3 2" xfId="2238"/>
    <cellStyle name="PSInt 4" xfId="2239"/>
    <cellStyle name="PSInt 4 2" xfId="2240"/>
    <cellStyle name="PSInt 5" xfId="2241"/>
    <cellStyle name="PSInt 5 2" xfId="2242"/>
    <cellStyle name="PSInt 6" xfId="2243"/>
    <cellStyle name="PSSpacer" xfId="2244"/>
    <cellStyle name="PSSpacer 2" xfId="2245"/>
    <cellStyle name="PSSpacer 2 2" xfId="2246"/>
    <cellStyle name="PSSpacer 2 3" xfId="2247"/>
    <cellStyle name="PSSpacer 3" xfId="2248"/>
    <cellStyle name="PSSpacer 3 2" xfId="2249"/>
    <cellStyle name="PSSpacer 4" xfId="2250"/>
    <cellStyle name="PSSpacer 4 2" xfId="2251"/>
    <cellStyle name="PSSpacer 5" xfId="2252"/>
    <cellStyle name="PSSpacer 5 2" xfId="2253"/>
    <cellStyle name="PSSpacer 6" xfId="2254"/>
    <cellStyle name="Red font" xfId="2255"/>
    <cellStyle name="SmallNormal" xfId="2256"/>
    <cellStyle name="SmallNormal 2" xfId="2257"/>
    <cellStyle name="SmallNormal_11 KPCo Impact Summary - ML 5050 Case V 9-6" xfId="2258"/>
    <cellStyle name="Style 1" xfId="2259"/>
    <cellStyle name="Style 1 2" xfId="2260"/>
    <cellStyle name="Style 1 2 2" xfId="2261"/>
    <cellStyle name="Style 1 2 3" xfId="2262"/>
    <cellStyle name="Style 1 2_11 APCo Impact Summary - 10-30" xfId="2263"/>
    <cellStyle name="Style 1 3" xfId="2264"/>
    <cellStyle name="Style 1 4" xfId="2265"/>
    <cellStyle name="Style 1 4 2" xfId="2266"/>
    <cellStyle name="Style 1_11 KPCo Impact Summary - ML 5050 Case V 9-6" xfId="2267"/>
    <cellStyle name="TableData" xfId="2268"/>
    <cellStyle name="TableDataCenter" xfId="2269"/>
    <cellStyle name="TFCF" xfId="2270"/>
    <cellStyle name="Title 2" xfId="2271"/>
    <cellStyle name="Total 2" xfId="2272"/>
    <cellStyle name="Total 3" xfId="2273"/>
    <cellStyle name="Warning Text 2" xfId="2274"/>
    <cellStyle name="Warning Text 3" xfId="2275"/>
    <cellStyle name="YEAR HEADER" xfId="2276"/>
    <cellStyle name="표준_사자평풍속(1)_밀양실측(1)(1)" xfId="2277"/>
    <cellStyle name="桁区切り [0.00]_030123_ExpenditureSchedule_Deferred_proposal" xfId="2278"/>
    <cellStyle name="桁区切り_030123_ExpenditureSchedule_Deferred_proposal" xfId="2279"/>
    <cellStyle name="標準_030123_ExpenditureSchedule_Deferred_proposal" xfId="228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LYSIS/REFERENCE%20DATA/IPS-Interchange%20Power%20Statement/East%20IPS/2009/Actuals/07July%202009%20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ALYSIS/OPERATING%20COMPANIES/WPCO/20100209_WPCO%20Transfer%20to%20APCO%20with%202009%20numbers/Income%20Statement%20Examp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sset%20Analysis/Current%20Model/UnitValue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xternal/SCBE/Invoices/2003/City%20of%20Coleman/COLEMAN2003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NALYSIS/REFERENCE%20DATA/IPS-Interchange%20Power%20Statement/2008/Actual/12December%202008%20Actu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isk Assessment-IPS Actual"/>
      <sheetName val="Risk Assessment - IPS Act"/>
      <sheetName val="Change Revisions"/>
      <sheetName val="INPUT"/>
      <sheetName val="Cover Page"/>
      <sheetName val="Statement"/>
      <sheetName val="Contents"/>
      <sheetName val="PAGE1"/>
      <sheetName val="PAGE2"/>
      <sheetName val="PAGE4"/>
      <sheetName val="PAGE5"/>
      <sheetName val="PAGE6"/>
      <sheetName val="PAGE6B"/>
      <sheetName val="PAGE10"/>
      <sheetName val="PAGE11"/>
      <sheetName val="APP Contents"/>
      <sheetName val="APPII"/>
      <sheetName val="APPIII"/>
      <sheetName val="APPIV"/>
      <sheetName val="APPV"/>
      <sheetName val="APPVI PG1"/>
      <sheetName val="APPVI PG 2"/>
      <sheetName val="APPVI VLOOKUP NAMES"/>
      <sheetName val="APPVII PG1"/>
      <sheetName val="APPVII PG2"/>
      <sheetName val="APPVII PG3"/>
      <sheetName val="APPVII PG4"/>
      <sheetName val="APPVIII PG 1"/>
      <sheetName val="APPVIII PG 2"/>
      <sheetName val="APPVIII PG 3"/>
      <sheetName val="APPVIII PG 4"/>
      <sheetName val="APPVIII PG 5"/>
      <sheetName val="APPVIII PG 6"/>
      <sheetName val="APPVIII PG 7"/>
      <sheetName val="APP IX (PJM)"/>
      <sheetName val="APP X (PASS-THROUGH)"/>
      <sheetName val="PAGE3"/>
      <sheetName val="PAGE7"/>
      <sheetName val="PRIMARY 151"/>
      <sheetName val="PAGE8"/>
      <sheetName val="PAGE9"/>
      <sheetName val="ECONOMY 151"/>
      <sheetName val="AP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T Output-1"/>
      <sheetName val="GT Output-2"/>
      <sheetName val="GT Output-3"/>
      <sheetName val="GT Output-4"/>
      <sheetName val="GT Output-5"/>
      <sheetName val="GENCO ES-1"/>
      <sheetName val="GENCO ES-2"/>
      <sheetName val="GENCO ES-3"/>
      <sheetName val="GENCO ES-4"/>
      <sheetName val="GENCO ES-5"/>
      <sheetName val="JA Factors"/>
      <sheetName val="Genco Summary"/>
      <sheetName val="Deltas Summary"/>
      <sheetName val="APCO-Juris ES"/>
      <sheetName val="CSP-Juris ES"/>
      <sheetName val="I&amp;M-Juris ES"/>
      <sheetName val="KPCO-Juris ES"/>
      <sheetName val="OPCO-Juris ES"/>
      <sheetName val="APCO Rate Trtmnt"/>
      <sheetName val="CSP Rate Trtmnt"/>
      <sheetName val="I&amp;M Rate Trtmnt"/>
      <sheetName val="KPCO Rate Trtmnt"/>
      <sheetName val="OPCO Rate Trtmnt"/>
      <sheetName val="Case Summary"/>
      <sheetName val="Sheet1"/>
      <sheetName val="Case Summary (2)"/>
      <sheetName val="Scenario #1"/>
      <sheetName val="Cost Recovery"/>
      <sheetName val="UCROP Losses &amp; AS"/>
      <sheetName val="Printouts"/>
      <sheetName val="Error 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OC"/>
      <sheetName val="Updates Checklist"/>
      <sheetName val="DB Inputs"/>
      <sheetName val="Inputs"/>
      <sheetName val="CB Unit Analysis"/>
      <sheetName val="CB Summary"/>
      <sheetName val="GT Calibration"/>
      <sheetName val="Summary Fleet"/>
      <sheetName val="Five Yr Page"/>
      <sheetName val="Summary PL&amp;Value"/>
      <sheetName val="MarketsCurves  Used"/>
      <sheetName val="Barnett-Pile monthly"/>
      <sheetName val="Fuel Sort"/>
      <sheetName val="Current Coal Forecast"/>
      <sheetName val="Alternate Coal Forecast"/>
      <sheetName val="Volatility"/>
      <sheetName val="Performance"/>
      <sheetName val="Performance- GT"/>
      <sheetName val="Costs"/>
      <sheetName val="Depreciation Calcs"/>
      <sheetName val="UCAP"/>
      <sheetName val="Con"/>
      <sheetName val="Inc"/>
      <sheetName val="Cash"/>
      <sheetName val="Bal"/>
      <sheetName val="Debt"/>
      <sheetName val="Monthly Simple Swap"/>
      <sheetName val="Monthly Heat Rate  Option"/>
      <sheetName val="Scalars"/>
      <sheetName val="Day Count"/>
      <sheetName val="Power_Fuel Curves"/>
      <sheetName val="FO_MO_SO"/>
      <sheetName val="O&amp;M Data"/>
      <sheetName val="Client Unit Data 3"/>
      <sheetName val="Emissions"/>
      <sheetName val="Env. Credits"/>
      <sheetName val="VOM"/>
      <sheetName val="Insurance Cost"/>
      <sheetName val="Plant List"/>
      <sheetName val="GetCurves"/>
      <sheetName val="Deprec'n"/>
      <sheetName val="Plant Deprec'n Detail"/>
      <sheetName val="Sensitivities"/>
      <sheetName val="FGD Aux Load"/>
      <sheetName val="Carbon Value Plot"/>
      <sheetName val="Mercury Value Plot"/>
    </sheetNames>
    <sheetDataSet>
      <sheetData sheetId="0"/>
      <sheetData sheetId="1"/>
      <sheetData sheetId="2"/>
      <sheetData sheetId="3">
        <row r="64">
          <cell r="C64">
            <v>2.5000000000000001E-2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urrent Invoice"/>
      <sheetName val="ERCOT Charges"/>
      <sheetName val="ERCOT Charges - Sep-03"/>
      <sheetName val="ERCOT Charges - Aug-03"/>
      <sheetName val="Call Option"/>
      <sheetName val="Determinants"/>
      <sheetName val="Detail"/>
      <sheetName val="Blank Prior BT OH"/>
      <sheetName val="Blank Cur BT OH"/>
      <sheetName val="Blank Prior BT WV"/>
      <sheetName val="Blank Cur BT WV"/>
      <sheetName val="Blank Prior BT IN"/>
      <sheetName val="Blank Cur BT IN"/>
    </sheetNames>
    <sheetDataSet>
      <sheetData sheetId="0"/>
      <sheetData sheetId="1" refreshError="1"/>
      <sheetData sheetId="2" refreshError="1"/>
      <sheetData sheetId="3" refreshError="1"/>
      <sheetData sheetId="4" refreshError="1"/>
      <sheetData sheetId="5">
        <row r="129">
          <cell r="C129" t="str">
            <v>City of Coleman</v>
          </cell>
        </row>
      </sheetData>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isk Assessment-IPS Actual"/>
      <sheetName val="Change Revisions"/>
      <sheetName val="INPUT"/>
      <sheetName val="Cover Page"/>
      <sheetName val="Statement"/>
      <sheetName val="Contents"/>
      <sheetName val="PAGE1"/>
      <sheetName val="PAGE2"/>
      <sheetName val="PAGE3"/>
      <sheetName val="PAGE4"/>
      <sheetName val="PAGE5"/>
      <sheetName val="PAGE6"/>
      <sheetName val="PAGE6B"/>
      <sheetName val="PAGE7"/>
      <sheetName val="PAGE8"/>
      <sheetName val="PRIMARY 151"/>
      <sheetName val="PAGE9"/>
      <sheetName val="ECONOMY 151"/>
      <sheetName val="PAGE10"/>
      <sheetName val="PAGE11"/>
      <sheetName val="APP Contents"/>
      <sheetName val="APPI"/>
      <sheetName val="APPII"/>
      <sheetName val="APPIII"/>
      <sheetName val="APPIV"/>
      <sheetName val="APPV"/>
      <sheetName val="APPVI PG1"/>
      <sheetName val="APPVI PG 2"/>
      <sheetName val="APPVI VLOOKUP NAMES"/>
      <sheetName val="APPVII PG1"/>
      <sheetName val="APPVII PG2"/>
      <sheetName val="APPVII PG3"/>
      <sheetName val="APPVII PG4"/>
      <sheetName val="APPVIII PG 1"/>
      <sheetName val="APPVIII PG 2"/>
      <sheetName val="APPVIII PG 3"/>
      <sheetName val="APPVIII PG 4"/>
      <sheetName val="APPVIII PG 5"/>
      <sheetName val="APPVIII PG 6"/>
      <sheetName val="APPVIII PG 7"/>
      <sheetName val="APP IX (PJM)"/>
      <sheetName val="APP X (PASS-THROUGH)"/>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sheetData sheetId="14"/>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04">
          <cell r="C104">
            <v>10928129</v>
          </cell>
          <cell r="D104">
            <v>-1767011</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30"/>
  <sheetViews>
    <sheetView tabSelected="1" zoomScale="75" zoomScaleNormal="100" workbookViewId="0">
      <selection activeCell="E29" sqref="E29"/>
    </sheetView>
  </sheetViews>
  <sheetFormatPr defaultRowHeight="15"/>
  <cols>
    <col min="1" max="1" width="5.42578125" style="19" customWidth="1"/>
    <col min="2" max="2" width="48.140625" style="19" customWidth="1"/>
    <col min="3" max="3" width="21.85546875" style="19" customWidth="1"/>
    <col min="4" max="5" width="17" style="19" bestFit="1" customWidth="1"/>
    <col min="6" max="6" width="19.140625" style="19" customWidth="1"/>
    <col min="7" max="7" width="17.140625" style="39" bestFit="1" customWidth="1"/>
    <col min="8" max="8" width="7.7109375" style="19" customWidth="1"/>
    <col min="9" max="9" width="37.28515625" style="19" customWidth="1"/>
    <col min="10" max="16384" width="9.140625" style="19"/>
  </cols>
  <sheetData>
    <row r="1" spans="1:9" ht="15.75">
      <c r="A1" s="18" t="s">
        <v>154</v>
      </c>
    </row>
    <row r="3" spans="1:9">
      <c r="B3" s="20"/>
      <c r="C3" s="21" t="s">
        <v>1</v>
      </c>
      <c r="D3" s="22" t="s">
        <v>11</v>
      </c>
      <c r="E3" s="21" t="s">
        <v>2</v>
      </c>
      <c r="F3" s="22" t="s">
        <v>77</v>
      </c>
      <c r="G3" s="40" t="s">
        <v>23</v>
      </c>
      <c r="I3" s="82" t="s">
        <v>121</v>
      </c>
    </row>
    <row r="4" spans="1:9" ht="16.5">
      <c r="A4" s="23" t="s">
        <v>47</v>
      </c>
      <c r="B4" s="24" t="s">
        <v>22</v>
      </c>
      <c r="C4" s="25">
        <f ca="1">'Cap Equalization'!H20/1000</f>
        <v>-25087.7</v>
      </c>
      <c r="D4" s="25">
        <f ca="1">'Cap Equalization'!J20/1000</f>
        <v>3053</v>
      </c>
      <c r="E4" s="25">
        <f ca="1">'Cap Equalization'!K20/1000</f>
        <v>-3790.8</v>
      </c>
      <c r="F4" s="25">
        <v>26814.600000000002</v>
      </c>
      <c r="G4" s="41">
        <f>SUM(C4:F4)</f>
        <v>989.10000000000218</v>
      </c>
      <c r="I4" s="19" t="s">
        <v>122</v>
      </c>
    </row>
    <row r="5" spans="1:9">
      <c r="A5" s="26"/>
      <c r="B5" s="121" t="s">
        <v>44</v>
      </c>
      <c r="C5" s="122">
        <f ca="1">'Cap Equalization'!B20</f>
        <v>-361976556</v>
      </c>
      <c r="D5" s="122">
        <f ca="1">'Cap Equalization'!D20</f>
        <v>46435140</v>
      </c>
      <c r="E5" s="122">
        <f ca="1">'Cap Equalization'!E20</f>
        <v>-54522751</v>
      </c>
      <c r="F5" s="123">
        <f ca="1">'Cap Equalization'!F20+'Cap Equalization'!C20</f>
        <v>370064167</v>
      </c>
      <c r="G5" s="122">
        <f>SUM(C5:F5)</f>
        <v>0</v>
      </c>
      <c r="I5" s="19" t="s">
        <v>122</v>
      </c>
    </row>
    <row r="6" spans="1:9" ht="16.5">
      <c r="A6" s="23"/>
      <c r="B6" s="26"/>
    </row>
    <row r="7" spans="1:9" ht="16.5">
      <c r="A7" s="23" t="s">
        <v>46</v>
      </c>
      <c r="B7" s="24" t="s">
        <v>24</v>
      </c>
      <c r="C7" s="25">
        <f ca="1">'Primary Energy'!D21</f>
        <v>13710292</v>
      </c>
      <c r="D7" s="25">
        <f ca="1">'Primary Energy'!N21</f>
        <v>118363</v>
      </c>
      <c r="E7" s="25">
        <f ca="1">'Primary Energy'!I21</f>
        <v>652673</v>
      </c>
      <c r="F7" s="25">
        <f ca="1">'Primary Energy'!X21+'Primary Energy'!S21</f>
        <v>5156112</v>
      </c>
      <c r="G7" s="41">
        <f>SUM(C7:F7)</f>
        <v>19637440</v>
      </c>
      <c r="I7" s="19" t="s">
        <v>129</v>
      </c>
    </row>
    <row r="8" spans="1:9" ht="16.5">
      <c r="A8" s="23"/>
      <c r="B8" s="30" t="s">
        <v>43</v>
      </c>
      <c r="C8" s="34">
        <f ca="1">-'Primary Energy'!E21</f>
        <v>-312667584</v>
      </c>
      <c r="D8" s="34">
        <f ca="1">-'Primary Energy'!O21</f>
        <v>-3183869</v>
      </c>
      <c r="E8" s="34">
        <f ca="1">-'Primary Energy'!J21</f>
        <v>-15290188</v>
      </c>
      <c r="F8" s="48">
        <f ca="1">('Primary Energy'!Y21+'Primary Energy'!T21)*-1</f>
        <v>-113526555</v>
      </c>
      <c r="G8" s="34">
        <f>SUM(C8:F8)</f>
        <v>-444668196</v>
      </c>
      <c r="I8" s="19" t="s">
        <v>129</v>
      </c>
    </row>
    <row r="9" spans="1:9" ht="16.5">
      <c r="A9" s="23"/>
      <c r="B9" s="26"/>
    </row>
    <row r="10" spans="1:9" ht="16.5">
      <c r="A10" s="23" t="s">
        <v>45</v>
      </c>
      <c r="B10" s="24" t="s">
        <v>25</v>
      </c>
      <c r="C10" s="25">
        <f ca="1">'Primary Energy'!B21</f>
        <v>21621</v>
      </c>
      <c r="D10" s="25">
        <f ca="1">'Primary Energy'!L21</f>
        <v>9877740</v>
      </c>
      <c r="E10" s="25">
        <f ca="1">'Primary Energy'!G21</f>
        <v>1069443</v>
      </c>
      <c r="F10" s="25">
        <f ca="1">'Primary Energy'!V21+'Primary Energy'!Q21</f>
        <v>8658636</v>
      </c>
      <c r="G10" s="41">
        <f>SUM(C10:E10)+F10</f>
        <v>19627440</v>
      </c>
      <c r="H10" s="33"/>
      <c r="I10" s="19" t="s">
        <v>129</v>
      </c>
    </row>
    <row r="11" spans="1:9" ht="16.5">
      <c r="A11" s="23"/>
      <c r="B11" s="121" t="s">
        <v>185</v>
      </c>
      <c r="C11" s="122">
        <f ca="1">'Primary Energy'!C21</f>
        <v>620917</v>
      </c>
      <c r="D11" s="122">
        <f ca="1">'Primary Energy'!M21</f>
        <v>186923951</v>
      </c>
      <c r="E11" s="122">
        <f ca="1">'Primary Energy'!H21</f>
        <v>30830359</v>
      </c>
      <c r="F11" s="123">
        <f ca="1">'Primary Energy'!W21+'Primary Energy'!R21</f>
        <v>226292965</v>
      </c>
      <c r="G11" s="122">
        <f>SUM(C11:E11)+F11</f>
        <v>444668192</v>
      </c>
      <c r="H11" s="33"/>
      <c r="I11" s="19" t="s">
        <v>129</v>
      </c>
    </row>
    <row r="12" spans="1:9" ht="16.5">
      <c r="A12" s="23"/>
      <c r="B12" s="27"/>
      <c r="C12" s="20"/>
      <c r="E12" s="20"/>
    </row>
    <row r="13" spans="1:9" ht="16.5">
      <c r="A13" s="23" t="s">
        <v>48</v>
      </c>
      <c r="B13" s="24" t="s">
        <v>42</v>
      </c>
      <c r="C13" s="25">
        <f ca="1">'OSS MWh'!B61</f>
        <v>5029931</v>
      </c>
      <c r="D13" s="25">
        <f ca="1">'OSS MWh'!D61</f>
        <v>1985687</v>
      </c>
      <c r="E13" s="25">
        <f ca="1">'OSS MWh'!C61</f>
        <v>1088321</v>
      </c>
      <c r="F13" s="25"/>
      <c r="G13" s="41">
        <f>SUM(C13:F13)</f>
        <v>8103939</v>
      </c>
      <c r="I13" s="19" t="s">
        <v>123</v>
      </c>
    </row>
    <row r="14" spans="1:9" ht="16.5">
      <c r="A14" s="23"/>
      <c r="B14" s="124" t="s">
        <v>3</v>
      </c>
      <c r="C14" s="125">
        <f ca="1">'OSS Margins'!B5</f>
        <v>119523000</v>
      </c>
      <c r="D14" s="125">
        <f ca="1">'OSS Margins'!D5</f>
        <v>68188000</v>
      </c>
      <c r="E14" s="125">
        <f ca="1">'OSS Margins'!C5</f>
        <v>23915000</v>
      </c>
      <c r="F14" s="126">
        <f ca="1">'OSS Margins'!E5+'OSS Margins'!F5</f>
        <v>204087000</v>
      </c>
      <c r="G14" s="125">
        <f>SUM(C14:F14)</f>
        <v>415713000</v>
      </c>
      <c r="I14" s="19" t="s">
        <v>124</v>
      </c>
    </row>
    <row r="15" spans="1:9" ht="18" customHeight="1">
      <c r="A15" s="23"/>
      <c r="B15" s="44" t="s">
        <v>73</v>
      </c>
      <c r="C15" s="28">
        <f ca="1">+'OSS Reimbursement'!F39</f>
        <v>271285087</v>
      </c>
      <c r="D15" s="28">
        <f ca="1">+'OSS Reimbursement'!F99</f>
        <v>92729219</v>
      </c>
      <c r="E15" s="28">
        <f ca="1">+'OSS Reimbursement'!F70</f>
        <v>38332223</v>
      </c>
      <c r="F15" s="47">
        <f ca="1">+'OSS Reimbursement'!F126+'OSS Reimbursement'!F155</f>
        <v>308063090</v>
      </c>
      <c r="G15" s="28">
        <f>SUM(C15:F15)</f>
        <v>710409619</v>
      </c>
      <c r="I15" s="19" t="s">
        <v>228</v>
      </c>
    </row>
    <row r="16" spans="1:9">
      <c r="A16" s="26"/>
      <c r="B16" s="42" t="s">
        <v>74</v>
      </c>
      <c r="C16" s="34">
        <f>C15+C14</f>
        <v>390808087</v>
      </c>
      <c r="D16" s="34">
        <f>D15+D14</f>
        <v>160917219</v>
      </c>
      <c r="E16" s="34">
        <f>E15+E14</f>
        <v>62247223</v>
      </c>
      <c r="F16" s="48">
        <v>443524694</v>
      </c>
      <c r="G16" s="34">
        <f>SUM(C16:F16)</f>
        <v>1057497223</v>
      </c>
    </row>
    <row r="17" spans="1:9" ht="16.5">
      <c r="A17" s="23"/>
      <c r="B17" s="27"/>
      <c r="C17" s="29"/>
      <c r="D17" s="29"/>
      <c r="E17" s="29"/>
      <c r="F17" s="29"/>
      <c r="G17" s="28"/>
    </row>
    <row r="18" spans="1:9" ht="16.5">
      <c r="A18" s="35" t="s">
        <v>49</v>
      </c>
      <c r="B18" s="132" t="s">
        <v>66</v>
      </c>
      <c r="C18" s="41">
        <f ca="1">-PSUM!B33</f>
        <v>-23360131.072246701</v>
      </c>
      <c r="D18" s="41">
        <f ca="1">-PSUM!D33</f>
        <v>-14572203.381785601</v>
      </c>
      <c r="E18" s="41">
        <f ca="1">-PSUM!C33</f>
        <v>-4938306.5779866995</v>
      </c>
      <c r="F18" s="41">
        <f ca="1">-PSUM!E33-PSUM!F33</f>
        <v>-30922583.207980998</v>
      </c>
      <c r="G18" s="41">
        <f>SUM(C18:F18)</f>
        <v>-73793224.24000001</v>
      </c>
      <c r="I18" s="19" t="s">
        <v>171</v>
      </c>
    </row>
    <row r="19" spans="1:9" ht="16.5">
      <c r="A19" s="35"/>
      <c r="B19" s="81" t="s">
        <v>190</v>
      </c>
      <c r="C19" s="28">
        <f ca="1">-'OVEC D Charge'!B53</f>
        <v>-1655407.8499999996</v>
      </c>
      <c r="D19" s="28">
        <f ca="1">-'OVEC D Charge'!C53</f>
        <v>-974941.16999999993</v>
      </c>
      <c r="E19" s="28">
        <v>0</v>
      </c>
      <c r="F19" s="28">
        <f ca="1">-'OVEC D Charge'!D53-'OVEC D Charge'!E53</f>
        <v>-3500308.53</v>
      </c>
      <c r="G19" s="28">
        <f>SUM(C19:F19)</f>
        <v>-6130657.5499999989</v>
      </c>
      <c r="I19" s="19" t="s">
        <v>172</v>
      </c>
    </row>
    <row r="20" spans="1:9" ht="16.5">
      <c r="A20" s="35"/>
      <c r="B20" s="81"/>
      <c r="C20" s="29"/>
      <c r="D20" s="29"/>
      <c r="E20" s="29"/>
      <c r="F20" s="29"/>
      <c r="G20" s="28"/>
    </row>
    <row r="21" spans="1:9" ht="16.5">
      <c r="A21" s="35" t="s">
        <v>50</v>
      </c>
      <c r="B21" s="43" t="s">
        <v>109</v>
      </c>
      <c r="C21" s="37">
        <f ca="1">-'PJM Bill Detail'!B52</f>
        <v>-90674756.090000004</v>
      </c>
      <c r="D21" s="37">
        <f ca="1">-'PJM Bill Detail'!D52</f>
        <v>-55270720.82</v>
      </c>
      <c r="E21" s="37">
        <f ca="1">-'PJM Bill Detail'!C52</f>
        <v>-19147226.620000001</v>
      </c>
      <c r="F21" s="37">
        <f ca="1">-'PJM Bill Detail'!E52-'PJM Bill Detail'!F52</f>
        <v>-117779153.28</v>
      </c>
      <c r="G21" s="37">
        <f>SUM(C21:F21)</f>
        <v>-282871856.81</v>
      </c>
      <c r="H21" s="118"/>
      <c r="I21" s="19" t="s">
        <v>125</v>
      </c>
    </row>
    <row r="22" spans="1:9" ht="16.5">
      <c r="A22" s="23"/>
      <c r="B22" s="27"/>
      <c r="C22" s="29"/>
      <c r="D22" s="29"/>
      <c r="E22" s="29"/>
      <c r="F22" s="29"/>
      <c r="G22" s="28"/>
    </row>
    <row r="23" spans="1:9" ht="16.5">
      <c r="A23" s="35" t="s">
        <v>99</v>
      </c>
      <c r="B23" s="128" t="s">
        <v>183</v>
      </c>
      <c r="C23" s="127">
        <f ca="1">-'Wheeling Power Bill'!N35</f>
        <v>-105366444.03999999</v>
      </c>
      <c r="D23" s="129">
        <v>0</v>
      </c>
      <c r="E23" s="129">
        <v>0</v>
      </c>
      <c r="F23" s="127">
        <f>-C23</f>
        <v>105366444.03999999</v>
      </c>
      <c r="G23" s="127">
        <f>SUM(C23:F23)</f>
        <v>0</v>
      </c>
      <c r="I23" s="19" t="s">
        <v>126</v>
      </c>
    </row>
    <row r="24" spans="1:9" ht="15.75">
      <c r="A24" s="38"/>
      <c r="C24" s="29"/>
      <c r="D24" s="29"/>
      <c r="E24" s="29"/>
      <c r="F24" s="29"/>
      <c r="G24" s="28"/>
    </row>
    <row r="25" spans="1:9" ht="16.5">
      <c r="A25" s="35" t="s">
        <v>100</v>
      </c>
      <c r="B25" s="36" t="s">
        <v>101</v>
      </c>
      <c r="C25" s="37">
        <f>G25*0.32</f>
        <v>37860606.963199995</v>
      </c>
      <c r="D25" s="37">
        <f>G25*0.2</f>
        <v>23662879.351999998</v>
      </c>
      <c r="E25" s="37">
        <f>G25*0.07</f>
        <v>8282007.7731999997</v>
      </c>
      <c r="F25" s="37">
        <f>G25*0.41</f>
        <v>48508902.671599992</v>
      </c>
      <c r="G25" s="37">
        <f ca="1">'Trading &amp; Optimization Detail'!C5</f>
        <v>118314396.75999999</v>
      </c>
      <c r="I25" s="19" t="s">
        <v>127</v>
      </c>
    </row>
    <row r="27" spans="1:9" ht="16.5">
      <c r="A27" s="35" t="s">
        <v>110</v>
      </c>
      <c r="B27" s="45" t="s">
        <v>169</v>
      </c>
      <c r="C27" s="37">
        <f>C16-C25</f>
        <v>352947480.03680003</v>
      </c>
      <c r="D27" s="37">
        <f>D16-D25</f>
        <v>137254339.648</v>
      </c>
      <c r="E27" s="37">
        <f>E16-E25</f>
        <v>53965215.226800002</v>
      </c>
      <c r="F27" s="37">
        <f>F16-F25</f>
        <v>395015791.32840002</v>
      </c>
      <c r="G27" s="37">
        <f>SUM(C27:F27)</f>
        <v>939182826.24000001</v>
      </c>
      <c r="H27" s="77"/>
    </row>
    <row r="28" spans="1:9" ht="15.75">
      <c r="A28" s="38"/>
    </row>
    <row r="29" spans="1:9" ht="15.75">
      <c r="A29" s="38"/>
      <c r="B29" s="19" t="s">
        <v>0</v>
      </c>
      <c r="C29" s="77">
        <f>C27+C21+C18+C19+C23+C11+C8+C5</f>
        <v>-542132482.01544666</v>
      </c>
      <c r="D29" s="77">
        <f>D27+D21+D18+D19+D23+D11+D8+D5</f>
        <v>296611696.27621442</v>
      </c>
      <c r="E29" s="77">
        <f>E27+E21+E18+E19+E23+E11+E8+E5</f>
        <v>-9102897.9711866975</v>
      </c>
      <c r="F29" s="77">
        <f>F27+F21+F18+F19+F23+F11+F8+F5</f>
        <v>831010767.35041904</v>
      </c>
      <c r="G29" s="77">
        <f>G27+G21+G18+G19+G23+G11+G8+G5</f>
        <v>576387083.6400001</v>
      </c>
      <c r="I29" s="19" t="s">
        <v>153</v>
      </c>
    </row>
    <row r="30" spans="1:9" ht="15.75">
      <c r="A30" s="38"/>
    </row>
  </sheetData>
  <phoneticPr fontId="70" type="noConversion"/>
  <pageMargins left="0.7" right="0.7" top="0.75" bottom="0.75" header="0.3" footer="0.3"/>
  <pageSetup scale="64" orientation="landscape" r:id="rId1"/>
  <headerFooter>
    <oddFooter>&amp;L&amp;F &amp;A &amp;R&amp;D&amp;T</oddFooter>
  </headerFooter>
</worksheet>
</file>

<file path=xl/worksheets/sheet10.xml><?xml version="1.0" encoding="utf-8"?>
<worksheet xmlns="http://schemas.openxmlformats.org/spreadsheetml/2006/main" xmlns:r="http://schemas.openxmlformats.org/officeDocument/2006/relationships">
  <sheetPr>
    <tabColor rgb="FF92D050"/>
    <pageSetUpPr fitToPage="1"/>
  </sheetPr>
  <dimension ref="A1:F56"/>
  <sheetViews>
    <sheetView topLeftCell="A45" workbookViewId="0">
      <selection activeCell="D49" sqref="D49"/>
    </sheetView>
  </sheetViews>
  <sheetFormatPr defaultRowHeight="15"/>
  <cols>
    <col min="1" max="1" width="9.28515625" style="19" bestFit="1" customWidth="1"/>
    <col min="2" max="2" width="17.7109375" style="19" bestFit="1" customWidth="1"/>
    <col min="3" max="4" width="14.42578125" style="19" bestFit="1" customWidth="1"/>
    <col min="5" max="5" width="13.28515625" style="19" bestFit="1" customWidth="1"/>
    <col min="6" max="6" width="13.28515625" style="19" customWidth="1"/>
    <col min="7" max="10" width="12.5703125" style="19" bestFit="1" customWidth="1"/>
    <col min="11" max="11" width="14.28515625" style="19" bestFit="1" customWidth="1"/>
    <col min="12" max="16384" width="9.140625" style="19"/>
  </cols>
  <sheetData>
    <row r="1" spans="1:5" ht="15.75" thickBot="1">
      <c r="A1" s="49" t="s">
        <v>72</v>
      </c>
    </row>
    <row r="2" spans="1:5">
      <c r="A2" s="65"/>
      <c r="B2" s="90"/>
      <c r="C2" s="199"/>
      <c r="D2" s="199"/>
      <c r="E2" s="206"/>
    </row>
    <row r="3" spans="1:5">
      <c r="A3" s="67" t="s">
        <v>189</v>
      </c>
      <c r="B3" s="91"/>
      <c r="C3" s="20"/>
      <c r="D3" s="20"/>
      <c r="E3" s="92"/>
    </row>
    <row r="4" spans="1:5">
      <c r="A4" s="204" t="s">
        <v>71</v>
      </c>
      <c r="B4" s="205"/>
      <c r="C4" s="53" t="s">
        <v>62</v>
      </c>
      <c r="D4" s="53" t="s">
        <v>57</v>
      </c>
      <c r="E4" s="92" t="s">
        <v>63</v>
      </c>
    </row>
    <row r="5" spans="1:5">
      <c r="A5" s="93">
        <v>40554</v>
      </c>
      <c r="B5" s="91">
        <f t="shared" ref="B5:B16" si="0">SUM(C5:E5)</f>
        <v>8124644.79</v>
      </c>
      <c r="C5" s="94">
        <v>2932497.74</v>
      </c>
      <c r="D5" s="94">
        <v>1467183.38</v>
      </c>
      <c r="E5" s="95">
        <v>3724963.67</v>
      </c>
    </row>
    <row r="6" spans="1:5">
      <c r="A6" s="93">
        <v>40585</v>
      </c>
      <c r="B6" s="91">
        <f t="shared" si="0"/>
        <v>9476003.6900000013</v>
      </c>
      <c r="C6" s="94">
        <v>3420255.3</v>
      </c>
      <c r="D6" s="94">
        <v>1711217.6</v>
      </c>
      <c r="E6" s="95">
        <v>4344530.79</v>
      </c>
    </row>
    <row r="7" spans="1:5">
      <c r="A7" s="93">
        <v>40613</v>
      </c>
      <c r="B7" s="91">
        <f t="shared" si="0"/>
        <v>11716862.190000001</v>
      </c>
      <c r="C7" s="94">
        <v>4229067.58</v>
      </c>
      <c r="D7" s="94">
        <v>2115881.4900000002</v>
      </c>
      <c r="E7" s="95">
        <v>5371913.1200000001</v>
      </c>
    </row>
    <row r="8" spans="1:5">
      <c r="A8" s="93">
        <v>40644</v>
      </c>
      <c r="B8" s="91">
        <f t="shared" si="0"/>
        <v>14384209.649999999</v>
      </c>
      <c r="C8" s="94">
        <v>5191816.18</v>
      </c>
      <c r="D8" s="94">
        <v>2597562.59</v>
      </c>
      <c r="E8" s="95">
        <v>6594830.8799999999</v>
      </c>
    </row>
    <row r="9" spans="1:5">
      <c r="A9" s="93">
        <v>40674</v>
      </c>
      <c r="B9" s="91">
        <f t="shared" si="0"/>
        <v>9400316.9800000004</v>
      </c>
      <c r="C9" s="94">
        <v>3392937.05</v>
      </c>
      <c r="D9" s="94">
        <v>1697549.76</v>
      </c>
      <c r="E9" s="95">
        <v>4309830.17</v>
      </c>
    </row>
    <row r="10" spans="1:5">
      <c r="A10" s="93">
        <v>40705</v>
      </c>
      <c r="B10" s="91">
        <f t="shared" si="0"/>
        <v>9437840.2100000009</v>
      </c>
      <c r="C10" s="94">
        <v>3406480.63</v>
      </c>
      <c r="D10" s="94">
        <v>1704325.87</v>
      </c>
      <c r="E10" s="95">
        <v>4327033.71</v>
      </c>
    </row>
    <row r="11" spans="1:5">
      <c r="A11" s="93">
        <v>40735</v>
      </c>
      <c r="B11" s="91">
        <f t="shared" si="0"/>
        <v>9611096.8300000001</v>
      </c>
      <c r="C11" s="94">
        <v>3469015.62</v>
      </c>
      <c r="D11" s="94">
        <v>1735613.3</v>
      </c>
      <c r="E11" s="95">
        <v>4406467.91</v>
      </c>
    </row>
    <row r="12" spans="1:5">
      <c r="A12" s="93">
        <v>40766</v>
      </c>
      <c r="B12" s="91">
        <f t="shared" si="0"/>
        <v>9867922.1999999993</v>
      </c>
      <c r="C12" s="94">
        <v>3561713.81</v>
      </c>
      <c r="D12" s="94">
        <v>1781991.93</v>
      </c>
      <c r="E12" s="95">
        <v>4524216.46</v>
      </c>
    </row>
    <row r="13" spans="1:5">
      <c r="A13" s="93">
        <v>40797</v>
      </c>
      <c r="B13" s="91">
        <f t="shared" si="0"/>
        <v>11129583.41</v>
      </c>
      <c r="C13" s="94">
        <v>4017096.02</v>
      </c>
      <c r="D13" s="94">
        <v>2009828.15</v>
      </c>
      <c r="E13" s="95">
        <v>5102659.24</v>
      </c>
    </row>
    <row r="14" spans="1:5">
      <c r="A14" s="93">
        <v>40827</v>
      </c>
      <c r="B14" s="91">
        <f t="shared" si="0"/>
        <v>13822914.949999999</v>
      </c>
      <c r="C14" s="94">
        <v>4989223.2699999996</v>
      </c>
      <c r="D14" s="94">
        <v>2496201.5699999998</v>
      </c>
      <c r="E14" s="95">
        <v>6337490.1100000003</v>
      </c>
    </row>
    <row r="15" spans="1:5">
      <c r="A15" s="93">
        <v>40858</v>
      </c>
      <c r="B15" s="91">
        <f t="shared" si="0"/>
        <v>12870224.899999999</v>
      </c>
      <c r="C15" s="94">
        <v>4645360.68</v>
      </c>
      <c r="D15" s="94">
        <v>2324160.7000000002</v>
      </c>
      <c r="E15" s="95">
        <v>5900703.5199999996</v>
      </c>
    </row>
    <row r="16" spans="1:5">
      <c r="A16" s="93">
        <v>40888</v>
      </c>
      <c r="B16" s="91">
        <f t="shared" si="0"/>
        <v>13699659.350000001</v>
      </c>
      <c r="C16" s="94">
        <v>4944735.57</v>
      </c>
      <c r="D16" s="94">
        <v>2473943.54</v>
      </c>
      <c r="E16" s="95">
        <v>6280980.2400000002</v>
      </c>
    </row>
    <row r="17" spans="1:6">
      <c r="A17" s="67"/>
      <c r="B17" s="91">
        <f>SUM(B5:B16)</f>
        <v>133541279.15000001</v>
      </c>
      <c r="C17" s="20"/>
      <c r="D17" s="20"/>
      <c r="E17" s="92"/>
    </row>
    <row r="18" spans="1:6">
      <c r="A18" s="161" t="s">
        <v>70</v>
      </c>
      <c r="B18" s="162"/>
      <c r="C18" s="163">
        <f>SUM(C5:C16)</f>
        <v>48200199.450000003</v>
      </c>
      <c r="D18" s="163">
        <f>SUM(D5:D16)</f>
        <v>24115459.879999999</v>
      </c>
      <c r="E18" s="164">
        <f>SUM(E5:E16)</f>
        <v>61225619.82</v>
      </c>
    </row>
    <row r="19" spans="1:6" ht="15.75" thickBot="1">
      <c r="A19" s="72"/>
      <c r="B19" s="96"/>
      <c r="C19" s="96">
        <f>C18/$B17</f>
        <v>0.36093857836915888</v>
      </c>
      <c r="D19" s="96">
        <f>D18/$B17</f>
        <v>0.18058431095985197</v>
      </c>
      <c r="E19" s="97">
        <f>E18/$B17</f>
        <v>0.45847711067098906</v>
      </c>
    </row>
    <row r="20" spans="1:6" ht="15.75" thickBot="1"/>
    <row r="21" spans="1:6" ht="15.75" thickBot="1">
      <c r="A21" s="201" t="s">
        <v>69</v>
      </c>
      <c r="B21" s="202"/>
      <c r="C21" s="202"/>
      <c r="D21" s="203"/>
    </row>
    <row r="22" spans="1:6">
      <c r="A22" s="67"/>
      <c r="B22" s="53" t="s">
        <v>67</v>
      </c>
      <c r="C22" s="53" t="s">
        <v>68</v>
      </c>
      <c r="D22" s="98" t="s">
        <v>65</v>
      </c>
    </row>
    <row r="23" spans="1:6">
      <c r="A23" s="93">
        <v>40554</v>
      </c>
      <c r="B23" s="28">
        <v>10135626.539999999</v>
      </c>
      <c r="C23" s="28">
        <v>9223886.2799999993</v>
      </c>
      <c r="D23" s="99">
        <f t="shared" ref="D23:D32" si="1">B23-C23</f>
        <v>911740.25999999978</v>
      </c>
      <c r="E23" s="39"/>
      <c r="F23" s="39"/>
    </row>
    <row r="24" spans="1:6">
      <c r="A24" s="93">
        <v>40585</v>
      </c>
      <c r="B24" s="28">
        <v>8010186.5899999999</v>
      </c>
      <c r="C24" s="28">
        <v>7206687.0800000001</v>
      </c>
      <c r="D24" s="99">
        <f t="shared" si="1"/>
        <v>803499.50999999978</v>
      </c>
      <c r="E24" s="39"/>
      <c r="F24" s="39"/>
    </row>
    <row r="25" spans="1:6">
      <c r="A25" s="93">
        <v>40613</v>
      </c>
      <c r="B25" s="28">
        <v>5305156.3600000003</v>
      </c>
      <c r="C25" s="28">
        <v>4720491.3499999996</v>
      </c>
      <c r="D25" s="99">
        <f t="shared" si="1"/>
        <v>584665.01000000071</v>
      </c>
      <c r="E25" s="39"/>
      <c r="F25" s="39"/>
    </row>
    <row r="26" spans="1:6">
      <c r="A26" s="93">
        <v>40644</v>
      </c>
      <c r="B26" s="28">
        <v>2460413.39</v>
      </c>
      <c r="C26" s="28">
        <v>2052981.16</v>
      </c>
      <c r="D26" s="99">
        <f t="shared" si="1"/>
        <v>407432.23000000021</v>
      </c>
      <c r="E26" s="39"/>
      <c r="F26" s="39"/>
    </row>
    <row r="27" spans="1:6">
      <c r="A27" s="93">
        <v>40674</v>
      </c>
      <c r="B27" s="28">
        <v>7650012.0899999999</v>
      </c>
      <c r="C27" s="28">
        <v>6498503.75</v>
      </c>
      <c r="D27" s="99">
        <f t="shared" si="1"/>
        <v>1151508.3399999999</v>
      </c>
      <c r="E27" s="39"/>
      <c r="F27" s="39"/>
    </row>
    <row r="28" spans="1:6">
      <c r="A28" s="93">
        <v>40705</v>
      </c>
      <c r="B28" s="28">
        <v>2507107.67</v>
      </c>
      <c r="C28" s="28">
        <v>2139159.19</v>
      </c>
      <c r="D28" s="99">
        <f t="shared" si="1"/>
        <v>367948.48</v>
      </c>
      <c r="E28" s="39"/>
      <c r="F28" s="39"/>
    </row>
    <row r="29" spans="1:6">
      <c r="A29" s="93">
        <v>40735</v>
      </c>
      <c r="B29" s="28">
        <v>1084969.1000000001</v>
      </c>
      <c r="C29" s="28">
        <v>989353.03</v>
      </c>
      <c r="D29" s="99">
        <f t="shared" si="1"/>
        <v>95616.070000000065</v>
      </c>
      <c r="E29" s="39"/>
      <c r="F29" s="39"/>
    </row>
    <row r="30" spans="1:6">
      <c r="A30" s="93">
        <v>40766</v>
      </c>
      <c r="B30" s="28">
        <v>589600.46</v>
      </c>
      <c r="C30" s="28">
        <v>537314.61</v>
      </c>
      <c r="D30" s="99">
        <f t="shared" si="1"/>
        <v>52285.849999999977</v>
      </c>
      <c r="E30" s="39"/>
      <c r="F30" s="39"/>
    </row>
    <row r="31" spans="1:6">
      <c r="A31" s="93">
        <v>40797</v>
      </c>
      <c r="B31" s="28">
        <v>1304531.33</v>
      </c>
      <c r="C31" s="28">
        <v>1180940.1399999999</v>
      </c>
      <c r="D31" s="99">
        <f t="shared" si="1"/>
        <v>123591.19000000018</v>
      </c>
      <c r="E31" s="39"/>
      <c r="F31" s="39"/>
    </row>
    <row r="32" spans="1:6">
      <c r="A32" s="93">
        <v>40827</v>
      </c>
      <c r="B32" s="28">
        <v>2849587.86</v>
      </c>
      <c r="C32" s="28">
        <v>2549479.11</v>
      </c>
      <c r="D32" s="99">
        <f t="shared" si="1"/>
        <v>300108.75</v>
      </c>
      <c r="E32" s="39"/>
      <c r="F32" s="39"/>
    </row>
    <row r="33" spans="1:6">
      <c r="A33" s="93">
        <v>40858</v>
      </c>
      <c r="B33" s="28">
        <v>5404643.0800000001</v>
      </c>
      <c r="C33" s="28">
        <v>4691975.95</v>
      </c>
      <c r="D33" s="99">
        <f>B33-C33</f>
        <v>712667.12999999989</v>
      </c>
      <c r="E33" s="39"/>
      <c r="F33" s="39"/>
    </row>
    <row r="34" spans="1:6">
      <c r="A34" s="93">
        <v>40888</v>
      </c>
      <c r="B34" s="28">
        <v>3792745.12</v>
      </c>
      <c r="C34" s="28">
        <v>3173150.37</v>
      </c>
      <c r="D34" s="99">
        <f>B34-C34</f>
        <v>619594.75</v>
      </c>
      <c r="E34" s="39"/>
      <c r="F34" s="39"/>
    </row>
    <row r="35" spans="1:6" ht="15.75" thickBot="1">
      <c r="A35" s="158" t="s">
        <v>23</v>
      </c>
      <c r="B35" s="159">
        <f>SUM(B23:B34)</f>
        <v>51094579.589999996</v>
      </c>
      <c r="C35" s="159">
        <f>SUM(C23:C34)</f>
        <v>44963922.020000003</v>
      </c>
      <c r="D35" s="159">
        <f>SUM(D23:D34)</f>
        <v>6130657.5700000003</v>
      </c>
    </row>
    <row r="37" spans="1:6" ht="15.75" thickBot="1"/>
    <row r="38" spans="1:6">
      <c r="A38" s="65" t="s">
        <v>187</v>
      </c>
      <c r="B38" s="90"/>
      <c r="C38" s="90"/>
      <c r="D38" s="90"/>
      <c r="E38" s="90"/>
      <c r="F38" s="66"/>
    </row>
    <row r="39" spans="1:6">
      <c r="A39" s="67"/>
      <c r="B39" s="200" t="s">
        <v>64</v>
      </c>
      <c r="C39" s="200"/>
      <c r="D39" s="200"/>
      <c r="E39" s="200"/>
      <c r="F39" s="92"/>
    </row>
    <row r="40" spans="1:6">
      <c r="A40" s="67"/>
      <c r="B40" s="56" t="s">
        <v>56</v>
      </c>
      <c r="C40" s="56" t="s">
        <v>57</v>
      </c>
      <c r="D40" s="56" t="s">
        <v>21</v>
      </c>
      <c r="E40" s="56" t="s">
        <v>13</v>
      </c>
      <c r="F40" s="68" t="s">
        <v>23</v>
      </c>
    </row>
    <row r="41" spans="1:6">
      <c r="A41" s="93">
        <v>40554</v>
      </c>
      <c r="B41" s="28">
        <v>297646.03999999998</v>
      </c>
      <c r="C41" s="28">
        <v>115973.23</v>
      </c>
      <c r="D41" s="28">
        <v>396802.87</v>
      </c>
      <c r="E41" s="28">
        <v>101318.12</v>
      </c>
      <c r="F41" s="99">
        <f t="shared" ref="F41:F50" si="2">SUM(B41:E41)</f>
        <v>911740.25999999989</v>
      </c>
    </row>
    <row r="42" spans="1:6">
      <c r="A42" s="93">
        <v>40585</v>
      </c>
      <c r="B42" s="28">
        <v>180658.3</v>
      </c>
      <c r="C42" s="28">
        <v>85481.59</v>
      </c>
      <c r="D42" s="28">
        <v>441522.43</v>
      </c>
      <c r="E42" s="28">
        <v>95837.189999999944</v>
      </c>
      <c r="F42" s="99">
        <f t="shared" si="2"/>
        <v>803499.51</v>
      </c>
    </row>
    <row r="43" spans="1:6">
      <c r="A43" s="93">
        <v>40613</v>
      </c>
      <c r="B43" s="28">
        <v>129530.86</v>
      </c>
      <c r="C43" s="28">
        <v>97028.29</v>
      </c>
      <c r="D43" s="28">
        <v>294096.59999999998</v>
      </c>
      <c r="E43" s="28">
        <v>64009.26</v>
      </c>
      <c r="F43" s="99">
        <f t="shared" si="2"/>
        <v>584665.01</v>
      </c>
    </row>
    <row r="44" spans="1:6">
      <c r="A44" s="93">
        <v>40644</v>
      </c>
      <c r="B44" s="28">
        <v>63158.44</v>
      </c>
      <c r="C44" s="28">
        <v>183832.32000000001</v>
      </c>
      <c r="D44" s="28">
        <v>139501.45000000001</v>
      </c>
      <c r="E44" s="28">
        <v>20940.02</v>
      </c>
      <c r="F44" s="99">
        <f t="shared" si="2"/>
        <v>407432.23000000004</v>
      </c>
    </row>
    <row r="45" spans="1:6">
      <c r="A45" s="93">
        <v>40674</v>
      </c>
      <c r="B45" s="28">
        <v>411911.66</v>
      </c>
      <c r="C45" s="28">
        <v>185070.28</v>
      </c>
      <c r="D45" s="28">
        <v>437178.15</v>
      </c>
      <c r="E45" s="28">
        <v>117348.25</v>
      </c>
      <c r="F45" s="99">
        <f t="shared" si="2"/>
        <v>1151508.3399999999</v>
      </c>
    </row>
    <row r="46" spans="1:6">
      <c r="A46" s="93">
        <v>40705</v>
      </c>
      <c r="B46" s="28">
        <v>141226.97</v>
      </c>
      <c r="C46" s="28">
        <v>86987.520000000004</v>
      </c>
      <c r="D46" s="28">
        <v>111532.19</v>
      </c>
      <c r="E46" s="28">
        <v>28201.8</v>
      </c>
      <c r="F46" s="99">
        <f t="shared" si="2"/>
        <v>367948.48</v>
      </c>
    </row>
    <row r="47" spans="1:6">
      <c r="A47" s="93">
        <v>40735</v>
      </c>
      <c r="B47" s="28">
        <v>15265.43</v>
      </c>
      <c r="C47" s="28">
        <v>7637.53</v>
      </c>
      <c r="D47" s="28">
        <v>55591.279999999912</v>
      </c>
      <c r="E47" s="28">
        <v>17121.830000000002</v>
      </c>
      <c r="F47" s="99">
        <f t="shared" si="2"/>
        <v>95616.069999999905</v>
      </c>
    </row>
    <row r="48" spans="1:6">
      <c r="A48" s="93">
        <v>40766</v>
      </c>
      <c r="B48" s="28">
        <v>6027.64</v>
      </c>
      <c r="C48" s="28">
        <v>3015.46</v>
      </c>
      <c r="D48" s="28">
        <v>35249.800000000003</v>
      </c>
      <c r="E48" s="28">
        <v>7992.94</v>
      </c>
      <c r="F48" s="99">
        <f t="shared" si="2"/>
        <v>52285.840000000004</v>
      </c>
    </row>
    <row r="49" spans="1:6">
      <c r="A49" s="93">
        <v>40797</v>
      </c>
      <c r="B49" s="28">
        <v>15755.86</v>
      </c>
      <c r="C49" s="28">
        <v>7883.0199999999895</v>
      </c>
      <c r="D49" s="28">
        <v>77684.820000000065</v>
      </c>
      <c r="E49" s="28">
        <v>22267.47</v>
      </c>
      <c r="F49" s="99">
        <f t="shared" si="2"/>
        <v>123591.17000000006</v>
      </c>
    </row>
    <row r="50" spans="1:6">
      <c r="A50" s="93">
        <v>40827</v>
      </c>
      <c r="B50" s="28">
        <v>52928.05</v>
      </c>
      <c r="C50" s="28">
        <v>29148.25</v>
      </c>
      <c r="D50" s="28">
        <v>169459.33</v>
      </c>
      <c r="E50" s="28">
        <v>48573.120000000003</v>
      </c>
      <c r="F50" s="99">
        <f t="shared" si="2"/>
        <v>300108.75</v>
      </c>
    </row>
    <row r="51" spans="1:6">
      <c r="A51" s="93">
        <v>40858</v>
      </c>
      <c r="B51" s="28">
        <v>156423.62</v>
      </c>
      <c r="C51" s="28">
        <v>80390.36</v>
      </c>
      <c r="D51" s="28">
        <v>369842.64</v>
      </c>
      <c r="E51" s="28">
        <v>106010.53</v>
      </c>
      <c r="F51" s="99">
        <f>SUM(B51:E51)</f>
        <v>712667.15</v>
      </c>
    </row>
    <row r="52" spans="1:6">
      <c r="A52" s="93">
        <v>40888</v>
      </c>
      <c r="B52" s="28">
        <v>184874.98</v>
      </c>
      <c r="C52" s="28">
        <v>92493.32</v>
      </c>
      <c r="D52" s="28">
        <v>265985.05</v>
      </c>
      <c r="E52" s="28">
        <v>76241.39</v>
      </c>
      <c r="F52" s="99">
        <f>SUM(B52:E52)</f>
        <v>619594.74000000011</v>
      </c>
    </row>
    <row r="53" spans="1:6" ht="15.75" thickBot="1">
      <c r="A53" s="158" t="s">
        <v>23</v>
      </c>
      <c r="B53" s="159">
        <f>SUM(B41:B52)</f>
        <v>1655407.8499999996</v>
      </c>
      <c r="C53" s="159">
        <f>SUM(C41:C52)</f>
        <v>974941.16999999993</v>
      </c>
      <c r="D53" s="159">
        <f>SUM(D41:D52)</f>
        <v>2794446.61</v>
      </c>
      <c r="E53" s="159">
        <f>SUM(E41:E52)</f>
        <v>705861.92</v>
      </c>
      <c r="F53" s="160">
        <f>SUM(B53:E53)</f>
        <v>6130657.5499999989</v>
      </c>
    </row>
    <row r="56" spans="1:6">
      <c r="A56" s="49" t="s">
        <v>188</v>
      </c>
    </row>
  </sheetData>
  <mergeCells count="4">
    <mergeCell ref="B39:E39"/>
    <mergeCell ref="A21:D21"/>
    <mergeCell ref="A4:B4"/>
    <mergeCell ref="C2:E2"/>
  </mergeCells>
  <phoneticPr fontId="70" type="noConversion"/>
  <pageMargins left="0.7" right="0.7" top="0.75" bottom="0.75" header="0.3" footer="0.3"/>
  <pageSetup scale="83" orientation="portrait" r:id="rId1"/>
  <headerFooter>
    <oddFooter>&amp;L&amp;F&amp;A &amp;D&amp;T</oddFooter>
  </headerFooter>
</worksheet>
</file>

<file path=xl/worksheets/sheet11.xml><?xml version="1.0" encoding="utf-8"?>
<worksheet xmlns="http://schemas.openxmlformats.org/spreadsheetml/2006/main" xmlns:r="http://schemas.openxmlformats.org/officeDocument/2006/relationships">
  <sheetPr>
    <tabColor rgb="FF92D050"/>
    <pageSetUpPr fitToPage="1"/>
  </sheetPr>
  <dimension ref="A3:E20"/>
  <sheetViews>
    <sheetView zoomScale="75" workbookViewId="0">
      <selection activeCell="D49" sqref="D49"/>
    </sheetView>
  </sheetViews>
  <sheetFormatPr defaultRowHeight="15"/>
  <cols>
    <col min="1" max="1" width="28.5703125" style="19" customWidth="1"/>
    <col min="2" max="3" width="16.28515625" style="19" bestFit="1" customWidth="1"/>
    <col min="4" max="4" width="9.140625" style="19"/>
    <col min="5" max="5" width="12.85546875" style="19" bestFit="1" customWidth="1"/>
    <col min="6" max="16384" width="9.140625" style="19"/>
  </cols>
  <sheetData>
    <row r="3" spans="1:5">
      <c r="A3" s="19" t="s">
        <v>75</v>
      </c>
      <c r="C3" s="39">
        <f>B20</f>
        <v>110728000</v>
      </c>
    </row>
    <row r="4" spans="1:5">
      <c r="A4" s="19" t="s">
        <v>76</v>
      </c>
      <c r="C4" s="39">
        <f>B10</f>
        <v>7586396.7599999905</v>
      </c>
    </row>
    <row r="5" spans="1:5">
      <c r="A5" s="19" t="s">
        <v>108</v>
      </c>
      <c r="C5" s="77">
        <f>C4+C3</f>
        <v>118314396.75999999</v>
      </c>
    </row>
    <row r="6" spans="1:5" ht="15.75" thickBot="1"/>
    <row r="7" spans="1:5">
      <c r="A7" s="65" t="s">
        <v>102</v>
      </c>
      <c r="B7" s="101">
        <v>39.32</v>
      </c>
      <c r="E7" s="120"/>
    </row>
    <row r="8" spans="1:5">
      <c r="A8" s="67" t="s">
        <v>103</v>
      </c>
      <c r="B8" s="102">
        <f ca="1">PSUM!D17</f>
        <v>35.6544985275466</v>
      </c>
    </row>
    <row r="9" spans="1:5">
      <c r="A9" s="67" t="s">
        <v>104</v>
      </c>
      <c r="B9" s="103">
        <f ca="1">PSUM!B17</f>
        <v>2069675</v>
      </c>
    </row>
    <row r="10" spans="1:5" ht="30">
      <c r="A10" s="104" t="s">
        <v>105</v>
      </c>
      <c r="B10" s="99">
        <f>B9*(B7-B8)</f>
        <v>7586396.7599999905</v>
      </c>
    </row>
    <row r="11" spans="1:5" ht="128.25" customHeight="1" thickBot="1">
      <c r="A11" s="207" t="s">
        <v>155</v>
      </c>
      <c r="B11" s="208"/>
    </row>
    <row r="17" spans="1:2">
      <c r="A17" s="19" t="s">
        <v>106</v>
      </c>
      <c r="B17" s="105">
        <f ca="1">'OSS Margins'!G7</f>
        <v>98628000</v>
      </c>
    </row>
    <row r="18" spans="1:2">
      <c r="A18" s="19" t="s">
        <v>107</v>
      </c>
      <c r="B18" s="39">
        <v>12100000</v>
      </c>
    </row>
    <row r="19" spans="1:2">
      <c r="A19" s="85"/>
      <c r="B19" s="119"/>
    </row>
    <row r="20" spans="1:2">
      <c r="A20" s="46" t="s">
        <v>108</v>
      </c>
      <c r="B20" s="116">
        <f>B17+B18+B19</f>
        <v>110728000</v>
      </c>
    </row>
  </sheetData>
  <mergeCells count="1">
    <mergeCell ref="A11:B11"/>
  </mergeCells>
  <phoneticPr fontId="70" type="noConversion"/>
  <pageMargins left="0.7" right="0.7" top="0.75" bottom="0.75" header="0.3" footer="0.3"/>
  <pageSetup orientation="landscape" r:id="rId1"/>
  <headerFooter>
    <oddFooter>&amp;L&amp;F&amp;A &amp;D&amp;T</oddFooter>
  </headerFooter>
</worksheet>
</file>

<file path=xl/worksheets/sheet12.xml><?xml version="1.0" encoding="utf-8"?>
<worksheet xmlns="http://schemas.openxmlformats.org/spreadsheetml/2006/main" xmlns:r="http://schemas.openxmlformats.org/officeDocument/2006/relationships">
  <sheetPr>
    <tabColor rgb="FF92D050"/>
    <pageSetUpPr fitToPage="1"/>
  </sheetPr>
  <dimension ref="A1:N40"/>
  <sheetViews>
    <sheetView topLeftCell="A7" zoomScale="75" zoomScaleNormal="75" workbookViewId="0">
      <selection activeCell="D49" sqref="D49"/>
    </sheetView>
  </sheetViews>
  <sheetFormatPr defaultRowHeight="15"/>
  <cols>
    <col min="1" max="1" width="37" style="19" customWidth="1"/>
    <col min="2" max="2" width="14.5703125" style="19" bestFit="1" customWidth="1"/>
    <col min="3" max="4" width="17.28515625" style="19" bestFit="1" customWidth="1"/>
    <col min="5" max="5" width="16.85546875" style="19" bestFit="1" customWidth="1"/>
    <col min="6" max="6" width="17.28515625" style="19" bestFit="1" customWidth="1"/>
    <col min="7" max="7" width="16.85546875" style="19" bestFit="1" customWidth="1"/>
    <col min="8" max="8" width="17.28515625" style="19" bestFit="1" customWidth="1"/>
    <col min="9" max="9" width="16.85546875" style="19" bestFit="1" customWidth="1"/>
    <col min="10" max="11" width="17.28515625" style="19" bestFit="1" customWidth="1"/>
    <col min="12" max="12" width="16.28515625" style="19" bestFit="1" customWidth="1"/>
    <col min="13" max="13" width="16.85546875" style="19" bestFit="1" customWidth="1"/>
    <col min="14" max="14" width="15.5703125" style="19" customWidth="1"/>
    <col min="15" max="16384" width="9.140625" style="19"/>
  </cols>
  <sheetData>
    <row r="1" spans="1:14">
      <c r="A1" s="49" t="s">
        <v>83</v>
      </c>
    </row>
    <row r="2" spans="1:14">
      <c r="A2" s="49" t="s">
        <v>180</v>
      </c>
    </row>
    <row r="5" spans="1:14">
      <c r="B5" s="106">
        <v>40554</v>
      </c>
      <c r="C5" s="106">
        <v>40585</v>
      </c>
      <c r="D5" s="106">
        <v>40613</v>
      </c>
      <c r="E5" s="106">
        <v>40644</v>
      </c>
      <c r="F5" s="106">
        <v>40674</v>
      </c>
      <c r="G5" s="106">
        <v>40705</v>
      </c>
      <c r="H5" s="106">
        <v>40735</v>
      </c>
      <c r="I5" s="106">
        <v>40766</v>
      </c>
      <c r="J5" s="106">
        <v>40797</v>
      </c>
      <c r="K5" s="106">
        <v>40827</v>
      </c>
      <c r="L5" s="106">
        <v>40858</v>
      </c>
      <c r="M5" s="106">
        <v>40888</v>
      </c>
      <c r="N5" s="106" t="s">
        <v>148</v>
      </c>
    </row>
    <row r="6" spans="1:14">
      <c r="A6" s="85" t="s">
        <v>84</v>
      </c>
      <c r="B6" s="144">
        <v>314620</v>
      </c>
      <c r="C6" s="144">
        <v>305472</v>
      </c>
      <c r="D6" s="143">
        <v>285824</v>
      </c>
      <c r="E6" s="143">
        <v>254906</v>
      </c>
      <c r="F6" s="143">
        <v>313198</v>
      </c>
      <c r="G6" s="143">
        <v>323160</v>
      </c>
      <c r="H6" s="143">
        <v>340901</v>
      </c>
      <c r="I6" s="143">
        <v>302194</v>
      </c>
      <c r="J6" s="143">
        <v>318467</v>
      </c>
      <c r="K6" s="143">
        <v>235761</v>
      </c>
      <c r="L6" s="143">
        <v>281350</v>
      </c>
      <c r="M6" s="143">
        <v>287236</v>
      </c>
      <c r="N6" s="143">
        <v>3563088</v>
      </c>
    </row>
    <row r="7" spans="1:14">
      <c r="A7" s="85" t="s">
        <v>85</v>
      </c>
      <c r="B7" s="144">
        <v>354351</v>
      </c>
      <c r="C7" s="144">
        <v>338842</v>
      </c>
      <c r="D7" s="143">
        <v>287748</v>
      </c>
      <c r="E7" s="143">
        <v>248764</v>
      </c>
      <c r="F7" s="143">
        <v>328769</v>
      </c>
      <c r="G7" s="143">
        <v>329023</v>
      </c>
      <c r="H7" s="143">
        <v>352315</v>
      </c>
      <c r="I7" s="143">
        <v>343883</v>
      </c>
      <c r="J7" s="143">
        <v>337226</v>
      </c>
      <c r="K7" s="143">
        <v>274352</v>
      </c>
      <c r="L7" s="143">
        <v>310092</v>
      </c>
      <c r="M7" s="143">
        <v>332618</v>
      </c>
      <c r="N7" s="143">
        <v>3837983</v>
      </c>
    </row>
    <row r="8" spans="1:14">
      <c r="A8" s="85" t="s">
        <v>86</v>
      </c>
      <c r="B8" s="145">
        <v>3098654</v>
      </c>
      <c r="C8" s="145">
        <v>3005109</v>
      </c>
      <c r="D8" s="109">
        <v>2787188</v>
      </c>
      <c r="E8" s="109">
        <v>2489742</v>
      </c>
      <c r="F8" s="109">
        <v>3061959</v>
      </c>
      <c r="G8" s="109">
        <v>3147924</v>
      </c>
      <c r="H8" s="109">
        <v>3322853</v>
      </c>
      <c r="I8" s="109">
        <v>2981721</v>
      </c>
      <c r="J8" s="109">
        <v>3115384</v>
      </c>
      <c r="K8" s="109">
        <v>2343594</v>
      </c>
      <c r="L8" s="109">
        <v>2770053</v>
      </c>
      <c r="M8" s="109">
        <v>2842238</v>
      </c>
      <c r="N8" s="109">
        <v>34966419</v>
      </c>
    </row>
    <row r="9" spans="1:14">
      <c r="A9" s="85" t="s">
        <v>87</v>
      </c>
      <c r="B9" s="145">
        <v>665176</v>
      </c>
      <c r="C9" s="145">
        <v>600845</v>
      </c>
      <c r="D9" s="109">
        <v>664623</v>
      </c>
      <c r="E9" s="109">
        <v>638945</v>
      </c>
      <c r="F9" s="109">
        <v>657456</v>
      </c>
      <c r="G9" s="109">
        <v>635467</v>
      </c>
      <c r="H9" s="109">
        <v>825272</v>
      </c>
      <c r="I9" s="109">
        <v>826663</v>
      </c>
      <c r="J9" s="109">
        <v>898510</v>
      </c>
      <c r="K9" s="109">
        <v>843089</v>
      </c>
      <c r="L9" s="109">
        <v>815975</v>
      </c>
      <c r="M9" s="109">
        <v>842852</v>
      </c>
      <c r="N9" s="109">
        <v>8914873</v>
      </c>
    </row>
    <row r="10" spans="1:14">
      <c r="A10" s="85" t="s">
        <v>88</v>
      </c>
      <c r="B10" s="145">
        <v>6292</v>
      </c>
      <c r="C10" s="145">
        <v>6109</v>
      </c>
      <c r="D10" s="109">
        <v>5716</v>
      </c>
      <c r="E10" s="109">
        <v>5098</v>
      </c>
      <c r="F10" s="109">
        <v>6264</v>
      </c>
      <c r="G10" s="109">
        <v>6463</v>
      </c>
      <c r="H10" s="109">
        <v>6818</v>
      </c>
      <c r="I10" s="109">
        <v>6044</v>
      </c>
      <c r="J10" s="109">
        <v>6369</v>
      </c>
      <c r="K10" s="109">
        <v>4715</v>
      </c>
      <c r="L10" s="109">
        <v>5627</v>
      </c>
      <c r="M10" s="109">
        <v>5745</v>
      </c>
      <c r="N10" s="109">
        <v>71262</v>
      </c>
    </row>
    <row r="11" spans="1:14">
      <c r="A11" s="85" t="s">
        <v>89</v>
      </c>
      <c r="B11" s="39">
        <v>3770122</v>
      </c>
      <c r="C11" s="39">
        <v>3612063</v>
      </c>
      <c r="D11" s="108">
        <v>3457528</v>
      </c>
      <c r="E11" s="108">
        <v>3133785</v>
      </c>
      <c r="F11" s="108">
        <v>3725679</v>
      </c>
      <c r="G11" s="108">
        <v>3789854</v>
      </c>
      <c r="H11" s="108">
        <v>4154944</v>
      </c>
      <c r="I11" s="108">
        <v>3814428</v>
      </c>
      <c r="J11" s="108">
        <v>4020263</v>
      </c>
      <c r="K11" s="108">
        <v>3191398</v>
      </c>
      <c r="L11" s="108">
        <v>3591655</v>
      </c>
      <c r="M11" s="108">
        <v>3690835</v>
      </c>
      <c r="N11" s="108">
        <v>43952554</v>
      </c>
    </row>
    <row r="12" spans="1:14">
      <c r="A12" s="85"/>
      <c r="B12" s="39"/>
      <c r="C12" s="39"/>
      <c r="D12" s="107"/>
      <c r="E12" s="107"/>
      <c r="F12" s="107"/>
      <c r="G12" s="107"/>
      <c r="H12" s="107"/>
      <c r="I12" s="107"/>
      <c r="J12" s="107"/>
      <c r="K12" s="107"/>
      <c r="L12" s="107"/>
      <c r="M12" s="107"/>
      <c r="N12" s="107"/>
    </row>
    <row r="13" spans="1:14">
      <c r="A13" s="85" t="s">
        <v>90</v>
      </c>
      <c r="B13" s="39">
        <v>4773861</v>
      </c>
      <c r="C13" s="39">
        <v>4178760</v>
      </c>
      <c r="D13" s="107">
        <v>4730801</v>
      </c>
      <c r="E13" s="107">
        <v>3760042</v>
      </c>
      <c r="F13" s="107">
        <v>4133370</v>
      </c>
      <c r="G13" s="107">
        <v>4141681</v>
      </c>
      <c r="H13" s="107">
        <v>4440990</v>
      </c>
      <c r="I13" s="107">
        <v>4388281</v>
      </c>
      <c r="J13" s="107">
        <v>4069068</v>
      </c>
      <c r="K13" s="107">
        <v>3847264</v>
      </c>
      <c r="L13" s="107">
        <v>4124215</v>
      </c>
      <c r="M13" s="109">
        <v>4407220</v>
      </c>
      <c r="N13" s="109">
        <v>50995552</v>
      </c>
    </row>
    <row r="14" spans="1:14">
      <c r="A14" s="85" t="s">
        <v>91</v>
      </c>
      <c r="B14" s="39">
        <v>22441</v>
      </c>
      <c r="C14" s="39">
        <v>19271</v>
      </c>
      <c r="D14" s="107">
        <v>21495</v>
      </c>
      <c r="E14" s="107">
        <v>16998</v>
      </c>
      <c r="F14" s="107">
        <v>19657</v>
      </c>
      <c r="G14" s="107">
        <v>18517</v>
      </c>
      <c r="H14" s="107">
        <v>14695</v>
      </c>
      <c r="I14" s="107">
        <v>41203</v>
      </c>
      <c r="J14" s="107">
        <v>-2250</v>
      </c>
      <c r="K14" s="107">
        <v>17541</v>
      </c>
      <c r="L14" s="107">
        <v>16688</v>
      </c>
      <c r="M14" s="107">
        <v>13616</v>
      </c>
      <c r="N14" s="107">
        <v>219871</v>
      </c>
    </row>
    <row r="15" spans="1:14">
      <c r="A15" s="85" t="s">
        <v>92</v>
      </c>
      <c r="B15" s="39">
        <v>0</v>
      </c>
      <c r="C15" s="39">
        <v>0</v>
      </c>
      <c r="D15" s="107">
        <v>0</v>
      </c>
      <c r="E15" s="107">
        <v>0</v>
      </c>
      <c r="F15" s="107">
        <v>0</v>
      </c>
      <c r="G15" s="107">
        <v>0</v>
      </c>
      <c r="H15" s="107">
        <v>0</v>
      </c>
      <c r="I15" s="107">
        <v>0</v>
      </c>
      <c r="J15" s="107">
        <v>0</v>
      </c>
      <c r="K15" s="107">
        <v>0</v>
      </c>
      <c r="L15" s="107">
        <v>0</v>
      </c>
      <c r="M15" s="107">
        <v>0</v>
      </c>
      <c r="N15" s="107">
        <v>0</v>
      </c>
    </row>
    <row r="16" spans="1:14" ht="60">
      <c r="A16" s="85" t="s">
        <v>93</v>
      </c>
      <c r="B16" s="39" t="s">
        <v>149</v>
      </c>
      <c r="C16" s="39" t="s">
        <v>150</v>
      </c>
      <c r="D16" s="107" t="s">
        <v>134</v>
      </c>
      <c r="E16" s="107" t="s">
        <v>134</v>
      </c>
      <c r="F16" s="107" t="s">
        <v>151</v>
      </c>
      <c r="G16" s="107" t="s">
        <v>151</v>
      </c>
      <c r="H16" s="107" t="s">
        <v>135</v>
      </c>
      <c r="I16" s="107" t="s">
        <v>134</v>
      </c>
      <c r="J16" s="107" t="s">
        <v>135</v>
      </c>
      <c r="K16" s="107" t="s">
        <v>134</v>
      </c>
      <c r="L16" s="107" t="s">
        <v>134</v>
      </c>
      <c r="M16" s="107" t="s">
        <v>136</v>
      </c>
      <c r="N16" s="107" t="s">
        <v>149</v>
      </c>
    </row>
    <row r="17" spans="1:14">
      <c r="A17" s="85" t="s">
        <v>94</v>
      </c>
      <c r="B17" s="39">
        <v>4796302</v>
      </c>
      <c r="C17" s="39">
        <v>4198030</v>
      </c>
      <c r="D17" s="108">
        <v>4752296</v>
      </c>
      <c r="E17" s="108">
        <v>3777040</v>
      </c>
      <c r="F17" s="108">
        <v>4153027</v>
      </c>
      <c r="G17" s="108">
        <v>4160198</v>
      </c>
      <c r="H17" s="108">
        <v>4455685</v>
      </c>
      <c r="I17" s="108">
        <v>4429484</v>
      </c>
      <c r="J17" s="108">
        <v>4066817</v>
      </c>
      <c r="K17" s="108">
        <v>3864805</v>
      </c>
      <c r="L17" s="108">
        <v>4140903</v>
      </c>
      <c r="M17" s="108">
        <v>4420835</v>
      </c>
      <c r="N17" s="108">
        <v>51215422</v>
      </c>
    </row>
    <row r="18" spans="1:14">
      <c r="B18" s="39"/>
      <c r="C18" s="39"/>
      <c r="D18" s="107"/>
      <c r="E18" s="107"/>
      <c r="F18" s="107"/>
      <c r="G18" s="107"/>
      <c r="H18" s="107"/>
      <c r="I18" s="107"/>
      <c r="J18" s="107"/>
      <c r="K18" s="107"/>
      <c r="L18" s="107"/>
      <c r="M18" s="107"/>
      <c r="N18" s="107"/>
    </row>
    <row r="19" spans="1:14">
      <c r="A19" s="19" t="s">
        <v>181</v>
      </c>
      <c r="B19" s="78">
        <v>215656599</v>
      </c>
      <c r="C19" s="78">
        <v>188773221</v>
      </c>
      <c r="D19" s="143">
        <v>210896072</v>
      </c>
      <c r="E19" s="143">
        <v>166857657</v>
      </c>
      <c r="F19" s="143">
        <v>186722757</v>
      </c>
      <c r="G19" s="143">
        <v>187098240</v>
      </c>
      <c r="H19" s="143">
        <v>200619349</v>
      </c>
      <c r="I19" s="143">
        <v>198238226</v>
      </c>
      <c r="J19" s="143">
        <v>183817947</v>
      </c>
      <c r="K19" s="143">
        <v>172141461</v>
      </c>
      <c r="L19" s="143">
        <v>186294337</v>
      </c>
      <c r="M19" s="143">
        <v>199093778</v>
      </c>
      <c r="N19" s="143">
        <v>2296209644</v>
      </c>
    </row>
    <row r="20" spans="1:14">
      <c r="B20" s="39"/>
      <c r="C20" s="39"/>
      <c r="D20" s="107"/>
      <c r="E20" s="107"/>
      <c r="F20" s="107"/>
      <c r="G20" s="107"/>
      <c r="H20" s="107"/>
      <c r="I20" s="107"/>
      <c r="J20" s="107"/>
      <c r="K20" s="107"/>
      <c r="L20" s="107"/>
      <c r="M20" s="107"/>
      <c r="N20" s="107"/>
    </row>
    <row r="21" spans="1:14">
      <c r="A21" s="19" t="s">
        <v>95</v>
      </c>
      <c r="B21" s="39">
        <v>8566424</v>
      </c>
      <c r="C21" s="39">
        <v>7810094</v>
      </c>
      <c r="D21" s="107">
        <v>8209824</v>
      </c>
      <c r="E21" s="107">
        <v>6910825</v>
      </c>
      <c r="F21" s="107">
        <v>7878706</v>
      </c>
      <c r="G21" s="107">
        <v>7950052</v>
      </c>
      <c r="H21" s="107">
        <v>8610629</v>
      </c>
      <c r="I21" s="107">
        <v>8243912</v>
      </c>
      <c r="J21" s="107">
        <v>8087080</v>
      </c>
      <c r="K21" s="107">
        <v>7056203</v>
      </c>
      <c r="L21" s="107">
        <v>7732558</v>
      </c>
      <c r="M21" s="107">
        <v>8111670</v>
      </c>
      <c r="N21" s="107">
        <v>95167976</v>
      </c>
    </row>
    <row r="22" spans="1:14">
      <c r="B22" s="39"/>
      <c r="C22" s="39"/>
      <c r="D22" s="107"/>
      <c r="E22" s="107"/>
      <c r="F22" s="107"/>
      <c r="G22" s="107"/>
      <c r="H22" s="107"/>
      <c r="I22" s="107"/>
      <c r="J22" s="107"/>
      <c r="K22" s="107"/>
      <c r="L22" s="107"/>
      <c r="M22" s="107"/>
      <c r="N22" s="107"/>
    </row>
    <row r="23" spans="1:14">
      <c r="A23" s="19" t="s">
        <v>96</v>
      </c>
      <c r="B23" s="39">
        <v>32291</v>
      </c>
      <c r="C23" s="39">
        <v>57920</v>
      </c>
      <c r="D23" s="107">
        <v>46720</v>
      </c>
      <c r="E23" s="107">
        <v>33245</v>
      </c>
      <c r="F23" s="107">
        <v>54635</v>
      </c>
      <c r="G23" s="107">
        <v>48701</v>
      </c>
      <c r="H23" s="107">
        <v>31425</v>
      </c>
      <c r="I23" s="107">
        <v>46275</v>
      </c>
      <c r="J23" s="107">
        <v>78019</v>
      </c>
      <c r="K23" s="107">
        <v>23952</v>
      </c>
      <c r="L23" s="107">
        <v>48085</v>
      </c>
      <c r="M23" s="107">
        <v>45898</v>
      </c>
      <c r="N23" s="107">
        <v>547166</v>
      </c>
    </row>
    <row r="24" spans="1:14">
      <c r="B24" s="39"/>
      <c r="C24" s="39"/>
      <c r="D24" s="107"/>
      <c r="E24" s="107"/>
      <c r="F24" s="107"/>
      <c r="G24" s="107"/>
      <c r="H24" s="107"/>
      <c r="I24" s="107"/>
      <c r="J24" s="107"/>
      <c r="K24" s="107"/>
      <c r="L24" s="107"/>
      <c r="M24" s="107"/>
      <c r="N24" s="107"/>
    </row>
    <row r="25" spans="1:14" s="149" customFormat="1">
      <c r="A25" s="146" t="s">
        <v>97</v>
      </c>
      <c r="B25" s="150">
        <v>1790165</v>
      </c>
      <c r="C25" s="150">
        <v>1346519</v>
      </c>
      <c r="D25" s="151">
        <v>1542072</v>
      </c>
      <c r="E25" s="151">
        <v>1461173</v>
      </c>
      <c r="F25" s="151">
        <v>1392018</v>
      </c>
      <c r="G25" s="151">
        <v>1867989</v>
      </c>
      <c r="H25" s="151">
        <v>1794540</v>
      </c>
      <c r="I25" s="151">
        <v>1762734</v>
      </c>
      <c r="J25" s="151">
        <v>1653075</v>
      </c>
      <c r="K25" s="151">
        <v>1485581</v>
      </c>
      <c r="L25" s="151">
        <v>1419563</v>
      </c>
      <c r="M25" s="151">
        <v>1895174</v>
      </c>
      <c r="N25" s="151">
        <v>19410603</v>
      </c>
    </row>
    <row r="26" spans="1:14">
      <c r="A26" s="19" t="s">
        <v>182</v>
      </c>
      <c r="B26" s="34"/>
      <c r="C26" s="34"/>
      <c r="D26" s="110"/>
      <c r="E26" s="110"/>
      <c r="F26" s="110"/>
      <c r="G26" s="110"/>
      <c r="H26" s="110"/>
      <c r="I26" s="110"/>
      <c r="J26" s="110"/>
      <c r="K26" s="110"/>
      <c r="L26" s="110"/>
      <c r="M26" s="110">
        <v>-6130.96</v>
      </c>
      <c r="N26" s="110">
        <f>+SUM(B26:M26)</f>
        <v>-6130.96</v>
      </c>
    </row>
    <row r="27" spans="1:14" s="149" customFormat="1">
      <c r="A27" s="146" t="s">
        <v>98</v>
      </c>
      <c r="B27" s="107">
        <f t="shared" ref="B27:L27" si="0">+SUM(B21:B26)</f>
        <v>10388880</v>
      </c>
      <c r="C27" s="107">
        <f t="shared" si="0"/>
        <v>9214533</v>
      </c>
      <c r="D27" s="107">
        <f t="shared" si="0"/>
        <v>9798616</v>
      </c>
      <c r="E27" s="107">
        <f t="shared" si="0"/>
        <v>8405243</v>
      </c>
      <c r="F27" s="107">
        <f t="shared" si="0"/>
        <v>9325359</v>
      </c>
      <c r="G27" s="107">
        <f t="shared" si="0"/>
        <v>9866742</v>
      </c>
      <c r="H27" s="107">
        <f t="shared" si="0"/>
        <v>10436594</v>
      </c>
      <c r="I27" s="107">
        <f t="shared" si="0"/>
        <v>10052921</v>
      </c>
      <c r="J27" s="107">
        <f t="shared" si="0"/>
        <v>9818174</v>
      </c>
      <c r="K27" s="107">
        <f t="shared" si="0"/>
        <v>8565736</v>
      </c>
      <c r="L27" s="107">
        <f t="shared" si="0"/>
        <v>9200206</v>
      </c>
      <c r="M27" s="107">
        <f>+SUM(M21:M26)</f>
        <v>10046611.039999999</v>
      </c>
      <c r="N27" s="107">
        <f>+SUM(N21:N26)</f>
        <v>115119614.04000001</v>
      </c>
    </row>
    <row r="28" spans="1:14">
      <c r="B28" s="39"/>
      <c r="C28" s="39"/>
      <c r="D28" s="39"/>
      <c r="E28" s="39"/>
      <c r="F28" s="39"/>
      <c r="G28" s="39"/>
      <c r="H28" s="39"/>
      <c r="I28" s="39"/>
      <c r="J28" s="39"/>
      <c r="K28" s="39"/>
      <c r="L28" s="39"/>
      <c r="M28" s="39"/>
      <c r="N28" s="39"/>
    </row>
    <row r="29" spans="1:14">
      <c r="A29" s="131" t="s">
        <v>170</v>
      </c>
      <c r="B29" s="39"/>
      <c r="C29" s="39"/>
      <c r="D29" s="39"/>
      <c r="E29" s="39"/>
      <c r="F29" s="39"/>
      <c r="G29" s="39"/>
      <c r="H29" s="39"/>
      <c r="I29" s="39"/>
      <c r="J29" s="39"/>
      <c r="K29" s="39"/>
      <c r="L29" s="39"/>
      <c r="M29" s="39"/>
      <c r="N29" s="39"/>
    </row>
    <row r="30" spans="1:14" ht="17.25" customHeight="1">
      <c r="A30" s="85" t="s">
        <v>87</v>
      </c>
      <c r="B30" s="39">
        <f>-B9</f>
        <v>-665176</v>
      </c>
      <c r="C30" s="39">
        <f t="shared" ref="C30:M30" si="1">-C9</f>
        <v>-600845</v>
      </c>
      <c r="D30" s="39">
        <f t="shared" si="1"/>
        <v>-664623</v>
      </c>
      <c r="E30" s="39">
        <f t="shared" si="1"/>
        <v>-638945</v>
      </c>
      <c r="F30" s="39">
        <f t="shared" si="1"/>
        <v>-657456</v>
      </c>
      <c r="G30" s="39">
        <f t="shared" si="1"/>
        <v>-635467</v>
      </c>
      <c r="H30" s="39">
        <f t="shared" si="1"/>
        <v>-825272</v>
      </c>
      <c r="I30" s="39">
        <f t="shared" si="1"/>
        <v>-826663</v>
      </c>
      <c r="J30" s="39">
        <f t="shared" si="1"/>
        <v>-898510</v>
      </c>
      <c r="K30" s="39">
        <f t="shared" si="1"/>
        <v>-843089</v>
      </c>
      <c r="L30" s="39">
        <f t="shared" si="1"/>
        <v>-815975</v>
      </c>
      <c r="M30" s="39">
        <f t="shared" si="1"/>
        <v>-842852</v>
      </c>
      <c r="N30" s="39">
        <f t="shared" ref="N30:N35" si="2">+SUM(B30:M30)</f>
        <v>-8914873</v>
      </c>
    </row>
    <row r="31" spans="1:14">
      <c r="A31" s="85" t="s">
        <v>88</v>
      </c>
      <c r="B31" s="39">
        <f>-B10</f>
        <v>-6292</v>
      </c>
      <c r="C31" s="39">
        <f t="shared" ref="C31:M31" si="3">-C10</f>
        <v>-6109</v>
      </c>
      <c r="D31" s="39">
        <f t="shared" si="3"/>
        <v>-5716</v>
      </c>
      <c r="E31" s="39">
        <f t="shared" si="3"/>
        <v>-5098</v>
      </c>
      <c r="F31" s="39">
        <f t="shared" si="3"/>
        <v>-6264</v>
      </c>
      <c r="G31" s="39">
        <f t="shared" si="3"/>
        <v>-6463</v>
      </c>
      <c r="H31" s="39">
        <f t="shared" si="3"/>
        <v>-6818</v>
      </c>
      <c r="I31" s="39">
        <f t="shared" si="3"/>
        <v>-6044</v>
      </c>
      <c r="J31" s="39">
        <f t="shared" si="3"/>
        <v>-6369</v>
      </c>
      <c r="K31" s="39">
        <f t="shared" si="3"/>
        <v>-4715</v>
      </c>
      <c r="L31" s="39">
        <f t="shared" si="3"/>
        <v>-5627</v>
      </c>
      <c r="M31" s="39">
        <f t="shared" si="3"/>
        <v>-5745</v>
      </c>
      <c r="N31" s="39">
        <f t="shared" si="2"/>
        <v>-71260</v>
      </c>
    </row>
    <row r="32" spans="1:14">
      <c r="A32" s="85" t="s">
        <v>91</v>
      </c>
      <c r="B32" s="39">
        <f>-B14</f>
        <v>-22441</v>
      </c>
      <c r="C32" s="39">
        <f t="shared" ref="C32:M32" si="4">-C14</f>
        <v>-19271</v>
      </c>
      <c r="D32" s="39">
        <f t="shared" si="4"/>
        <v>-21495</v>
      </c>
      <c r="E32" s="39">
        <f t="shared" si="4"/>
        <v>-16998</v>
      </c>
      <c r="F32" s="39">
        <f t="shared" si="4"/>
        <v>-19657</v>
      </c>
      <c r="G32" s="39">
        <f t="shared" si="4"/>
        <v>-18517</v>
      </c>
      <c r="H32" s="39">
        <f t="shared" si="4"/>
        <v>-14695</v>
      </c>
      <c r="I32" s="39">
        <f t="shared" si="4"/>
        <v>-41203</v>
      </c>
      <c r="J32" s="39">
        <f t="shared" si="4"/>
        <v>2250</v>
      </c>
      <c r="K32" s="39">
        <f t="shared" si="4"/>
        <v>-17541</v>
      </c>
      <c r="L32" s="39">
        <f t="shared" si="4"/>
        <v>-16688</v>
      </c>
      <c r="M32" s="39">
        <f t="shared" si="4"/>
        <v>-13616</v>
      </c>
      <c r="N32" s="39">
        <f t="shared" si="2"/>
        <v>-219872</v>
      </c>
    </row>
    <row r="33" spans="1:14">
      <c r="A33" s="85" t="s">
        <v>92</v>
      </c>
      <c r="B33" s="39">
        <f>-B15</f>
        <v>0</v>
      </c>
      <c r="C33" s="39">
        <f t="shared" ref="C33:M33" si="5">-C15</f>
        <v>0</v>
      </c>
      <c r="D33" s="39">
        <f t="shared" si="5"/>
        <v>0</v>
      </c>
      <c r="E33" s="39">
        <f t="shared" si="5"/>
        <v>0</v>
      </c>
      <c r="F33" s="39">
        <f t="shared" si="5"/>
        <v>0</v>
      </c>
      <c r="G33" s="39">
        <f t="shared" si="5"/>
        <v>0</v>
      </c>
      <c r="H33" s="39">
        <f t="shared" si="5"/>
        <v>0</v>
      </c>
      <c r="I33" s="39">
        <f t="shared" si="5"/>
        <v>0</v>
      </c>
      <c r="J33" s="39">
        <f t="shared" si="5"/>
        <v>0</v>
      </c>
      <c r="K33" s="39">
        <f t="shared" si="5"/>
        <v>0</v>
      </c>
      <c r="L33" s="39">
        <f t="shared" si="5"/>
        <v>0</v>
      </c>
      <c r="M33" s="39">
        <f t="shared" si="5"/>
        <v>0</v>
      </c>
      <c r="N33" s="39">
        <f t="shared" si="2"/>
        <v>0</v>
      </c>
    </row>
    <row r="34" spans="1:14">
      <c r="A34" s="19" t="s">
        <v>96</v>
      </c>
      <c r="B34" s="39">
        <f>-B23</f>
        <v>-32291</v>
      </c>
      <c r="C34" s="39">
        <f t="shared" ref="C34:M34" si="6">-C23</f>
        <v>-57920</v>
      </c>
      <c r="D34" s="39">
        <f t="shared" si="6"/>
        <v>-46720</v>
      </c>
      <c r="E34" s="39">
        <f t="shared" si="6"/>
        <v>-33245</v>
      </c>
      <c r="F34" s="39">
        <f t="shared" si="6"/>
        <v>-54635</v>
      </c>
      <c r="G34" s="39">
        <f t="shared" si="6"/>
        <v>-48701</v>
      </c>
      <c r="H34" s="39">
        <f t="shared" si="6"/>
        <v>-31425</v>
      </c>
      <c r="I34" s="39">
        <f t="shared" si="6"/>
        <v>-46275</v>
      </c>
      <c r="J34" s="39">
        <f t="shared" si="6"/>
        <v>-78019</v>
      </c>
      <c r="K34" s="39">
        <f t="shared" si="6"/>
        <v>-23952</v>
      </c>
      <c r="L34" s="39">
        <f t="shared" si="6"/>
        <v>-48085</v>
      </c>
      <c r="M34" s="39">
        <f t="shared" si="6"/>
        <v>-45898</v>
      </c>
      <c r="N34" s="39">
        <f t="shared" si="2"/>
        <v>-547166</v>
      </c>
    </row>
    <row r="35" spans="1:14">
      <c r="A35" s="147" t="s">
        <v>184</v>
      </c>
      <c r="B35" s="148">
        <f>SUM(B27:B34)</f>
        <v>9662680</v>
      </c>
      <c r="C35" s="148">
        <f t="shared" ref="C35:M35" si="7">SUM(C27:C34)</f>
        <v>8530388</v>
      </c>
      <c r="D35" s="148">
        <f t="shared" si="7"/>
        <v>9060062</v>
      </c>
      <c r="E35" s="148">
        <f t="shared" si="7"/>
        <v>7710957</v>
      </c>
      <c r="F35" s="148">
        <f t="shared" si="7"/>
        <v>8587347</v>
      </c>
      <c r="G35" s="148">
        <f t="shared" si="7"/>
        <v>9157594</v>
      </c>
      <c r="H35" s="148">
        <f t="shared" si="7"/>
        <v>9558384</v>
      </c>
      <c r="I35" s="148">
        <f t="shared" si="7"/>
        <v>9132736</v>
      </c>
      <c r="J35" s="148">
        <f t="shared" si="7"/>
        <v>8837526</v>
      </c>
      <c r="K35" s="148">
        <f t="shared" si="7"/>
        <v>7676439</v>
      </c>
      <c r="L35" s="148">
        <f t="shared" si="7"/>
        <v>8313831</v>
      </c>
      <c r="M35" s="148">
        <f t="shared" si="7"/>
        <v>9138500.0399999991</v>
      </c>
      <c r="N35" s="148">
        <f t="shared" si="2"/>
        <v>105366444.03999999</v>
      </c>
    </row>
    <row r="36" spans="1:14">
      <c r="A36" s="85"/>
      <c r="B36" s="39"/>
      <c r="C36" s="39"/>
      <c r="D36" s="39"/>
      <c r="E36" s="39"/>
      <c r="F36" s="39"/>
      <c r="G36" s="39"/>
      <c r="H36" s="39"/>
      <c r="I36" s="39"/>
      <c r="J36" s="39"/>
      <c r="K36" s="39"/>
      <c r="L36" s="39"/>
      <c r="M36" s="39"/>
      <c r="N36" s="39"/>
    </row>
    <row r="37" spans="1:14">
      <c r="B37" s="39"/>
      <c r="C37" s="39"/>
      <c r="D37" s="39"/>
      <c r="E37" s="39"/>
      <c r="F37" s="39"/>
      <c r="G37" s="39"/>
      <c r="H37" s="39"/>
      <c r="I37" s="39"/>
      <c r="J37" s="39"/>
      <c r="K37" s="39"/>
      <c r="L37" s="39"/>
      <c r="M37" s="39"/>
      <c r="N37" s="39"/>
    </row>
    <row r="38" spans="1:14">
      <c r="B38" s="83"/>
    </row>
    <row r="40" spans="1:14">
      <c r="A40" s="49" t="s">
        <v>152</v>
      </c>
    </row>
  </sheetData>
  <phoneticPr fontId="70" type="noConversion"/>
  <pageMargins left="0.7" right="0.7" top="0.75" bottom="0.75" header="0.3" footer="0.3"/>
  <pageSetup scale="48" orientation="landscape" r:id="rId1"/>
  <headerFooter>
    <oddFooter>&amp;L&amp;F &amp;A &amp;R&amp;D &amp;T</oddFooter>
  </headerFooter>
</worksheet>
</file>

<file path=xl/worksheets/sheet2.xml><?xml version="1.0" encoding="utf-8"?>
<worksheet xmlns="http://schemas.openxmlformats.org/spreadsheetml/2006/main" xmlns:r="http://schemas.openxmlformats.org/officeDocument/2006/relationships">
  <sheetPr>
    <tabColor rgb="FF92D050"/>
    <pageSetUpPr fitToPage="1"/>
  </sheetPr>
  <dimension ref="A2:G55"/>
  <sheetViews>
    <sheetView zoomScale="75" zoomScaleNormal="75" workbookViewId="0">
      <selection activeCell="D49" sqref="D49"/>
    </sheetView>
  </sheetViews>
  <sheetFormatPr defaultRowHeight="14.25"/>
  <cols>
    <col min="1" max="1" width="38.7109375" style="112" customWidth="1"/>
    <col min="2" max="2" width="18.42578125" style="112" bestFit="1" customWidth="1"/>
    <col min="3" max="3" width="17.5703125" style="112" bestFit="1" customWidth="1"/>
    <col min="4" max="5" width="18" style="112" bestFit="1" customWidth="1"/>
    <col min="6" max="6" width="18.42578125" style="112" bestFit="1" customWidth="1"/>
    <col min="7" max="7" width="19.7109375" style="112" bestFit="1" customWidth="1"/>
    <col min="8" max="16384" width="9.140625" style="112"/>
  </cols>
  <sheetData>
    <row r="2" spans="1:7" ht="15.75">
      <c r="A2" s="133" t="s">
        <v>173</v>
      </c>
    </row>
    <row r="4" spans="1:7" ht="15">
      <c r="A4" s="111" t="s">
        <v>111</v>
      </c>
      <c r="B4" s="111"/>
      <c r="C4" s="111"/>
      <c r="D4" s="111"/>
      <c r="E4" s="111"/>
      <c r="F4" s="111"/>
      <c r="G4" s="111"/>
    </row>
    <row r="5" spans="1:7" ht="15">
      <c r="A5" s="134" t="s">
        <v>174</v>
      </c>
      <c r="B5" s="135" t="s">
        <v>62</v>
      </c>
      <c r="C5" s="135" t="s">
        <v>112</v>
      </c>
      <c r="D5" s="135" t="s">
        <v>57</v>
      </c>
      <c r="E5" s="135" t="s">
        <v>113</v>
      </c>
      <c r="F5" s="135" t="s">
        <v>114</v>
      </c>
      <c r="G5" s="135" t="s">
        <v>115</v>
      </c>
    </row>
    <row r="6" spans="1:7">
      <c r="A6" s="112">
        <v>4470093</v>
      </c>
      <c r="B6" s="113">
        <v>46736555.659999996</v>
      </c>
      <c r="C6" s="113">
        <v>9860115.2100000009</v>
      </c>
      <c r="D6" s="113">
        <v>28302073.539999999</v>
      </c>
      <c r="E6" s="113">
        <v>32897156.620000001</v>
      </c>
      <c r="F6" s="113">
        <v>27428854.539999999</v>
      </c>
      <c r="G6" s="113">
        <v>145224755.56999999</v>
      </c>
    </row>
    <row r="7" spans="1:7">
      <c r="A7" s="112">
        <v>4470098</v>
      </c>
      <c r="B7" s="113">
        <v>-8724038.6300000008</v>
      </c>
      <c r="C7" s="113">
        <v>-1843007.56</v>
      </c>
      <c r="D7" s="113">
        <v>-5406438.7199999997</v>
      </c>
      <c r="E7" s="113">
        <v>-6248496.5599999996</v>
      </c>
      <c r="F7" s="113">
        <v>-5238905.8899999997</v>
      </c>
      <c r="G7" s="113">
        <v>-27460887.359999999</v>
      </c>
    </row>
    <row r="8" spans="1:7">
      <c r="A8" s="112">
        <v>4470099</v>
      </c>
      <c r="B8" s="113">
        <v>-20520748.460000001</v>
      </c>
      <c r="C8" s="113">
        <v>-4327395.54</v>
      </c>
      <c r="D8" s="113">
        <v>-12456545.630000001</v>
      </c>
      <c r="E8" s="113">
        <v>-14468632.84</v>
      </c>
      <c r="F8" s="113">
        <v>-12083611.210000001</v>
      </c>
      <c r="G8" s="113">
        <v>-63856933.68</v>
      </c>
    </row>
    <row r="9" spans="1:7">
      <c r="A9" s="112">
        <v>4470100</v>
      </c>
      <c r="B9" s="113">
        <v>-2545178.27</v>
      </c>
      <c r="C9" s="113">
        <v>-536622.4</v>
      </c>
      <c r="D9" s="113">
        <v>-1551535.22</v>
      </c>
      <c r="E9" s="113">
        <v>-1800095.4</v>
      </c>
      <c r="F9" s="113">
        <v>-1500686.06</v>
      </c>
      <c r="G9" s="113">
        <v>-7934117.3499999996</v>
      </c>
    </row>
    <row r="10" spans="1:7">
      <c r="A10" s="112">
        <v>4470101</v>
      </c>
      <c r="B10" s="113">
        <v>-32115768.68</v>
      </c>
      <c r="C10" s="113">
        <v>-6768714.6799999997</v>
      </c>
      <c r="D10" s="113">
        <v>-19456671.260000002</v>
      </c>
      <c r="E10" s="113">
        <v>-22608382.379999999</v>
      </c>
      <c r="F10" s="113">
        <v>-18831306.57</v>
      </c>
      <c r="G10" s="113">
        <v>-99780843.569999993</v>
      </c>
    </row>
    <row r="11" spans="1:7">
      <c r="A11" s="112">
        <v>4470109</v>
      </c>
      <c r="B11" s="113">
        <v>-529117.37</v>
      </c>
      <c r="C11" s="113">
        <v>-110758.27</v>
      </c>
      <c r="D11" s="113">
        <v>-308847.95</v>
      </c>
      <c r="E11" s="113">
        <v>-361899.92</v>
      </c>
      <c r="F11" s="113">
        <v>-296745.46999999997</v>
      </c>
      <c r="G11" s="113">
        <v>-1607368.98</v>
      </c>
    </row>
    <row r="12" spans="1:7">
      <c r="A12" s="112">
        <v>4470115</v>
      </c>
      <c r="B12" s="113">
        <v>-1504302.11</v>
      </c>
      <c r="C12" s="113">
        <v>-318315.77</v>
      </c>
      <c r="D12" s="113">
        <v>-968539.54</v>
      </c>
      <c r="E12" s="113">
        <v>-1108980.6599999999</v>
      </c>
      <c r="F12" s="113">
        <v>-934407.87</v>
      </c>
      <c r="G12" s="113">
        <v>-4834545.95</v>
      </c>
    </row>
    <row r="13" spans="1:7">
      <c r="A13" s="112">
        <v>4470116</v>
      </c>
      <c r="B13" s="113">
        <v>-93428.57</v>
      </c>
      <c r="C13" s="113">
        <v>-19799.650000000001</v>
      </c>
      <c r="D13" s="113">
        <v>-59633.85</v>
      </c>
      <c r="E13" s="113">
        <v>-68449.960000000006</v>
      </c>
      <c r="F13" s="113">
        <v>-57580.480000000003</v>
      </c>
      <c r="G13" s="113">
        <v>-298892.51</v>
      </c>
    </row>
    <row r="14" spans="1:7">
      <c r="A14" s="112">
        <v>4470126</v>
      </c>
      <c r="B14" s="113">
        <v>17065638.84</v>
      </c>
      <c r="C14" s="113">
        <v>3593706.8</v>
      </c>
      <c r="D14" s="113">
        <v>10106201.550000001</v>
      </c>
      <c r="E14" s="113">
        <v>11811630.9</v>
      </c>
      <c r="F14" s="113">
        <v>9795957.5700000003</v>
      </c>
      <c r="G14" s="113">
        <v>52373135.659999996</v>
      </c>
    </row>
    <row r="15" spans="1:7">
      <c r="A15" s="112">
        <v>4470202</v>
      </c>
      <c r="B15" s="113">
        <v>-3362761.4</v>
      </c>
      <c r="C15" s="113">
        <v>-709742.07999999996</v>
      </c>
      <c r="D15" s="113">
        <v>-2053158.58</v>
      </c>
      <c r="E15" s="113">
        <v>-2381623.29</v>
      </c>
      <c r="F15" s="113">
        <v>-1992111.15</v>
      </c>
      <c r="G15" s="113">
        <v>-10499396.5</v>
      </c>
    </row>
    <row r="16" spans="1:7">
      <c r="A16" s="112">
        <v>4470203</v>
      </c>
      <c r="B16" s="113">
        <v>15021955.869999999</v>
      </c>
      <c r="C16" s="113">
        <v>3167480.35</v>
      </c>
      <c r="D16" s="113">
        <v>9089441.5600000005</v>
      </c>
      <c r="E16" s="113">
        <v>10566247.970000001</v>
      </c>
      <c r="F16" s="113">
        <v>8818680.1799999997</v>
      </c>
      <c r="G16" s="113">
        <v>46663805.93</v>
      </c>
    </row>
    <row r="17" spans="1:7">
      <c r="A17" s="112">
        <v>4470206</v>
      </c>
      <c r="B17" s="113">
        <v>-4656676.43</v>
      </c>
      <c r="C17" s="113">
        <v>-981171.43</v>
      </c>
      <c r="D17" s="113">
        <v>-2798295.91</v>
      </c>
      <c r="E17" s="113">
        <v>-3258323.92</v>
      </c>
      <c r="F17" s="113">
        <v>-2714258.63</v>
      </c>
      <c r="G17" s="113">
        <v>-14408726.32</v>
      </c>
    </row>
    <row r="18" spans="1:7">
      <c r="A18" s="112">
        <v>4470207</v>
      </c>
      <c r="B18" s="113">
        <v>76866949.099999994</v>
      </c>
      <c r="C18" s="113">
        <v>16216781.76</v>
      </c>
      <c r="D18" s="113">
        <v>46741004.689999998</v>
      </c>
      <c r="E18" s="113">
        <v>54271350.350000001</v>
      </c>
      <c r="F18" s="113">
        <v>45320514.020000003</v>
      </c>
      <c r="G18" s="113">
        <v>239416599.91999999</v>
      </c>
    </row>
    <row r="19" spans="1:7">
      <c r="A19" s="112">
        <v>4470208</v>
      </c>
      <c r="B19" s="113">
        <v>-25019988.940000001</v>
      </c>
      <c r="C19" s="113">
        <v>-5273061.5599999996</v>
      </c>
      <c r="D19" s="113">
        <v>-15144154.76</v>
      </c>
      <c r="E19" s="113">
        <v>-17601372.719999999</v>
      </c>
      <c r="F19" s="113">
        <v>-14679565.710000001</v>
      </c>
      <c r="G19" s="113">
        <v>-77718143.689999998</v>
      </c>
    </row>
    <row r="20" spans="1:7">
      <c r="A20" s="112">
        <v>4470209</v>
      </c>
      <c r="B20" s="113">
        <v>18960272.449999999</v>
      </c>
      <c r="C20" s="113">
        <v>3998228.64</v>
      </c>
      <c r="D20" s="113">
        <v>11426275.08</v>
      </c>
      <c r="E20" s="113">
        <v>13296974.289999999</v>
      </c>
      <c r="F20" s="113">
        <v>11087291.27</v>
      </c>
      <c r="G20" s="113">
        <v>58769041.729999997</v>
      </c>
    </row>
    <row r="21" spans="1:7">
      <c r="A21" s="112">
        <v>4470214</v>
      </c>
      <c r="B21" s="113">
        <v>-1357851.36</v>
      </c>
      <c r="C21" s="113">
        <v>-287313.65999999997</v>
      </c>
      <c r="D21" s="113">
        <v>-810990.29</v>
      </c>
      <c r="E21" s="113">
        <v>-946661.08</v>
      </c>
      <c r="F21" s="113">
        <v>-790227.33</v>
      </c>
      <c r="G21" s="113">
        <v>-4193043.72</v>
      </c>
    </row>
    <row r="22" spans="1:7">
      <c r="A22" s="112">
        <v>5550036</v>
      </c>
      <c r="B22" s="113">
        <v>5266.77</v>
      </c>
      <c r="C22" s="113">
        <v>1114.47</v>
      </c>
      <c r="D22" s="113">
        <v>3377.49</v>
      </c>
      <c r="E22" s="113">
        <v>3871</v>
      </c>
      <c r="F22" s="113">
        <v>3260.48</v>
      </c>
      <c r="G22" s="113">
        <v>16890.21</v>
      </c>
    </row>
    <row r="23" spans="1:7">
      <c r="A23" s="112">
        <v>5550039</v>
      </c>
      <c r="B23" s="113">
        <v>229193.74</v>
      </c>
      <c r="C23" s="113">
        <v>48444.34</v>
      </c>
      <c r="D23" s="113">
        <v>140126.97</v>
      </c>
      <c r="E23" s="113">
        <v>162535.46</v>
      </c>
      <c r="F23" s="113">
        <v>136020.73000000001</v>
      </c>
      <c r="G23" s="113">
        <v>716321.24</v>
      </c>
    </row>
    <row r="24" spans="1:7">
      <c r="A24" s="112">
        <v>5550040</v>
      </c>
      <c r="B24" s="113">
        <v>1196596.99</v>
      </c>
      <c r="C24" s="113">
        <v>252366.42</v>
      </c>
      <c r="D24" s="113">
        <v>721321.46</v>
      </c>
      <c r="E24" s="113">
        <v>839379.52</v>
      </c>
      <c r="F24" s="113">
        <v>700545.36</v>
      </c>
      <c r="G24" s="113">
        <v>3710209.75</v>
      </c>
    </row>
    <row r="25" spans="1:7">
      <c r="A25" s="112">
        <v>5550041</v>
      </c>
      <c r="B25" s="113">
        <v>37168.1</v>
      </c>
      <c r="C25" s="113">
        <v>7825.36</v>
      </c>
      <c r="D25" s="113">
        <v>22243.82</v>
      </c>
      <c r="E25" s="113">
        <v>25924.38</v>
      </c>
      <c r="F25" s="113">
        <v>21596.69</v>
      </c>
      <c r="G25" s="113">
        <v>114758.35</v>
      </c>
    </row>
    <row r="26" spans="1:7">
      <c r="A26" s="112">
        <v>5550074</v>
      </c>
      <c r="B26" s="113">
        <v>5637365.3799999999</v>
      </c>
      <c r="C26" s="113">
        <v>1186542.81</v>
      </c>
      <c r="D26" s="113">
        <v>3326201.07</v>
      </c>
      <c r="E26" s="113">
        <v>3890902.54</v>
      </c>
      <c r="F26" s="113">
        <v>3235100.54</v>
      </c>
      <c r="G26" s="113">
        <v>17276112.34</v>
      </c>
    </row>
    <row r="27" spans="1:7">
      <c r="A27" s="112">
        <v>5550075</v>
      </c>
      <c r="B27" s="113">
        <v>-5572619.1399999997</v>
      </c>
      <c r="C27" s="113">
        <v>-1172953.57</v>
      </c>
      <c r="D27" s="113">
        <v>-3288107.56</v>
      </c>
      <c r="E27" s="113">
        <v>-3846334.71</v>
      </c>
      <c r="F27" s="113">
        <v>-3198105.51</v>
      </c>
      <c r="G27" s="113">
        <v>-17078120.489999998</v>
      </c>
    </row>
    <row r="28" spans="1:7">
      <c r="A28" s="112">
        <v>5550076</v>
      </c>
      <c r="B28" s="113">
        <v>174317.34</v>
      </c>
      <c r="C28" s="113">
        <v>36785.24</v>
      </c>
      <c r="D28" s="113">
        <v>106481.21</v>
      </c>
      <c r="E28" s="113">
        <v>123497.19</v>
      </c>
      <c r="F28" s="113">
        <v>103259.86</v>
      </c>
      <c r="G28" s="113">
        <v>544340.84</v>
      </c>
    </row>
    <row r="29" spans="1:7">
      <c r="A29" s="112">
        <v>5550077</v>
      </c>
      <c r="B29" s="113">
        <v>-120435.08</v>
      </c>
      <c r="C29" s="113">
        <v>-25416.81</v>
      </c>
      <c r="D29" s="113">
        <v>-73621.350000000006</v>
      </c>
      <c r="E29" s="113">
        <v>-85371.42</v>
      </c>
      <c r="F29" s="113">
        <v>-71390.83</v>
      </c>
      <c r="G29" s="113">
        <v>-376235.49</v>
      </c>
    </row>
    <row r="30" spans="1:7">
      <c r="A30" s="112">
        <v>5550078</v>
      </c>
      <c r="B30" s="113">
        <v>11724026.960000001</v>
      </c>
      <c r="C30" s="113">
        <v>2474766.7999999998</v>
      </c>
      <c r="D30" s="113">
        <v>7121225.4400000004</v>
      </c>
      <c r="E30" s="113">
        <v>8271800.8600000003</v>
      </c>
      <c r="F30" s="113">
        <v>6909660.2999999998</v>
      </c>
      <c r="G30" s="113">
        <v>36501480.359999999</v>
      </c>
    </row>
    <row r="31" spans="1:7">
      <c r="A31" s="112">
        <v>5550079</v>
      </c>
      <c r="B31" s="113">
        <v>-4471875.34</v>
      </c>
      <c r="C31" s="113">
        <v>-944469.1</v>
      </c>
      <c r="D31" s="113">
        <v>-2727921.25</v>
      </c>
      <c r="E31" s="113">
        <v>-3165495.84</v>
      </c>
      <c r="F31" s="113">
        <v>-2647137.9700000002</v>
      </c>
      <c r="G31" s="113">
        <v>-13956899.5</v>
      </c>
    </row>
    <row r="32" spans="1:7">
      <c r="A32" s="112">
        <v>5550083</v>
      </c>
      <c r="B32" s="113">
        <v>532467.25</v>
      </c>
      <c r="C32" s="113">
        <v>112128.93</v>
      </c>
      <c r="D32" s="113">
        <v>318129.71999999997</v>
      </c>
      <c r="E32" s="113">
        <v>370949.07</v>
      </c>
      <c r="F32" s="113">
        <v>308852.32</v>
      </c>
      <c r="G32" s="113">
        <v>1642527.29</v>
      </c>
    </row>
    <row r="33" spans="1:7">
      <c r="A33" s="112">
        <v>5550084</v>
      </c>
      <c r="B33" s="113">
        <v>-30955.52</v>
      </c>
      <c r="C33" s="113">
        <v>-6533.49</v>
      </c>
      <c r="D33" s="113">
        <v>-18733.419999999998</v>
      </c>
      <c r="E33" s="113">
        <v>-21780.6</v>
      </c>
      <c r="F33" s="113">
        <v>-18215.93</v>
      </c>
      <c r="G33" s="113">
        <v>-96218.96</v>
      </c>
    </row>
    <row r="34" spans="1:7">
      <c r="A34" s="112">
        <v>5550090</v>
      </c>
      <c r="B34" s="113">
        <v>1646406.44</v>
      </c>
      <c r="C34" s="113">
        <v>348377.92</v>
      </c>
      <c r="D34" s="113">
        <v>984630.51</v>
      </c>
      <c r="E34" s="113">
        <v>1148955.33</v>
      </c>
      <c r="F34" s="113">
        <v>959260.84</v>
      </c>
      <c r="G34" s="113">
        <v>5087631.04</v>
      </c>
    </row>
    <row r="35" spans="1:7">
      <c r="A35" s="112" t="s">
        <v>115</v>
      </c>
      <c r="B35" s="113">
        <v>85208435.590000004</v>
      </c>
      <c r="C35" s="113">
        <v>17979389.48</v>
      </c>
      <c r="D35" s="113">
        <v>51285538.82</v>
      </c>
      <c r="E35" s="113">
        <v>59709274.18</v>
      </c>
      <c r="F35" s="113">
        <v>49774598.090000004</v>
      </c>
      <c r="G35" s="113">
        <v>263957236.16</v>
      </c>
    </row>
    <row r="36" spans="1:7">
      <c r="B36" s="113"/>
      <c r="C36" s="113"/>
      <c r="D36" s="113"/>
      <c r="E36" s="113"/>
      <c r="F36" s="113"/>
      <c r="G36" s="113"/>
    </row>
    <row r="37" spans="1:7">
      <c r="A37" s="112" t="s">
        <v>116</v>
      </c>
      <c r="B37" s="113"/>
      <c r="C37" s="113"/>
      <c r="D37" s="113"/>
      <c r="E37" s="113"/>
      <c r="F37" s="113"/>
      <c r="G37" s="113"/>
    </row>
    <row r="38" spans="1:7">
      <c r="A38" s="112">
        <v>4470101</v>
      </c>
      <c r="B38" s="113">
        <v>-2354345.9300000002</v>
      </c>
      <c r="C38" s="113">
        <v>-498225.59</v>
      </c>
      <c r="D38" s="113">
        <v>-1396654.49</v>
      </c>
      <c r="E38" s="113">
        <v>-1633269.99</v>
      </c>
      <c r="F38" s="113">
        <v>-1362314.09</v>
      </c>
      <c r="G38" s="113">
        <v>-7244810.0899999999</v>
      </c>
    </row>
    <row r="39" spans="1:7">
      <c r="A39" s="112">
        <v>4470100</v>
      </c>
      <c r="B39" s="113">
        <v>-261445.44</v>
      </c>
      <c r="C39" s="113">
        <v>-55326.96</v>
      </c>
      <c r="D39" s="113">
        <v>-155095.71</v>
      </c>
      <c r="E39" s="113">
        <v>-181371.39</v>
      </c>
      <c r="F39" s="113">
        <v>-151282.28</v>
      </c>
      <c r="G39" s="113">
        <v>-804521.78</v>
      </c>
    </row>
    <row r="40" spans="1:7">
      <c r="A40" s="112">
        <v>4470109</v>
      </c>
      <c r="B40" s="113">
        <v>-159822.20000000001</v>
      </c>
      <c r="C40" s="113">
        <v>-33821.5</v>
      </c>
      <c r="D40" s="113">
        <v>-94810.36</v>
      </c>
      <c r="E40" s="113">
        <v>-110872.75</v>
      </c>
      <c r="F40" s="113">
        <v>-92479.2</v>
      </c>
      <c r="G40" s="113">
        <v>-491806.01</v>
      </c>
    </row>
    <row r="41" spans="1:7">
      <c r="B41" s="113"/>
      <c r="C41" s="113"/>
      <c r="D41" s="113"/>
      <c r="E41" s="113"/>
      <c r="F41" s="113"/>
      <c r="G41" s="113"/>
    </row>
    <row r="42" spans="1:7">
      <c r="A42" s="112" t="s">
        <v>117</v>
      </c>
      <c r="B42" s="113"/>
      <c r="C42" s="113"/>
      <c r="D42" s="113"/>
      <c r="E42" s="113"/>
      <c r="F42" s="113"/>
      <c r="G42" s="113"/>
    </row>
    <row r="43" spans="1:7">
      <c r="A43" s="112">
        <v>5614000</v>
      </c>
      <c r="B43" s="113">
        <v>458052.36</v>
      </c>
      <c r="C43" s="113">
        <v>96742.18</v>
      </c>
      <c r="D43" s="113">
        <v>280175.7</v>
      </c>
      <c r="E43" s="113">
        <v>347286.87</v>
      </c>
      <c r="F43" s="113">
        <v>249370.14</v>
      </c>
      <c r="G43" s="113">
        <v>1431627.25</v>
      </c>
    </row>
    <row r="44" spans="1:7">
      <c r="A44" s="112">
        <v>5614001</v>
      </c>
      <c r="B44" s="113">
        <v>5292894.79</v>
      </c>
      <c r="C44" s="113">
        <v>1117108.45</v>
      </c>
      <c r="D44" s="113">
        <v>3224718.52</v>
      </c>
      <c r="E44" s="113">
        <v>3966668.69</v>
      </c>
      <c r="F44" s="113">
        <v>2903883.19</v>
      </c>
      <c r="G44" s="113">
        <v>16505273.640000001</v>
      </c>
    </row>
    <row r="45" spans="1:7">
      <c r="A45" s="112">
        <v>5618000</v>
      </c>
      <c r="B45" s="113">
        <v>102831.08</v>
      </c>
      <c r="C45" s="113">
        <v>21715.89</v>
      </c>
      <c r="D45" s="113">
        <v>63097.86</v>
      </c>
      <c r="E45" s="113">
        <v>81276.09</v>
      </c>
      <c r="F45" s="113">
        <v>53006.05</v>
      </c>
      <c r="G45" s="113">
        <v>321926.96999999997</v>
      </c>
    </row>
    <row r="46" spans="1:7">
      <c r="A46" s="112">
        <v>5618001</v>
      </c>
      <c r="B46" s="113">
        <v>1187626.07</v>
      </c>
      <c r="C46" s="113">
        <v>250622.04</v>
      </c>
      <c r="D46" s="113">
        <v>725584.87</v>
      </c>
      <c r="E46" s="113">
        <v>923202.04</v>
      </c>
      <c r="F46" s="113">
        <v>621787.02</v>
      </c>
      <c r="G46" s="113">
        <v>3708822.04</v>
      </c>
    </row>
    <row r="47" spans="1:7">
      <c r="A47" s="112">
        <v>5757000</v>
      </c>
      <c r="B47" s="113">
        <v>472063.7</v>
      </c>
      <c r="C47" s="113">
        <v>99692.46</v>
      </c>
      <c r="D47" s="113">
        <v>288781.24</v>
      </c>
      <c r="E47" s="113">
        <v>358983.36</v>
      </c>
      <c r="F47" s="113">
        <v>255972.93</v>
      </c>
      <c r="G47" s="113">
        <v>1475493.69</v>
      </c>
    </row>
    <row r="48" spans="1:7">
      <c r="A48" s="112">
        <v>5757001</v>
      </c>
      <c r="B48" s="113">
        <v>5464907.79</v>
      </c>
      <c r="C48" s="113">
        <v>1153286.05</v>
      </c>
      <c r="D48" s="113">
        <v>3329710.94</v>
      </c>
      <c r="E48" s="113">
        <v>4105724.8</v>
      </c>
      <c r="F48" s="113">
        <v>2988277.95</v>
      </c>
      <c r="G48" s="113">
        <v>17041907.530000001</v>
      </c>
    </row>
    <row r="49" spans="1:7">
      <c r="B49" s="113"/>
      <c r="C49" s="113"/>
      <c r="D49" s="113"/>
      <c r="E49" s="113"/>
      <c r="F49" s="113"/>
      <c r="G49" s="113"/>
    </row>
    <row r="50" spans="1:7">
      <c r="A50" s="112" t="s">
        <v>118</v>
      </c>
      <c r="B50" s="113">
        <f>B48+B47+B46+B45+B44+B43+B40+B38+B34+B33+B32+B31+B30+B29+B28+B27+B26+B25+B24+B22+B19+B18+B16+B15+B13+B11+B10+B6</f>
        <v>98726333.479999989</v>
      </c>
      <c r="C50" s="113">
        <f>C48+C47+C46+C45+C44+C43+C40+C38+C34+C33+C32+C31+C30+C29+C28+C27+C26+C25+C24+C22+C19+C18+C16+C15+C13+C11+C10+C6</f>
        <v>20839956.040000007</v>
      </c>
      <c r="D50" s="113">
        <f>D48+D47+D46+D45+D44+D43+D40+D38+D34+D33+D32+D31+D30+D29+D28+D27+D26+D25+D24+D22+D19+D18+D16+D15+D13+D11+D10+D6</f>
        <v>60025884.809999987</v>
      </c>
      <c r="E50" s="113">
        <f>E48+E47+E46+E45+E44+E43+E40+E38+E34+E33+E32+E31+E30+E29+E28+E27+E26+E25+E24+E22+E19+E18+E16+E15+E13+E11+E10+E6</f>
        <v>70308323.100000009</v>
      </c>
      <c r="F50" s="113">
        <f>F48+F47+F46+F45+F44+F43+F40+F38+F34+F33+F32+F31+F30+F29+F28+F27+F26+F25+F24+F22+F19+F18+F16+F15+F13+F11+F10+F6</f>
        <v>57634929.500000007</v>
      </c>
      <c r="G50" s="113">
        <f>SUM(B50:F50)</f>
        <v>307535426.93000001</v>
      </c>
    </row>
    <row r="51" spans="1:7">
      <c r="A51" s="112" t="s">
        <v>119</v>
      </c>
      <c r="B51" s="113">
        <v>-8051577.3899999997</v>
      </c>
      <c r="C51" s="113">
        <v>-1692729.42</v>
      </c>
      <c r="D51" s="113">
        <v>-4755163.99</v>
      </c>
      <c r="E51" s="113">
        <v>-5559704.7800000003</v>
      </c>
      <c r="F51" s="113">
        <v>-4604394.55</v>
      </c>
      <c r="G51" s="113">
        <v>-24663570.129999999</v>
      </c>
    </row>
    <row r="52" spans="1:7" ht="15">
      <c r="A52" s="114" t="s">
        <v>120</v>
      </c>
      <c r="B52" s="115">
        <v>90674756.090000004</v>
      </c>
      <c r="C52" s="115">
        <v>19147226.620000001</v>
      </c>
      <c r="D52" s="115">
        <v>55270720.82</v>
      </c>
      <c r="E52" s="115">
        <v>64748618.329999998</v>
      </c>
      <c r="F52" s="115">
        <v>53030534.950000003</v>
      </c>
      <c r="G52" s="115">
        <v>282871856.80000001</v>
      </c>
    </row>
    <row r="55" spans="1:7" ht="15">
      <c r="A55" s="111" t="s">
        <v>186</v>
      </c>
    </row>
  </sheetData>
  <phoneticPr fontId="70" type="noConversion"/>
  <pageMargins left="0.7" right="0.7" top="0.75" bottom="0.75" header="0.3" footer="0.3"/>
  <pageSetup scale="66" orientation="landscape" r:id="rId1"/>
  <headerFooter>
    <oddFooter>&amp;L&amp;F&amp;A &amp;D&amp;T</oddFooter>
  </headerFooter>
</worksheet>
</file>

<file path=xl/worksheets/sheet3.xml><?xml version="1.0" encoding="utf-8"?>
<worksheet xmlns="http://schemas.openxmlformats.org/spreadsheetml/2006/main" xmlns:r="http://schemas.openxmlformats.org/officeDocument/2006/relationships">
  <sheetPr>
    <tabColor rgb="FF92D050"/>
    <pageSetUpPr fitToPage="1"/>
  </sheetPr>
  <dimension ref="A2:AB25"/>
  <sheetViews>
    <sheetView zoomScale="75" zoomScaleNormal="100" workbookViewId="0">
      <selection activeCell="D49" sqref="D49"/>
    </sheetView>
  </sheetViews>
  <sheetFormatPr defaultRowHeight="15"/>
  <cols>
    <col min="1" max="1" width="12.85546875" customWidth="1"/>
    <col min="2" max="2" width="10" customWidth="1"/>
    <col min="3" max="3" width="10.85546875" customWidth="1"/>
    <col min="4" max="4" width="13.42578125" bestFit="1" customWidth="1"/>
    <col min="5" max="5" width="15.42578125" bestFit="1" customWidth="1"/>
    <col min="6" max="6" width="2.85546875" customWidth="1"/>
    <col min="7" max="7" width="11.7109375" bestFit="1" customWidth="1"/>
    <col min="8" max="8" width="14.42578125" bestFit="1" customWidth="1"/>
    <col min="9" max="9" width="12.7109375" bestFit="1" customWidth="1"/>
    <col min="10" max="10" width="14.42578125" bestFit="1" customWidth="1"/>
    <col min="11" max="11" width="2.28515625" customWidth="1"/>
    <col min="12" max="12" width="16.28515625" bestFit="1" customWidth="1"/>
    <col min="13" max="13" width="16.140625" customWidth="1"/>
    <col min="14" max="14" width="10.7109375" bestFit="1" customWidth="1"/>
    <col min="15" max="15" width="12.7109375" bestFit="1" customWidth="1"/>
    <col min="16" max="16" width="3.140625" customWidth="1"/>
    <col min="17" max="17" width="11.7109375" bestFit="1" customWidth="1"/>
    <col min="18" max="18" width="14.42578125" bestFit="1" customWidth="1"/>
    <col min="19" max="19" width="11.28515625" customWidth="1"/>
    <col min="20" max="20" width="14.42578125" bestFit="1" customWidth="1"/>
    <col min="21" max="21" width="3" customWidth="1"/>
    <col min="22" max="22" width="11.5703125" customWidth="1"/>
    <col min="23" max="23" width="15.28515625" bestFit="1" customWidth="1"/>
    <col min="24" max="24" width="11.5703125" bestFit="1" customWidth="1"/>
    <col min="25" max="25" width="14.28515625" bestFit="1" customWidth="1"/>
    <col min="26" max="26" width="11.5703125" customWidth="1"/>
    <col min="27" max="27" width="13.7109375" bestFit="1" customWidth="1"/>
  </cols>
  <sheetData>
    <row r="2" spans="1:27" ht="18.75">
      <c r="A2" s="136" t="s">
        <v>175</v>
      </c>
    </row>
    <row r="4" spans="1:27">
      <c r="B4" s="187" t="s">
        <v>6</v>
      </c>
      <c r="C4" s="187"/>
      <c r="D4" s="187"/>
      <c r="E4" s="187"/>
      <c r="G4" s="187" t="s">
        <v>9</v>
      </c>
      <c r="H4" s="187"/>
      <c r="I4" s="187"/>
      <c r="J4" s="187"/>
      <c r="L4" s="186" t="s">
        <v>11</v>
      </c>
      <c r="M4" s="186"/>
      <c r="N4" s="186"/>
      <c r="O4" s="186"/>
      <c r="Q4" s="186" t="s">
        <v>13</v>
      </c>
      <c r="R4" s="186"/>
      <c r="S4" s="186"/>
      <c r="T4" s="186"/>
      <c r="V4" s="186" t="s">
        <v>14</v>
      </c>
      <c r="W4" s="186"/>
      <c r="X4" s="186"/>
      <c r="Y4" s="186"/>
      <c r="Z4" s="11"/>
    </row>
    <row r="5" spans="1:27" ht="26.25">
      <c r="B5" s="6" t="s">
        <v>10</v>
      </c>
      <c r="C5" s="6" t="s">
        <v>7</v>
      </c>
      <c r="D5" s="6" t="s">
        <v>8</v>
      </c>
      <c r="E5" s="6" t="s">
        <v>8</v>
      </c>
      <c r="G5" s="6" t="s">
        <v>7</v>
      </c>
      <c r="H5" s="6" t="s">
        <v>7</v>
      </c>
      <c r="I5" s="6" t="s">
        <v>8</v>
      </c>
      <c r="J5" s="6" t="s">
        <v>8</v>
      </c>
      <c r="L5" s="13" t="s">
        <v>7</v>
      </c>
      <c r="M5" s="13" t="s">
        <v>7</v>
      </c>
      <c r="N5" s="13" t="s">
        <v>8</v>
      </c>
      <c r="O5" s="13" t="s">
        <v>8</v>
      </c>
      <c r="Q5" s="13" t="s">
        <v>7</v>
      </c>
      <c r="R5" s="13" t="s">
        <v>7</v>
      </c>
      <c r="S5" s="13" t="s">
        <v>8</v>
      </c>
      <c r="T5" s="13" t="s">
        <v>8</v>
      </c>
      <c r="V5" s="13" t="s">
        <v>7</v>
      </c>
      <c r="W5" s="13" t="s">
        <v>7</v>
      </c>
      <c r="X5" s="9" t="s">
        <v>8</v>
      </c>
      <c r="Y5" s="13" t="s">
        <v>8</v>
      </c>
      <c r="Z5" s="13"/>
    </row>
    <row r="6" spans="1:27">
      <c r="B6" s="6" t="s">
        <v>4</v>
      </c>
      <c r="C6" s="6" t="s">
        <v>5</v>
      </c>
      <c r="D6" s="6" t="s">
        <v>4</v>
      </c>
      <c r="E6" s="6" t="s">
        <v>5</v>
      </c>
      <c r="G6" s="6" t="s">
        <v>4</v>
      </c>
      <c r="H6" s="6" t="s">
        <v>5</v>
      </c>
      <c r="I6" s="6" t="s">
        <v>4</v>
      </c>
      <c r="J6" s="6" t="s">
        <v>5</v>
      </c>
      <c r="L6" s="12" t="s">
        <v>12</v>
      </c>
      <c r="M6" s="12" t="s">
        <v>5</v>
      </c>
      <c r="N6" s="12" t="s">
        <v>12</v>
      </c>
      <c r="O6" s="12" t="s">
        <v>5</v>
      </c>
      <c r="Q6" s="12" t="s">
        <v>12</v>
      </c>
      <c r="R6" s="12" t="s">
        <v>5</v>
      </c>
      <c r="S6" s="12" t="s">
        <v>12</v>
      </c>
      <c r="T6" s="12" t="s">
        <v>5</v>
      </c>
      <c r="V6" s="12" t="s">
        <v>12</v>
      </c>
      <c r="W6" s="12" t="s">
        <v>5</v>
      </c>
      <c r="X6" s="12" t="s">
        <v>12</v>
      </c>
      <c r="Y6" s="12" t="s">
        <v>5</v>
      </c>
      <c r="Z6" s="12"/>
    </row>
    <row r="7" spans="1:27">
      <c r="A7" s="8">
        <v>40554</v>
      </c>
      <c r="B7" s="2">
        <v>0</v>
      </c>
      <c r="C7" s="5">
        <v>0</v>
      </c>
      <c r="D7" s="2">
        <v>2062275</v>
      </c>
      <c r="E7" s="5">
        <v>43472366</v>
      </c>
      <c r="G7" s="2">
        <v>91198</v>
      </c>
      <c r="H7" s="5">
        <v>2417659</v>
      </c>
      <c r="I7" s="2">
        <v>11957</v>
      </c>
      <c r="J7" s="5">
        <v>272426</v>
      </c>
      <c r="L7" s="14">
        <v>1281103</v>
      </c>
      <c r="M7" s="10">
        <v>22419303</v>
      </c>
      <c r="N7" s="2">
        <v>2503</v>
      </c>
      <c r="O7" s="10">
        <v>67942</v>
      </c>
      <c r="P7" s="15"/>
      <c r="Q7" s="2">
        <v>48749</v>
      </c>
      <c r="R7" s="5">
        <v>1658098</v>
      </c>
      <c r="S7" s="2">
        <v>393891</v>
      </c>
      <c r="T7" s="5">
        <v>7837989</v>
      </c>
      <c r="U7" s="15"/>
      <c r="V7" s="2">
        <v>1039576</v>
      </c>
      <c r="W7" s="5">
        <v>25155663</v>
      </c>
      <c r="X7" s="2" t="s">
        <v>136</v>
      </c>
      <c r="Y7" s="5" t="s">
        <v>137</v>
      </c>
      <c r="Z7" s="5"/>
      <c r="AA7" s="7"/>
    </row>
    <row r="8" spans="1:27">
      <c r="A8" s="8">
        <v>40585</v>
      </c>
      <c r="B8" s="2">
        <v>0</v>
      </c>
      <c r="C8" s="5">
        <v>0</v>
      </c>
      <c r="D8" s="2">
        <v>1227342</v>
      </c>
      <c r="E8" s="5">
        <v>26627297</v>
      </c>
      <c r="G8" s="2">
        <v>68315</v>
      </c>
      <c r="H8" s="5">
        <v>1906331</v>
      </c>
      <c r="I8" s="2">
        <v>30825</v>
      </c>
      <c r="J8" s="5">
        <v>680750</v>
      </c>
      <c r="L8" s="14">
        <v>663570</v>
      </c>
      <c r="M8" s="10">
        <v>11166555</v>
      </c>
      <c r="N8" s="2">
        <v>0</v>
      </c>
      <c r="O8" s="10">
        <v>0</v>
      </c>
      <c r="P8" s="15"/>
      <c r="Q8" s="2">
        <v>13219</v>
      </c>
      <c r="R8" s="5">
        <v>407421</v>
      </c>
      <c r="S8" s="2">
        <v>480642</v>
      </c>
      <c r="T8" s="5">
        <v>10239798</v>
      </c>
      <c r="U8" s="15"/>
      <c r="V8" s="2">
        <v>993705</v>
      </c>
      <c r="W8" s="5">
        <v>24067538</v>
      </c>
      <c r="X8" s="2" t="s">
        <v>136</v>
      </c>
      <c r="Y8" s="5" t="s">
        <v>137</v>
      </c>
      <c r="Z8" s="5"/>
      <c r="AA8" s="7"/>
    </row>
    <row r="9" spans="1:27">
      <c r="A9" s="8">
        <v>40613</v>
      </c>
      <c r="B9" s="2">
        <v>0</v>
      </c>
      <c r="C9" s="5">
        <v>0</v>
      </c>
      <c r="D9" s="2">
        <v>1101357</v>
      </c>
      <c r="E9" s="5">
        <v>26649946</v>
      </c>
      <c r="G9" s="2">
        <v>49987</v>
      </c>
      <c r="H9" s="5">
        <v>1478765</v>
      </c>
      <c r="I9" s="2">
        <v>98657</v>
      </c>
      <c r="J9" s="5">
        <v>2588103</v>
      </c>
      <c r="L9" s="14">
        <v>475839</v>
      </c>
      <c r="M9" s="10">
        <v>8791124</v>
      </c>
      <c r="N9" s="2">
        <v>17180</v>
      </c>
      <c r="O9" s="10">
        <v>482564</v>
      </c>
      <c r="P9" s="15"/>
      <c r="Q9" s="2">
        <v>183750</v>
      </c>
      <c r="R9" s="5">
        <v>5523157</v>
      </c>
      <c r="S9" s="2">
        <v>191401</v>
      </c>
      <c r="T9" s="5">
        <v>4351581</v>
      </c>
      <c r="U9" s="15"/>
      <c r="V9" s="2">
        <v>699079</v>
      </c>
      <c r="W9" s="5">
        <v>18280916</v>
      </c>
      <c r="X9" s="2">
        <v>60</v>
      </c>
      <c r="Y9" s="5">
        <v>1768</v>
      </c>
      <c r="Z9" s="5"/>
      <c r="AA9" s="7"/>
    </row>
    <row r="10" spans="1:27">
      <c r="A10" s="8">
        <v>40644</v>
      </c>
      <c r="B10" s="2">
        <v>1548</v>
      </c>
      <c r="C10" s="5">
        <v>41295</v>
      </c>
      <c r="D10" s="2">
        <v>611733</v>
      </c>
      <c r="E10" s="5">
        <v>13651797</v>
      </c>
      <c r="G10" s="2">
        <v>46470</v>
      </c>
      <c r="H10" s="5">
        <v>1448934</v>
      </c>
      <c r="I10" s="2">
        <v>110737</v>
      </c>
      <c r="J10" s="5">
        <v>2548352</v>
      </c>
      <c r="L10" s="14">
        <v>513389</v>
      </c>
      <c r="M10" s="10">
        <v>8934507</v>
      </c>
      <c r="N10" s="2">
        <v>33655</v>
      </c>
      <c r="O10" s="10">
        <v>865972</v>
      </c>
      <c r="P10" s="15"/>
      <c r="Q10" s="2">
        <v>6908</v>
      </c>
      <c r="R10" s="5">
        <v>214637</v>
      </c>
      <c r="S10" s="2">
        <v>444952</v>
      </c>
      <c r="T10" s="5">
        <v>9645835</v>
      </c>
      <c r="U10" s="15"/>
      <c r="V10" s="2">
        <v>633378</v>
      </c>
      <c r="W10" s="5">
        <v>16083367</v>
      </c>
      <c r="X10" s="2">
        <v>616</v>
      </c>
      <c r="Y10" s="5">
        <v>10784</v>
      </c>
      <c r="Z10" s="5"/>
      <c r="AA10" s="7"/>
    </row>
    <row r="11" spans="1:27">
      <c r="A11" s="8">
        <v>40674</v>
      </c>
      <c r="B11" s="2">
        <v>11148</v>
      </c>
      <c r="C11" s="5">
        <v>322711</v>
      </c>
      <c r="D11" s="2">
        <v>413683</v>
      </c>
      <c r="E11" s="5">
        <v>9288311</v>
      </c>
      <c r="G11" s="2">
        <v>154034</v>
      </c>
      <c r="H11" s="5">
        <v>4562641</v>
      </c>
      <c r="I11" s="2">
        <v>71277</v>
      </c>
      <c r="J11" s="5">
        <v>1609658</v>
      </c>
      <c r="L11" s="14">
        <v>598305</v>
      </c>
      <c r="M11" s="10">
        <v>10309394</v>
      </c>
      <c r="N11" s="2">
        <v>0</v>
      </c>
      <c r="O11" s="10">
        <v>0</v>
      </c>
      <c r="P11" s="15"/>
      <c r="Q11" s="2">
        <v>39727</v>
      </c>
      <c r="R11" s="5">
        <v>1307852</v>
      </c>
      <c r="S11" s="2">
        <v>352186</v>
      </c>
      <c r="T11" s="5">
        <v>7575073</v>
      </c>
      <c r="U11" s="15"/>
      <c r="V11" s="2">
        <v>179023</v>
      </c>
      <c r="W11" s="5">
        <v>5228546</v>
      </c>
      <c r="X11" s="2">
        <v>145091</v>
      </c>
      <c r="Y11" s="5">
        <v>3258102</v>
      </c>
      <c r="Z11" s="5"/>
      <c r="AA11" s="7"/>
    </row>
    <row r="12" spans="1:27">
      <c r="A12" s="8">
        <v>40705</v>
      </c>
      <c r="B12" s="2">
        <v>1239</v>
      </c>
      <c r="C12" s="5">
        <v>32654</v>
      </c>
      <c r="D12" s="2">
        <v>1221069</v>
      </c>
      <c r="E12" s="5">
        <v>28290140</v>
      </c>
      <c r="G12" s="2">
        <v>105332</v>
      </c>
      <c r="H12" s="5">
        <v>3017236</v>
      </c>
      <c r="I12" s="2">
        <v>6230</v>
      </c>
      <c r="J12" s="5">
        <v>162323</v>
      </c>
      <c r="L12" s="14">
        <v>753787</v>
      </c>
      <c r="M12" s="10">
        <v>14220193</v>
      </c>
      <c r="N12" s="2">
        <v>0</v>
      </c>
      <c r="O12" s="10">
        <v>0</v>
      </c>
      <c r="P12" s="15"/>
      <c r="Q12" s="2">
        <v>46044</v>
      </c>
      <c r="R12" s="5">
        <v>1564619</v>
      </c>
      <c r="S12" s="2">
        <v>531049</v>
      </c>
      <c r="T12" s="5">
        <v>12133749</v>
      </c>
      <c r="U12" s="15"/>
      <c r="V12" s="2">
        <v>926565</v>
      </c>
      <c r="W12" s="5">
        <v>23725627</v>
      </c>
      <c r="X12" s="2">
        <v>74619</v>
      </c>
      <c r="Y12" s="5">
        <v>1974117</v>
      </c>
      <c r="Z12" s="5"/>
      <c r="AA12" s="7"/>
    </row>
    <row r="13" spans="1:27">
      <c r="A13" s="8">
        <v>40735</v>
      </c>
      <c r="B13" s="2">
        <v>0</v>
      </c>
      <c r="C13" s="5">
        <v>0</v>
      </c>
      <c r="D13" s="2">
        <v>1237511</v>
      </c>
      <c r="E13" s="5">
        <v>29522176</v>
      </c>
      <c r="G13" s="2">
        <v>78141</v>
      </c>
      <c r="H13" s="5">
        <v>2324755</v>
      </c>
      <c r="I13" s="2">
        <v>8231</v>
      </c>
      <c r="J13" s="5">
        <v>201402</v>
      </c>
      <c r="L13" s="14">
        <v>624677</v>
      </c>
      <c r="M13" s="10">
        <v>12181354</v>
      </c>
      <c r="N13" s="2">
        <v>5687</v>
      </c>
      <c r="O13" s="10">
        <v>148387</v>
      </c>
      <c r="P13" s="15"/>
      <c r="Q13" s="2">
        <v>17487</v>
      </c>
      <c r="R13" s="5">
        <v>561685</v>
      </c>
      <c r="S13" s="2">
        <v>490755</v>
      </c>
      <c r="T13" s="5">
        <v>11499459</v>
      </c>
      <c r="U13" s="15"/>
      <c r="V13" s="2">
        <v>1021985</v>
      </c>
      <c r="W13" s="5">
        <v>26305890</v>
      </c>
      <c r="X13" s="2">
        <v>106</v>
      </c>
      <c r="Y13" s="5">
        <v>2261</v>
      </c>
      <c r="Z13" s="5"/>
      <c r="AA13" s="7"/>
    </row>
    <row r="14" spans="1:27">
      <c r="A14" s="8">
        <v>40766</v>
      </c>
      <c r="B14" s="2">
        <v>0</v>
      </c>
      <c r="C14" s="5">
        <v>0</v>
      </c>
      <c r="D14" s="2">
        <v>1458755</v>
      </c>
      <c r="E14" s="5">
        <v>33371204</v>
      </c>
      <c r="G14" s="2">
        <v>73581</v>
      </c>
      <c r="H14" s="5">
        <v>2027010</v>
      </c>
      <c r="I14" s="2">
        <v>36451</v>
      </c>
      <c r="J14" s="5">
        <v>834925</v>
      </c>
      <c r="L14" s="14">
        <v>1023015</v>
      </c>
      <c r="M14" s="10">
        <v>20080556</v>
      </c>
      <c r="N14" s="2">
        <v>0</v>
      </c>
      <c r="O14" s="10">
        <v>0</v>
      </c>
      <c r="P14" s="15"/>
      <c r="Q14" s="2">
        <v>13863</v>
      </c>
      <c r="R14" s="5">
        <v>447741</v>
      </c>
      <c r="S14" s="2">
        <v>457074</v>
      </c>
      <c r="T14" s="5">
        <v>10364376</v>
      </c>
      <c r="U14" s="15"/>
      <c r="V14" s="2">
        <v>842943</v>
      </c>
      <c r="W14" s="5">
        <v>22039128</v>
      </c>
      <c r="X14" s="2">
        <v>1123</v>
      </c>
      <c r="Y14" s="5">
        <v>23931</v>
      </c>
      <c r="Z14" s="5"/>
      <c r="AA14" s="7"/>
    </row>
    <row r="15" spans="1:27">
      <c r="A15" s="8">
        <v>40797</v>
      </c>
      <c r="B15" s="2">
        <v>0</v>
      </c>
      <c r="C15" s="5">
        <v>0</v>
      </c>
      <c r="D15" s="2">
        <v>1078980</v>
      </c>
      <c r="E15" s="5">
        <v>25675128</v>
      </c>
      <c r="G15" s="2">
        <v>78738</v>
      </c>
      <c r="H15" s="5">
        <v>2362695</v>
      </c>
      <c r="I15" s="2">
        <v>82640</v>
      </c>
      <c r="J15" s="5">
        <v>1991699</v>
      </c>
      <c r="L15" s="14">
        <v>579467</v>
      </c>
      <c r="M15" s="10">
        <v>11286928</v>
      </c>
      <c r="N15" s="2">
        <v>49175</v>
      </c>
      <c r="O15" s="10">
        <v>1311672</v>
      </c>
      <c r="P15" s="15"/>
      <c r="Q15" s="2">
        <v>28476</v>
      </c>
      <c r="R15" s="5">
        <v>893736</v>
      </c>
      <c r="S15" s="2">
        <v>394211</v>
      </c>
      <c r="T15" s="5">
        <v>9257517</v>
      </c>
      <c r="U15" s="15"/>
      <c r="V15" s="2">
        <v>918738</v>
      </c>
      <c r="W15" s="5">
        <v>23703636</v>
      </c>
      <c r="X15" s="2">
        <v>412</v>
      </c>
      <c r="Y15" s="5">
        <v>10979</v>
      </c>
      <c r="Z15" s="5"/>
      <c r="AA15" s="7"/>
    </row>
    <row r="16" spans="1:27">
      <c r="A16" s="8">
        <v>40827</v>
      </c>
      <c r="B16" s="2">
        <v>0</v>
      </c>
      <c r="C16" s="5">
        <v>0</v>
      </c>
      <c r="D16" s="2">
        <v>1280381</v>
      </c>
      <c r="E16" s="5">
        <v>32829163</v>
      </c>
      <c r="G16" s="2">
        <v>161839</v>
      </c>
      <c r="H16" s="5">
        <v>4764509</v>
      </c>
      <c r="I16" s="2">
        <v>63902</v>
      </c>
      <c r="J16" s="5">
        <v>1701681</v>
      </c>
      <c r="L16" s="14">
        <v>731877</v>
      </c>
      <c r="M16" s="10">
        <v>15894521</v>
      </c>
      <c r="N16" s="2">
        <v>10163</v>
      </c>
      <c r="O16" s="10">
        <v>307332</v>
      </c>
      <c r="P16" s="15"/>
      <c r="Q16" s="2">
        <v>234600</v>
      </c>
      <c r="R16" s="5">
        <v>7566564</v>
      </c>
      <c r="S16" s="2">
        <v>78102</v>
      </c>
      <c r="T16" s="5">
        <v>1856423</v>
      </c>
      <c r="U16" s="15"/>
      <c r="V16" s="2">
        <v>426106</v>
      </c>
      <c r="W16" s="5">
        <v>11296495</v>
      </c>
      <c r="X16" s="2">
        <v>121873</v>
      </c>
      <c r="Y16" s="5">
        <v>2827492</v>
      </c>
      <c r="Z16" s="5"/>
      <c r="AA16" s="7"/>
    </row>
    <row r="17" spans="1:28">
      <c r="A17" s="8">
        <v>40858</v>
      </c>
      <c r="B17" s="2">
        <v>7686</v>
      </c>
      <c r="C17" s="5">
        <v>224257</v>
      </c>
      <c r="D17" s="2">
        <v>693257</v>
      </c>
      <c r="E17" s="5">
        <v>13996558</v>
      </c>
      <c r="G17" s="2">
        <v>65058</v>
      </c>
      <c r="H17" s="5">
        <v>1835218</v>
      </c>
      <c r="I17" s="2">
        <v>102681</v>
      </c>
      <c r="J17" s="5">
        <v>2061846</v>
      </c>
      <c r="L17" s="14">
        <v>1369098</v>
      </c>
      <c r="M17" s="10">
        <v>26175830</v>
      </c>
      <c r="N17" s="2">
        <v>0</v>
      </c>
      <c r="O17" s="10">
        <v>0</v>
      </c>
      <c r="P17" s="15"/>
      <c r="Q17" s="2">
        <v>43924</v>
      </c>
      <c r="R17" s="5">
        <v>1505207</v>
      </c>
      <c r="S17" s="2">
        <v>201875</v>
      </c>
      <c r="T17" s="5">
        <v>3985115</v>
      </c>
      <c r="U17" s="15"/>
      <c r="V17" s="2">
        <v>17049</v>
      </c>
      <c r="W17" s="5">
        <v>523851</v>
      </c>
      <c r="X17" s="2">
        <v>505002</v>
      </c>
      <c r="Y17" s="5">
        <v>10220843</v>
      </c>
      <c r="Z17" s="5"/>
      <c r="AA17" s="7"/>
      <c r="AB17" s="7"/>
    </row>
    <row r="18" spans="1:28">
      <c r="A18" s="8">
        <v>40888</v>
      </c>
      <c r="B18" s="2">
        <v>0</v>
      </c>
      <c r="C18" s="5">
        <v>0</v>
      </c>
      <c r="D18" s="2">
        <v>1323949</v>
      </c>
      <c r="E18" s="5">
        <v>29293498</v>
      </c>
      <c r="G18" s="2">
        <v>96750</v>
      </c>
      <c r="H18" s="5">
        <v>2684606</v>
      </c>
      <c r="I18" s="2">
        <v>29085</v>
      </c>
      <c r="J18" s="5">
        <v>637023</v>
      </c>
      <c r="L18" s="14">
        <v>1263613</v>
      </c>
      <c r="M18" s="10">
        <v>25463686</v>
      </c>
      <c r="N18" s="2">
        <v>0</v>
      </c>
      <c r="O18" s="10">
        <v>0</v>
      </c>
      <c r="Q18" s="2">
        <v>131636</v>
      </c>
      <c r="R18" s="5">
        <v>4072993</v>
      </c>
      <c r="S18" s="2">
        <v>88613</v>
      </c>
      <c r="T18" s="5">
        <v>1912056</v>
      </c>
      <c r="V18" s="2">
        <v>152106</v>
      </c>
      <c r="W18" s="5">
        <v>4158598</v>
      </c>
      <c r="X18" s="2">
        <v>202459</v>
      </c>
      <c r="Y18" s="5">
        <v>4537307</v>
      </c>
      <c r="Z18" s="5"/>
      <c r="AA18" s="7"/>
      <c r="AB18" s="7"/>
    </row>
    <row r="19" spans="1:28">
      <c r="A19" s="8"/>
      <c r="B19" s="2"/>
      <c r="C19" s="5"/>
      <c r="D19" s="2"/>
      <c r="E19" s="5"/>
      <c r="G19" s="2"/>
      <c r="H19" s="5"/>
      <c r="I19" s="2"/>
      <c r="J19" s="5"/>
      <c r="L19" s="14"/>
      <c r="M19" s="10"/>
      <c r="N19" s="2"/>
      <c r="O19" s="10"/>
      <c r="Q19" s="2"/>
      <c r="R19" s="5"/>
      <c r="S19" s="2"/>
      <c r="T19" s="5"/>
      <c r="V19" s="2"/>
      <c r="W19" s="5"/>
      <c r="X19" s="2"/>
      <c r="Y19" s="5"/>
      <c r="Z19" s="5"/>
      <c r="AA19" s="7"/>
      <c r="AB19" s="7"/>
    </row>
    <row r="21" spans="1:28">
      <c r="A21" s="17">
        <v>2011</v>
      </c>
      <c r="B21" s="3">
        <f>SUM(B7:B18)</f>
        <v>21621</v>
      </c>
      <c r="C21" s="3">
        <f>SUM(C7:C18)</f>
        <v>620917</v>
      </c>
      <c r="D21" s="3">
        <f t="shared" ref="D21:Y21" si="0">SUM(D7:D18)</f>
        <v>13710292</v>
      </c>
      <c r="E21" s="3">
        <f>SUM(E7:E18)</f>
        <v>312667584</v>
      </c>
      <c r="F21" s="3"/>
      <c r="G21" s="3">
        <f t="shared" si="0"/>
        <v>1069443</v>
      </c>
      <c r="H21" s="3">
        <f t="shared" si="0"/>
        <v>30830359</v>
      </c>
      <c r="I21" s="3">
        <f t="shared" si="0"/>
        <v>652673</v>
      </c>
      <c r="J21" s="3">
        <f t="shared" si="0"/>
        <v>15290188</v>
      </c>
      <c r="K21" s="3">
        <f t="shared" si="0"/>
        <v>0</v>
      </c>
      <c r="L21" s="3">
        <f t="shared" si="0"/>
        <v>9877740</v>
      </c>
      <c r="M21" s="3">
        <f t="shared" si="0"/>
        <v>186923951</v>
      </c>
      <c r="N21" s="3">
        <f t="shared" si="0"/>
        <v>118363</v>
      </c>
      <c r="O21" s="3">
        <f t="shared" si="0"/>
        <v>3183869</v>
      </c>
      <c r="P21" s="3"/>
      <c r="Q21" s="3">
        <f t="shared" si="0"/>
        <v>808383</v>
      </c>
      <c r="R21" s="3">
        <f t="shared" si="0"/>
        <v>25723710</v>
      </c>
      <c r="S21" s="3">
        <f t="shared" si="0"/>
        <v>4104751</v>
      </c>
      <c r="T21" s="3">
        <f t="shared" si="0"/>
        <v>90658971</v>
      </c>
      <c r="U21" s="3"/>
      <c r="V21" s="3">
        <f t="shared" si="0"/>
        <v>7850253</v>
      </c>
      <c r="W21" s="3">
        <f>SUM(W7:W18)</f>
        <v>200569255</v>
      </c>
      <c r="X21" s="3">
        <f t="shared" si="0"/>
        <v>1051361</v>
      </c>
      <c r="Y21" s="3">
        <f t="shared" si="0"/>
        <v>22867584</v>
      </c>
      <c r="Z21" s="3"/>
    </row>
    <row r="22" spans="1:28">
      <c r="L22" s="4"/>
      <c r="M22" s="4"/>
      <c r="N22" s="4"/>
    </row>
    <row r="25" spans="1:28">
      <c r="A25" t="s">
        <v>51</v>
      </c>
    </row>
  </sheetData>
  <mergeCells count="5">
    <mergeCell ref="Q4:T4"/>
    <mergeCell ref="V4:Y4"/>
    <mergeCell ref="B4:E4"/>
    <mergeCell ref="G4:J4"/>
    <mergeCell ref="L4:O4"/>
  </mergeCells>
  <phoneticPr fontId="70" type="noConversion"/>
  <pageMargins left="0.7" right="0.7" top="0.75" bottom="0.75" header="0.3" footer="0.3"/>
  <pageSetup scale="69" orientation="landscape" r:id="rId1"/>
  <headerFooter>
    <oddFooter>&amp;L&amp;F&amp;A &amp;D&amp;T</oddFooter>
  </headerFooter>
</worksheet>
</file>

<file path=xl/worksheets/sheet4.xml><?xml version="1.0" encoding="utf-8"?>
<worksheet xmlns="http://schemas.openxmlformats.org/spreadsheetml/2006/main" xmlns:r="http://schemas.openxmlformats.org/officeDocument/2006/relationships">
  <sheetPr>
    <tabColor rgb="FF92D050"/>
    <pageSetUpPr fitToPage="1"/>
  </sheetPr>
  <dimension ref="A1:L30"/>
  <sheetViews>
    <sheetView zoomScale="75" workbookViewId="0">
      <selection activeCell="F20" sqref="F20"/>
    </sheetView>
  </sheetViews>
  <sheetFormatPr defaultRowHeight="15"/>
  <cols>
    <col min="1" max="1" width="10.28515625" customWidth="1"/>
    <col min="2" max="2" width="16" bestFit="1" customWidth="1"/>
    <col min="3" max="3" width="15" bestFit="1" customWidth="1"/>
    <col min="4" max="4" width="14.28515625" bestFit="1" customWidth="1"/>
    <col min="5" max="5" width="15" bestFit="1" customWidth="1"/>
    <col min="6" max="6" width="15.28515625" bestFit="1" customWidth="1"/>
    <col min="7" max="7" width="5.140625" customWidth="1"/>
    <col min="8" max="8" width="15" bestFit="1" customWidth="1"/>
    <col min="9" max="9" width="13.42578125" bestFit="1" customWidth="1"/>
    <col min="10" max="10" width="12.5703125" bestFit="1" customWidth="1"/>
    <col min="11" max="11" width="13.42578125" bestFit="1" customWidth="1"/>
    <col min="12" max="12" width="14.28515625" bestFit="1" customWidth="1"/>
    <col min="13" max="16384" width="9.140625" style="130"/>
  </cols>
  <sheetData>
    <row r="1" spans="1:12" ht="18.75">
      <c r="A1" s="136" t="s">
        <v>176</v>
      </c>
      <c r="B1" s="1"/>
      <c r="C1" s="1"/>
      <c r="D1" s="1"/>
      <c r="E1" s="1"/>
      <c r="F1" s="1"/>
    </row>
    <row r="2" spans="1:12">
      <c r="A2" s="16"/>
      <c r="B2" s="1"/>
      <c r="C2" s="1"/>
      <c r="D2" s="1"/>
      <c r="E2" s="1"/>
      <c r="F2" s="1"/>
    </row>
    <row r="3" spans="1:12">
      <c r="B3" t="s">
        <v>15</v>
      </c>
      <c r="H3" t="s">
        <v>16</v>
      </c>
    </row>
    <row r="4" spans="1:12">
      <c r="B4" t="s">
        <v>6</v>
      </c>
      <c r="C4" t="s">
        <v>13</v>
      </c>
      <c r="D4" t="s">
        <v>11</v>
      </c>
      <c r="E4" t="s">
        <v>9</v>
      </c>
      <c r="F4" t="s">
        <v>14</v>
      </c>
      <c r="H4" t="s">
        <v>6</v>
      </c>
      <c r="I4" t="s">
        <v>13</v>
      </c>
      <c r="J4" t="s">
        <v>11</v>
      </c>
      <c r="K4" t="s">
        <v>9</v>
      </c>
      <c r="L4" t="s">
        <v>14</v>
      </c>
    </row>
    <row r="5" spans="1:12">
      <c r="B5" s="1" t="s">
        <v>5</v>
      </c>
      <c r="C5" s="1" t="s">
        <v>5</v>
      </c>
      <c r="D5" s="1" t="s">
        <v>5</v>
      </c>
      <c r="E5" s="1" t="s">
        <v>5</v>
      </c>
      <c r="F5" s="1" t="s">
        <v>5</v>
      </c>
      <c r="H5" s="1" t="s">
        <v>17</v>
      </c>
      <c r="I5" s="1" t="s">
        <v>17</v>
      </c>
      <c r="J5" s="1" t="s">
        <v>17</v>
      </c>
      <c r="K5" s="1" t="s">
        <v>17</v>
      </c>
      <c r="L5" s="1" t="s">
        <v>17</v>
      </c>
    </row>
    <row r="6" spans="1:12">
      <c r="A6" s="8">
        <v>40919</v>
      </c>
      <c r="B6" s="5">
        <v>-31695670</v>
      </c>
      <c r="C6" s="5">
        <v>-1720933</v>
      </c>
      <c r="D6" s="5">
        <v>5003488</v>
      </c>
      <c r="E6" s="5">
        <v>-4785665</v>
      </c>
      <c r="F6" s="5">
        <v>33198780</v>
      </c>
      <c r="H6" s="2">
        <v>-2328000</v>
      </c>
      <c r="I6" s="2">
        <v>-126400</v>
      </c>
      <c r="J6" s="2">
        <v>319100</v>
      </c>
      <c r="K6" s="2">
        <v>-351500</v>
      </c>
      <c r="L6" s="2">
        <v>2486800</v>
      </c>
    </row>
    <row r="7" spans="1:12">
      <c r="A7" s="8">
        <v>40950</v>
      </c>
      <c r="B7" s="5">
        <v>-31236003</v>
      </c>
      <c r="C7" s="5">
        <v>-1695975</v>
      </c>
      <c r="D7" s="5">
        <v>5096027</v>
      </c>
      <c r="E7" s="5">
        <v>-4716261</v>
      </c>
      <c r="F7" s="5">
        <v>32552212</v>
      </c>
      <c r="H7" s="2">
        <v>-2328000</v>
      </c>
      <c r="I7" s="2">
        <v>-126400</v>
      </c>
      <c r="J7" s="2">
        <v>319100</v>
      </c>
      <c r="K7" s="2">
        <v>-351500</v>
      </c>
      <c r="L7" s="2">
        <v>2486800</v>
      </c>
    </row>
    <row r="8" spans="1:12">
      <c r="A8" s="8">
        <v>40979</v>
      </c>
      <c r="B8" s="5">
        <v>-32365862</v>
      </c>
      <c r="C8" s="5">
        <v>-1757322</v>
      </c>
      <c r="D8" s="5">
        <v>4866275</v>
      </c>
      <c r="E8" s="5">
        <v>-4886856</v>
      </c>
      <c r="F8" s="5">
        <v>34143764</v>
      </c>
      <c r="H8" s="2">
        <v>-2328000</v>
      </c>
      <c r="I8" s="2">
        <v>-126400</v>
      </c>
      <c r="J8" s="2">
        <v>319100</v>
      </c>
      <c r="K8" s="2">
        <v>-351500</v>
      </c>
      <c r="L8" s="2">
        <v>2486800</v>
      </c>
    </row>
    <row r="9" spans="1:12">
      <c r="A9" s="8">
        <v>41010</v>
      </c>
      <c r="B9" s="5">
        <v>-31108008</v>
      </c>
      <c r="C9" s="5">
        <v>-1983281</v>
      </c>
      <c r="D9" s="5">
        <v>4506000</v>
      </c>
      <c r="E9" s="5">
        <v>-4914969</v>
      </c>
      <c r="F9" s="5">
        <v>33500259</v>
      </c>
      <c r="H9" s="2">
        <v>-2266500</v>
      </c>
      <c r="I9" s="2">
        <v>-144500</v>
      </c>
      <c r="J9" s="2">
        <v>300400</v>
      </c>
      <c r="K9" s="2">
        <v>-358100</v>
      </c>
      <c r="L9" s="2">
        <v>2468700</v>
      </c>
    </row>
    <row r="10" spans="1:12">
      <c r="A10" s="8">
        <v>41040</v>
      </c>
      <c r="B10" s="5">
        <v>-30662085</v>
      </c>
      <c r="C10" s="5">
        <v>-1954852</v>
      </c>
      <c r="D10" s="5">
        <v>4454932</v>
      </c>
      <c r="E10" s="5">
        <v>-4844515</v>
      </c>
      <c r="F10" s="5">
        <v>33006519</v>
      </c>
      <c r="H10" s="2">
        <v>-2266500</v>
      </c>
      <c r="I10" s="2">
        <v>-144500</v>
      </c>
      <c r="J10" s="2">
        <v>300400</v>
      </c>
      <c r="K10" s="2">
        <v>-358100</v>
      </c>
      <c r="L10" s="2">
        <v>2468700</v>
      </c>
    </row>
    <row r="11" spans="1:12">
      <c r="A11" s="8">
        <v>41071</v>
      </c>
      <c r="B11" s="5">
        <v>-30296043</v>
      </c>
      <c r="C11" s="5">
        <v>-1931515</v>
      </c>
      <c r="D11" s="5">
        <v>4106468</v>
      </c>
      <c r="E11" s="5">
        <v>-4786681</v>
      </c>
      <c r="F11" s="5">
        <v>32907771</v>
      </c>
      <c r="H11" s="2">
        <v>-2266500</v>
      </c>
      <c r="I11" s="2">
        <v>-144500</v>
      </c>
      <c r="J11" s="2">
        <v>300400</v>
      </c>
      <c r="K11" s="2">
        <v>-358100</v>
      </c>
      <c r="L11" s="2">
        <v>2468700</v>
      </c>
    </row>
    <row r="12" spans="1:12">
      <c r="A12" s="8">
        <v>41101</v>
      </c>
      <c r="B12" s="5">
        <v>-30448394</v>
      </c>
      <c r="C12" s="5">
        <v>-1941228</v>
      </c>
      <c r="D12" s="5">
        <v>4070420</v>
      </c>
      <c r="E12" s="5">
        <v>-4810752</v>
      </c>
      <c r="F12" s="5">
        <v>33129955</v>
      </c>
      <c r="H12" s="2">
        <v>-2266500</v>
      </c>
      <c r="I12" s="2">
        <v>-144500</v>
      </c>
      <c r="J12" s="2">
        <v>300400</v>
      </c>
      <c r="K12" s="2">
        <v>-358100</v>
      </c>
      <c r="L12" s="2">
        <v>2468700</v>
      </c>
    </row>
    <row r="13" spans="1:12">
      <c r="A13" s="8">
        <v>41132</v>
      </c>
      <c r="B13" s="5">
        <v>-26070502</v>
      </c>
      <c r="C13" s="5">
        <v>-3770803</v>
      </c>
      <c r="D13" s="5">
        <v>1607364</v>
      </c>
      <c r="E13" s="5">
        <v>-3861944</v>
      </c>
      <c r="F13" s="5">
        <v>32095885</v>
      </c>
      <c r="H13" s="2">
        <v>-1916500</v>
      </c>
      <c r="I13" s="2">
        <v>-277200</v>
      </c>
      <c r="J13" s="2">
        <v>108900</v>
      </c>
      <c r="K13" s="2">
        <v>-283900</v>
      </c>
      <c r="L13" s="2">
        <v>2368700</v>
      </c>
    </row>
    <row r="14" spans="1:12">
      <c r="A14" s="8">
        <v>41163</v>
      </c>
      <c r="B14" s="5">
        <v>-43264084</v>
      </c>
      <c r="C14" s="5">
        <v>-4687773</v>
      </c>
      <c r="D14" s="5">
        <v>3107429</v>
      </c>
      <c r="E14" s="5">
        <v>-6196900</v>
      </c>
      <c r="F14" s="5">
        <v>51041328</v>
      </c>
      <c r="H14" s="2">
        <v>-1780300</v>
      </c>
      <c r="I14" s="2">
        <v>-192900</v>
      </c>
      <c r="J14" s="2">
        <v>196300</v>
      </c>
      <c r="K14" s="2">
        <v>-255000</v>
      </c>
      <c r="L14" s="2">
        <v>2031900</v>
      </c>
    </row>
    <row r="15" spans="1:12">
      <c r="A15" s="8">
        <v>41193</v>
      </c>
      <c r="B15" s="5">
        <v>-24953117</v>
      </c>
      <c r="C15" s="5">
        <v>-2703733</v>
      </c>
      <c r="D15" s="5">
        <v>3048539</v>
      </c>
      <c r="E15" s="5">
        <v>-3574142</v>
      </c>
      <c r="F15" s="5">
        <v>28182453</v>
      </c>
      <c r="H15" s="2">
        <v>-1780300</v>
      </c>
      <c r="I15" s="2">
        <v>-192900</v>
      </c>
      <c r="J15" s="2">
        <v>196300</v>
      </c>
      <c r="K15" s="2">
        <v>-255000</v>
      </c>
      <c r="L15" s="2">
        <v>2031900</v>
      </c>
    </row>
    <row r="16" spans="1:12">
      <c r="A16" s="8">
        <v>41224</v>
      </c>
      <c r="B16" s="5">
        <v>-25687112</v>
      </c>
      <c r="C16" s="5">
        <v>-2783263</v>
      </c>
      <c r="D16" s="5">
        <v>3215394</v>
      </c>
      <c r="E16" s="5">
        <v>-3679275</v>
      </c>
      <c r="F16" s="5">
        <v>28934256</v>
      </c>
      <c r="H16" s="2">
        <v>-1780300</v>
      </c>
      <c r="I16" s="2">
        <v>-192900</v>
      </c>
      <c r="J16" s="2">
        <v>196300</v>
      </c>
      <c r="K16" s="2">
        <v>-255000</v>
      </c>
      <c r="L16" s="2">
        <v>2031900</v>
      </c>
    </row>
    <row r="17" spans="1:12">
      <c r="A17" s="152">
        <v>41254</v>
      </c>
      <c r="B17" s="153">
        <v>-24189676</v>
      </c>
      <c r="C17" s="153">
        <v>-2621012</v>
      </c>
      <c r="D17" s="153">
        <v>3352804</v>
      </c>
      <c r="E17" s="153">
        <v>-3464791</v>
      </c>
      <c r="F17" s="153">
        <v>26922675</v>
      </c>
      <c r="G17" s="130"/>
      <c r="H17" s="154">
        <v>-1780300</v>
      </c>
      <c r="I17" s="154">
        <v>-192900</v>
      </c>
      <c r="J17" s="154">
        <v>196300</v>
      </c>
      <c r="K17" s="154">
        <v>-255000</v>
      </c>
      <c r="L17" s="154">
        <v>2031900</v>
      </c>
    </row>
    <row r="18" spans="1:12">
      <c r="A18" s="8"/>
      <c r="B18" s="5"/>
      <c r="C18" s="5"/>
      <c r="D18" s="5"/>
      <c r="E18" s="5"/>
      <c r="F18" s="5"/>
      <c r="H18" s="2"/>
      <c r="I18" s="2"/>
      <c r="J18" s="2"/>
      <c r="K18" s="2"/>
      <c r="L18" s="2"/>
    </row>
    <row r="20" spans="1:12">
      <c r="A20" s="17" t="s">
        <v>138</v>
      </c>
      <c r="B20" s="3">
        <f>SUM(B6:B17)</f>
        <v>-361976556</v>
      </c>
      <c r="C20" s="3">
        <f t="shared" ref="C20:L20" si="0">SUM(C6:C17)</f>
        <v>-29551690</v>
      </c>
      <c r="D20" s="3">
        <f t="shared" si="0"/>
        <v>46435140</v>
      </c>
      <c r="E20" s="3">
        <f t="shared" si="0"/>
        <v>-54522751</v>
      </c>
      <c r="F20" s="3">
        <f t="shared" si="0"/>
        <v>399615857</v>
      </c>
      <c r="G20" s="3">
        <f t="shared" si="0"/>
        <v>0</v>
      </c>
      <c r="H20" s="3">
        <f t="shared" si="0"/>
        <v>-25087700</v>
      </c>
      <c r="I20" s="3">
        <f t="shared" si="0"/>
        <v>-2006000</v>
      </c>
      <c r="J20" s="3">
        <f t="shared" si="0"/>
        <v>3053000</v>
      </c>
      <c r="K20" s="3">
        <f t="shared" si="0"/>
        <v>-3790800</v>
      </c>
      <c r="L20" s="3">
        <f t="shared" si="0"/>
        <v>27831500</v>
      </c>
    </row>
    <row r="22" spans="1:12">
      <c r="I22" s="4"/>
      <c r="J22" s="4"/>
      <c r="K22" s="4"/>
      <c r="L22" s="4"/>
    </row>
    <row r="23" spans="1:12">
      <c r="I23" s="4"/>
      <c r="J23" s="4"/>
      <c r="K23" s="4"/>
      <c r="L23" s="4"/>
    </row>
    <row r="24" spans="1:12">
      <c r="A24" t="s">
        <v>52</v>
      </c>
      <c r="I24" s="4"/>
      <c r="J24" s="4"/>
      <c r="K24" s="4"/>
      <c r="L24" s="4"/>
    </row>
    <row r="25" spans="1:12">
      <c r="I25" s="4"/>
      <c r="J25" s="4"/>
      <c r="K25" s="4"/>
      <c r="L25" s="4"/>
    </row>
    <row r="26" spans="1:12">
      <c r="C26" s="4"/>
      <c r="I26" s="4"/>
      <c r="J26" s="4"/>
      <c r="K26" s="4"/>
      <c r="L26" s="4"/>
    </row>
    <row r="27" spans="1:12">
      <c r="C27" s="4"/>
    </row>
    <row r="28" spans="1:12">
      <c r="C28" s="4"/>
    </row>
    <row r="29" spans="1:12">
      <c r="C29" s="4"/>
    </row>
    <row r="30" spans="1:12">
      <c r="C30" s="4"/>
    </row>
  </sheetData>
  <phoneticPr fontId="70" type="noConversion"/>
  <pageMargins left="0.7" right="0.7" top="0.75" bottom="0.75" header="0.3" footer="0.3"/>
  <pageSetup scale="77" orientation="landscape" r:id="rId1"/>
  <headerFooter>
    <oddFooter>&amp;L&amp;F&amp;A &amp;D&amp;T</oddFooter>
  </headerFooter>
</worksheet>
</file>

<file path=xl/worksheets/sheet5.xml><?xml version="1.0" encoding="utf-8"?>
<worksheet xmlns="http://schemas.openxmlformats.org/spreadsheetml/2006/main" xmlns:r="http://schemas.openxmlformats.org/officeDocument/2006/relationships">
  <dimension ref="A1:K181"/>
  <sheetViews>
    <sheetView view="pageBreakPreview" zoomScaleNormal="100" zoomScaleSheetLayoutView="75" workbookViewId="0">
      <selection activeCell="C158" sqref="C158"/>
    </sheetView>
  </sheetViews>
  <sheetFormatPr defaultRowHeight="12.75"/>
  <cols>
    <col min="1" max="1" width="14.140625" style="178" customWidth="1"/>
    <col min="2" max="3" width="15.7109375" style="178" customWidth="1"/>
    <col min="4" max="4" width="13.7109375" style="178" customWidth="1"/>
    <col min="5" max="5" width="23.7109375" style="178" customWidth="1"/>
    <col min="6" max="8" width="19.7109375" style="178" customWidth="1"/>
    <col min="9" max="9" width="19" style="178" bestFit="1" customWidth="1"/>
    <col min="10" max="10" width="25.42578125" style="178" bestFit="1" customWidth="1"/>
    <col min="11" max="11" width="16.140625" style="178" customWidth="1"/>
    <col min="12" max="16384" width="9.140625" style="178"/>
  </cols>
  <sheetData>
    <row r="1" spans="1:11" ht="23.25">
      <c r="A1" s="181" t="s">
        <v>1</v>
      </c>
      <c r="B1" s="181" t="s">
        <v>229</v>
      </c>
      <c r="C1" s="179"/>
      <c r="D1" s="179"/>
      <c r="E1" s="179"/>
      <c r="F1" s="179"/>
      <c r="G1" s="179"/>
      <c r="H1" s="179"/>
      <c r="I1" s="167"/>
      <c r="J1" s="168"/>
      <c r="K1" s="168"/>
    </row>
    <row r="2" spans="1:11" ht="46.5" customHeight="1">
      <c r="B2" s="179" t="s">
        <v>195</v>
      </c>
      <c r="C2" s="179" t="s">
        <v>196</v>
      </c>
      <c r="D2" s="179" t="s">
        <v>197</v>
      </c>
      <c r="E2" s="179" t="s">
        <v>225</v>
      </c>
      <c r="F2" s="179" t="s">
        <v>198</v>
      </c>
      <c r="G2" s="179" t="s">
        <v>226</v>
      </c>
      <c r="H2" s="179" t="s">
        <v>199</v>
      </c>
      <c r="I2" s="167" t="s">
        <v>200</v>
      </c>
      <c r="J2" s="167" t="s">
        <v>201</v>
      </c>
      <c r="K2" s="167" t="s">
        <v>202</v>
      </c>
    </row>
    <row r="3" spans="1:11" ht="12.75" customHeight="1">
      <c r="B3" s="179" t="s">
        <v>203</v>
      </c>
      <c r="C3" s="179" t="s">
        <v>203</v>
      </c>
      <c r="D3" s="179" t="s">
        <v>204</v>
      </c>
      <c r="E3" s="179" t="s">
        <v>205</v>
      </c>
      <c r="F3" s="179" t="s">
        <v>205</v>
      </c>
      <c r="G3" s="179" t="s">
        <v>205</v>
      </c>
      <c r="H3" s="179" t="s">
        <v>205</v>
      </c>
      <c r="I3" s="167"/>
      <c r="J3" s="167" t="s">
        <v>206</v>
      </c>
      <c r="K3" s="168"/>
    </row>
    <row r="4" spans="1:11">
      <c r="A4" s="178" t="s">
        <v>156</v>
      </c>
      <c r="B4" s="180">
        <v>28086552</v>
      </c>
      <c r="C4" s="180">
        <v>9546634.4199999999</v>
      </c>
      <c r="D4" s="180">
        <v>32391500</v>
      </c>
      <c r="E4" s="180">
        <v>15842615</v>
      </c>
      <c r="F4" s="180">
        <v>5184971</v>
      </c>
      <c r="G4" s="180">
        <v>6241924.4199999999</v>
      </c>
      <c r="H4" s="180">
        <v>2042857</v>
      </c>
      <c r="I4" s="169">
        <v>14856711</v>
      </c>
      <c r="J4" s="169">
        <v>13229841</v>
      </c>
      <c r="K4" s="169">
        <v>6002013</v>
      </c>
    </row>
    <row r="5" spans="1:11">
      <c r="A5" s="178" t="s">
        <v>157</v>
      </c>
      <c r="B5" s="180">
        <v>22092437</v>
      </c>
      <c r="C5" s="180">
        <v>8728887</v>
      </c>
      <c r="D5" s="180">
        <v>23433404</v>
      </c>
      <c r="E5" s="180">
        <v>11274546</v>
      </c>
      <c r="F5" s="180">
        <v>3689933</v>
      </c>
      <c r="G5" s="180">
        <v>7336492</v>
      </c>
      <c r="H5" s="180">
        <v>2401087</v>
      </c>
      <c r="I5" s="170">
        <v>12520018</v>
      </c>
      <c r="J5" s="169">
        <v>9572419</v>
      </c>
      <c r="K5" s="169">
        <v>3481399</v>
      </c>
    </row>
    <row r="6" spans="1:11">
      <c r="A6" s="178" t="s">
        <v>158</v>
      </c>
      <c r="B6" s="180">
        <v>26571599</v>
      </c>
      <c r="C6" s="180">
        <v>11052005</v>
      </c>
      <c r="D6" s="180">
        <v>27644864</v>
      </c>
      <c r="E6" s="180">
        <v>13540731</v>
      </c>
      <c r="F6" s="180">
        <v>4431610</v>
      </c>
      <c r="G6" s="180">
        <v>8816675</v>
      </c>
      <c r="H6" s="180">
        <v>2885521</v>
      </c>
      <c r="I6" s="170">
        <v>15040275</v>
      </c>
      <c r="J6" s="169">
        <v>11531324</v>
      </c>
      <c r="K6" s="169">
        <v>4214193</v>
      </c>
    </row>
    <row r="7" spans="1:11">
      <c r="A7" s="178" t="s">
        <v>159</v>
      </c>
      <c r="B7" s="180">
        <v>30045966.349999998</v>
      </c>
      <c r="C7" s="180">
        <v>13226144.76</v>
      </c>
      <c r="D7" s="180">
        <v>32011646.789999999</v>
      </c>
      <c r="E7" s="180">
        <v>14477594.710000001</v>
      </c>
      <c r="F7" s="180">
        <v>4704784</v>
      </c>
      <c r="G7" s="180">
        <v>10258245.4</v>
      </c>
      <c r="H7" s="180">
        <v>3333622</v>
      </c>
      <c r="I7" s="170">
        <v>16697434</v>
      </c>
      <c r="J7" s="169">
        <v>13348532.349999998</v>
      </c>
      <c r="K7" s="169">
        <v>5310126.3499999996</v>
      </c>
    </row>
    <row r="8" spans="1:11">
      <c r="A8" s="178" t="s">
        <v>39</v>
      </c>
      <c r="B8" s="180">
        <v>23998223.100000001</v>
      </c>
      <c r="C8" s="180">
        <v>7246132.3899999987</v>
      </c>
      <c r="D8" s="180">
        <v>21763310.140000001</v>
      </c>
      <c r="E8" s="180">
        <v>9475265.2199999988</v>
      </c>
      <c r="F8" s="180">
        <v>3079177</v>
      </c>
      <c r="G8" s="180">
        <v>6855166.2699999996</v>
      </c>
      <c r="H8" s="180">
        <v>2227723</v>
      </c>
      <c r="I8" s="170">
        <v>11023531</v>
      </c>
      <c r="J8" s="169">
        <v>12974692.100000001</v>
      </c>
      <c r="K8" s="169">
        <v>7667792.1000000015</v>
      </c>
    </row>
    <row r="9" spans="1:11">
      <c r="A9" s="178" t="s">
        <v>160</v>
      </c>
      <c r="B9" s="180">
        <v>37641189.420000002</v>
      </c>
      <c r="C9" s="180">
        <v>18616046.539999999</v>
      </c>
      <c r="D9" s="180">
        <v>49088297.229999997</v>
      </c>
      <c r="E9" s="180">
        <v>21196450.419999998</v>
      </c>
      <c r="F9" s="180">
        <v>6888210</v>
      </c>
      <c r="G9" s="180">
        <v>8686323.5399999991</v>
      </c>
      <c r="H9" s="180">
        <v>2822795</v>
      </c>
      <c r="I9" s="170">
        <v>20171769</v>
      </c>
      <c r="J9" s="169">
        <v>17469420.420000002</v>
      </c>
      <c r="K9" s="169">
        <v>7758415.4200000018</v>
      </c>
    </row>
    <row r="10" spans="1:11">
      <c r="A10" s="178" t="s">
        <v>161</v>
      </c>
      <c r="B10" s="180">
        <v>44709803.730733097</v>
      </c>
      <c r="C10" s="180">
        <v>23417532.899999999</v>
      </c>
      <c r="D10" s="180">
        <v>65282149.497365296</v>
      </c>
      <c r="E10" s="180">
        <v>26934493.730733097</v>
      </c>
      <c r="F10" s="180">
        <v>8752902</v>
      </c>
      <c r="G10" s="180">
        <v>9332450.9000000004</v>
      </c>
      <c r="H10" s="180">
        <v>3032767</v>
      </c>
      <c r="I10" s="169">
        <v>24481276</v>
      </c>
      <c r="J10" s="169">
        <v>20228527.730733097</v>
      </c>
      <c r="K10" s="169">
        <v>8442858.7307330966</v>
      </c>
    </row>
    <row r="11" spans="1:11">
      <c r="A11" s="178" t="s">
        <v>162</v>
      </c>
      <c r="B11" s="180">
        <v>39523930.790151559</v>
      </c>
      <c r="C11" s="180">
        <v>18270242.810000002</v>
      </c>
      <c r="D11" s="180">
        <v>43257489.929672197</v>
      </c>
      <c r="E11" s="180">
        <v>24681458.790151555</v>
      </c>
      <c r="F11" s="180">
        <v>7695926</v>
      </c>
      <c r="G11" s="180">
        <v>9751340.8100000005</v>
      </c>
      <c r="H11" s="180">
        <v>3040566</v>
      </c>
      <c r="I11" s="170">
        <v>23696308</v>
      </c>
      <c r="J11" s="169">
        <v>15827622.790151559</v>
      </c>
      <c r="K11" s="169">
        <v>5091130.7901515588</v>
      </c>
    </row>
    <row r="12" spans="1:11">
      <c r="A12" s="178" t="s">
        <v>163</v>
      </c>
      <c r="B12" s="180">
        <v>33103444.967122376</v>
      </c>
      <c r="C12" s="180">
        <v>12715117.380000001</v>
      </c>
      <c r="D12" s="180">
        <v>32502042.716137704</v>
      </c>
      <c r="E12" s="180">
        <v>17105328.967122376</v>
      </c>
      <c r="F12" s="180">
        <v>5333613</v>
      </c>
      <c r="G12" s="180">
        <v>9049441.3800000008</v>
      </c>
      <c r="H12" s="180">
        <v>2821706</v>
      </c>
      <c r="I12" s="170">
        <v>17999451</v>
      </c>
      <c r="J12" s="169">
        <v>15103993.967122376</v>
      </c>
      <c r="K12" s="169">
        <v>6948674.967122376</v>
      </c>
    </row>
    <row r="13" spans="1:11">
      <c r="A13" s="178" t="s">
        <v>164</v>
      </c>
      <c r="B13" s="180">
        <v>21126057.256999999</v>
      </c>
      <c r="C13" s="180">
        <v>7000411</v>
      </c>
      <c r="D13" s="180">
        <v>18208845.110293701</v>
      </c>
      <c r="E13" s="180">
        <v>6954103.2570000002</v>
      </c>
      <c r="F13" s="180">
        <v>2168359</v>
      </c>
      <c r="G13" s="180">
        <v>8721061</v>
      </c>
      <c r="H13" s="180">
        <v>2719314</v>
      </c>
      <c r="I13" s="170">
        <v>10787491</v>
      </c>
      <c r="J13" s="169">
        <v>10338566.256999999</v>
      </c>
      <c r="K13" s="169">
        <v>5450893.2569999993</v>
      </c>
    </row>
    <row r="14" spans="1:11">
      <c r="A14" s="178" t="s">
        <v>165</v>
      </c>
      <c r="B14" s="180">
        <v>16951348.650000002</v>
      </c>
      <c r="C14" s="180">
        <v>4669567.07</v>
      </c>
      <c r="D14" s="180">
        <v>14363112.5069174</v>
      </c>
      <c r="E14" s="180">
        <v>2487091.65</v>
      </c>
      <c r="F14" s="180">
        <v>775500</v>
      </c>
      <c r="G14" s="180">
        <v>8105495.0700000003</v>
      </c>
      <c r="H14" s="180">
        <v>2527374</v>
      </c>
      <c r="I14" s="170">
        <v>7289713</v>
      </c>
      <c r="J14" s="169">
        <v>9661635.6500000022</v>
      </c>
      <c r="K14" s="169">
        <v>6358761.6500000022</v>
      </c>
    </row>
    <row r="15" spans="1:11">
      <c r="A15" s="178" t="s">
        <v>166</v>
      </c>
      <c r="B15" s="180">
        <v>20459516.328000002</v>
      </c>
      <c r="C15" s="180">
        <v>6352207</v>
      </c>
      <c r="D15" s="180">
        <v>18929794.7243062</v>
      </c>
      <c r="E15" s="180">
        <v>4867499.3280000007</v>
      </c>
      <c r="F15" s="180">
        <v>1517735</v>
      </c>
      <c r="G15" s="180">
        <v>9293294</v>
      </c>
      <c r="H15" s="180">
        <v>2897742</v>
      </c>
      <c r="I15" s="172">
        <v>9745316</v>
      </c>
      <c r="J15" s="173">
        <v>10714200.328000002</v>
      </c>
      <c r="K15" s="173">
        <v>6298723.3280000016</v>
      </c>
    </row>
    <row r="16" spans="1:11">
      <c r="I16" s="169"/>
      <c r="J16" s="169"/>
      <c r="K16" s="166"/>
    </row>
    <row r="17" spans="1:11">
      <c r="A17" s="178" t="s">
        <v>167</v>
      </c>
      <c r="B17" s="180">
        <f t="shared" ref="B17:H17" si="0">SUM(B4:B15)</f>
        <v>344310068.59300703</v>
      </c>
      <c r="C17" s="180">
        <f t="shared" si="0"/>
        <v>140840928.26999998</v>
      </c>
      <c r="D17" s="180">
        <f t="shared" si="0"/>
        <v>378876456.64469254</v>
      </c>
      <c r="E17" s="180">
        <f t="shared" si="0"/>
        <v>168837178.07300705</v>
      </c>
      <c r="F17" s="180">
        <f t="shared" si="0"/>
        <v>54222720</v>
      </c>
      <c r="G17" s="180">
        <f t="shared" si="0"/>
        <v>102447909.78999999</v>
      </c>
      <c r="H17" s="180">
        <f t="shared" si="0"/>
        <v>32753074</v>
      </c>
      <c r="I17" s="173">
        <f>SUM(I4:I15)</f>
        <v>184309293</v>
      </c>
      <c r="J17" s="173">
        <f>SUM(J4:J15)</f>
        <v>160000775.59300706</v>
      </c>
      <c r="K17" s="173">
        <f>SUM(K4:K15)</f>
        <v>73024981.593007028</v>
      </c>
    </row>
    <row r="22" spans="1:11" s="166" customFormat="1">
      <c r="A22" s="188" t="s">
        <v>166</v>
      </c>
      <c r="B22" s="188"/>
      <c r="C22" s="188"/>
      <c r="D22" s="188"/>
      <c r="E22" s="188"/>
      <c r="F22" s="188"/>
      <c r="G22" s="188"/>
      <c r="H22" s="188"/>
      <c r="I22" s="188"/>
    </row>
    <row r="23" spans="1:11" s="166" customFormat="1">
      <c r="A23" s="175" t="s">
        <v>207</v>
      </c>
      <c r="C23" s="169"/>
      <c r="D23" s="169"/>
      <c r="E23" s="174" t="s">
        <v>208</v>
      </c>
      <c r="F23" s="171"/>
      <c r="G23" s="171"/>
      <c r="H23" s="174" t="s">
        <v>209</v>
      </c>
      <c r="I23" s="171"/>
      <c r="J23" s="171"/>
    </row>
    <row r="24" spans="1:11" s="166" customFormat="1">
      <c r="A24" s="169" t="s">
        <v>210</v>
      </c>
      <c r="C24" s="169">
        <f>+I15</f>
        <v>9745316</v>
      </c>
      <c r="D24" s="169" t="s">
        <v>211</v>
      </c>
      <c r="E24" s="173" t="s">
        <v>210</v>
      </c>
      <c r="F24" s="173">
        <f>+I15</f>
        <v>9745316</v>
      </c>
      <c r="G24" s="173" t="s">
        <v>211</v>
      </c>
      <c r="H24" s="173" t="s">
        <v>212</v>
      </c>
      <c r="I24" s="173">
        <f>+E15</f>
        <v>4867499.3280000007</v>
      </c>
      <c r="J24" s="171" t="s">
        <v>213</v>
      </c>
    </row>
    <row r="25" spans="1:11" s="166" customFormat="1">
      <c r="A25" s="176" t="s">
        <v>214</v>
      </c>
      <c r="B25" s="169"/>
      <c r="C25" s="169">
        <f>+D15</f>
        <v>18929794.7243062</v>
      </c>
      <c r="D25" s="169" t="s">
        <v>215</v>
      </c>
      <c r="E25" s="173" t="s">
        <v>212</v>
      </c>
      <c r="F25" s="173">
        <f>+F15</f>
        <v>1517735</v>
      </c>
      <c r="G25" s="173" t="s">
        <v>213</v>
      </c>
      <c r="H25" s="173" t="s">
        <v>216</v>
      </c>
      <c r="I25" s="173">
        <f>+G15</f>
        <v>9293294</v>
      </c>
      <c r="J25" s="171" t="s">
        <v>213</v>
      </c>
    </row>
    <row r="26" spans="1:11" s="166" customFormat="1">
      <c r="A26" s="169"/>
      <c r="B26" s="169"/>
      <c r="C26" s="169"/>
      <c r="D26" s="169"/>
      <c r="E26" s="173" t="s">
        <v>216</v>
      </c>
      <c r="F26" s="174">
        <f>+H15</f>
        <v>2897742</v>
      </c>
      <c r="G26" s="173" t="s">
        <v>213</v>
      </c>
      <c r="H26" s="173"/>
      <c r="I26" s="173"/>
      <c r="J26" s="171"/>
    </row>
    <row r="27" spans="1:11" s="166" customFormat="1">
      <c r="A27" s="175" t="s">
        <v>217</v>
      </c>
      <c r="B27" s="169"/>
      <c r="C27" s="169"/>
      <c r="D27" s="169"/>
      <c r="E27" s="173"/>
      <c r="F27" s="173">
        <f>SUM(F24:F26)</f>
        <v>14160793</v>
      </c>
      <c r="G27" s="173"/>
      <c r="H27" s="173"/>
      <c r="I27" s="173">
        <f>SUM(I24:I26)</f>
        <v>14160793.328000002</v>
      </c>
      <c r="J27" s="171"/>
    </row>
    <row r="28" spans="1:11" s="166" customFormat="1">
      <c r="A28" s="169" t="s">
        <v>218</v>
      </c>
      <c r="B28" s="169"/>
      <c r="C28" s="169">
        <f>+C15</f>
        <v>6352207</v>
      </c>
      <c r="D28" s="169" t="s">
        <v>211</v>
      </c>
      <c r="E28" s="173"/>
      <c r="F28" s="173"/>
      <c r="G28" s="173"/>
      <c r="H28" s="173"/>
      <c r="I28" s="173"/>
      <c r="J28" s="171"/>
    </row>
    <row r="29" spans="1:11" s="166" customFormat="1">
      <c r="A29" s="169"/>
      <c r="B29" s="169"/>
      <c r="C29" s="169"/>
      <c r="D29" s="169"/>
      <c r="E29" s="173" t="s">
        <v>219</v>
      </c>
      <c r="F29" s="173">
        <f>+K15</f>
        <v>6298723.3280000016</v>
      </c>
      <c r="G29" s="173" t="s">
        <v>213</v>
      </c>
      <c r="H29" s="173"/>
      <c r="I29" s="173"/>
      <c r="J29" s="171"/>
    </row>
    <row r="30" spans="1:11" s="166" customFormat="1">
      <c r="A30" s="169" t="s">
        <v>220</v>
      </c>
      <c r="B30" s="169"/>
      <c r="C30" s="169">
        <f>C24+C25-C28</f>
        <v>22322903.7243062</v>
      </c>
      <c r="D30" s="169"/>
      <c r="E30" s="173" t="s">
        <v>221</v>
      </c>
      <c r="F30" s="173">
        <f>-F29</f>
        <v>-6298723.3280000016</v>
      </c>
      <c r="G30" s="173"/>
      <c r="H30" s="173"/>
      <c r="I30" s="173"/>
      <c r="J30" s="171"/>
    </row>
    <row r="31" spans="1:11" s="166" customFormat="1">
      <c r="A31" s="169"/>
      <c r="B31" s="169"/>
      <c r="C31" s="169"/>
      <c r="D31" s="169"/>
      <c r="E31" s="173"/>
      <c r="F31" s="173"/>
      <c r="G31" s="173"/>
      <c r="H31" s="173"/>
      <c r="I31" s="173"/>
      <c r="J31" s="171"/>
    </row>
    <row r="32" spans="1:11" s="166" customFormat="1">
      <c r="A32" s="174"/>
      <c r="B32" s="169"/>
      <c r="C32" s="169"/>
      <c r="D32" s="169"/>
      <c r="E32" s="174" t="s">
        <v>222</v>
      </c>
      <c r="F32" s="173">
        <f>F27+F29</f>
        <v>20459516.328000002</v>
      </c>
      <c r="G32" s="173" t="s">
        <v>211</v>
      </c>
      <c r="H32" s="173"/>
      <c r="I32" s="173"/>
      <c r="J32" s="171"/>
    </row>
    <row r="33" spans="1:9" s="166" customFormat="1">
      <c r="A33" s="169"/>
      <c r="B33" s="169"/>
      <c r="C33" s="169"/>
      <c r="D33" s="169"/>
      <c r="E33" s="173"/>
    </row>
    <row r="34" spans="1:9" s="166" customFormat="1">
      <c r="A34" s="188" t="s">
        <v>223</v>
      </c>
      <c r="B34" s="188"/>
      <c r="C34" s="188"/>
      <c r="D34" s="188"/>
      <c r="E34" s="188"/>
      <c r="F34" s="188"/>
      <c r="G34" s="188"/>
      <c r="H34" s="188"/>
      <c r="I34" s="188"/>
    </row>
    <row r="35" spans="1:9" s="166" customFormat="1">
      <c r="E35" s="175" t="s">
        <v>208</v>
      </c>
    </row>
    <row r="36" spans="1:9" s="166" customFormat="1">
      <c r="E36" s="169" t="s">
        <v>210</v>
      </c>
      <c r="F36" s="169">
        <f>+I17</f>
        <v>184309293</v>
      </c>
      <c r="G36" s="169" t="s">
        <v>211</v>
      </c>
    </row>
    <row r="37" spans="1:9" s="166" customFormat="1">
      <c r="B37" s="169"/>
      <c r="E37" s="176" t="s">
        <v>212</v>
      </c>
      <c r="F37" s="169">
        <f>+F17</f>
        <v>54222720</v>
      </c>
      <c r="G37" s="169" t="s">
        <v>213</v>
      </c>
    </row>
    <row r="38" spans="1:9" s="166" customFormat="1">
      <c r="E38" s="177" t="s">
        <v>216</v>
      </c>
      <c r="F38" s="175">
        <f>+H17</f>
        <v>32753074</v>
      </c>
      <c r="G38" s="169" t="s">
        <v>213</v>
      </c>
    </row>
    <row r="39" spans="1:9" s="166" customFormat="1">
      <c r="E39" s="169" t="s">
        <v>224</v>
      </c>
      <c r="F39" s="173">
        <f>SUM(F36:F38)</f>
        <v>271285087</v>
      </c>
    </row>
    <row r="46" spans="1:9" ht="23.25">
      <c r="A46" s="181" t="s">
        <v>2</v>
      </c>
      <c r="B46" s="181" t="s">
        <v>229</v>
      </c>
    </row>
    <row r="47" spans="1:9" ht="38.25">
      <c r="B47" s="179" t="s">
        <v>195</v>
      </c>
      <c r="C47" s="179" t="s">
        <v>196</v>
      </c>
      <c r="D47" s="179" t="s">
        <v>197</v>
      </c>
      <c r="E47" s="179" t="s">
        <v>225</v>
      </c>
      <c r="F47" s="179" t="s">
        <v>198</v>
      </c>
      <c r="G47" s="179" t="s">
        <v>226</v>
      </c>
      <c r="H47" s="179" t="s">
        <v>199</v>
      </c>
      <c r="I47" s="167" t="s">
        <v>200</v>
      </c>
    </row>
    <row r="48" spans="1:9">
      <c r="B48" s="179" t="s">
        <v>203</v>
      </c>
      <c r="C48" s="179" t="s">
        <v>203</v>
      </c>
      <c r="D48" s="179" t="s">
        <v>204</v>
      </c>
      <c r="E48" s="179" t="s">
        <v>205</v>
      </c>
      <c r="F48" s="179" t="s">
        <v>205</v>
      </c>
      <c r="G48" s="179" t="s">
        <v>205</v>
      </c>
      <c r="H48" s="179" t="s">
        <v>205</v>
      </c>
    </row>
    <row r="49" spans="1:9">
      <c r="A49" s="178" t="s">
        <v>156</v>
      </c>
      <c r="B49" s="180">
        <v>3424124</v>
      </c>
      <c r="C49" s="180">
        <v>3363415.19</v>
      </c>
      <c r="D49" s="180">
        <v>6781535</v>
      </c>
      <c r="E49" s="180">
        <v>2160012</v>
      </c>
      <c r="F49" s="180">
        <v>148004</v>
      </c>
      <c r="G49" s="180">
        <v>7517.19</v>
      </c>
      <c r="H49" s="180">
        <v>515</v>
      </c>
      <c r="I49" s="180"/>
    </row>
    <row r="50" spans="1:9">
      <c r="A50" s="178" t="s">
        <v>157</v>
      </c>
      <c r="B50" s="180">
        <v>4792648</v>
      </c>
      <c r="C50" s="180">
        <v>2824276</v>
      </c>
      <c r="D50" s="180">
        <v>4906060</v>
      </c>
      <c r="E50" s="180">
        <v>4051988</v>
      </c>
      <c r="F50" s="180">
        <v>277642</v>
      </c>
      <c r="G50" s="180">
        <v>11788</v>
      </c>
      <c r="H50" s="180">
        <v>808</v>
      </c>
      <c r="I50" s="180"/>
    </row>
    <row r="51" spans="1:9">
      <c r="A51" s="178" t="s">
        <v>158</v>
      </c>
      <c r="B51" s="180">
        <v>4617081</v>
      </c>
      <c r="C51" s="180">
        <v>3589891</v>
      </c>
      <c r="D51" s="180">
        <v>5787785</v>
      </c>
      <c r="E51" s="180">
        <v>3710531</v>
      </c>
      <c r="F51" s="180">
        <v>254246</v>
      </c>
      <c r="G51" s="180">
        <v>24258</v>
      </c>
      <c r="H51" s="180">
        <v>1662</v>
      </c>
      <c r="I51" s="180"/>
    </row>
    <row r="52" spans="1:9">
      <c r="A52" s="178" t="s">
        <v>159</v>
      </c>
      <c r="B52" s="180">
        <v>4740299.34</v>
      </c>
      <c r="C52" s="180">
        <v>4251284.93</v>
      </c>
      <c r="D52" s="180">
        <v>6774313.4400000004</v>
      </c>
      <c r="E52" s="180">
        <v>3520420.62</v>
      </c>
      <c r="F52" s="180">
        <v>242099</v>
      </c>
      <c r="G52" s="180">
        <v>96153.65</v>
      </c>
      <c r="H52" s="180">
        <v>6612</v>
      </c>
      <c r="I52" s="180"/>
    </row>
    <row r="53" spans="1:9">
      <c r="A53" s="178" t="s">
        <v>39</v>
      </c>
      <c r="B53" s="180">
        <v>3455345.32</v>
      </c>
      <c r="C53" s="180">
        <v>2530434.48</v>
      </c>
      <c r="D53" s="180">
        <v>4605556.05</v>
      </c>
      <c r="E53" s="180">
        <v>1763301.98</v>
      </c>
      <c r="F53" s="180">
        <v>121262</v>
      </c>
      <c r="G53" s="180">
        <v>69390.820000000007</v>
      </c>
      <c r="H53" s="180">
        <v>4772</v>
      </c>
      <c r="I53" s="180"/>
    </row>
    <row r="54" spans="1:9">
      <c r="A54" s="178" t="s">
        <v>160</v>
      </c>
      <c r="B54" s="180">
        <v>5941710.1799999997</v>
      </c>
      <c r="C54" s="180">
        <v>5698854.71</v>
      </c>
      <c r="D54" s="180">
        <v>10388057.58</v>
      </c>
      <c r="E54" s="180">
        <v>3492241.18</v>
      </c>
      <c r="F54" s="180">
        <v>240161</v>
      </c>
      <c r="G54" s="180">
        <v>807635.71</v>
      </c>
      <c r="H54" s="180">
        <v>55541</v>
      </c>
      <c r="I54" s="180"/>
    </row>
    <row r="55" spans="1:9">
      <c r="A55" s="178" t="s">
        <v>161</v>
      </c>
      <c r="B55" s="180">
        <v>7809082.4930977495</v>
      </c>
      <c r="C55" s="180">
        <v>7035524</v>
      </c>
      <c r="D55" s="180">
        <v>13814978.002027299</v>
      </c>
      <c r="E55" s="180">
        <v>6022408.4930977495</v>
      </c>
      <c r="F55" s="180">
        <v>414161</v>
      </c>
      <c r="G55" s="180">
        <v>0</v>
      </c>
      <c r="H55" s="180">
        <v>0</v>
      </c>
      <c r="I55" s="180"/>
    </row>
    <row r="56" spans="1:9">
      <c r="A56" s="178" t="s">
        <v>162</v>
      </c>
      <c r="B56" s="180">
        <v>4504619.5056476453</v>
      </c>
      <c r="C56" s="180">
        <v>5911783</v>
      </c>
      <c r="D56" s="180">
        <v>9153424.1442076005</v>
      </c>
      <c r="E56" s="180">
        <v>3427319.5056476449</v>
      </c>
      <c r="F56" s="180">
        <v>226135</v>
      </c>
      <c r="G56" s="180">
        <v>0</v>
      </c>
      <c r="H56" s="180">
        <v>0</v>
      </c>
      <c r="I56" s="180"/>
    </row>
    <row r="57" spans="1:9">
      <c r="A57" s="178" t="s">
        <v>163</v>
      </c>
      <c r="B57" s="180">
        <v>3751919.6326350854</v>
      </c>
      <c r="C57" s="180">
        <v>4265714</v>
      </c>
      <c r="D57" s="180">
        <v>6877536.8757566009</v>
      </c>
      <c r="E57" s="180">
        <v>2281557.6326350854</v>
      </c>
      <c r="F57" s="180">
        <v>150537</v>
      </c>
      <c r="G57" s="180">
        <v>0</v>
      </c>
      <c r="H57" s="180">
        <v>0</v>
      </c>
      <c r="I57" s="180"/>
    </row>
    <row r="58" spans="1:9">
      <c r="A58" s="178" t="s">
        <v>164</v>
      </c>
      <c r="B58" s="180">
        <v>2478645.5275964499</v>
      </c>
      <c r="C58" s="180">
        <v>2428119</v>
      </c>
      <c r="D58" s="180">
        <v>3853050.2324045999</v>
      </c>
      <c r="E58" s="180">
        <v>1325219.5275964499</v>
      </c>
      <c r="F58" s="180">
        <v>87438</v>
      </c>
      <c r="G58" s="180">
        <v>0</v>
      </c>
      <c r="H58" s="180">
        <v>0</v>
      </c>
      <c r="I58" s="180"/>
    </row>
    <row r="59" spans="1:9">
      <c r="A59" s="178" t="s">
        <v>165</v>
      </c>
      <c r="B59" s="180">
        <v>6118276.4008534402</v>
      </c>
      <c r="C59" s="180">
        <v>1372089</v>
      </c>
      <c r="D59" s="180">
        <v>3039280.8849491999</v>
      </c>
      <c r="E59" s="180">
        <v>4772741.4008534402</v>
      </c>
      <c r="F59" s="180">
        <v>314905</v>
      </c>
      <c r="G59" s="180">
        <v>0</v>
      </c>
      <c r="H59" s="180">
        <v>0</v>
      </c>
      <c r="I59" s="180"/>
    </row>
    <row r="60" spans="1:9">
      <c r="A60" s="178" t="s">
        <v>166</v>
      </c>
      <c r="B60" s="180">
        <v>2120567.72317422</v>
      </c>
      <c r="C60" s="180">
        <v>2226502</v>
      </c>
      <c r="D60" s="180">
        <v>4005605.5563796</v>
      </c>
      <c r="E60" s="180">
        <v>787737.72317422007</v>
      </c>
      <c r="F60" s="180">
        <v>51975</v>
      </c>
      <c r="G60" s="180">
        <v>0</v>
      </c>
      <c r="H60" s="180">
        <v>0</v>
      </c>
      <c r="I60" s="180"/>
    </row>
    <row r="62" spans="1:9">
      <c r="A62" s="178" t="s">
        <v>167</v>
      </c>
      <c r="B62" s="180">
        <f t="shared" ref="B62:H62" si="1">SUM(B49:B60)</f>
        <v>53754319.123004593</v>
      </c>
      <c r="C62" s="180">
        <f t="shared" si="1"/>
        <v>45497887.310000002</v>
      </c>
      <c r="D62" s="180">
        <f t="shared" si="1"/>
        <v>79987182.765724912</v>
      </c>
      <c r="E62" s="180">
        <f t="shared" si="1"/>
        <v>37315479.063004591</v>
      </c>
      <c r="F62" s="180">
        <f t="shared" si="1"/>
        <v>2528565</v>
      </c>
      <c r="G62" s="180">
        <f t="shared" si="1"/>
        <v>1016743.37</v>
      </c>
      <c r="H62" s="180">
        <f t="shared" si="1"/>
        <v>69910</v>
      </c>
      <c r="I62" s="173">
        <f ca="1">+'OSS Cost'!D52</f>
        <v>35733748</v>
      </c>
    </row>
    <row r="65" spans="1:9" s="166" customFormat="1">
      <c r="A65" s="188" t="s">
        <v>223</v>
      </c>
      <c r="B65" s="188"/>
      <c r="C65" s="188"/>
      <c r="D65" s="188"/>
      <c r="E65" s="188"/>
      <c r="F65" s="188"/>
      <c r="G65" s="188"/>
      <c r="H65" s="188"/>
      <c r="I65" s="188"/>
    </row>
    <row r="66" spans="1:9" s="166" customFormat="1">
      <c r="E66" s="175" t="s">
        <v>208</v>
      </c>
    </row>
    <row r="67" spans="1:9" s="166" customFormat="1">
      <c r="E67" s="169" t="s">
        <v>210</v>
      </c>
      <c r="F67" s="169">
        <f>+I62</f>
        <v>35733748</v>
      </c>
      <c r="G67" s="169" t="s">
        <v>211</v>
      </c>
    </row>
    <row r="68" spans="1:9" s="166" customFormat="1">
      <c r="B68" s="169"/>
      <c r="E68" s="176" t="s">
        <v>212</v>
      </c>
      <c r="F68" s="169">
        <f>+F62</f>
        <v>2528565</v>
      </c>
      <c r="G68" s="169" t="s">
        <v>213</v>
      </c>
    </row>
    <row r="69" spans="1:9" s="166" customFormat="1">
      <c r="E69" s="177" t="s">
        <v>216</v>
      </c>
      <c r="F69" s="175">
        <f>+H62</f>
        <v>69910</v>
      </c>
      <c r="G69" s="169" t="s">
        <v>213</v>
      </c>
    </row>
    <row r="70" spans="1:9" s="166" customFormat="1">
      <c r="E70" s="169" t="s">
        <v>224</v>
      </c>
      <c r="F70" s="173">
        <f>SUM(F67:F69)</f>
        <v>38332223</v>
      </c>
    </row>
    <row r="71" spans="1:9">
      <c r="B71" s="180"/>
      <c r="C71" s="180"/>
      <c r="D71" s="180"/>
      <c r="E71" s="180"/>
      <c r="F71" s="180"/>
      <c r="G71" s="180"/>
      <c r="H71" s="180"/>
    </row>
    <row r="72" spans="1:9">
      <c r="B72" s="180"/>
      <c r="C72" s="180"/>
      <c r="D72" s="180"/>
      <c r="E72" s="180"/>
      <c r="F72" s="180"/>
      <c r="G72" s="180"/>
      <c r="H72" s="180"/>
    </row>
    <row r="73" spans="1:9">
      <c r="B73" s="180"/>
      <c r="C73" s="180"/>
      <c r="D73" s="180"/>
      <c r="E73" s="180"/>
      <c r="F73" s="180"/>
      <c r="G73" s="180"/>
      <c r="H73" s="180"/>
    </row>
    <row r="74" spans="1:9">
      <c r="B74" s="180"/>
      <c r="C74" s="180"/>
      <c r="D74" s="180"/>
      <c r="E74" s="180"/>
      <c r="F74" s="180"/>
      <c r="G74" s="180"/>
      <c r="H74" s="180"/>
    </row>
    <row r="75" spans="1:9" ht="23.25">
      <c r="A75" s="181" t="s">
        <v>11</v>
      </c>
      <c r="B75" s="181" t="s">
        <v>229</v>
      </c>
      <c r="C75" s="179"/>
      <c r="D75" s="179"/>
      <c r="E75" s="179"/>
      <c r="F75" s="179"/>
      <c r="G75" s="179"/>
      <c r="H75" s="179"/>
    </row>
    <row r="76" spans="1:9" ht="38.25">
      <c r="B76" s="179" t="s">
        <v>195</v>
      </c>
      <c r="C76" s="179" t="s">
        <v>196</v>
      </c>
      <c r="D76" s="179" t="s">
        <v>197</v>
      </c>
      <c r="E76" s="179" t="s">
        <v>225</v>
      </c>
      <c r="F76" s="179" t="s">
        <v>198</v>
      </c>
      <c r="G76" s="179" t="s">
        <v>226</v>
      </c>
      <c r="H76" s="179" t="s">
        <v>199</v>
      </c>
      <c r="I76" s="167" t="s">
        <v>200</v>
      </c>
    </row>
    <row r="77" spans="1:9">
      <c r="B77" s="179" t="s">
        <v>203</v>
      </c>
      <c r="C77" s="179" t="s">
        <v>203</v>
      </c>
      <c r="D77" s="179" t="s">
        <v>204</v>
      </c>
      <c r="E77" s="179" t="s">
        <v>205</v>
      </c>
      <c r="F77" s="179" t="s">
        <v>205</v>
      </c>
      <c r="G77" s="179" t="s">
        <v>205</v>
      </c>
      <c r="H77" s="179" t="s">
        <v>205</v>
      </c>
    </row>
    <row r="78" spans="1:9">
      <c r="A78" s="178" t="s">
        <v>156</v>
      </c>
      <c r="B78" s="180">
        <v>8929518</v>
      </c>
      <c r="C78" s="180">
        <v>8806332.3300000001</v>
      </c>
      <c r="D78" s="180">
        <v>19010512</v>
      </c>
      <c r="E78" s="180">
        <v>1956220</v>
      </c>
      <c r="F78" s="180">
        <v>375751</v>
      </c>
      <c r="G78" s="180">
        <v>3450728.33</v>
      </c>
      <c r="H78" s="180">
        <v>662816</v>
      </c>
    </row>
    <row r="79" spans="1:9">
      <c r="A79" s="178" t="s">
        <v>157</v>
      </c>
      <c r="B79" s="180">
        <v>6630494</v>
      </c>
      <c r="C79" s="180">
        <v>7816653.1299999999</v>
      </c>
      <c r="D79" s="180">
        <v>13753025</v>
      </c>
      <c r="E79" s="180">
        <v>754610</v>
      </c>
      <c r="F79" s="180">
        <v>144945</v>
      </c>
      <c r="G79" s="180">
        <v>3832658.13</v>
      </c>
      <c r="H79" s="180">
        <v>736177</v>
      </c>
    </row>
    <row r="80" spans="1:9">
      <c r="A80" s="178" t="s">
        <v>158</v>
      </c>
      <c r="B80" s="180">
        <v>8054310</v>
      </c>
      <c r="C80" s="180">
        <v>9708810</v>
      </c>
      <c r="D80" s="180">
        <v>16224722</v>
      </c>
      <c r="E80" s="180">
        <v>946841</v>
      </c>
      <c r="F80" s="180">
        <v>181869</v>
      </c>
      <c r="G80" s="180">
        <v>4634167</v>
      </c>
      <c r="H80" s="180">
        <v>890131</v>
      </c>
    </row>
    <row r="81" spans="1:9">
      <c r="A81" s="178" t="s">
        <v>159</v>
      </c>
      <c r="B81" s="180">
        <v>10610592.859999999</v>
      </c>
      <c r="C81" s="180">
        <v>11176407.379999999</v>
      </c>
      <c r="D81" s="180">
        <v>18990105.140000001</v>
      </c>
      <c r="E81" s="180">
        <v>2219245.64</v>
      </c>
      <c r="F81" s="180">
        <v>427826</v>
      </c>
      <c r="G81" s="180">
        <v>5241253.5999999996</v>
      </c>
      <c r="H81" s="180">
        <v>1010409</v>
      </c>
    </row>
    <row r="82" spans="1:9">
      <c r="A82" s="178" t="s">
        <v>39</v>
      </c>
      <c r="B82" s="180">
        <v>9728492.5899999999</v>
      </c>
      <c r="C82" s="180">
        <v>6448203.4199999999</v>
      </c>
      <c r="D82" s="180">
        <v>12910510.26</v>
      </c>
      <c r="E82" s="180">
        <v>1447683.14</v>
      </c>
      <c r="F82" s="180">
        <v>279084</v>
      </c>
      <c r="G82" s="180">
        <v>3732090.87</v>
      </c>
      <c r="H82" s="180">
        <v>719472</v>
      </c>
    </row>
    <row r="83" spans="1:9">
      <c r="A83" s="178" t="s">
        <v>160</v>
      </c>
      <c r="B83" s="180">
        <v>16736529.09</v>
      </c>
      <c r="C83" s="180">
        <v>14465083.210000001</v>
      </c>
      <c r="D83" s="180">
        <v>29120382.27</v>
      </c>
      <c r="E83" s="180">
        <v>5905761.0899999999</v>
      </c>
      <c r="F83" s="180">
        <v>1138513</v>
      </c>
      <c r="G83" s="180">
        <v>6228288.21</v>
      </c>
      <c r="H83" s="180">
        <v>1200689</v>
      </c>
    </row>
    <row r="84" spans="1:9">
      <c r="A84" s="178" t="s">
        <v>161</v>
      </c>
      <c r="B84" s="180">
        <v>20322217.619502399</v>
      </c>
      <c r="C84" s="180">
        <v>17931206.129999999</v>
      </c>
      <c r="D84" s="180">
        <v>38726937.241082191</v>
      </c>
      <c r="E84" s="180">
        <v>10644654.619502401</v>
      </c>
      <c r="F84" s="180">
        <v>2052077</v>
      </c>
      <c r="G84" s="180">
        <v>4669056.13</v>
      </c>
      <c r="H84" s="180">
        <v>900101</v>
      </c>
    </row>
    <row r="85" spans="1:9">
      <c r="A85" s="178" t="s">
        <v>162</v>
      </c>
      <c r="B85" s="180">
        <v>16392510.941158</v>
      </c>
      <c r="C85" s="180">
        <v>15978332.24</v>
      </c>
      <c r="D85" s="180">
        <v>27743282.207287602</v>
      </c>
      <c r="E85" s="180">
        <v>8248674.9411580004</v>
      </c>
      <c r="F85" s="180">
        <v>1649570</v>
      </c>
      <c r="G85" s="180">
        <v>4878628.24</v>
      </c>
      <c r="H85" s="180">
        <v>975628</v>
      </c>
    </row>
    <row r="86" spans="1:9">
      <c r="A86" s="178" t="s">
        <v>163</v>
      </c>
      <c r="B86" s="180">
        <v>12183866.86141054</v>
      </c>
      <c r="C86" s="180">
        <v>11839989</v>
      </c>
      <c r="D86" s="180">
        <v>20845253.560536601</v>
      </c>
      <c r="E86" s="180">
        <v>3199864.8614105401</v>
      </c>
      <c r="F86" s="180">
        <v>639909</v>
      </c>
      <c r="G86" s="180">
        <v>4527455</v>
      </c>
      <c r="H86" s="180">
        <v>905400</v>
      </c>
    </row>
    <row r="87" spans="1:9">
      <c r="A87" s="178" t="s">
        <v>164</v>
      </c>
      <c r="B87" s="180">
        <v>10065665.717317799</v>
      </c>
      <c r="C87" s="180">
        <v>6310635</v>
      </c>
      <c r="D87" s="180">
        <v>11678281.1555846</v>
      </c>
      <c r="E87" s="180">
        <v>2233254.7173178</v>
      </c>
      <c r="F87" s="180">
        <v>446606</v>
      </c>
      <c r="G87" s="180">
        <v>4336470</v>
      </c>
      <c r="H87" s="180">
        <v>867207</v>
      </c>
    </row>
    <row r="88" spans="1:9">
      <c r="A88" s="178" t="s">
        <v>165</v>
      </c>
      <c r="B88" s="180">
        <v>8526260.3265560698</v>
      </c>
      <c r="C88" s="180">
        <v>4223619.1900000004</v>
      </c>
      <c r="D88" s="180">
        <v>9211812.4233091995</v>
      </c>
      <c r="E88" s="180">
        <v>354075.32655607001</v>
      </c>
      <c r="F88" s="180">
        <v>70808</v>
      </c>
      <c r="G88" s="180">
        <v>4093979.19</v>
      </c>
      <c r="H88" s="180">
        <v>818714</v>
      </c>
    </row>
    <row r="89" spans="1:9">
      <c r="A89" s="178" t="s">
        <v>166</v>
      </c>
      <c r="B89" s="180">
        <v>9233257.5919584613</v>
      </c>
      <c r="C89" s="180">
        <v>5867269</v>
      </c>
      <c r="D89" s="180">
        <v>12140663.677059602</v>
      </c>
      <c r="E89" s="180">
        <v>544104.59195846005</v>
      </c>
      <c r="F89" s="180">
        <v>108810</v>
      </c>
      <c r="G89" s="180">
        <v>4649454</v>
      </c>
      <c r="H89" s="180">
        <v>929798</v>
      </c>
    </row>
    <row r="91" spans="1:9">
      <c r="A91" s="178" t="s">
        <v>167</v>
      </c>
      <c r="B91" s="180">
        <f t="shared" ref="B91:H91" si="2">SUM(B78:B89)</f>
        <v>137413715.59790328</v>
      </c>
      <c r="C91" s="180">
        <f t="shared" si="2"/>
        <v>120572540.03</v>
      </c>
      <c r="D91" s="180">
        <f t="shared" si="2"/>
        <v>230355486.93485981</v>
      </c>
      <c r="E91" s="180">
        <f t="shared" si="2"/>
        <v>38454989.927903272</v>
      </c>
      <c r="F91" s="180">
        <f t="shared" si="2"/>
        <v>7515768</v>
      </c>
      <c r="G91" s="180">
        <f t="shared" si="2"/>
        <v>54274228.700000003</v>
      </c>
      <c r="H91" s="180">
        <f t="shared" si="2"/>
        <v>10616542</v>
      </c>
      <c r="I91" s="173">
        <f ca="1">+'OSS Cost'!D53</f>
        <v>74596909</v>
      </c>
    </row>
    <row r="94" spans="1:9" s="166" customFormat="1">
      <c r="A94" s="188" t="s">
        <v>223</v>
      </c>
      <c r="B94" s="188"/>
      <c r="C94" s="188"/>
      <c r="D94" s="188"/>
      <c r="E94" s="188"/>
      <c r="F94" s="188"/>
      <c r="G94" s="188"/>
      <c r="H94" s="188"/>
      <c r="I94" s="188"/>
    </row>
    <row r="95" spans="1:9" s="166" customFormat="1">
      <c r="E95" s="175" t="s">
        <v>208</v>
      </c>
    </row>
    <row r="96" spans="1:9" s="166" customFormat="1">
      <c r="E96" s="169" t="s">
        <v>210</v>
      </c>
      <c r="F96" s="169">
        <f>+I91</f>
        <v>74596909</v>
      </c>
      <c r="G96" s="169" t="s">
        <v>211</v>
      </c>
    </row>
    <row r="97" spans="1:9" s="166" customFormat="1">
      <c r="B97" s="169"/>
      <c r="E97" s="176" t="s">
        <v>212</v>
      </c>
      <c r="F97" s="169">
        <f>+F91</f>
        <v>7515768</v>
      </c>
      <c r="G97" s="169" t="s">
        <v>213</v>
      </c>
    </row>
    <row r="98" spans="1:9" s="166" customFormat="1">
      <c r="E98" s="177" t="s">
        <v>216</v>
      </c>
      <c r="F98" s="175">
        <f>+H91</f>
        <v>10616542</v>
      </c>
      <c r="G98" s="169" t="s">
        <v>213</v>
      </c>
    </row>
    <row r="99" spans="1:9" s="166" customFormat="1">
      <c r="E99" s="169" t="s">
        <v>224</v>
      </c>
      <c r="F99" s="173">
        <f>SUM(F96:F98)</f>
        <v>92729219</v>
      </c>
    </row>
    <row r="102" spans="1:9" ht="23.25">
      <c r="A102" s="181" t="s">
        <v>21</v>
      </c>
      <c r="B102" s="181" t="s">
        <v>229</v>
      </c>
    </row>
    <row r="103" spans="1:9" ht="38.25">
      <c r="B103" s="179" t="s">
        <v>195</v>
      </c>
      <c r="C103" s="179" t="s">
        <v>196</v>
      </c>
      <c r="D103" s="179" t="s">
        <v>197</v>
      </c>
      <c r="E103" s="179" t="s">
        <v>225</v>
      </c>
      <c r="F103" s="179" t="s">
        <v>198</v>
      </c>
      <c r="G103" s="179" t="s">
        <v>226</v>
      </c>
      <c r="H103" s="179" t="s">
        <v>199</v>
      </c>
      <c r="I103" s="167" t="s">
        <v>200</v>
      </c>
    </row>
    <row r="104" spans="1:9">
      <c r="B104" s="179" t="s">
        <v>203</v>
      </c>
      <c r="C104" s="179" t="s">
        <v>203</v>
      </c>
      <c r="D104" s="179" t="s">
        <v>204</v>
      </c>
      <c r="E104" s="179" t="s">
        <v>205</v>
      </c>
      <c r="F104" s="179" t="s">
        <v>205</v>
      </c>
      <c r="G104" s="179" t="s">
        <v>205</v>
      </c>
      <c r="H104" s="179" t="s">
        <v>205</v>
      </c>
    </row>
    <row r="105" spans="1:9">
      <c r="A105" s="178" t="s">
        <v>156</v>
      </c>
      <c r="B105" s="180">
        <v>14260397</v>
      </c>
      <c r="C105" s="180">
        <v>9241155.9699999988</v>
      </c>
      <c r="D105" s="180">
        <v>22244899</v>
      </c>
      <c r="E105" s="180">
        <v>9013389</v>
      </c>
      <c r="F105" s="180">
        <v>2025849</v>
      </c>
      <c r="G105" s="180">
        <v>1125118.97</v>
      </c>
      <c r="H105" s="180">
        <v>252882</v>
      </c>
    </row>
    <row r="106" spans="1:9">
      <c r="A106" s="178" t="s">
        <v>157</v>
      </c>
      <c r="B106" s="180">
        <v>11489582</v>
      </c>
      <c r="C106" s="180">
        <v>8132563</v>
      </c>
      <c r="D106" s="180">
        <v>16092912</v>
      </c>
      <c r="E106" s="180">
        <v>8018742</v>
      </c>
      <c r="F106" s="180">
        <v>1802292</v>
      </c>
      <c r="G106" s="180">
        <v>1079984</v>
      </c>
      <c r="H106" s="180">
        <v>242737</v>
      </c>
    </row>
    <row r="107" spans="1:9">
      <c r="A107" s="178" t="s">
        <v>158</v>
      </c>
      <c r="B107" s="180">
        <v>15563064</v>
      </c>
      <c r="C107" s="180">
        <v>9767553</v>
      </c>
      <c r="D107" s="180">
        <v>18985123</v>
      </c>
      <c r="E107" s="180">
        <v>9819065</v>
      </c>
      <c r="F107" s="180">
        <v>2206933</v>
      </c>
      <c r="G107" s="180">
        <v>2849894</v>
      </c>
      <c r="H107" s="180">
        <v>640542</v>
      </c>
    </row>
    <row r="108" spans="1:9">
      <c r="A108" s="178" t="s">
        <v>159</v>
      </c>
      <c r="B108" s="180">
        <v>19053739.359999996</v>
      </c>
      <c r="C108" s="180">
        <v>11286755.030000001</v>
      </c>
      <c r="D108" s="180">
        <v>22207340.850000001</v>
      </c>
      <c r="E108" s="180">
        <v>11268685.98</v>
      </c>
      <c r="F108" s="180">
        <v>2540413</v>
      </c>
      <c r="G108" s="180">
        <v>4101281.41</v>
      </c>
      <c r="H108" s="180">
        <v>924593</v>
      </c>
    </row>
    <row r="109" spans="1:9">
      <c r="A109" s="178" t="s">
        <v>39</v>
      </c>
      <c r="B109" s="180">
        <v>13141125.6</v>
      </c>
      <c r="C109" s="180">
        <v>6945014.8100000005</v>
      </c>
      <c r="D109" s="180">
        <v>15097780.470000001</v>
      </c>
      <c r="E109" s="180">
        <v>6499404.5099999988</v>
      </c>
      <c r="F109" s="180">
        <v>1465226</v>
      </c>
      <c r="G109" s="180">
        <v>1322374.8999999999</v>
      </c>
      <c r="H109" s="180">
        <v>298116</v>
      </c>
    </row>
    <row r="110" spans="1:9">
      <c r="A110" s="178" t="s">
        <v>160</v>
      </c>
      <c r="B110" s="180">
        <v>31786677.279999997</v>
      </c>
      <c r="C110" s="180">
        <v>13698578.32</v>
      </c>
      <c r="D110" s="180">
        <v>34053849.560000002</v>
      </c>
      <c r="E110" s="180">
        <v>21992792.279999997</v>
      </c>
      <c r="F110" s="180">
        <v>4958055</v>
      </c>
      <c r="G110" s="180">
        <v>4411675.32</v>
      </c>
      <c r="H110" s="180">
        <v>994568</v>
      </c>
    </row>
    <row r="111" spans="1:9">
      <c r="A111" s="178" t="s">
        <v>161</v>
      </c>
      <c r="B111" s="180">
        <v>36150190.568674117</v>
      </c>
      <c r="C111" s="180">
        <v>17592071.170000002</v>
      </c>
      <c r="D111" s="180">
        <v>45287896.7262256</v>
      </c>
      <c r="E111" s="180">
        <v>24924884.568674121</v>
      </c>
      <c r="F111" s="180">
        <v>5619066</v>
      </c>
      <c r="G111" s="180">
        <v>5368279.17</v>
      </c>
      <c r="H111" s="180">
        <v>1210225</v>
      </c>
    </row>
    <row r="112" spans="1:9">
      <c r="A112" s="178" t="s">
        <v>162</v>
      </c>
      <c r="B112" s="180">
        <v>28673941.581748888</v>
      </c>
      <c r="C112" s="180">
        <v>15607446.188000001</v>
      </c>
      <c r="D112" s="180">
        <v>31796981.134103999</v>
      </c>
      <c r="E112" s="180">
        <v>19200178.581748888</v>
      </c>
      <c r="F112" s="180">
        <v>4400681</v>
      </c>
      <c r="G112" s="180">
        <v>5731461.1880000001</v>
      </c>
      <c r="H112" s="180">
        <v>1313651</v>
      </c>
    </row>
    <row r="113" spans="1:9">
      <c r="A113" s="178" t="s">
        <v>163</v>
      </c>
      <c r="B113" s="180">
        <v>24610332.130540498</v>
      </c>
      <c r="C113" s="180">
        <v>10871085.764</v>
      </c>
      <c r="D113" s="180">
        <v>23891049.680564001</v>
      </c>
      <c r="E113" s="180">
        <v>15190478.130540499</v>
      </c>
      <c r="F113" s="180">
        <v>3481658</v>
      </c>
      <c r="G113" s="180">
        <v>4312139.7640000004</v>
      </c>
      <c r="H113" s="180">
        <v>988342</v>
      </c>
    </row>
    <row r="114" spans="1:9">
      <c r="A114" s="178" t="s">
        <v>164</v>
      </c>
      <c r="B114" s="180">
        <v>10111213.594790209</v>
      </c>
      <c r="C114" s="180">
        <v>7339348</v>
      </c>
      <c r="D114" s="180">
        <v>13384648.650484001</v>
      </c>
      <c r="E114" s="180">
        <v>3532690.59479021</v>
      </c>
      <c r="F114" s="180">
        <v>809693</v>
      </c>
      <c r="G114" s="180">
        <v>2571773</v>
      </c>
      <c r="H114" s="180">
        <v>589450</v>
      </c>
    </row>
    <row r="115" spans="1:9">
      <c r="A115" s="178" t="s">
        <v>165</v>
      </c>
      <c r="B115" s="180">
        <v>7638540.3612638097</v>
      </c>
      <c r="C115" s="180">
        <v>5180794.477</v>
      </c>
      <c r="D115" s="180">
        <v>10557792.816568</v>
      </c>
      <c r="E115" s="180">
        <v>1572553.36126381</v>
      </c>
      <c r="F115" s="180">
        <v>360429</v>
      </c>
      <c r="G115" s="180">
        <v>1391896.477</v>
      </c>
      <c r="H115" s="180">
        <v>319023</v>
      </c>
    </row>
    <row r="116" spans="1:9">
      <c r="A116" s="178" t="s">
        <v>166</v>
      </c>
      <c r="B116" s="180">
        <v>12822961.16203637</v>
      </c>
      <c r="C116" s="180">
        <v>6037089</v>
      </c>
      <c r="D116" s="180">
        <v>13914592.046984</v>
      </c>
      <c r="E116" s="180">
        <v>5144475.1620363705</v>
      </c>
      <c r="F116" s="180">
        <v>1179114</v>
      </c>
      <c r="G116" s="180">
        <v>3048528</v>
      </c>
      <c r="H116" s="180">
        <v>698723</v>
      </c>
    </row>
    <row r="118" spans="1:9">
      <c r="A118" s="178" t="s">
        <v>167</v>
      </c>
      <c r="B118" s="180">
        <f t="shared" ref="B118:H118" si="3">SUM(B105:B116)</f>
        <v>225301764.63905388</v>
      </c>
      <c r="C118" s="180">
        <f t="shared" si="3"/>
        <v>121699454.729</v>
      </c>
      <c r="D118" s="180">
        <f t="shared" si="3"/>
        <v>267514865.93492958</v>
      </c>
      <c r="E118" s="180">
        <f t="shared" si="3"/>
        <v>136177339.16905388</v>
      </c>
      <c r="F118" s="180">
        <f t="shared" si="3"/>
        <v>30849409</v>
      </c>
      <c r="G118" s="180">
        <f t="shared" si="3"/>
        <v>37314406.199000001</v>
      </c>
      <c r="H118" s="180">
        <f t="shared" si="3"/>
        <v>8472852</v>
      </c>
      <c r="I118" s="182">
        <f ca="1">+'OSS Cost'!D54</f>
        <v>134169483</v>
      </c>
    </row>
    <row r="121" spans="1:9" s="166" customFormat="1">
      <c r="A121" s="188" t="s">
        <v>223</v>
      </c>
      <c r="B121" s="188"/>
      <c r="C121" s="188"/>
      <c r="D121" s="188"/>
      <c r="E121" s="188"/>
      <c r="F121" s="188"/>
      <c r="G121" s="188"/>
      <c r="H121" s="188"/>
      <c r="I121" s="188"/>
    </row>
    <row r="122" spans="1:9" s="166" customFormat="1">
      <c r="E122" s="175" t="s">
        <v>208</v>
      </c>
    </row>
    <row r="123" spans="1:9" s="166" customFormat="1">
      <c r="E123" s="169" t="s">
        <v>210</v>
      </c>
      <c r="F123" s="169">
        <f>+I118</f>
        <v>134169483</v>
      </c>
      <c r="G123" s="169" t="s">
        <v>211</v>
      </c>
    </row>
    <row r="124" spans="1:9" s="166" customFormat="1">
      <c r="B124" s="169"/>
      <c r="E124" s="176" t="s">
        <v>212</v>
      </c>
      <c r="F124" s="169">
        <f>+F118</f>
        <v>30849409</v>
      </c>
      <c r="G124" s="169" t="s">
        <v>213</v>
      </c>
    </row>
    <row r="125" spans="1:9" s="166" customFormat="1">
      <c r="E125" s="177" t="s">
        <v>216</v>
      </c>
      <c r="F125" s="175">
        <f>+H118</f>
        <v>8472852</v>
      </c>
      <c r="G125" s="169" t="s">
        <v>213</v>
      </c>
    </row>
    <row r="126" spans="1:9" s="166" customFormat="1">
      <c r="E126" s="169" t="s">
        <v>224</v>
      </c>
      <c r="F126" s="173">
        <f>SUM(F123:F125)</f>
        <v>173491744</v>
      </c>
    </row>
    <row r="127" spans="1:9">
      <c r="B127" s="180"/>
      <c r="C127" s="180"/>
      <c r="D127" s="180"/>
      <c r="E127" s="180"/>
      <c r="F127" s="180"/>
      <c r="G127" s="180"/>
      <c r="H127" s="180"/>
    </row>
    <row r="128" spans="1:9">
      <c r="B128" s="180"/>
      <c r="C128" s="180"/>
      <c r="D128" s="180"/>
      <c r="E128" s="180"/>
      <c r="F128" s="180"/>
      <c r="G128" s="180"/>
      <c r="H128" s="180"/>
    </row>
    <row r="129" spans="1:9">
      <c r="B129" s="180"/>
      <c r="C129" s="180"/>
      <c r="D129" s="180"/>
      <c r="E129" s="180"/>
      <c r="F129" s="180"/>
      <c r="G129" s="180"/>
      <c r="H129" s="180"/>
    </row>
    <row r="130" spans="1:9">
      <c r="B130" s="180"/>
      <c r="C130" s="180"/>
      <c r="D130" s="180"/>
      <c r="E130" s="180"/>
      <c r="F130" s="180"/>
      <c r="G130" s="180"/>
      <c r="H130" s="180"/>
    </row>
    <row r="131" spans="1:9" ht="23.25">
      <c r="A131" s="181" t="s">
        <v>13</v>
      </c>
      <c r="B131" s="181" t="s">
        <v>229</v>
      </c>
      <c r="C131" s="179"/>
      <c r="D131" s="179"/>
      <c r="E131" s="179"/>
      <c r="F131" s="179"/>
      <c r="G131" s="179"/>
      <c r="H131" s="179"/>
    </row>
    <row r="132" spans="1:9" ht="38.25">
      <c r="B132" s="179" t="s">
        <v>195</v>
      </c>
      <c r="C132" s="179" t="s">
        <v>196</v>
      </c>
      <c r="D132" s="179" t="s">
        <v>197</v>
      </c>
      <c r="E132" s="179" t="s">
        <v>225</v>
      </c>
      <c r="F132" s="179" t="s">
        <v>198</v>
      </c>
      <c r="G132" s="179" t="s">
        <v>226</v>
      </c>
      <c r="H132" s="179" t="s">
        <v>199</v>
      </c>
      <c r="I132" s="167" t="s">
        <v>200</v>
      </c>
    </row>
    <row r="133" spans="1:9">
      <c r="B133" s="179" t="s">
        <v>203</v>
      </c>
      <c r="C133" s="179" t="s">
        <v>203</v>
      </c>
      <c r="D133" s="179" t="s">
        <v>204</v>
      </c>
      <c r="E133" s="179" t="s">
        <v>205</v>
      </c>
      <c r="F133" s="179" t="s">
        <v>205</v>
      </c>
      <c r="G133" s="179" t="s">
        <v>205</v>
      </c>
      <c r="H133" s="179" t="s">
        <v>205</v>
      </c>
    </row>
    <row r="134" spans="1:9">
      <c r="A134" s="178" t="s">
        <v>156</v>
      </c>
      <c r="B134" s="180">
        <v>14892646</v>
      </c>
      <c r="C134" s="180">
        <v>7456464.7400000002</v>
      </c>
      <c r="D134" s="180">
        <v>18543338</v>
      </c>
      <c r="E134" s="180">
        <v>9387876</v>
      </c>
      <c r="F134" s="180">
        <v>1758912</v>
      </c>
      <c r="G134" s="180">
        <v>2068760.74</v>
      </c>
      <c r="H134" s="180">
        <v>387603</v>
      </c>
    </row>
    <row r="135" spans="1:9">
      <c r="A135" s="178" t="s">
        <v>157</v>
      </c>
      <c r="B135" s="180">
        <v>10914255</v>
      </c>
      <c r="C135" s="180">
        <v>6812561</v>
      </c>
      <c r="D135" s="180">
        <v>13415045</v>
      </c>
      <c r="E135" s="180">
        <v>7252034</v>
      </c>
      <c r="F135" s="180">
        <v>1358741</v>
      </c>
      <c r="G135" s="180">
        <v>1669203</v>
      </c>
      <c r="H135" s="180">
        <v>312742</v>
      </c>
    </row>
    <row r="136" spans="1:9">
      <c r="A136" s="178" t="s">
        <v>158</v>
      </c>
      <c r="B136" s="180">
        <v>14197030</v>
      </c>
      <c r="C136" s="180">
        <v>8307947</v>
      </c>
      <c r="D136" s="180">
        <v>15825998</v>
      </c>
      <c r="E136" s="180">
        <v>8839594</v>
      </c>
      <c r="F136" s="180">
        <v>1656186</v>
      </c>
      <c r="G136" s="180">
        <v>2944909</v>
      </c>
      <c r="H136" s="180">
        <v>551758</v>
      </c>
    </row>
    <row r="137" spans="1:9">
      <c r="A137" s="178" t="s">
        <v>159</v>
      </c>
      <c r="B137" s="180">
        <v>17325188.580000002</v>
      </c>
      <c r="C137" s="180">
        <v>9624428.6600000001</v>
      </c>
      <c r="D137" s="180">
        <v>18523168.469999999</v>
      </c>
      <c r="E137" s="180">
        <v>10988616.08</v>
      </c>
      <c r="F137" s="180">
        <v>2066299</v>
      </c>
      <c r="G137" s="180">
        <v>3263931.16</v>
      </c>
      <c r="H137" s="180">
        <v>613750</v>
      </c>
    </row>
    <row r="138" spans="1:9">
      <c r="A138" s="178" t="s">
        <v>39</v>
      </c>
      <c r="B138" s="180">
        <v>11900476.35</v>
      </c>
      <c r="C138" s="180">
        <v>5860207.1299999999</v>
      </c>
      <c r="D138" s="180">
        <v>12593054.720000001</v>
      </c>
      <c r="E138" s="180">
        <v>6374436.5099999988</v>
      </c>
      <c r="F138" s="180">
        <v>1198649</v>
      </c>
      <c r="G138" s="180">
        <v>1089164.97</v>
      </c>
      <c r="H138" s="180">
        <v>204807</v>
      </c>
    </row>
    <row r="139" spans="1:9">
      <c r="A139" s="178" t="s">
        <v>160</v>
      </c>
      <c r="B139" s="180">
        <v>18936349.82</v>
      </c>
      <c r="C139" s="180">
        <v>13674488.02</v>
      </c>
      <c r="D139" s="180">
        <v>28404359.379999999</v>
      </c>
      <c r="E139" s="180">
        <v>11499305.82</v>
      </c>
      <c r="F139" s="180">
        <v>2162329</v>
      </c>
      <c r="G139" s="180">
        <v>2947729.02</v>
      </c>
      <c r="H139" s="180">
        <v>554291</v>
      </c>
    </row>
    <row r="140" spans="1:9">
      <c r="A140" s="178" t="s">
        <v>161</v>
      </c>
      <c r="B140" s="180">
        <v>25316675.866160389</v>
      </c>
      <c r="C140" s="180">
        <v>16528006.92</v>
      </c>
      <c r="D140" s="180">
        <v>37774734.243299596</v>
      </c>
      <c r="E140" s="180">
        <v>18938016.866160389</v>
      </c>
      <c r="F140" s="180">
        <v>3561105</v>
      </c>
      <c r="G140" s="180">
        <v>1493299.92</v>
      </c>
      <c r="H140" s="180">
        <v>280800</v>
      </c>
    </row>
    <row r="141" spans="1:9">
      <c r="A141" s="178" t="s">
        <v>162</v>
      </c>
      <c r="B141" s="180">
        <v>20259623.350338563</v>
      </c>
      <c r="C141" s="180">
        <v>14654656.26</v>
      </c>
      <c r="D141" s="180">
        <v>26779106.7047286</v>
      </c>
      <c r="E141" s="180">
        <v>15424192.35033856</v>
      </c>
      <c r="F141" s="180">
        <v>2977332</v>
      </c>
      <c r="G141" s="180">
        <v>1683701.26</v>
      </c>
      <c r="H141" s="180">
        <v>325005</v>
      </c>
    </row>
    <row r="142" spans="1:9">
      <c r="A142" s="178" t="s">
        <v>163</v>
      </c>
      <c r="B142" s="180">
        <v>15568585.0851424</v>
      </c>
      <c r="C142" s="180">
        <v>10745258.48</v>
      </c>
      <c r="D142" s="180">
        <v>20120808.527005099</v>
      </c>
      <c r="E142" s="180">
        <v>10030899.0851424</v>
      </c>
      <c r="F142" s="180">
        <v>1936264</v>
      </c>
      <c r="G142" s="180">
        <v>1236018.48</v>
      </c>
      <c r="H142" s="180">
        <v>238589</v>
      </c>
    </row>
    <row r="143" spans="1:9">
      <c r="A143" s="178" t="s">
        <v>164</v>
      </c>
      <c r="B143" s="180">
        <v>11825925.622362379</v>
      </c>
      <c r="C143" s="180">
        <v>5728082</v>
      </c>
      <c r="D143" s="180">
        <v>11272420.2912331</v>
      </c>
      <c r="E143" s="180">
        <v>7714311.6223623799</v>
      </c>
      <c r="F143" s="180">
        <v>1489094</v>
      </c>
      <c r="G143" s="180">
        <v>737169</v>
      </c>
      <c r="H143" s="180">
        <v>142296</v>
      </c>
    </row>
    <row r="144" spans="1:9">
      <c r="A144" s="178" t="s">
        <v>165</v>
      </c>
      <c r="B144" s="180">
        <v>6726905.3286654959</v>
      </c>
      <c r="C144" s="180">
        <v>4396805.7</v>
      </c>
      <c r="D144" s="180">
        <v>8891669.9282562025</v>
      </c>
      <c r="E144" s="180">
        <v>2391463.3286654949</v>
      </c>
      <c r="F144" s="180">
        <v>461624</v>
      </c>
      <c r="G144" s="180">
        <v>398968.7</v>
      </c>
      <c r="H144" s="180">
        <v>77013</v>
      </c>
    </row>
    <row r="145" spans="1:9">
      <c r="A145" s="178" t="s">
        <v>166</v>
      </c>
      <c r="B145" s="180">
        <v>10097049.580671638</v>
      </c>
      <c r="C145" s="180">
        <v>5469523</v>
      </c>
      <c r="D145" s="180">
        <v>11718733.4552706</v>
      </c>
      <c r="E145" s="180">
        <v>5323950.5806716392</v>
      </c>
      <c r="F145" s="180">
        <v>1027682</v>
      </c>
      <c r="G145" s="180">
        <v>873793</v>
      </c>
      <c r="H145" s="180">
        <v>168668</v>
      </c>
    </row>
    <row r="147" spans="1:9">
      <c r="A147" s="178" t="s">
        <v>167</v>
      </c>
      <c r="B147" s="180">
        <f t="shared" ref="B147:H147" si="4">SUM(B134:B145)</f>
        <v>177960710.58334085</v>
      </c>
      <c r="C147" s="180">
        <f t="shared" si="4"/>
        <v>109258428.91000001</v>
      </c>
      <c r="D147" s="180">
        <f t="shared" si="4"/>
        <v>223862436.7197932</v>
      </c>
      <c r="E147" s="180">
        <f t="shared" si="4"/>
        <v>114164696.24334086</v>
      </c>
      <c r="F147" s="180">
        <f t="shared" si="4"/>
        <v>21654217</v>
      </c>
      <c r="G147" s="180">
        <f t="shared" si="4"/>
        <v>20406648.25</v>
      </c>
      <c r="H147" s="180">
        <f t="shared" si="4"/>
        <v>3857322</v>
      </c>
      <c r="I147" s="182">
        <f ca="1">+'OSS Cost'!D55</f>
        <v>109059807</v>
      </c>
    </row>
    <row r="150" spans="1:9" s="166" customFormat="1">
      <c r="A150" s="188" t="s">
        <v>223</v>
      </c>
      <c r="B150" s="188"/>
      <c r="C150" s="188"/>
      <c r="D150" s="188"/>
      <c r="E150" s="188"/>
      <c r="F150" s="188"/>
      <c r="G150" s="188"/>
      <c r="H150" s="188"/>
      <c r="I150" s="188"/>
    </row>
    <row r="151" spans="1:9" s="166" customFormat="1">
      <c r="E151" s="175" t="s">
        <v>208</v>
      </c>
    </row>
    <row r="152" spans="1:9" s="166" customFormat="1">
      <c r="E152" s="169" t="s">
        <v>210</v>
      </c>
      <c r="F152" s="169">
        <f>+I147</f>
        <v>109059807</v>
      </c>
      <c r="G152" s="169" t="s">
        <v>211</v>
      </c>
    </row>
    <row r="153" spans="1:9" s="166" customFormat="1">
      <c r="B153" s="169"/>
      <c r="E153" s="176" t="s">
        <v>212</v>
      </c>
      <c r="F153" s="169">
        <f>+F147</f>
        <v>21654217</v>
      </c>
      <c r="G153" s="169" t="s">
        <v>213</v>
      </c>
    </row>
    <row r="154" spans="1:9" s="166" customFormat="1">
      <c r="E154" s="177" t="s">
        <v>216</v>
      </c>
      <c r="F154" s="175">
        <f>+H147</f>
        <v>3857322</v>
      </c>
      <c r="G154" s="169" t="s">
        <v>213</v>
      </c>
    </row>
    <row r="155" spans="1:9" s="166" customFormat="1">
      <c r="E155" s="169" t="s">
        <v>224</v>
      </c>
      <c r="F155" s="173">
        <f>SUM(F152:F154)</f>
        <v>134571346</v>
      </c>
    </row>
    <row r="158" spans="1:9" ht="23.25">
      <c r="A158" s="181" t="s">
        <v>227</v>
      </c>
      <c r="C158" s="181" t="s">
        <v>229</v>
      </c>
    </row>
    <row r="159" spans="1:9" ht="38.25">
      <c r="B159" s="179" t="s">
        <v>195</v>
      </c>
      <c r="C159" s="179" t="s">
        <v>196</v>
      </c>
      <c r="D159" s="179" t="s">
        <v>197</v>
      </c>
      <c r="E159" s="179" t="s">
        <v>225</v>
      </c>
      <c r="F159" s="179" t="s">
        <v>198</v>
      </c>
      <c r="G159" s="179" t="s">
        <v>226</v>
      </c>
      <c r="H159" s="179" t="s">
        <v>199</v>
      </c>
      <c r="I159" s="167" t="s">
        <v>200</v>
      </c>
    </row>
    <row r="160" spans="1:9">
      <c r="B160" s="179" t="s">
        <v>203</v>
      </c>
      <c r="C160" s="179" t="s">
        <v>203</v>
      </c>
      <c r="D160" s="179" t="s">
        <v>204</v>
      </c>
      <c r="E160" s="179" t="s">
        <v>205</v>
      </c>
      <c r="F160" s="179" t="s">
        <v>205</v>
      </c>
      <c r="G160" s="179" t="s">
        <v>205</v>
      </c>
      <c r="H160" s="179" t="s">
        <v>205</v>
      </c>
    </row>
    <row r="161" spans="1:9">
      <c r="A161" s="178" t="s">
        <v>156</v>
      </c>
      <c r="B161" s="180">
        <f t="shared" ref="B161:H172" si="5">B134+B105+B78+B49+B4</f>
        <v>69593237</v>
      </c>
      <c r="C161" s="180">
        <f t="shared" si="5"/>
        <v>38414002.649999999</v>
      </c>
      <c r="D161" s="180">
        <f t="shared" si="5"/>
        <v>98971784</v>
      </c>
      <c r="E161" s="180">
        <f t="shared" si="5"/>
        <v>38360112</v>
      </c>
      <c r="F161" s="180">
        <f t="shared" si="5"/>
        <v>9493487</v>
      </c>
      <c r="G161" s="180">
        <f t="shared" si="5"/>
        <v>12894049.65</v>
      </c>
      <c r="H161" s="180">
        <f t="shared" si="5"/>
        <v>3346673</v>
      </c>
    </row>
    <row r="162" spans="1:9">
      <c r="A162" s="178" t="s">
        <v>157</v>
      </c>
      <c r="B162" s="180">
        <f t="shared" si="5"/>
        <v>55919416</v>
      </c>
      <c r="C162" s="180">
        <f t="shared" si="5"/>
        <v>34314940.129999995</v>
      </c>
      <c r="D162" s="180">
        <f t="shared" si="5"/>
        <v>71600446</v>
      </c>
      <c r="E162" s="180">
        <f t="shared" si="5"/>
        <v>31351920</v>
      </c>
      <c r="F162" s="180">
        <f t="shared" si="5"/>
        <v>7273553</v>
      </c>
      <c r="G162" s="180">
        <f t="shared" si="5"/>
        <v>13930125.129999999</v>
      </c>
      <c r="H162" s="180">
        <f t="shared" si="5"/>
        <v>3693551</v>
      </c>
    </row>
    <row r="163" spans="1:9">
      <c r="A163" s="178" t="s">
        <v>158</v>
      </c>
      <c r="B163" s="180">
        <f t="shared" si="5"/>
        <v>69003084</v>
      </c>
      <c r="C163" s="180">
        <f t="shared" si="5"/>
        <v>42426206</v>
      </c>
      <c r="D163" s="180">
        <f t="shared" si="5"/>
        <v>84468492</v>
      </c>
      <c r="E163" s="180">
        <f t="shared" si="5"/>
        <v>36856762</v>
      </c>
      <c r="F163" s="180">
        <f t="shared" si="5"/>
        <v>8730844</v>
      </c>
      <c r="G163" s="180">
        <f t="shared" si="5"/>
        <v>19269903</v>
      </c>
      <c r="H163" s="180">
        <f t="shared" si="5"/>
        <v>4969614</v>
      </c>
    </row>
    <row r="164" spans="1:9">
      <c r="A164" s="178" t="s">
        <v>159</v>
      </c>
      <c r="B164" s="180">
        <f t="shared" si="5"/>
        <v>81775786.489999995</v>
      </c>
      <c r="C164" s="180">
        <f t="shared" si="5"/>
        <v>49565020.759999998</v>
      </c>
      <c r="D164" s="180">
        <f t="shared" si="5"/>
        <v>98506574.689999998</v>
      </c>
      <c r="E164" s="180">
        <f t="shared" si="5"/>
        <v>42474563.030000001</v>
      </c>
      <c r="F164" s="180">
        <f t="shared" si="5"/>
        <v>9981421</v>
      </c>
      <c r="G164" s="180">
        <f t="shared" si="5"/>
        <v>22960865.219999999</v>
      </c>
      <c r="H164" s="180">
        <f t="shared" si="5"/>
        <v>5888986</v>
      </c>
    </row>
    <row r="165" spans="1:9">
      <c r="A165" s="178" t="s">
        <v>39</v>
      </c>
      <c r="B165" s="180">
        <f t="shared" si="5"/>
        <v>62223662.960000001</v>
      </c>
      <c r="C165" s="180">
        <f t="shared" si="5"/>
        <v>29029992.229999997</v>
      </c>
      <c r="D165" s="180">
        <f t="shared" si="5"/>
        <v>66970211.640000001</v>
      </c>
      <c r="E165" s="180">
        <f t="shared" si="5"/>
        <v>25560091.359999999</v>
      </c>
      <c r="F165" s="180">
        <f t="shared" si="5"/>
        <v>6143398</v>
      </c>
      <c r="G165" s="180">
        <f t="shared" si="5"/>
        <v>13068187.83</v>
      </c>
      <c r="H165" s="180">
        <f t="shared" si="5"/>
        <v>3454890</v>
      </c>
    </row>
    <row r="166" spans="1:9">
      <c r="A166" s="178" t="s">
        <v>160</v>
      </c>
      <c r="B166" s="180">
        <f t="shared" si="5"/>
        <v>111042455.79000001</v>
      </c>
      <c r="C166" s="180">
        <f t="shared" si="5"/>
        <v>66153050.799999997</v>
      </c>
      <c r="D166" s="180">
        <f t="shared" si="5"/>
        <v>151054946.01999998</v>
      </c>
      <c r="E166" s="180">
        <f t="shared" si="5"/>
        <v>64086550.789999992</v>
      </c>
      <c r="F166" s="180">
        <f t="shared" si="5"/>
        <v>15387268</v>
      </c>
      <c r="G166" s="180">
        <f t="shared" si="5"/>
        <v>23081651.800000001</v>
      </c>
      <c r="H166" s="180">
        <f t="shared" si="5"/>
        <v>5627884</v>
      </c>
    </row>
    <row r="167" spans="1:9">
      <c r="A167" s="178" t="s">
        <v>161</v>
      </c>
      <c r="B167" s="180">
        <f t="shared" si="5"/>
        <v>134307970.27816775</v>
      </c>
      <c r="C167" s="180">
        <f t="shared" si="5"/>
        <v>82504341.120000005</v>
      </c>
      <c r="D167" s="180">
        <f t="shared" si="5"/>
        <v>200886695.70999998</v>
      </c>
      <c r="E167" s="180">
        <f t="shared" si="5"/>
        <v>87464458.278167754</v>
      </c>
      <c r="F167" s="180">
        <f t="shared" si="5"/>
        <v>20399311</v>
      </c>
      <c r="G167" s="180">
        <f t="shared" si="5"/>
        <v>20863086.119999997</v>
      </c>
      <c r="H167" s="180">
        <f t="shared" si="5"/>
        <v>5423893</v>
      </c>
    </row>
    <row r="168" spans="1:9">
      <c r="A168" s="178" t="s">
        <v>162</v>
      </c>
      <c r="B168" s="180">
        <f t="shared" si="5"/>
        <v>109354626.16904464</v>
      </c>
      <c r="C168" s="180">
        <f t="shared" si="5"/>
        <v>70422460.497999996</v>
      </c>
      <c r="D168" s="180">
        <f t="shared" si="5"/>
        <v>138730284.12</v>
      </c>
      <c r="E168" s="180">
        <f t="shared" si="5"/>
        <v>70981824.169044644</v>
      </c>
      <c r="F168" s="180">
        <f t="shared" si="5"/>
        <v>16949644</v>
      </c>
      <c r="G168" s="180">
        <f t="shared" si="5"/>
        <v>22045131.498000003</v>
      </c>
      <c r="H168" s="180">
        <f t="shared" si="5"/>
        <v>5654850</v>
      </c>
    </row>
    <row r="169" spans="1:9">
      <c r="A169" s="178" t="s">
        <v>163</v>
      </c>
      <c r="B169" s="180">
        <f t="shared" si="5"/>
        <v>89218148.6768509</v>
      </c>
      <c r="C169" s="180">
        <f t="shared" si="5"/>
        <v>50437164.624000005</v>
      </c>
      <c r="D169" s="180">
        <f t="shared" si="5"/>
        <v>104236691.36000001</v>
      </c>
      <c r="E169" s="180">
        <f t="shared" si="5"/>
        <v>47808128.6768509</v>
      </c>
      <c r="F169" s="180">
        <f t="shared" si="5"/>
        <v>11541981</v>
      </c>
      <c r="G169" s="180">
        <f t="shared" si="5"/>
        <v>19125054.624000002</v>
      </c>
      <c r="H169" s="180">
        <f t="shared" si="5"/>
        <v>4954037</v>
      </c>
    </row>
    <row r="170" spans="1:9">
      <c r="A170" s="178" t="s">
        <v>164</v>
      </c>
      <c r="B170" s="180">
        <f t="shared" si="5"/>
        <v>55607507.719066836</v>
      </c>
      <c r="C170" s="180">
        <f t="shared" si="5"/>
        <v>28806595</v>
      </c>
      <c r="D170" s="180">
        <f t="shared" si="5"/>
        <v>58397245.440000005</v>
      </c>
      <c r="E170" s="180">
        <f t="shared" si="5"/>
        <v>21759579.71906684</v>
      </c>
      <c r="F170" s="180">
        <f t="shared" si="5"/>
        <v>5001190</v>
      </c>
      <c r="G170" s="180">
        <f t="shared" si="5"/>
        <v>16366473</v>
      </c>
      <c r="H170" s="180">
        <f t="shared" si="5"/>
        <v>4318267</v>
      </c>
    </row>
    <row r="171" spans="1:9">
      <c r="A171" s="178" t="s">
        <v>165</v>
      </c>
      <c r="B171" s="180">
        <f t="shared" si="5"/>
        <v>45961331.067338824</v>
      </c>
      <c r="C171" s="180">
        <f t="shared" si="5"/>
        <v>19842875.437000003</v>
      </c>
      <c r="D171" s="180">
        <f t="shared" si="5"/>
        <v>46063668.560000002</v>
      </c>
      <c r="E171" s="180">
        <f t="shared" si="5"/>
        <v>11577925.067338815</v>
      </c>
      <c r="F171" s="180">
        <f t="shared" si="5"/>
        <v>1983266</v>
      </c>
      <c r="G171" s="180">
        <f t="shared" si="5"/>
        <v>13990339.436999999</v>
      </c>
      <c r="H171" s="180">
        <f t="shared" si="5"/>
        <v>3742124</v>
      </c>
    </row>
    <row r="172" spans="1:9">
      <c r="A172" s="178" t="s">
        <v>166</v>
      </c>
      <c r="B172" s="180">
        <f t="shared" si="5"/>
        <v>54733352.385840692</v>
      </c>
      <c r="C172" s="180">
        <f t="shared" si="5"/>
        <v>25952590</v>
      </c>
      <c r="D172" s="180">
        <f t="shared" si="5"/>
        <v>60709389.459999993</v>
      </c>
      <c r="E172" s="180">
        <f t="shared" si="5"/>
        <v>16667767.385840688</v>
      </c>
      <c r="F172" s="180">
        <f t="shared" si="5"/>
        <v>3885316</v>
      </c>
      <c r="G172" s="180">
        <f t="shared" si="5"/>
        <v>17865069</v>
      </c>
      <c r="H172" s="180">
        <f t="shared" si="5"/>
        <v>4694931</v>
      </c>
    </row>
    <row r="174" spans="1:9">
      <c r="A174" s="178" t="s">
        <v>167</v>
      </c>
      <c r="B174" s="180">
        <f t="shared" ref="B174:H174" si="6">SUM(B161:B172)</f>
        <v>938740578.5363096</v>
      </c>
      <c r="C174" s="180">
        <f t="shared" si="6"/>
        <v>537869239.24899995</v>
      </c>
      <c r="D174" s="180">
        <f t="shared" si="6"/>
        <v>1180596429</v>
      </c>
      <c r="E174" s="180">
        <f t="shared" si="6"/>
        <v>494949682.47630972</v>
      </c>
      <c r="F174" s="180">
        <f t="shared" si="6"/>
        <v>116770679</v>
      </c>
      <c r="G174" s="180">
        <f t="shared" si="6"/>
        <v>215459936.30900002</v>
      </c>
      <c r="H174" s="180">
        <f t="shared" si="6"/>
        <v>55769700</v>
      </c>
      <c r="I174" s="180">
        <f>I147+I118+I91+I62+I17</f>
        <v>537869240</v>
      </c>
    </row>
    <row r="176" spans="1:9" s="166" customFormat="1">
      <c r="A176" s="188" t="s">
        <v>223</v>
      </c>
      <c r="B176" s="188"/>
      <c r="C176" s="188"/>
      <c r="D176" s="188"/>
      <c r="E176" s="188"/>
      <c r="F176" s="188"/>
      <c r="G176" s="188"/>
      <c r="H176" s="188"/>
      <c r="I176" s="188"/>
    </row>
    <row r="177" spans="5:7">
      <c r="E177" s="175" t="s">
        <v>208</v>
      </c>
    </row>
    <row r="178" spans="5:7">
      <c r="E178" s="169" t="s">
        <v>210</v>
      </c>
      <c r="F178" s="183">
        <f>+F36++F67+F96+F123+F152</f>
        <v>537869240</v>
      </c>
    </row>
    <row r="179" spans="5:7">
      <c r="E179" s="176" t="s">
        <v>212</v>
      </c>
      <c r="F179" s="183">
        <f>+F37++F68+F97+F124+F153</f>
        <v>116770679</v>
      </c>
    </row>
    <row r="180" spans="5:7">
      <c r="E180" s="177" t="s">
        <v>216</v>
      </c>
      <c r="F180" s="185">
        <f>+F38++F69+F98+F125+F154</f>
        <v>55769700</v>
      </c>
    </row>
    <row r="181" spans="5:7">
      <c r="E181" s="169" t="s">
        <v>224</v>
      </c>
      <c r="F181" s="184">
        <f>+F39++F70+F99+F126+F155</f>
        <v>710409619</v>
      </c>
      <c r="G181" s="183">
        <f>+F181-F178</f>
        <v>172540379</v>
      </c>
    </row>
  </sheetData>
  <mergeCells count="7">
    <mergeCell ref="A176:I176"/>
    <mergeCell ref="A121:I121"/>
    <mergeCell ref="A150:I150"/>
    <mergeCell ref="A22:I22"/>
    <mergeCell ref="A34:I34"/>
    <mergeCell ref="A65:I65"/>
    <mergeCell ref="A94:I94"/>
  </mergeCells>
  <phoneticPr fontId="89" type="noConversion"/>
  <pageMargins left="0.75" right="0.75" top="1" bottom="1" header="0.5" footer="0.5"/>
  <pageSetup scale="61" fitToHeight="3" orientation="landscape" r:id="rId1"/>
  <headerFooter alignWithMargins="0">
    <oddFooter>&amp;L&amp;F &amp;A &amp;CPage &amp;P of &amp;N&amp;R&amp;D</oddFooter>
  </headerFooter>
  <rowBreaks count="3" manualBreakCount="3">
    <brk id="45" max="10" man="1"/>
    <brk id="74" max="10" man="1"/>
    <brk id="130" max="10" man="1"/>
  </rowBreak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G36"/>
  <sheetViews>
    <sheetView zoomScale="75" workbookViewId="0">
      <selection activeCell="D49" sqref="D49"/>
    </sheetView>
  </sheetViews>
  <sheetFormatPr defaultRowHeight="15"/>
  <cols>
    <col min="1" max="1" width="23" style="19" customWidth="1"/>
    <col min="2" max="2" width="13.28515625" style="19" bestFit="1" customWidth="1"/>
    <col min="3" max="5" width="11.5703125" style="19" bestFit="1" customWidth="1"/>
    <col min="6" max="6" width="12.7109375" style="19" bestFit="1" customWidth="1"/>
    <col min="7" max="7" width="15.28515625" style="19" bestFit="1" customWidth="1"/>
    <col min="8" max="16384" width="9.140625" style="19"/>
  </cols>
  <sheetData>
    <row r="1" spans="1:7" ht="18.75">
      <c r="A1" s="137" t="s">
        <v>177</v>
      </c>
    </row>
    <row r="2" spans="1:7">
      <c r="B2" s="189">
        <v>2011</v>
      </c>
      <c r="C2" s="189"/>
      <c r="D2" s="189"/>
      <c r="E2" s="189"/>
      <c r="F2" s="189"/>
      <c r="G2" s="189"/>
    </row>
    <row r="3" spans="1:7">
      <c r="B3" s="189" t="s">
        <v>18</v>
      </c>
      <c r="C3" s="189"/>
      <c r="D3" s="189"/>
      <c r="E3" s="189"/>
      <c r="F3" s="189"/>
      <c r="G3" s="189"/>
    </row>
    <row r="4" spans="1:7">
      <c r="B4" s="19" t="s">
        <v>6</v>
      </c>
      <c r="C4" s="19" t="s">
        <v>9</v>
      </c>
      <c r="D4" s="19" t="s">
        <v>19</v>
      </c>
      <c r="E4" s="19" t="s">
        <v>14</v>
      </c>
      <c r="F4" s="19" t="s">
        <v>20</v>
      </c>
      <c r="G4" s="19" t="s">
        <v>23</v>
      </c>
    </row>
    <row r="5" spans="1:7">
      <c r="A5" s="19" t="s">
        <v>168</v>
      </c>
      <c r="B5" s="83">
        <v>119523000</v>
      </c>
      <c r="C5" s="83">
        <v>23915000</v>
      </c>
      <c r="D5" s="83">
        <v>68188000</v>
      </c>
      <c r="E5" s="83">
        <v>90087000</v>
      </c>
      <c r="F5" s="83">
        <v>114000000</v>
      </c>
      <c r="G5" s="83">
        <f>SUM(B5:F5)</f>
        <v>415713000</v>
      </c>
    </row>
    <row r="7" spans="1:7">
      <c r="A7" s="19" t="s">
        <v>139</v>
      </c>
      <c r="B7" s="83">
        <v>32928000</v>
      </c>
      <c r="C7" s="83">
        <v>7249000</v>
      </c>
      <c r="D7" s="83">
        <v>21120000</v>
      </c>
      <c r="E7" s="83">
        <v>20450000</v>
      </c>
      <c r="F7" s="83">
        <v>16881000</v>
      </c>
      <c r="G7" s="83">
        <f>SUM(B7:F7)</f>
        <v>98628000</v>
      </c>
    </row>
    <row r="8" spans="1:7">
      <c r="G8" s="78"/>
    </row>
    <row r="9" spans="1:7">
      <c r="A9" s="50" t="s">
        <v>193</v>
      </c>
      <c r="B9" s="165">
        <f t="shared" ref="B9:G9" si="0">+B5-B7</f>
        <v>86595000</v>
      </c>
      <c r="C9" s="165">
        <f t="shared" si="0"/>
        <v>16666000</v>
      </c>
      <c r="D9" s="165">
        <f t="shared" si="0"/>
        <v>47068000</v>
      </c>
      <c r="E9" s="165">
        <f t="shared" si="0"/>
        <v>69637000</v>
      </c>
      <c r="F9" s="165">
        <f t="shared" si="0"/>
        <v>97119000</v>
      </c>
      <c r="G9" s="165">
        <f t="shared" si="0"/>
        <v>317085000</v>
      </c>
    </row>
    <row r="10" spans="1:7">
      <c r="A10" s="20"/>
      <c r="B10" s="139"/>
      <c r="C10" s="139"/>
      <c r="D10" s="139"/>
      <c r="E10" s="139"/>
      <c r="F10" s="139"/>
      <c r="G10" s="139"/>
    </row>
    <row r="11" spans="1:7">
      <c r="A11" s="49" t="s">
        <v>128</v>
      </c>
    </row>
    <row r="12" spans="1:7">
      <c r="A12" s="131" t="s">
        <v>194</v>
      </c>
    </row>
    <row r="13" spans="1:7">
      <c r="A13" s="19" t="s">
        <v>53</v>
      </c>
    </row>
    <row r="14" spans="1:7">
      <c r="A14" s="49"/>
    </row>
    <row r="16" spans="1:7">
      <c r="B16" s="189"/>
      <c r="C16" s="189"/>
      <c r="D16" s="189"/>
      <c r="E16" s="189"/>
      <c r="F16" s="189"/>
      <c r="G16" s="189"/>
    </row>
    <row r="17" spans="2:7">
      <c r="B17" s="189"/>
      <c r="C17" s="189"/>
      <c r="D17" s="189"/>
      <c r="E17" s="189"/>
      <c r="F17" s="189"/>
      <c r="G17" s="189"/>
    </row>
    <row r="19" spans="2:7">
      <c r="B19" s="83"/>
      <c r="C19" s="83"/>
      <c r="D19" s="83"/>
      <c r="E19" s="83"/>
      <c r="F19" s="83"/>
      <c r="G19" s="83"/>
    </row>
    <row r="21" spans="2:7">
      <c r="B21" s="189"/>
      <c r="C21" s="189"/>
      <c r="D21" s="189"/>
      <c r="E21" s="189"/>
      <c r="F21" s="189"/>
      <c r="G21" s="189"/>
    </row>
    <row r="22" spans="2:7">
      <c r="B22" s="189"/>
      <c r="C22" s="189"/>
      <c r="D22" s="189"/>
      <c r="E22" s="189"/>
      <c r="F22" s="189"/>
      <c r="G22" s="189"/>
    </row>
    <row r="24" spans="2:7">
      <c r="B24" s="83"/>
      <c r="C24" s="83"/>
      <c r="D24" s="83"/>
      <c r="E24" s="83"/>
      <c r="F24" s="83"/>
      <c r="G24" s="83"/>
    </row>
    <row r="26" spans="2:7">
      <c r="B26" s="189"/>
      <c r="C26" s="189"/>
      <c r="D26" s="189"/>
      <c r="E26" s="189"/>
      <c r="F26" s="189"/>
      <c r="G26" s="189"/>
    </row>
    <row r="27" spans="2:7">
      <c r="B27" s="189"/>
      <c r="C27" s="189"/>
      <c r="D27" s="189"/>
      <c r="E27" s="189"/>
      <c r="F27" s="189"/>
      <c r="G27" s="189"/>
    </row>
    <row r="29" spans="2:7">
      <c r="B29" s="83"/>
      <c r="C29" s="83"/>
      <c r="D29" s="83"/>
      <c r="E29" s="83"/>
      <c r="F29" s="83"/>
      <c r="G29" s="83"/>
    </row>
    <row r="34" spans="2:6">
      <c r="B34" s="83"/>
      <c r="C34" s="83"/>
      <c r="D34" s="83"/>
      <c r="E34" s="83"/>
      <c r="F34" s="83"/>
    </row>
    <row r="35" spans="2:6">
      <c r="B35" s="83"/>
      <c r="C35" s="83"/>
      <c r="D35" s="83"/>
      <c r="E35" s="83"/>
      <c r="F35" s="83"/>
    </row>
    <row r="36" spans="2:6">
      <c r="B36" s="83"/>
      <c r="C36" s="83"/>
      <c r="D36" s="83"/>
      <c r="E36" s="83"/>
      <c r="F36" s="83"/>
    </row>
  </sheetData>
  <mergeCells count="8">
    <mergeCell ref="B3:G3"/>
    <mergeCell ref="B2:G2"/>
    <mergeCell ref="B27:G27"/>
    <mergeCell ref="B16:G16"/>
    <mergeCell ref="B17:G17"/>
    <mergeCell ref="B21:G21"/>
    <mergeCell ref="B22:G22"/>
    <mergeCell ref="B26:G26"/>
  </mergeCells>
  <phoneticPr fontId="70" type="noConversion"/>
  <pageMargins left="0.7" right="0.7" top="0.75" bottom="0.75" header="0.3" footer="0.3"/>
  <pageSetup scale="95" orientation="landscape" r:id="rId1"/>
  <headerFooter>
    <oddFooter>&amp;L&amp;F&amp;A &amp;D&amp;T</oddFooter>
  </headerFooter>
</worksheet>
</file>

<file path=xl/worksheets/sheet7.xml><?xml version="1.0" encoding="utf-8"?>
<worksheet xmlns="http://schemas.openxmlformats.org/spreadsheetml/2006/main" xmlns:r="http://schemas.openxmlformats.org/officeDocument/2006/relationships">
  <sheetPr>
    <tabColor rgb="FF92D050"/>
  </sheetPr>
  <dimension ref="A1:G63"/>
  <sheetViews>
    <sheetView topLeftCell="A31" zoomScale="75" zoomScaleNormal="100" workbookViewId="0">
      <selection activeCell="D49" sqref="D49"/>
    </sheetView>
  </sheetViews>
  <sheetFormatPr defaultRowHeight="15"/>
  <cols>
    <col min="1" max="1" width="11.5703125" style="19" customWidth="1"/>
    <col min="2" max="2" width="13" style="19" customWidth="1"/>
    <col min="3" max="3" width="13.28515625" style="19" bestFit="1" customWidth="1"/>
    <col min="4" max="4" width="16.140625" style="19" customWidth="1"/>
    <col min="5" max="5" width="11.85546875" style="19" bestFit="1" customWidth="1"/>
    <col min="6" max="6" width="12.28515625" style="19" bestFit="1" customWidth="1"/>
    <col min="7" max="7" width="14.140625" style="19" customWidth="1"/>
    <col min="8" max="16384" width="9.140625" style="19"/>
  </cols>
  <sheetData>
    <row r="1" spans="1:7" ht="18.75">
      <c r="A1" s="137" t="s">
        <v>178</v>
      </c>
    </row>
    <row r="3" spans="1:7">
      <c r="A3" s="19" t="s">
        <v>140</v>
      </c>
      <c r="E3" s="19" t="s">
        <v>32</v>
      </c>
    </row>
    <row r="4" spans="1:7">
      <c r="A4" s="19" t="s">
        <v>6</v>
      </c>
      <c r="B4" s="83">
        <v>295441</v>
      </c>
      <c r="C4" s="83">
        <v>426371</v>
      </c>
      <c r="E4" s="19" t="s">
        <v>6</v>
      </c>
      <c r="F4" s="83">
        <v>776899</v>
      </c>
      <c r="G4" s="83">
        <v>734861</v>
      </c>
    </row>
    <row r="5" spans="1:7">
      <c r="A5" s="19" t="s">
        <v>9</v>
      </c>
      <c r="B5" s="83">
        <v>100377</v>
      </c>
      <c r="C5" s="83">
        <v>68212</v>
      </c>
      <c r="E5" s="19" t="s">
        <v>9</v>
      </c>
      <c r="F5" s="83">
        <v>224589</v>
      </c>
      <c r="G5" s="83">
        <v>198826</v>
      </c>
    </row>
    <row r="6" spans="1:7">
      <c r="A6" s="19" t="s">
        <v>11</v>
      </c>
      <c r="B6" s="83">
        <v>268847</v>
      </c>
      <c r="C6" s="83">
        <v>107974</v>
      </c>
      <c r="E6" s="19" t="s">
        <v>11</v>
      </c>
      <c r="F6" s="83">
        <v>575550</v>
      </c>
      <c r="G6" s="83">
        <v>398595</v>
      </c>
    </row>
    <row r="7" spans="1:7">
      <c r="A7" s="19" t="s">
        <v>14</v>
      </c>
      <c r="B7" s="83">
        <v>263265</v>
      </c>
      <c r="C7" s="83">
        <v>264214</v>
      </c>
      <c r="E7" s="19" t="s">
        <v>14</v>
      </c>
      <c r="F7" s="83">
        <v>547552</v>
      </c>
      <c r="G7" s="83">
        <v>813681</v>
      </c>
    </row>
    <row r="8" spans="1:7">
      <c r="A8" s="19" t="s">
        <v>13</v>
      </c>
      <c r="B8" s="83">
        <v>221259</v>
      </c>
      <c r="C8" s="83">
        <v>282418</v>
      </c>
      <c r="E8" s="19" t="s">
        <v>13</v>
      </c>
      <c r="F8" s="83">
        <v>535244</v>
      </c>
      <c r="G8" s="83">
        <v>513870</v>
      </c>
    </row>
    <row r="9" spans="1:7">
      <c r="A9" s="19" t="s">
        <v>29</v>
      </c>
      <c r="B9" s="83">
        <v>1140516</v>
      </c>
      <c r="C9" s="83">
        <v>1149189</v>
      </c>
      <c r="E9" s="19" t="s">
        <v>29</v>
      </c>
      <c r="F9" s="83">
        <v>2659834</v>
      </c>
      <c r="G9" s="83">
        <v>2659834</v>
      </c>
    </row>
    <row r="11" spans="1:7">
      <c r="A11" s="19" t="s">
        <v>36</v>
      </c>
      <c r="E11" s="19" t="s">
        <v>33</v>
      </c>
    </row>
    <row r="12" spans="1:7">
      <c r="A12" s="19" t="s">
        <v>6</v>
      </c>
      <c r="B12" s="83">
        <v>268245</v>
      </c>
      <c r="C12" s="83">
        <v>348164</v>
      </c>
      <c r="E12" s="19" t="s">
        <v>6</v>
      </c>
      <c r="F12" s="83">
        <v>590745</v>
      </c>
      <c r="G12" s="83">
        <v>690902</v>
      </c>
    </row>
    <row r="13" spans="1:7">
      <c r="A13" s="19" t="s">
        <v>9</v>
      </c>
      <c r="B13" s="83">
        <v>82899</v>
      </c>
      <c r="C13" s="83">
        <v>120814</v>
      </c>
      <c r="E13" s="19" t="s">
        <v>9</v>
      </c>
      <c r="F13" s="83">
        <v>182763</v>
      </c>
      <c r="G13" s="83">
        <v>120045</v>
      </c>
    </row>
    <row r="14" spans="1:7">
      <c r="A14" s="19" t="s">
        <v>11</v>
      </c>
      <c r="B14" s="83">
        <v>237548</v>
      </c>
      <c r="C14" s="83">
        <v>82559</v>
      </c>
      <c r="E14" s="19" t="s">
        <v>11</v>
      </c>
      <c r="F14" s="83">
        <v>497843</v>
      </c>
      <c r="G14" s="83">
        <v>327244</v>
      </c>
    </row>
    <row r="15" spans="1:7">
      <c r="A15" s="19" t="s">
        <v>14</v>
      </c>
      <c r="B15" s="83">
        <v>226416</v>
      </c>
      <c r="C15" s="83">
        <v>240640</v>
      </c>
      <c r="E15" s="19" t="s">
        <v>14</v>
      </c>
      <c r="F15" s="83">
        <v>473018</v>
      </c>
      <c r="G15" s="83">
        <v>643409</v>
      </c>
    </row>
    <row r="16" spans="1:7">
      <c r="A16" s="19" t="s">
        <v>13</v>
      </c>
      <c r="B16" s="83">
        <v>198933</v>
      </c>
      <c r="C16" s="83">
        <v>221864</v>
      </c>
      <c r="E16" s="19" t="s">
        <v>13</v>
      </c>
      <c r="F16" s="83">
        <v>458686</v>
      </c>
      <c r="G16" s="83">
        <v>421455</v>
      </c>
    </row>
    <row r="17" spans="1:7">
      <c r="A17" s="19" t="s">
        <v>29</v>
      </c>
      <c r="B17" s="83">
        <v>1014041</v>
      </c>
      <c r="C17" s="83">
        <v>1014041</v>
      </c>
      <c r="E17" s="19" t="s">
        <v>29</v>
      </c>
      <c r="F17" s="83">
        <v>2203055</v>
      </c>
      <c r="G17" s="83">
        <v>2203055</v>
      </c>
    </row>
    <row r="19" spans="1:7">
      <c r="A19" s="19" t="s">
        <v>30</v>
      </c>
      <c r="E19" s="19" t="s">
        <v>40</v>
      </c>
    </row>
    <row r="20" spans="1:7">
      <c r="A20" s="19" t="s">
        <v>6</v>
      </c>
      <c r="B20" s="83">
        <v>348885</v>
      </c>
      <c r="C20" s="83">
        <v>402320</v>
      </c>
      <c r="E20" s="19" t="s">
        <v>6</v>
      </c>
      <c r="F20" s="83">
        <v>414368</v>
      </c>
      <c r="G20" s="83">
        <v>489149</v>
      </c>
    </row>
    <row r="21" spans="1:7">
      <c r="A21" s="19" t="s">
        <v>9</v>
      </c>
      <c r="B21" s="83">
        <v>107029</v>
      </c>
      <c r="C21" s="83">
        <v>112413</v>
      </c>
      <c r="E21" s="19" t="s">
        <v>9</v>
      </c>
      <c r="F21" s="83">
        <v>128966</v>
      </c>
      <c r="G21" s="83">
        <v>79451</v>
      </c>
    </row>
    <row r="22" spans="1:7">
      <c r="A22" s="19" t="s">
        <v>11</v>
      </c>
      <c r="B22" s="83">
        <v>297696</v>
      </c>
      <c r="C22" s="83">
        <v>100249</v>
      </c>
      <c r="E22" s="19" t="s">
        <v>11</v>
      </c>
      <c r="F22" s="83">
        <v>365258</v>
      </c>
      <c r="G22" s="83">
        <v>170578</v>
      </c>
    </row>
    <row r="23" spans="1:7">
      <c r="A23" s="19" t="s">
        <v>14</v>
      </c>
      <c r="B23" s="83">
        <v>271191</v>
      </c>
      <c r="C23" s="83">
        <v>335071</v>
      </c>
      <c r="E23" s="19" t="s">
        <v>14</v>
      </c>
      <c r="F23" s="83">
        <v>311503</v>
      </c>
      <c r="G23" s="83">
        <v>524603</v>
      </c>
    </row>
    <row r="24" spans="1:7">
      <c r="A24" s="19" t="s">
        <v>13</v>
      </c>
      <c r="B24" s="83">
        <v>238962</v>
      </c>
      <c r="C24" s="83">
        <v>313710</v>
      </c>
      <c r="E24" s="19" t="s">
        <v>13</v>
      </c>
      <c r="F24" s="83">
        <v>326153</v>
      </c>
      <c r="G24" s="83">
        <v>282467</v>
      </c>
    </row>
    <row r="25" spans="1:7">
      <c r="A25" s="19" t="s">
        <v>29</v>
      </c>
      <c r="B25" s="83">
        <v>1263763</v>
      </c>
      <c r="C25" s="83">
        <v>1263763</v>
      </c>
      <c r="E25" s="19" t="s">
        <v>29</v>
      </c>
      <c r="F25" s="83">
        <v>1546248</v>
      </c>
      <c r="G25" s="83">
        <v>1546248</v>
      </c>
    </row>
    <row r="27" spans="1:7">
      <c r="A27" s="19" t="s">
        <v>38</v>
      </c>
      <c r="E27" s="19" t="s">
        <v>34</v>
      </c>
    </row>
    <row r="28" spans="1:7">
      <c r="A28" s="19" t="s">
        <v>6</v>
      </c>
      <c r="B28" s="83">
        <v>404751</v>
      </c>
      <c r="C28" s="83">
        <v>440842</v>
      </c>
      <c r="E28" s="19" t="s">
        <v>6</v>
      </c>
      <c r="F28" s="83">
        <v>190780</v>
      </c>
      <c r="G28" s="83">
        <v>233227</v>
      </c>
    </row>
    <row r="29" spans="1:7">
      <c r="A29" s="19" t="s">
        <v>9</v>
      </c>
      <c r="B29" s="83">
        <v>123048</v>
      </c>
      <c r="C29" s="83">
        <v>106059</v>
      </c>
      <c r="E29" s="19" t="s">
        <v>9</v>
      </c>
      <c r="F29" s="83">
        <v>59693</v>
      </c>
      <c r="G29" s="83">
        <v>42998</v>
      </c>
    </row>
    <row r="30" spans="1:7">
      <c r="A30" s="19" t="s">
        <v>11</v>
      </c>
      <c r="B30" s="83">
        <v>337368</v>
      </c>
      <c r="C30" s="83">
        <v>128752</v>
      </c>
      <c r="E30" s="19" t="s">
        <v>11</v>
      </c>
      <c r="F30" s="83">
        <v>164437</v>
      </c>
      <c r="G30" s="83">
        <v>102783</v>
      </c>
    </row>
    <row r="31" spans="1:7">
      <c r="A31" s="19" t="s">
        <v>14</v>
      </c>
      <c r="B31" s="83">
        <v>306449</v>
      </c>
      <c r="C31" s="83">
        <v>399913</v>
      </c>
      <c r="E31" s="19" t="s">
        <v>14</v>
      </c>
      <c r="F31" s="83">
        <v>172149</v>
      </c>
      <c r="G31" s="83">
        <v>153895</v>
      </c>
    </row>
    <row r="32" spans="1:7">
      <c r="A32" s="19" t="s">
        <v>13</v>
      </c>
      <c r="B32" s="83">
        <v>272009</v>
      </c>
      <c r="C32" s="83">
        <v>368059</v>
      </c>
      <c r="E32" s="19" t="s">
        <v>13</v>
      </c>
      <c r="F32" s="83">
        <v>137643</v>
      </c>
      <c r="G32" s="83">
        <v>191800</v>
      </c>
    </row>
    <row r="33" spans="1:7">
      <c r="A33" s="19" t="s">
        <v>29</v>
      </c>
      <c r="B33" s="83">
        <v>1443625</v>
      </c>
      <c r="C33" s="83">
        <v>1443625</v>
      </c>
      <c r="E33" s="19" t="s">
        <v>29</v>
      </c>
      <c r="F33" s="83">
        <v>724702</v>
      </c>
      <c r="G33" s="83">
        <v>724702</v>
      </c>
    </row>
    <row r="35" spans="1:7">
      <c r="A35" s="19" t="s">
        <v>39</v>
      </c>
      <c r="E35" s="19" t="s">
        <v>141</v>
      </c>
    </row>
    <row r="36" spans="1:7">
      <c r="A36" s="19" t="s">
        <v>6</v>
      </c>
      <c r="B36" s="83">
        <v>217583</v>
      </c>
      <c r="C36" s="83">
        <v>296717</v>
      </c>
      <c r="E36" s="19" t="s">
        <v>6</v>
      </c>
      <c r="F36" s="83">
        <v>75832</v>
      </c>
      <c r="G36" s="83">
        <v>140129</v>
      </c>
    </row>
    <row r="37" spans="1:7">
      <c r="A37" s="19" t="s">
        <v>9</v>
      </c>
      <c r="B37" s="83">
        <v>73317</v>
      </c>
      <c r="C37" s="83">
        <v>55161</v>
      </c>
      <c r="E37" s="19" t="s">
        <v>9</v>
      </c>
      <c r="F37" s="83">
        <v>28366</v>
      </c>
      <c r="G37" s="83">
        <v>15802</v>
      </c>
    </row>
    <row r="38" spans="1:7">
      <c r="A38" s="19" t="s">
        <v>11</v>
      </c>
      <c r="B38" s="83">
        <v>191935</v>
      </c>
      <c r="C38" s="83">
        <v>102551</v>
      </c>
      <c r="E38" s="19" t="s">
        <v>11</v>
      </c>
      <c r="F38" s="83">
        <v>74463</v>
      </c>
      <c r="G38" s="83">
        <v>59579</v>
      </c>
    </row>
    <row r="39" spans="1:7">
      <c r="A39" s="19" t="s">
        <v>14</v>
      </c>
      <c r="B39" s="83">
        <v>189923</v>
      </c>
      <c r="C39" s="83">
        <v>193187</v>
      </c>
      <c r="E39" s="19" t="s">
        <v>14</v>
      </c>
      <c r="F39" s="83">
        <v>81001</v>
      </c>
      <c r="G39" s="83">
        <v>72002</v>
      </c>
    </row>
    <row r="40" spans="1:7">
      <c r="A40" s="19" t="s">
        <v>13</v>
      </c>
      <c r="B40" s="83">
        <v>164112</v>
      </c>
      <c r="C40" s="83">
        <v>189254</v>
      </c>
      <c r="E40" s="19" t="s">
        <v>13</v>
      </c>
      <c r="F40" s="83">
        <v>74977</v>
      </c>
      <c r="G40" s="83">
        <v>47127</v>
      </c>
    </row>
    <row r="41" spans="1:7">
      <c r="A41" s="19" t="s">
        <v>29</v>
      </c>
      <c r="B41" s="83">
        <v>836870</v>
      </c>
      <c r="C41" s="83">
        <v>836870</v>
      </c>
      <c r="E41" s="19" t="s">
        <v>29</v>
      </c>
      <c r="F41" s="83">
        <v>334639</v>
      </c>
      <c r="G41" s="83">
        <v>334639</v>
      </c>
    </row>
    <row r="43" spans="1:7">
      <c r="A43" s="19" t="s">
        <v>31</v>
      </c>
      <c r="E43" s="19" t="s">
        <v>142</v>
      </c>
    </row>
    <row r="44" spans="1:7">
      <c r="A44" s="19" t="s">
        <v>6</v>
      </c>
      <c r="B44" s="83">
        <v>622428</v>
      </c>
      <c r="C44" s="83">
        <v>612569</v>
      </c>
      <c r="E44" s="19" t="s">
        <v>6</v>
      </c>
      <c r="F44" s="83">
        <v>193654</v>
      </c>
      <c r="G44" s="83">
        <v>214680</v>
      </c>
    </row>
    <row r="45" spans="1:7">
      <c r="A45" s="19" t="s">
        <v>9</v>
      </c>
      <c r="B45" s="83">
        <v>185114</v>
      </c>
      <c r="C45" s="83">
        <v>142215</v>
      </c>
      <c r="E45" s="19" t="s">
        <v>9</v>
      </c>
      <c r="F45" s="83">
        <v>59700</v>
      </c>
      <c r="G45" s="83">
        <v>26325</v>
      </c>
    </row>
    <row r="46" spans="1:7">
      <c r="A46" s="19" t="s">
        <v>11</v>
      </c>
      <c r="B46" s="83">
        <v>468345</v>
      </c>
      <c r="C46" s="83">
        <v>325722</v>
      </c>
      <c r="E46" s="19" t="s">
        <v>11</v>
      </c>
      <c r="F46" s="83">
        <v>166811</v>
      </c>
      <c r="G46" s="83">
        <v>79101</v>
      </c>
    </row>
    <row r="47" spans="1:7">
      <c r="A47" s="19" t="s">
        <v>14</v>
      </c>
      <c r="B47" s="83">
        <v>426185</v>
      </c>
      <c r="C47" s="83">
        <v>700480</v>
      </c>
      <c r="E47" s="19" t="s">
        <v>14</v>
      </c>
      <c r="F47" s="83">
        <v>148340</v>
      </c>
      <c r="G47" s="83">
        <v>220300</v>
      </c>
    </row>
    <row r="48" spans="1:7">
      <c r="A48" s="19" t="s">
        <v>13</v>
      </c>
      <c r="B48" s="83">
        <v>443236</v>
      </c>
      <c r="C48" s="83">
        <v>364322</v>
      </c>
      <c r="E48" s="19" t="s">
        <v>13</v>
      </c>
      <c r="F48" s="83">
        <v>139911</v>
      </c>
      <c r="G48" s="83">
        <v>168010</v>
      </c>
    </row>
    <row r="49" spans="1:7">
      <c r="A49" s="19" t="s">
        <v>29</v>
      </c>
      <c r="B49" s="83">
        <v>2145308</v>
      </c>
      <c r="C49" s="83">
        <v>2145308</v>
      </c>
      <c r="E49" s="19" t="s">
        <v>29</v>
      </c>
      <c r="F49" s="83">
        <v>708416</v>
      </c>
      <c r="G49" s="83">
        <v>708416</v>
      </c>
    </row>
    <row r="51" spans="1:7">
      <c r="B51" s="83"/>
      <c r="C51" s="83"/>
    </row>
    <row r="52" spans="1:7">
      <c r="A52" s="138"/>
      <c r="B52" s="50"/>
      <c r="C52" s="64">
        <v>2011</v>
      </c>
    </row>
    <row r="53" spans="1:7">
      <c r="A53" s="59" t="s">
        <v>6</v>
      </c>
      <c r="B53" s="139"/>
      <c r="C53" s="140">
        <f t="shared" ref="C53:C58" si="0">G36+G28+G20+G12+G4+C44+C36+C20+C12+G44+C28+C4</f>
        <v>5029931</v>
      </c>
    </row>
    <row r="54" spans="1:7">
      <c r="A54" s="59" t="s">
        <v>9</v>
      </c>
      <c r="B54" s="139"/>
      <c r="C54" s="140">
        <f t="shared" si="0"/>
        <v>1088321</v>
      </c>
    </row>
    <row r="55" spans="1:7">
      <c r="A55" s="59" t="s">
        <v>11</v>
      </c>
      <c r="B55" s="139"/>
      <c r="C55" s="140">
        <f t="shared" si="0"/>
        <v>1985687</v>
      </c>
    </row>
    <row r="56" spans="1:7">
      <c r="A56" s="59" t="s">
        <v>14</v>
      </c>
      <c r="B56" s="139"/>
      <c r="C56" s="140">
        <f t="shared" si="0"/>
        <v>4561395</v>
      </c>
    </row>
    <row r="57" spans="1:7">
      <c r="A57" s="59" t="s">
        <v>13</v>
      </c>
      <c r="B57" s="139"/>
      <c r="C57" s="140">
        <f t="shared" si="0"/>
        <v>3364356</v>
      </c>
    </row>
    <row r="58" spans="1:7">
      <c r="A58" s="60" t="s">
        <v>41</v>
      </c>
      <c r="B58" s="141"/>
      <c r="C58" s="142">
        <f t="shared" si="0"/>
        <v>16029690</v>
      </c>
    </row>
    <row r="60" spans="1:7">
      <c r="B60" s="19" t="s">
        <v>6</v>
      </c>
      <c r="C60" s="19" t="s">
        <v>9</v>
      </c>
      <c r="D60" s="19" t="s">
        <v>11</v>
      </c>
      <c r="E60" s="19" t="s">
        <v>14</v>
      </c>
      <c r="F60" s="19" t="s">
        <v>13</v>
      </c>
      <c r="G60" s="19" t="s">
        <v>41</v>
      </c>
    </row>
    <row r="61" spans="1:7">
      <c r="A61" s="19">
        <v>2011</v>
      </c>
      <c r="B61" s="78">
        <f>C53</f>
        <v>5029931</v>
      </c>
      <c r="C61" s="78">
        <f>C54</f>
        <v>1088321</v>
      </c>
      <c r="D61" s="78">
        <f>C55</f>
        <v>1985687</v>
      </c>
      <c r="E61" s="78">
        <f>C56</f>
        <v>4561395</v>
      </c>
      <c r="F61" s="78">
        <f>C57</f>
        <v>3364356</v>
      </c>
      <c r="G61" s="78">
        <v>14870735</v>
      </c>
    </row>
    <row r="63" spans="1:7">
      <c r="A63" s="19" t="s">
        <v>51</v>
      </c>
    </row>
  </sheetData>
  <phoneticPr fontId="70" type="noConversion"/>
  <pageMargins left="0.7" right="0.7" top="0.75" bottom="0.75" header="0.3" footer="0.3"/>
  <pageSetup scale="70" orientation="portrait" r:id="rId1"/>
  <headerFooter>
    <oddFooter>&amp;L&amp;F&amp;A &amp;D&amp;T</oddFooter>
  </headerFooter>
</worksheet>
</file>

<file path=xl/worksheets/sheet8.xml><?xml version="1.0" encoding="utf-8"?>
<worksheet xmlns="http://schemas.openxmlformats.org/spreadsheetml/2006/main" xmlns:r="http://schemas.openxmlformats.org/officeDocument/2006/relationships">
  <sheetPr>
    <tabColor rgb="FF92D050"/>
  </sheetPr>
  <dimension ref="A1:J58"/>
  <sheetViews>
    <sheetView topLeftCell="A22" zoomScale="75" zoomScaleNormal="100" workbookViewId="0">
      <selection activeCell="D49" sqref="D49"/>
    </sheetView>
  </sheetViews>
  <sheetFormatPr defaultRowHeight="15"/>
  <cols>
    <col min="1" max="1" width="9.140625" style="19"/>
    <col min="2" max="2" width="10.85546875" style="19" bestFit="1" customWidth="1"/>
    <col min="3" max="3" width="11.85546875" style="19" customWidth="1"/>
    <col min="4" max="4" width="15.5703125" style="19" bestFit="1" customWidth="1"/>
    <col min="5" max="5" width="3.5703125" style="19" customWidth="1"/>
    <col min="6" max="6" width="7.42578125" style="19" customWidth="1"/>
    <col min="7" max="9" width="9.140625" style="19"/>
    <col min="10" max="10" width="12" style="19" bestFit="1" customWidth="1"/>
    <col min="11" max="16384" width="9.140625" style="19"/>
  </cols>
  <sheetData>
    <row r="1" spans="1:10">
      <c r="A1" s="19" t="s">
        <v>179</v>
      </c>
    </row>
    <row r="3" spans="1:10">
      <c r="A3" s="84"/>
      <c r="D3" s="19" t="s">
        <v>26</v>
      </c>
    </row>
    <row r="4" spans="1:10">
      <c r="A4" s="19" t="s">
        <v>27</v>
      </c>
      <c r="D4" s="19" t="s">
        <v>28</v>
      </c>
    </row>
    <row r="6" spans="1:10">
      <c r="A6" s="19" t="s">
        <v>35</v>
      </c>
      <c r="C6" s="19" t="s">
        <v>6</v>
      </c>
      <c r="D6" s="83">
        <v>14856711</v>
      </c>
      <c r="G6" s="19" t="s">
        <v>32</v>
      </c>
      <c r="I6" s="19" t="s">
        <v>6</v>
      </c>
      <c r="J6" s="83">
        <v>24481276</v>
      </c>
    </row>
    <row r="7" spans="1:10">
      <c r="C7" s="19" t="s">
        <v>9</v>
      </c>
      <c r="D7" s="83">
        <v>2019010</v>
      </c>
      <c r="I7" s="19" t="s">
        <v>9</v>
      </c>
      <c r="J7" s="83">
        <v>5608247</v>
      </c>
    </row>
    <row r="8" spans="1:10">
      <c r="C8" s="19" t="s">
        <v>11</v>
      </c>
      <c r="D8" s="83">
        <v>4368381</v>
      </c>
      <c r="I8" s="19" t="s">
        <v>11</v>
      </c>
      <c r="J8" s="83">
        <v>12361533</v>
      </c>
    </row>
    <row r="9" spans="1:10">
      <c r="C9" s="19" t="s">
        <v>14</v>
      </c>
      <c r="D9" s="83">
        <v>7859777</v>
      </c>
      <c r="I9" s="19" t="s">
        <v>14</v>
      </c>
      <c r="J9" s="83">
        <v>23463873</v>
      </c>
    </row>
    <row r="10" spans="1:10">
      <c r="C10" s="19" t="s">
        <v>13</v>
      </c>
      <c r="D10" s="83">
        <v>9310122</v>
      </c>
      <c r="I10" s="19" t="s">
        <v>13</v>
      </c>
      <c r="J10" s="83">
        <v>16589412</v>
      </c>
    </row>
    <row r="11" spans="1:10">
      <c r="C11" s="19" t="s">
        <v>29</v>
      </c>
      <c r="D11" s="83">
        <v>38414002</v>
      </c>
      <c r="I11" s="19" t="s">
        <v>29</v>
      </c>
      <c r="J11" s="83">
        <v>82504340</v>
      </c>
    </row>
    <row r="13" spans="1:10">
      <c r="A13" s="84" t="s">
        <v>36</v>
      </c>
      <c r="C13" s="19" t="s">
        <v>6</v>
      </c>
      <c r="D13" s="83">
        <v>12520018</v>
      </c>
      <c r="G13" s="19" t="s">
        <v>33</v>
      </c>
      <c r="I13" s="19" t="s">
        <v>6</v>
      </c>
      <c r="J13" s="83">
        <v>23696308</v>
      </c>
    </row>
    <row r="14" spans="1:10">
      <c r="C14" s="19" t="s">
        <v>9</v>
      </c>
      <c r="D14" s="83">
        <v>3785326</v>
      </c>
      <c r="I14" s="19" t="s">
        <v>9</v>
      </c>
      <c r="J14" s="83">
        <v>3201185</v>
      </c>
    </row>
    <row r="15" spans="1:10">
      <c r="C15" s="19" t="s">
        <v>11</v>
      </c>
      <c r="D15" s="83">
        <v>3706146</v>
      </c>
      <c r="I15" s="19" t="s">
        <v>11</v>
      </c>
      <c r="J15" s="83">
        <v>10502105</v>
      </c>
    </row>
    <row r="16" spans="1:10">
      <c r="C16" s="19" t="s">
        <v>14</v>
      </c>
      <c r="D16" s="83">
        <v>7053697</v>
      </c>
      <c r="I16" s="19" t="s">
        <v>14</v>
      </c>
      <c r="J16" s="83">
        <v>19217308</v>
      </c>
    </row>
    <row r="17" spans="1:10">
      <c r="C17" s="19" t="s">
        <v>13</v>
      </c>
      <c r="D17" s="83">
        <v>7249754</v>
      </c>
      <c r="I17" s="19" t="s">
        <v>13</v>
      </c>
      <c r="J17" s="83">
        <v>13805557</v>
      </c>
    </row>
    <row r="18" spans="1:10">
      <c r="C18" s="19" t="s">
        <v>29</v>
      </c>
      <c r="D18" s="83">
        <v>34314941</v>
      </c>
      <c r="I18" s="19" t="s">
        <v>29</v>
      </c>
      <c r="J18" s="83">
        <v>70422462</v>
      </c>
    </row>
    <row r="20" spans="1:10">
      <c r="A20" s="19" t="s">
        <v>143</v>
      </c>
      <c r="C20" s="19" t="s">
        <v>6</v>
      </c>
      <c r="D20" s="83">
        <v>15040275</v>
      </c>
      <c r="G20" s="19" t="s">
        <v>37</v>
      </c>
      <c r="I20" s="19" t="s">
        <v>6</v>
      </c>
      <c r="J20" s="83">
        <v>17999451</v>
      </c>
    </row>
    <row r="21" spans="1:10">
      <c r="C21" s="19" t="s">
        <v>9</v>
      </c>
      <c r="D21" s="83">
        <v>3478881</v>
      </c>
      <c r="I21" s="19" t="s">
        <v>9</v>
      </c>
      <c r="J21" s="83">
        <v>2131021</v>
      </c>
    </row>
    <row r="22" spans="1:10">
      <c r="C22" s="19" t="s">
        <v>11</v>
      </c>
      <c r="D22" s="83">
        <v>4509008</v>
      </c>
      <c r="I22" s="19" t="s">
        <v>11</v>
      </c>
      <c r="J22" s="83">
        <v>6182011</v>
      </c>
    </row>
    <row r="23" spans="1:10">
      <c r="C23" s="19" t="s">
        <v>14</v>
      </c>
      <c r="D23" s="83">
        <v>9821484</v>
      </c>
      <c r="I23" s="19" t="s">
        <v>14</v>
      </c>
      <c r="J23" s="83">
        <v>15032616</v>
      </c>
    </row>
    <row r="24" spans="1:10">
      <c r="C24" s="19" t="s">
        <v>13</v>
      </c>
      <c r="D24" s="83">
        <v>9576559</v>
      </c>
      <c r="I24" s="19" t="s">
        <v>13</v>
      </c>
      <c r="J24" s="83">
        <v>9092065</v>
      </c>
    </row>
    <row r="25" spans="1:10">
      <c r="C25" s="19" t="s">
        <v>29</v>
      </c>
      <c r="D25" s="83">
        <v>42426207</v>
      </c>
      <c r="I25" s="19" t="s">
        <v>29</v>
      </c>
      <c r="J25" s="83">
        <v>50437165</v>
      </c>
    </row>
    <row r="27" spans="1:10">
      <c r="A27" s="19" t="s">
        <v>144</v>
      </c>
      <c r="C27" s="19" t="s">
        <v>6</v>
      </c>
      <c r="D27" s="83">
        <v>16697434</v>
      </c>
      <c r="G27" s="19" t="s">
        <v>54</v>
      </c>
      <c r="I27" s="19" t="s">
        <v>6</v>
      </c>
      <c r="J27" s="83">
        <v>10787491</v>
      </c>
    </row>
    <row r="28" spans="1:10">
      <c r="C28" s="19" t="s">
        <v>9</v>
      </c>
      <c r="D28" s="83">
        <v>3367863</v>
      </c>
      <c r="I28" s="19" t="s">
        <v>9</v>
      </c>
      <c r="J28" s="83">
        <v>1237782</v>
      </c>
    </row>
    <row r="29" spans="1:10">
      <c r="C29" s="19" t="s">
        <v>11</v>
      </c>
      <c r="D29" s="83">
        <v>6022264</v>
      </c>
      <c r="I29" s="19" t="s">
        <v>11</v>
      </c>
      <c r="J29" s="83">
        <v>5255912</v>
      </c>
    </row>
    <row r="30" spans="1:10">
      <c r="C30" s="19" t="s">
        <v>14</v>
      </c>
      <c r="D30" s="83">
        <v>11904961</v>
      </c>
      <c r="I30" s="19" t="s">
        <v>14</v>
      </c>
      <c r="J30" s="83">
        <v>4705321</v>
      </c>
    </row>
    <row r="31" spans="1:10">
      <c r="C31" s="19" t="s">
        <v>13</v>
      </c>
      <c r="D31" s="83">
        <v>11572498</v>
      </c>
      <c r="I31" s="19" t="s">
        <v>13</v>
      </c>
      <c r="J31" s="83">
        <v>6820091</v>
      </c>
    </row>
    <row r="32" spans="1:10">
      <c r="C32" s="19" t="s">
        <v>29</v>
      </c>
      <c r="D32" s="83">
        <v>49565021</v>
      </c>
      <c r="I32" s="19" t="s">
        <v>29</v>
      </c>
      <c r="J32" s="83">
        <v>28806596</v>
      </c>
    </row>
    <row r="34" spans="1:10">
      <c r="A34" s="19" t="s">
        <v>145</v>
      </c>
      <c r="C34" s="19" t="s">
        <v>6</v>
      </c>
      <c r="D34" s="83">
        <v>11023531</v>
      </c>
      <c r="G34" s="19" t="s">
        <v>146</v>
      </c>
      <c r="I34" s="19" t="s">
        <v>6</v>
      </c>
      <c r="J34" s="83">
        <v>7289713</v>
      </c>
    </row>
    <row r="35" spans="1:10">
      <c r="C35" s="19" t="s">
        <v>9</v>
      </c>
      <c r="D35" s="83">
        <v>1706659</v>
      </c>
      <c r="I35" s="19" t="s">
        <v>9</v>
      </c>
      <c r="J35" s="83">
        <v>4457836</v>
      </c>
    </row>
    <row r="36" spans="1:10">
      <c r="C36" s="19" t="s">
        <v>11</v>
      </c>
      <c r="D36" s="83">
        <v>4181218</v>
      </c>
      <c r="I36" s="19" t="s">
        <v>11</v>
      </c>
      <c r="J36" s="83">
        <v>3558533</v>
      </c>
    </row>
    <row r="37" spans="1:10">
      <c r="C37" s="19" t="s">
        <v>14</v>
      </c>
      <c r="D37" s="83">
        <v>6058437</v>
      </c>
      <c r="I37" s="19" t="s">
        <v>14</v>
      </c>
      <c r="J37" s="83">
        <v>2284998</v>
      </c>
    </row>
    <row r="38" spans="1:10">
      <c r="C38" s="19" t="s">
        <v>13</v>
      </c>
      <c r="D38" s="83">
        <v>6060145</v>
      </c>
      <c r="I38" s="19" t="s">
        <v>13</v>
      </c>
      <c r="J38" s="83">
        <v>2251795</v>
      </c>
    </row>
    <row r="39" spans="1:10">
      <c r="C39" s="19" t="s">
        <v>29</v>
      </c>
      <c r="D39" s="83">
        <v>29029991</v>
      </c>
      <c r="I39" s="19" t="s">
        <v>29</v>
      </c>
      <c r="J39" s="83">
        <v>19842875</v>
      </c>
    </row>
    <row r="41" spans="1:10">
      <c r="A41" s="19" t="s">
        <v>31</v>
      </c>
      <c r="C41" s="19" t="s">
        <v>6</v>
      </c>
      <c r="D41" s="83">
        <v>20171769</v>
      </c>
      <c r="G41" s="19" t="s">
        <v>147</v>
      </c>
      <c r="I41" s="19" t="s">
        <v>6</v>
      </c>
      <c r="J41" s="83">
        <v>9745316</v>
      </c>
    </row>
    <row r="42" spans="1:10">
      <c r="C42" s="19" t="s">
        <v>9</v>
      </c>
      <c r="D42" s="83">
        <v>4004175</v>
      </c>
      <c r="I42" s="19" t="s">
        <v>9</v>
      </c>
      <c r="J42" s="83">
        <v>735763</v>
      </c>
    </row>
    <row r="43" spans="1:10">
      <c r="C43" s="19" t="s">
        <v>11</v>
      </c>
      <c r="D43" s="83">
        <v>9794847</v>
      </c>
      <c r="I43" s="19" t="s">
        <v>11</v>
      </c>
      <c r="J43" s="83">
        <v>4154951</v>
      </c>
    </row>
    <row r="44" spans="1:10">
      <c r="C44" s="19" t="s">
        <v>14</v>
      </c>
      <c r="D44" s="83">
        <v>20451845</v>
      </c>
      <c r="I44" s="19" t="s">
        <v>14</v>
      </c>
      <c r="J44" s="83">
        <v>6315166</v>
      </c>
    </row>
    <row r="45" spans="1:10">
      <c r="C45" s="19" t="s">
        <v>13</v>
      </c>
      <c r="D45" s="83">
        <v>11730415</v>
      </c>
      <c r="I45" s="19" t="s">
        <v>13</v>
      </c>
      <c r="J45" s="83">
        <v>5001394</v>
      </c>
    </row>
    <row r="46" spans="1:10">
      <c r="C46" s="19" t="s">
        <v>29</v>
      </c>
      <c r="D46" s="83">
        <v>66153051</v>
      </c>
      <c r="I46" s="19" t="s">
        <v>29</v>
      </c>
      <c r="J46" s="83">
        <v>25952590</v>
      </c>
    </row>
    <row r="47" spans="1:10">
      <c r="I47" s="83"/>
    </row>
    <row r="48" spans="1:10">
      <c r="D48" s="83"/>
    </row>
    <row r="49" spans="1:6" ht="15.75" thickBot="1">
      <c r="A49" s="19" t="s">
        <v>167</v>
      </c>
      <c r="D49" s="83"/>
    </row>
    <row r="50" spans="1:6">
      <c r="C50" s="85"/>
      <c r="D50" s="86">
        <v>2011</v>
      </c>
      <c r="F50" s="87"/>
    </row>
    <row r="51" spans="1:6">
      <c r="A51" s="19" t="s">
        <v>6</v>
      </c>
      <c r="B51" s="83"/>
      <c r="C51" s="83"/>
      <c r="D51" s="88">
        <f>J34+J27+J20+J13+J6+D41+D34+D27+D20+D13+J41+D6</f>
        <v>184309293</v>
      </c>
      <c r="F51" s="83"/>
    </row>
    <row r="52" spans="1:6">
      <c r="A52" s="19" t="s">
        <v>9</v>
      </c>
      <c r="B52" s="83"/>
      <c r="C52" s="83"/>
      <c r="D52" s="88">
        <f>J35+J28+J21+J14+J7+D42+D35+D28+D21+D14+J42+D7</f>
        <v>35733748</v>
      </c>
      <c r="F52" s="83"/>
    </row>
    <row r="53" spans="1:6">
      <c r="A53" s="19" t="s">
        <v>11</v>
      </c>
      <c r="B53" s="83"/>
      <c r="C53" s="83"/>
      <c r="D53" s="88">
        <f>J36+J29+J22+J15+J8+D43+D36+D29+D22+D15+J43+D8</f>
        <v>74596909</v>
      </c>
      <c r="F53" s="83"/>
    </row>
    <row r="54" spans="1:6">
      <c r="A54" s="19" t="s">
        <v>14</v>
      </c>
      <c r="B54" s="83"/>
      <c r="C54" s="83"/>
      <c r="D54" s="88">
        <f>J37+J30+J23+J16+J9+D44+D37+D30+D23+D16+J44+D9</f>
        <v>134169483</v>
      </c>
      <c r="F54" s="83"/>
    </row>
    <row r="55" spans="1:6" ht="15.75" thickBot="1">
      <c r="A55" s="19" t="s">
        <v>13</v>
      </c>
      <c r="B55" s="83"/>
      <c r="C55" s="83"/>
      <c r="D55" s="89">
        <f>J38+J31+J24+J17+J10+D45+D38+D31+D24+D17+J45+D10</f>
        <v>109059807</v>
      </c>
      <c r="F55" s="83"/>
    </row>
    <row r="58" spans="1:6">
      <c r="A58" s="19" t="s">
        <v>51</v>
      </c>
    </row>
  </sheetData>
  <phoneticPr fontId="70" type="noConversion"/>
  <pageMargins left="0.7" right="0.7" top="0.75" bottom="0.75" header="0.3" footer="0.3"/>
  <pageSetup scale="81" orientation="portrait" r:id="rId1"/>
  <headerFooter>
    <oddFooter>&amp;L&amp;F &amp;A &amp;D&amp;T</oddFooter>
  </headerFooter>
</worksheet>
</file>

<file path=xl/worksheets/sheet9.xml><?xml version="1.0" encoding="utf-8"?>
<worksheet xmlns="http://schemas.openxmlformats.org/spreadsheetml/2006/main" xmlns:r="http://schemas.openxmlformats.org/officeDocument/2006/relationships">
  <sheetPr>
    <tabColor rgb="FF92D050"/>
  </sheetPr>
  <dimension ref="A1:N88"/>
  <sheetViews>
    <sheetView view="pageBreakPreview" zoomScale="60" zoomScaleNormal="75" workbookViewId="0">
      <selection activeCell="D49" sqref="D49"/>
    </sheetView>
  </sheetViews>
  <sheetFormatPr defaultRowHeight="15"/>
  <cols>
    <col min="1" max="1" width="10.85546875" style="19" bestFit="1" customWidth="1"/>
    <col min="2" max="2" width="16.5703125" style="19" bestFit="1" customWidth="1"/>
    <col min="3" max="3" width="14.7109375" style="19" bestFit="1" customWidth="1"/>
    <col min="4" max="4" width="16.7109375" style="19" bestFit="1" customWidth="1"/>
    <col min="5" max="5" width="14" style="19" bestFit="1" customWidth="1"/>
    <col min="6" max="6" width="16.7109375" style="19" bestFit="1" customWidth="1"/>
    <col min="7" max="7" width="14.85546875" style="19" bestFit="1" customWidth="1"/>
    <col min="8" max="8" width="12.5703125" style="19" bestFit="1" customWidth="1"/>
    <col min="9" max="9" width="13.28515625" style="19" bestFit="1" customWidth="1"/>
    <col min="10" max="10" width="14.7109375" style="19" bestFit="1" customWidth="1"/>
    <col min="11" max="11" width="13.85546875" style="19" bestFit="1" customWidth="1"/>
    <col min="12" max="12" width="14.42578125" style="19" bestFit="1" customWidth="1"/>
    <col min="13" max="13" width="13.85546875" style="19" bestFit="1" customWidth="1"/>
    <col min="14" max="14" width="14.85546875" style="19" bestFit="1" customWidth="1"/>
    <col min="15" max="16384" width="9.140625" style="19"/>
  </cols>
  <sheetData>
    <row r="1" spans="1:14" ht="15.75" customHeight="1">
      <c r="A1" s="49" t="s">
        <v>78</v>
      </c>
    </row>
    <row r="2" spans="1:14" ht="15.75" customHeight="1">
      <c r="A2" s="49"/>
    </row>
    <row r="3" spans="1:14">
      <c r="B3" s="196" t="s">
        <v>80</v>
      </c>
      <c r="C3" s="197"/>
      <c r="D3" s="197"/>
      <c r="E3" s="50"/>
      <c r="F3" s="197" t="s">
        <v>191</v>
      </c>
      <c r="G3" s="197"/>
      <c r="H3" s="198"/>
      <c r="J3" s="190" t="s">
        <v>79</v>
      </c>
      <c r="K3" s="191"/>
      <c r="L3" s="191"/>
      <c r="M3" s="191"/>
      <c r="N3" s="192"/>
    </row>
    <row r="4" spans="1:14">
      <c r="A4" s="51"/>
      <c r="B4" s="52" t="s">
        <v>4</v>
      </c>
      <c r="C4" s="53" t="s">
        <v>5</v>
      </c>
      <c r="D4" s="20"/>
      <c r="E4" s="20"/>
      <c r="F4" s="53" t="s">
        <v>4</v>
      </c>
      <c r="G4" s="53" t="s">
        <v>5</v>
      </c>
      <c r="H4" s="54"/>
      <c r="J4" s="55" t="s">
        <v>6</v>
      </c>
      <c r="K4" s="56" t="s">
        <v>9</v>
      </c>
      <c r="L4" s="56" t="s">
        <v>11</v>
      </c>
      <c r="M4" s="56" t="s">
        <v>14</v>
      </c>
      <c r="N4" s="57" t="s">
        <v>13</v>
      </c>
    </row>
    <row r="5" spans="1:14">
      <c r="A5" s="51">
        <v>40544</v>
      </c>
      <c r="B5" s="58">
        <v>82487</v>
      </c>
      <c r="C5" s="28">
        <v>2627045.27</v>
      </c>
      <c r="D5" s="20"/>
      <c r="E5" s="20"/>
      <c r="F5" s="47">
        <v>389374</v>
      </c>
      <c r="G5" s="28">
        <v>9223886.2799999993</v>
      </c>
      <c r="H5" s="54"/>
      <c r="J5" s="59">
        <v>0.32834000000000002</v>
      </c>
      <c r="K5" s="20">
        <v>6.8739999999999996E-2</v>
      </c>
      <c r="L5" s="20">
        <v>0.19270000000000001</v>
      </c>
      <c r="M5" s="20">
        <v>0.22548000000000001</v>
      </c>
      <c r="N5" s="54">
        <v>0.18473999999999999</v>
      </c>
    </row>
    <row r="6" spans="1:14">
      <c r="A6" s="51">
        <v>40575</v>
      </c>
      <c r="B6" s="58">
        <v>49473</v>
      </c>
      <c r="C6" s="28">
        <v>1347567.95</v>
      </c>
      <c r="D6" s="20"/>
      <c r="E6" s="20"/>
      <c r="F6" s="47">
        <v>298009</v>
      </c>
      <c r="G6" s="28">
        <v>7206687.0800000001</v>
      </c>
      <c r="H6" s="54"/>
      <c r="J6" s="59">
        <v>0.32728000000000002</v>
      </c>
      <c r="K6" s="20">
        <v>6.8519999999999998E-2</v>
      </c>
      <c r="L6" s="20">
        <v>0.19208</v>
      </c>
      <c r="M6" s="20">
        <v>0.22475999999999999</v>
      </c>
      <c r="N6" s="54">
        <v>0.18736</v>
      </c>
    </row>
    <row r="7" spans="1:14">
      <c r="A7" s="51">
        <v>40603</v>
      </c>
      <c r="B7" s="58">
        <v>81741</v>
      </c>
      <c r="C7" s="28">
        <v>2651047.4500000002</v>
      </c>
      <c r="D7" s="20"/>
      <c r="E7" s="20"/>
      <c r="F7" s="47">
        <v>185514</v>
      </c>
      <c r="G7" s="28">
        <v>4720491.3499999996</v>
      </c>
      <c r="H7" s="54"/>
      <c r="J7" s="59">
        <v>0.32728000000000002</v>
      </c>
      <c r="K7" s="20">
        <v>6.8519999999999998E-2</v>
      </c>
      <c r="L7" s="20">
        <v>0.19208</v>
      </c>
      <c r="M7" s="20">
        <v>0.22475999999999999</v>
      </c>
      <c r="N7" s="54">
        <v>0.18736</v>
      </c>
    </row>
    <row r="8" spans="1:14">
      <c r="A8" s="51">
        <v>40634</v>
      </c>
      <c r="B8" s="58">
        <v>18417</v>
      </c>
      <c r="C8" s="28">
        <v>691866.44</v>
      </c>
      <c r="D8" s="20"/>
      <c r="E8" s="20"/>
      <c r="F8" s="47">
        <v>79248</v>
      </c>
      <c r="G8" s="28">
        <v>2052981.16</v>
      </c>
      <c r="H8" s="54"/>
      <c r="J8" s="59">
        <v>0.32496999999999998</v>
      </c>
      <c r="K8" s="20">
        <v>6.8769999999999998E-2</v>
      </c>
      <c r="L8" s="20">
        <v>0.19278000000000001</v>
      </c>
      <c r="M8" s="20">
        <v>0.22544</v>
      </c>
      <c r="N8" s="54">
        <v>0.18804000000000001</v>
      </c>
    </row>
    <row r="9" spans="1:14">
      <c r="A9" s="51">
        <v>40664</v>
      </c>
      <c r="B9" s="58">
        <v>302600</v>
      </c>
      <c r="C9" s="28">
        <v>13418341.960000001</v>
      </c>
      <c r="D9" s="20"/>
      <c r="E9" s="20"/>
      <c r="F9" s="47">
        <v>269649</v>
      </c>
      <c r="G9" s="28">
        <v>6498503.75</v>
      </c>
      <c r="H9" s="54"/>
      <c r="J9" s="59">
        <v>0.32496999999999998</v>
      </c>
      <c r="K9" s="20">
        <v>6.8769999999999998E-2</v>
      </c>
      <c r="L9" s="20">
        <v>0.19278000000000001</v>
      </c>
      <c r="M9" s="20">
        <v>0.22544</v>
      </c>
      <c r="N9" s="54">
        <v>0.18804000000000001</v>
      </c>
    </row>
    <row r="10" spans="1:14">
      <c r="A10" s="51">
        <v>40695</v>
      </c>
      <c r="B10" s="58">
        <v>102598</v>
      </c>
      <c r="C10" s="28">
        <v>4456524.17</v>
      </c>
      <c r="D10" s="20"/>
      <c r="E10" s="20"/>
      <c r="F10" s="47">
        <v>77764</v>
      </c>
      <c r="G10" s="28">
        <v>2139159.19</v>
      </c>
      <c r="H10" s="54"/>
      <c r="J10" s="59">
        <v>0.32496999999999998</v>
      </c>
      <c r="K10" s="20">
        <v>6.8769999999999998E-2</v>
      </c>
      <c r="L10" s="20">
        <v>0.19278000000000001</v>
      </c>
      <c r="M10" s="20">
        <v>0.22544</v>
      </c>
      <c r="N10" s="54">
        <v>0.18804000000000001</v>
      </c>
    </row>
    <row r="11" spans="1:14">
      <c r="A11" s="51">
        <v>40725</v>
      </c>
      <c r="B11" s="58">
        <v>6035</v>
      </c>
      <c r="C11" s="28">
        <v>79330</v>
      </c>
      <c r="D11" s="20"/>
      <c r="E11" s="20"/>
      <c r="F11" s="47">
        <v>35321</v>
      </c>
      <c r="G11" s="28">
        <v>989353.03</v>
      </c>
      <c r="H11" s="54"/>
      <c r="J11" s="59">
        <v>0.32496999999999998</v>
      </c>
      <c r="K11" s="20">
        <v>6.8769999999999998E-2</v>
      </c>
      <c r="L11" s="20">
        <v>0.19278000000000001</v>
      </c>
      <c r="M11" s="20">
        <v>0.22544</v>
      </c>
      <c r="N11" s="54">
        <v>0.18804000000000001</v>
      </c>
    </row>
    <row r="12" spans="1:14">
      <c r="A12" s="51">
        <v>40756</v>
      </c>
      <c r="B12" s="58">
        <v>10960</v>
      </c>
      <c r="C12" s="28">
        <v>82030</v>
      </c>
      <c r="D12" s="20"/>
      <c r="E12" s="20"/>
      <c r="F12" s="47">
        <v>18332</v>
      </c>
      <c r="G12" s="28">
        <v>537314.61</v>
      </c>
      <c r="H12" s="54"/>
      <c r="J12" s="59">
        <v>0.31180999999999998</v>
      </c>
      <c r="K12" s="20">
        <v>6.5979999999999997E-2</v>
      </c>
      <c r="L12" s="20">
        <v>0.19997999999999999</v>
      </c>
      <c r="M12" s="20">
        <v>0.22919999999999999</v>
      </c>
      <c r="N12" s="54">
        <v>0.19303000000000001</v>
      </c>
    </row>
    <row r="13" spans="1:14">
      <c r="A13" s="51">
        <v>40787</v>
      </c>
      <c r="B13" s="58">
        <v>56464</v>
      </c>
      <c r="C13" s="28">
        <v>1753542</v>
      </c>
      <c r="D13" s="20"/>
      <c r="E13" s="20"/>
      <c r="F13" s="47">
        <v>40127</v>
      </c>
      <c r="G13" s="28">
        <v>1180940.1399999999</v>
      </c>
      <c r="H13" s="54"/>
      <c r="J13" s="59">
        <v>0.31180999999999998</v>
      </c>
      <c r="K13" s="20">
        <v>6.5979999999999997E-2</v>
      </c>
      <c r="L13" s="20">
        <v>0.19997999999999999</v>
      </c>
      <c r="M13" s="20">
        <v>0.22919999999999999</v>
      </c>
      <c r="N13" s="54">
        <v>0.19303000000000001</v>
      </c>
    </row>
    <row r="14" spans="1:14">
      <c r="A14" s="51">
        <v>40817</v>
      </c>
      <c r="B14" s="58">
        <v>441515</v>
      </c>
      <c r="C14" s="28">
        <v>15371887</v>
      </c>
      <c r="D14" s="20"/>
      <c r="E14" s="20"/>
      <c r="F14" s="47">
        <v>86511</v>
      </c>
      <c r="G14" s="28">
        <v>2549479.11</v>
      </c>
      <c r="H14" s="54"/>
      <c r="J14" s="59">
        <v>0.31180999999999998</v>
      </c>
      <c r="K14" s="20">
        <v>6.5979999999999997E-2</v>
      </c>
      <c r="L14" s="20">
        <v>0.19997999999999999</v>
      </c>
      <c r="M14" s="20">
        <v>0.22919999999999999</v>
      </c>
      <c r="N14" s="54">
        <v>0.19303000000000001</v>
      </c>
    </row>
    <row r="15" spans="1:14">
      <c r="A15" s="51">
        <v>40848</v>
      </c>
      <c r="B15" s="58">
        <v>651621</v>
      </c>
      <c r="C15" s="28">
        <v>22566611</v>
      </c>
      <c r="D15" s="20"/>
      <c r="E15" s="20"/>
      <c r="F15" s="47">
        <v>177861</v>
      </c>
      <c r="G15" s="28">
        <v>4691975.95</v>
      </c>
      <c r="H15" s="54"/>
      <c r="J15" s="59">
        <v>0.31180999999999998</v>
      </c>
      <c r="K15" s="20">
        <v>6.5979999999999997E-2</v>
      </c>
      <c r="L15" s="20">
        <v>0.19997999999999999</v>
      </c>
      <c r="M15" s="20">
        <v>0.22919999999999999</v>
      </c>
      <c r="N15" s="54">
        <v>0.19303000000000001</v>
      </c>
    </row>
    <row r="16" spans="1:14">
      <c r="A16" s="51">
        <v>40878</v>
      </c>
      <c r="B16" s="58">
        <v>265764</v>
      </c>
      <c r="C16" s="28">
        <v>8747431</v>
      </c>
      <c r="D16" s="20"/>
      <c r="E16" s="20"/>
      <c r="F16" s="47">
        <v>127231</v>
      </c>
      <c r="G16" s="28">
        <v>3173150.37</v>
      </c>
      <c r="H16" s="54"/>
      <c r="J16" s="60">
        <v>0.31180999999999998</v>
      </c>
      <c r="K16" s="32">
        <v>6.5979999999999997E-2</v>
      </c>
      <c r="L16" s="32">
        <v>0.19997999999999999</v>
      </c>
      <c r="M16" s="32">
        <v>0.22919999999999999</v>
      </c>
      <c r="N16" s="61">
        <v>0.19303000000000001</v>
      </c>
    </row>
    <row r="17" spans="1:14">
      <c r="B17" s="155">
        <f>SUM(B5:B16)</f>
        <v>2069675</v>
      </c>
      <c r="C17" s="156">
        <f>SUM(C5:C16)</f>
        <v>73793224.24000001</v>
      </c>
      <c r="D17" s="31">
        <f>C17/B17</f>
        <v>35.6544985275466</v>
      </c>
      <c r="E17" s="32"/>
      <c r="F17" s="157">
        <f>SUM(F5:F16)</f>
        <v>1784941</v>
      </c>
      <c r="G17" s="156">
        <f>SUM(G5:G16)</f>
        <v>44963922.020000003</v>
      </c>
      <c r="H17" s="61"/>
    </row>
    <row r="18" spans="1:14" ht="15.75" thickBot="1">
      <c r="I18" s="63" t="s">
        <v>55</v>
      </c>
      <c r="J18" s="50">
        <v>0.36093999999999998</v>
      </c>
      <c r="K18" s="50">
        <v>0.18057999999999999</v>
      </c>
      <c r="L18" s="50">
        <v>0.35633999999999999</v>
      </c>
      <c r="M18" s="50">
        <v>0.10213999999999999</v>
      </c>
      <c r="N18" s="64"/>
    </row>
    <row r="19" spans="1:14">
      <c r="A19" s="65"/>
      <c r="B19" s="199" t="s">
        <v>61</v>
      </c>
      <c r="C19" s="199"/>
      <c r="D19" s="199"/>
      <c r="E19" s="199"/>
      <c r="F19" s="199"/>
      <c r="G19" s="66"/>
      <c r="I19" s="59"/>
      <c r="J19" s="193" t="s">
        <v>192</v>
      </c>
      <c r="K19" s="193"/>
      <c r="L19" s="193"/>
      <c r="M19" s="193"/>
      <c r="N19" s="194"/>
    </row>
    <row r="20" spans="1:14">
      <c r="A20" s="67"/>
      <c r="B20" s="56" t="s">
        <v>6</v>
      </c>
      <c r="C20" s="56" t="s">
        <v>9</v>
      </c>
      <c r="D20" s="56" t="s">
        <v>11</v>
      </c>
      <c r="E20" s="56" t="s">
        <v>14</v>
      </c>
      <c r="F20" s="56" t="s">
        <v>13</v>
      </c>
      <c r="G20" s="68" t="s">
        <v>41</v>
      </c>
      <c r="I20" s="59"/>
      <c r="J20" s="56" t="s">
        <v>56</v>
      </c>
      <c r="K20" s="56" t="s">
        <v>57</v>
      </c>
      <c r="L20" s="56" t="s">
        <v>21</v>
      </c>
      <c r="M20" s="56" t="s">
        <v>13</v>
      </c>
      <c r="N20" s="57" t="s">
        <v>23</v>
      </c>
    </row>
    <row r="21" spans="1:14">
      <c r="A21" s="69">
        <v>40544</v>
      </c>
      <c r="B21" s="28">
        <f t="shared" ref="B21:B30" si="0">$C5*J5</f>
        <v>862564.04395180009</v>
      </c>
      <c r="C21" s="28">
        <f t="shared" ref="C21:C30" si="1">$C5*K5</f>
        <v>180583.09185979998</v>
      </c>
      <c r="D21" s="28">
        <f t="shared" ref="D21:D30" si="2">$C5*L5</f>
        <v>506231.62352900003</v>
      </c>
      <c r="E21" s="28">
        <f t="shared" ref="E21:E30" si="3">$C5*M5</f>
        <v>592346.16747960006</v>
      </c>
      <c r="F21" s="28">
        <f t="shared" ref="F21:F30" si="4">$C5*N5</f>
        <v>485320.34317979997</v>
      </c>
      <c r="G21" s="70">
        <f t="shared" ref="G21:G30" si="5">SUM(B21:F21)</f>
        <v>2627045.27</v>
      </c>
      <c r="I21" s="59"/>
      <c r="J21" s="28">
        <f>$G5*J$18</f>
        <v>3329269.5139031997</v>
      </c>
      <c r="K21" s="28">
        <f t="shared" ref="J21:M32" si="6">$G5*K$18</f>
        <v>1665649.3844423997</v>
      </c>
      <c r="L21" s="28">
        <f t="shared" si="6"/>
        <v>3286839.6370151998</v>
      </c>
      <c r="M21" s="28">
        <f t="shared" si="6"/>
        <v>942127.74463919993</v>
      </c>
      <c r="N21" s="71">
        <f t="shared" ref="N21:N30" si="7">SUM(J21:M21)</f>
        <v>9223886.2799999975</v>
      </c>
    </row>
    <row r="22" spans="1:14">
      <c r="A22" s="69">
        <v>40575</v>
      </c>
      <c r="B22" s="28">
        <f t="shared" si="0"/>
        <v>441032.03867600003</v>
      </c>
      <c r="C22" s="28">
        <f t="shared" si="1"/>
        <v>92335.355933999992</v>
      </c>
      <c r="D22" s="28">
        <f t="shared" si="2"/>
        <v>258840.85183599999</v>
      </c>
      <c r="E22" s="28">
        <f t="shared" si="3"/>
        <v>302879.37244199996</v>
      </c>
      <c r="F22" s="28">
        <f t="shared" si="4"/>
        <v>252480.33111199999</v>
      </c>
      <c r="G22" s="70">
        <f t="shared" si="5"/>
        <v>1347567.95</v>
      </c>
      <c r="I22" s="59"/>
      <c r="J22" s="28">
        <f t="shared" si="6"/>
        <v>2601181.6346551999</v>
      </c>
      <c r="K22" s="28">
        <f t="shared" si="6"/>
        <v>1301383.5529064001</v>
      </c>
      <c r="L22" s="28">
        <f t="shared" si="6"/>
        <v>2568030.8740872</v>
      </c>
      <c r="M22" s="28">
        <f t="shared" si="6"/>
        <v>736091.01835119992</v>
      </c>
      <c r="N22" s="71">
        <f t="shared" si="7"/>
        <v>7206687.0800000001</v>
      </c>
    </row>
    <row r="23" spans="1:14">
      <c r="A23" s="69">
        <v>40603</v>
      </c>
      <c r="B23" s="28">
        <f t="shared" si="0"/>
        <v>867634.80943600007</v>
      </c>
      <c r="C23" s="28">
        <f t="shared" si="1"/>
        <v>181649.771274</v>
      </c>
      <c r="D23" s="28">
        <f t="shared" si="2"/>
        <v>509213.19419600005</v>
      </c>
      <c r="E23" s="28">
        <f t="shared" si="3"/>
        <v>595849.42486200004</v>
      </c>
      <c r="F23" s="28">
        <f t="shared" si="4"/>
        <v>496700.25023200002</v>
      </c>
      <c r="G23" s="70">
        <f t="shared" si="5"/>
        <v>2651047.4500000002</v>
      </c>
      <c r="I23" s="59"/>
      <c r="J23" s="28">
        <f t="shared" si="6"/>
        <v>1703814.1478689997</v>
      </c>
      <c r="K23" s="28">
        <f t="shared" si="6"/>
        <v>852426.32798299985</v>
      </c>
      <c r="L23" s="28">
        <f t="shared" si="6"/>
        <v>1682099.8876589998</v>
      </c>
      <c r="M23" s="28">
        <f t="shared" si="6"/>
        <v>482150.98648899992</v>
      </c>
      <c r="N23" s="71">
        <f t="shared" si="7"/>
        <v>4720491.3499999996</v>
      </c>
    </row>
    <row r="24" spans="1:14">
      <c r="A24" s="69">
        <v>40634</v>
      </c>
      <c r="B24" s="28">
        <f t="shared" si="0"/>
        <v>224835.83700679996</v>
      </c>
      <c r="C24" s="28">
        <f t="shared" si="1"/>
        <v>47579.655078799995</v>
      </c>
      <c r="D24" s="28">
        <f t="shared" si="2"/>
        <v>133378.0123032</v>
      </c>
      <c r="E24" s="28">
        <f t="shared" si="3"/>
        <v>155974.3702336</v>
      </c>
      <c r="F24" s="28">
        <f t="shared" si="4"/>
        <v>130098.5653776</v>
      </c>
      <c r="G24" s="70">
        <f t="shared" si="5"/>
        <v>691866.44000000006</v>
      </c>
      <c r="I24" s="59"/>
      <c r="J24" s="28">
        <f t="shared" si="6"/>
        <v>741003.01989039988</v>
      </c>
      <c r="K24" s="28">
        <f t="shared" si="6"/>
        <v>370727.33787279995</v>
      </c>
      <c r="L24" s="28">
        <f t="shared" si="6"/>
        <v>731559.3065543999</v>
      </c>
      <c r="M24" s="28">
        <f t="shared" si="6"/>
        <v>209691.49568239998</v>
      </c>
      <c r="N24" s="71">
        <f t="shared" si="7"/>
        <v>2052981.1599999997</v>
      </c>
    </row>
    <row r="25" spans="1:14">
      <c r="A25" s="69">
        <v>40664</v>
      </c>
      <c r="B25" s="28">
        <f t="shared" si="0"/>
        <v>4360558.5867411997</v>
      </c>
      <c r="C25" s="28">
        <f t="shared" si="1"/>
        <v>922779.37658919999</v>
      </c>
      <c r="D25" s="28">
        <f t="shared" si="2"/>
        <v>2586787.9630488004</v>
      </c>
      <c r="E25" s="28">
        <f t="shared" si="3"/>
        <v>3025031.0114624002</v>
      </c>
      <c r="F25" s="28">
        <f t="shared" si="4"/>
        <v>2523185.0221584002</v>
      </c>
      <c r="G25" s="70">
        <f t="shared" si="5"/>
        <v>13418341.960000001</v>
      </c>
      <c r="I25" s="59"/>
      <c r="J25" s="28">
        <f t="shared" si="6"/>
        <v>2345569.943525</v>
      </c>
      <c r="K25" s="28">
        <f t="shared" si="6"/>
        <v>1173499.807175</v>
      </c>
      <c r="L25" s="28">
        <f t="shared" si="6"/>
        <v>2315676.8262749999</v>
      </c>
      <c r="M25" s="28">
        <f t="shared" si="6"/>
        <v>663757.17302499991</v>
      </c>
      <c r="N25" s="71">
        <f t="shared" si="7"/>
        <v>6498503.7499999991</v>
      </c>
    </row>
    <row r="26" spans="1:14">
      <c r="A26" s="69">
        <v>40695</v>
      </c>
      <c r="B26" s="28">
        <f t="shared" si="0"/>
        <v>1448236.6595248999</v>
      </c>
      <c r="C26" s="28">
        <f t="shared" si="1"/>
        <v>306475.16717089998</v>
      </c>
      <c r="D26" s="28">
        <f t="shared" si="2"/>
        <v>859128.72949259996</v>
      </c>
      <c r="E26" s="28">
        <f t="shared" si="3"/>
        <v>1004678.8088847999</v>
      </c>
      <c r="F26" s="28">
        <f t="shared" si="4"/>
        <v>838004.80492680008</v>
      </c>
      <c r="G26" s="70">
        <f t="shared" si="5"/>
        <v>4456524.17</v>
      </c>
      <c r="I26" s="59"/>
      <c r="J26" s="28">
        <f t="shared" si="6"/>
        <v>772108.11803859996</v>
      </c>
      <c r="K26" s="28">
        <f t="shared" si="6"/>
        <v>386289.36653019994</v>
      </c>
      <c r="L26" s="28">
        <f t="shared" si="6"/>
        <v>762267.98576459999</v>
      </c>
      <c r="M26" s="28">
        <f t="shared" si="6"/>
        <v>218493.71966659999</v>
      </c>
      <c r="N26" s="71">
        <f t="shared" si="7"/>
        <v>2139159.1899999995</v>
      </c>
    </row>
    <row r="27" spans="1:14">
      <c r="A27" s="69">
        <v>40725</v>
      </c>
      <c r="B27" s="28">
        <f t="shared" si="0"/>
        <v>25779.8701</v>
      </c>
      <c r="C27" s="28">
        <f t="shared" si="1"/>
        <v>5455.5240999999996</v>
      </c>
      <c r="D27" s="28">
        <f t="shared" si="2"/>
        <v>15293.2374</v>
      </c>
      <c r="E27" s="28">
        <f t="shared" si="3"/>
        <v>17884.155200000001</v>
      </c>
      <c r="F27" s="28">
        <f t="shared" si="4"/>
        <v>14917.2132</v>
      </c>
      <c r="G27" s="70">
        <f t="shared" si="5"/>
        <v>79330</v>
      </c>
      <c r="I27" s="59"/>
      <c r="J27" s="28">
        <f t="shared" si="6"/>
        <v>357097.08264819998</v>
      </c>
      <c r="K27" s="28">
        <f t="shared" si="6"/>
        <v>178657.3701574</v>
      </c>
      <c r="L27" s="28">
        <f t="shared" si="6"/>
        <v>352546.05871020001</v>
      </c>
      <c r="M27" s="28">
        <f t="shared" si="6"/>
        <v>101052.5184842</v>
      </c>
      <c r="N27" s="71">
        <f t="shared" si="7"/>
        <v>989353.03</v>
      </c>
    </row>
    <row r="28" spans="1:14">
      <c r="A28" s="69">
        <v>40756</v>
      </c>
      <c r="B28" s="28">
        <f>$C12*J12</f>
        <v>25577.774299999997</v>
      </c>
      <c r="C28" s="28">
        <f t="shared" si="1"/>
        <v>5412.3393999999998</v>
      </c>
      <c r="D28" s="28">
        <f t="shared" si="2"/>
        <v>16404.359399999998</v>
      </c>
      <c r="E28" s="28">
        <f t="shared" si="3"/>
        <v>18801.275999999998</v>
      </c>
      <c r="F28" s="28">
        <f t="shared" si="4"/>
        <v>15834.250900000001</v>
      </c>
      <c r="G28" s="70">
        <f t="shared" si="5"/>
        <v>82029.999999999985</v>
      </c>
      <c r="I28" s="59"/>
      <c r="J28" s="28">
        <f t="shared" si="6"/>
        <v>193938.3353334</v>
      </c>
      <c r="K28" s="28">
        <f t="shared" si="6"/>
        <v>97028.272273799987</v>
      </c>
      <c r="L28" s="28">
        <f t="shared" si="6"/>
        <v>191466.68812739998</v>
      </c>
      <c r="M28" s="28">
        <f t="shared" si="6"/>
        <v>54881.314265399997</v>
      </c>
      <c r="N28" s="71">
        <f t="shared" si="7"/>
        <v>537314.60999999987</v>
      </c>
    </row>
    <row r="29" spans="1:14">
      <c r="A29" s="69">
        <v>40787</v>
      </c>
      <c r="B29" s="28">
        <f t="shared" si="0"/>
        <v>546771.9310199999</v>
      </c>
      <c r="C29" s="28">
        <f t="shared" si="1"/>
        <v>115698.70116</v>
      </c>
      <c r="D29" s="28">
        <f t="shared" si="2"/>
        <v>350673.32915999996</v>
      </c>
      <c r="E29" s="28">
        <f t="shared" si="3"/>
        <v>401911.82639999996</v>
      </c>
      <c r="F29" s="28">
        <f t="shared" si="4"/>
        <v>338486.21226</v>
      </c>
      <c r="G29" s="70">
        <f t="shared" si="5"/>
        <v>1753541.9999999998</v>
      </c>
      <c r="I29" s="59"/>
      <c r="J29" s="28">
        <f t="shared" si="6"/>
        <v>426248.53413159994</v>
      </c>
      <c r="K29" s="28">
        <f t="shared" si="6"/>
        <v>213254.17048119998</v>
      </c>
      <c r="L29" s="28">
        <f t="shared" si="6"/>
        <v>420816.20948759996</v>
      </c>
      <c r="M29" s="28">
        <f t="shared" si="6"/>
        <v>120621.22589959999</v>
      </c>
      <c r="N29" s="71">
        <f t="shared" si="7"/>
        <v>1180940.1399999999</v>
      </c>
    </row>
    <row r="30" spans="1:14">
      <c r="A30" s="69">
        <v>40817</v>
      </c>
      <c r="B30" s="28">
        <f t="shared" si="0"/>
        <v>4793108.0854699994</v>
      </c>
      <c r="C30" s="28">
        <f t="shared" si="1"/>
        <v>1014237.1042599999</v>
      </c>
      <c r="D30" s="28">
        <f t="shared" si="2"/>
        <v>3074069.9622599999</v>
      </c>
      <c r="E30" s="28">
        <f t="shared" si="3"/>
        <v>3523236.5003999998</v>
      </c>
      <c r="F30" s="28">
        <f t="shared" si="4"/>
        <v>2967235.3476100001</v>
      </c>
      <c r="G30" s="70">
        <f t="shared" si="5"/>
        <v>15371887</v>
      </c>
      <c r="I30" s="59"/>
      <c r="J30" s="28">
        <f t="shared" si="6"/>
        <v>920208.98996339994</v>
      </c>
      <c r="K30" s="28">
        <f t="shared" si="6"/>
        <v>460384.93768379994</v>
      </c>
      <c r="L30" s="28">
        <f t="shared" si="6"/>
        <v>908481.38605739991</v>
      </c>
      <c r="M30" s="28">
        <f t="shared" si="6"/>
        <v>260403.79629539998</v>
      </c>
      <c r="N30" s="71">
        <f t="shared" si="7"/>
        <v>2549479.1099999994</v>
      </c>
    </row>
    <row r="31" spans="1:14">
      <c r="A31" s="69">
        <v>40848</v>
      </c>
      <c r="B31" s="28">
        <f>$C15*J15</f>
        <v>7036494.9759099996</v>
      </c>
      <c r="C31" s="28">
        <f t="shared" ref="B31:F32" si="8">$C15*K15</f>
        <v>1488944.9937799999</v>
      </c>
      <c r="D31" s="28">
        <f t="shared" si="8"/>
        <v>4512870.86778</v>
      </c>
      <c r="E31" s="28">
        <f t="shared" si="8"/>
        <v>5172267.2412</v>
      </c>
      <c r="F31" s="28">
        <f t="shared" si="8"/>
        <v>4356032.9213300003</v>
      </c>
      <c r="G31" s="70">
        <f>SUM(B31:F31)</f>
        <v>22566611</v>
      </c>
      <c r="I31" s="59"/>
      <c r="J31" s="28">
        <f t="shared" si="6"/>
        <v>1693521.7993930001</v>
      </c>
      <c r="K31" s="28">
        <f t="shared" si="6"/>
        <v>847277.01705100003</v>
      </c>
      <c r="L31" s="28">
        <f t="shared" si="6"/>
        <v>1671938.7100229999</v>
      </c>
      <c r="M31" s="28">
        <f t="shared" si="6"/>
        <v>479238.42353299999</v>
      </c>
      <c r="N31" s="71">
        <f>SUM(J31:M31)</f>
        <v>4691975.95</v>
      </c>
    </row>
    <row r="32" spans="1:14">
      <c r="A32" s="69">
        <v>40878</v>
      </c>
      <c r="B32" s="28">
        <f t="shared" si="8"/>
        <v>2727536.4601099999</v>
      </c>
      <c r="C32" s="117">
        <f t="shared" si="8"/>
        <v>577155.49737999996</v>
      </c>
      <c r="D32" s="28">
        <f t="shared" si="8"/>
        <v>1749311.25138</v>
      </c>
      <c r="E32" s="28">
        <f t="shared" si="8"/>
        <v>2004911.1851999999</v>
      </c>
      <c r="F32" s="28">
        <f t="shared" si="8"/>
        <v>1688516.6059300001</v>
      </c>
      <c r="G32" s="70">
        <f>SUM(B32:F32)</f>
        <v>8747431</v>
      </c>
      <c r="I32" s="59"/>
      <c r="J32" s="28">
        <f t="shared" si="6"/>
        <v>1145316.8945478001</v>
      </c>
      <c r="K32" s="28">
        <f t="shared" si="6"/>
        <v>573007.49381459993</v>
      </c>
      <c r="L32" s="28">
        <f t="shared" si="6"/>
        <v>1130720.4028457999</v>
      </c>
      <c r="M32" s="28">
        <f t="shared" si="6"/>
        <v>324105.57879180001</v>
      </c>
      <c r="N32" s="71">
        <f>SUM(J32:M32)</f>
        <v>3173150.37</v>
      </c>
    </row>
    <row r="33" spans="1:14" ht="15.75" thickBot="1">
      <c r="A33" s="72" t="s">
        <v>23</v>
      </c>
      <c r="B33" s="73">
        <f t="shared" ref="B33:G33" si="9">SUM(B21:B32)</f>
        <v>23360131.072246701</v>
      </c>
      <c r="C33" s="73">
        <f t="shared" si="9"/>
        <v>4938306.5779866995</v>
      </c>
      <c r="D33" s="73">
        <f t="shared" si="9"/>
        <v>14572203.381785601</v>
      </c>
      <c r="E33" s="73">
        <f t="shared" si="9"/>
        <v>16815771.339764398</v>
      </c>
      <c r="F33" s="73">
        <f t="shared" si="9"/>
        <v>14106811.8682166</v>
      </c>
      <c r="G33" s="100">
        <f t="shared" si="9"/>
        <v>73793224.24000001</v>
      </c>
      <c r="I33" s="74"/>
      <c r="J33" s="62">
        <f>SUM(J21:J32)</f>
        <v>16229278.013898797</v>
      </c>
      <c r="K33" s="62">
        <f>SUM(K21:K32)</f>
        <v>8119585.0383716002</v>
      </c>
      <c r="L33" s="62">
        <f>SUM(L21:L32)</f>
        <v>16022443.9726068</v>
      </c>
      <c r="M33" s="62">
        <f>SUM(M21:M32)</f>
        <v>4592614.9951227996</v>
      </c>
      <c r="N33" s="62">
        <f>SUM(N21:N32)</f>
        <v>44963922.019999996</v>
      </c>
    </row>
    <row r="35" spans="1:14">
      <c r="B35" s="189" t="s">
        <v>58</v>
      </c>
      <c r="C35" s="189"/>
      <c r="D35" s="189"/>
      <c r="E35" s="189"/>
      <c r="F35" s="189"/>
      <c r="I35" s="189" t="s">
        <v>59</v>
      </c>
      <c r="J35" s="189"/>
      <c r="K35" s="189"/>
      <c r="L35" s="189"/>
    </row>
    <row r="36" spans="1:14">
      <c r="B36" s="75" t="s">
        <v>6</v>
      </c>
      <c r="C36" s="75" t="s">
        <v>9</v>
      </c>
      <c r="D36" s="75" t="s">
        <v>11</v>
      </c>
      <c r="E36" s="75" t="s">
        <v>14</v>
      </c>
      <c r="F36" s="75" t="s">
        <v>13</v>
      </c>
      <c r="G36" s="75" t="s">
        <v>41</v>
      </c>
      <c r="I36" s="75" t="s">
        <v>56</v>
      </c>
      <c r="J36" s="75" t="s">
        <v>57</v>
      </c>
      <c r="K36" s="75" t="s">
        <v>21</v>
      </c>
      <c r="L36" s="75" t="s">
        <v>13</v>
      </c>
      <c r="M36" s="75" t="s">
        <v>23</v>
      </c>
    </row>
    <row r="37" spans="1:14">
      <c r="A37" s="51">
        <v>40544</v>
      </c>
      <c r="B37" s="78">
        <f>$B5*J5</f>
        <v>27083.781580000003</v>
      </c>
      <c r="C37" s="78">
        <f t="shared" ref="C37:C46" si="10">$B5*K5</f>
        <v>5670.1563799999994</v>
      </c>
      <c r="D37" s="78">
        <f t="shared" ref="D37:D46" si="11">$B5*L5</f>
        <v>15895.244900000002</v>
      </c>
      <c r="E37" s="78">
        <f t="shared" ref="E37:E46" si="12">$B5*M5</f>
        <v>18599.16876</v>
      </c>
      <c r="F37" s="78">
        <f t="shared" ref="F37:F46" si="13">$B5*N5</f>
        <v>15238.648379999999</v>
      </c>
      <c r="G37" s="78">
        <f t="shared" ref="G37:G46" si="14">SUM(B37:F37)</f>
        <v>82487</v>
      </c>
      <c r="H37" s="78"/>
      <c r="I37" s="78">
        <f t="shared" ref="I37:L46" si="15">$F5*J$18</f>
        <v>140540.65156</v>
      </c>
      <c r="J37" s="78">
        <f t="shared" si="15"/>
        <v>70313.156919999994</v>
      </c>
      <c r="K37" s="78">
        <f t="shared" si="15"/>
        <v>138749.53115999998</v>
      </c>
      <c r="L37" s="78">
        <f t="shared" si="15"/>
        <v>39770.660359999994</v>
      </c>
      <c r="M37" s="78">
        <f t="shared" ref="M37:M46" si="16">SUM(I37:L37)</f>
        <v>389374</v>
      </c>
    </row>
    <row r="38" spans="1:14">
      <c r="A38" s="51">
        <v>40575</v>
      </c>
      <c r="B38" s="78">
        <f t="shared" ref="B38:B46" si="17">$B6*J6</f>
        <v>16191.523440000001</v>
      </c>
      <c r="C38" s="78">
        <f t="shared" si="10"/>
        <v>3389.88996</v>
      </c>
      <c r="D38" s="78">
        <f t="shared" si="11"/>
        <v>9502.7738399999998</v>
      </c>
      <c r="E38" s="78">
        <f t="shared" si="12"/>
        <v>11119.55148</v>
      </c>
      <c r="F38" s="78">
        <f t="shared" si="13"/>
        <v>9269.2612800000006</v>
      </c>
      <c r="G38" s="78">
        <f t="shared" si="14"/>
        <v>49473</v>
      </c>
      <c r="H38" s="78"/>
      <c r="I38" s="78">
        <f t="shared" si="15"/>
        <v>107563.36846</v>
      </c>
      <c r="J38" s="78">
        <f t="shared" si="15"/>
        <v>53814.465219999998</v>
      </c>
      <c r="K38" s="78">
        <f t="shared" si="15"/>
        <v>106192.52705999999</v>
      </c>
      <c r="L38" s="78">
        <f t="shared" si="15"/>
        <v>30438.63926</v>
      </c>
      <c r="M38" s="78">
        <f t="shared" si="16"/>
        <v>298009</v>
      </c>
    </row>
    <row r="39" spans="1:14">
      <c r="A39" s="51">
        <v>40603</v>
      </c>
      <c r="B39" s="78">
        <f t="shared" si="17"/>
        <v>26752.194480000002</v>
      </c>
      <c r="C39" s="78">
        <f t="shared" si="10"/>
        <v>5600.8933200000001</v>
      </c>
      <c r="D39" s="78">
        <f t="shared" si="11"/>
        <v>15700.81128</v>
      </c>
      <c r="E39" s="78">
        <f t="shared" si="12"/>
        <v>18372.10716</v>
      </c>
      <c r="F39" s="78">
        <f t="shared" si="13"/>
        <v>15314.993759999999</v>
      </c>
      <c r="G39" s="78">
        <f t="shared" si="14"/>
        <v>81741</v>
      </c>
      <c r="H39" s="78"/>
      <c r="I39" s="78">
        <f t="shared" si="15"/>
        <v>66959.423159999991</v>
      </c>
      <c r="J39" s="78">
        <f t="shared" si="15"/>
        <v>33500.118119999999</v>
      </c>
      <c r="K39" s="78">
        <f t="shared" si="15"/>
        <v>66106.05876</v>
      </c>
      <c r="L39" s="78">
        <f t="shared" si="15"/>
        <v>18948.399959999999</v>
      </c>
      <c r="M39" s="78">
        <f t="shared" si="16"/>
        <v>185514</v>
      </c>
    </row>
    <row r="40" spans="1:14">
      <c r="A40" s="51">
        <v>40634</v>
      </c>
      <c r="B40" s="78">
        <f t="shared" si="17"/>
        <v>5984.9724899999992</v>
      </c>
      <c r="C40" s="78">
        <f t="shared" si="10"/>
        <v>1266.53709</v>
      </c>
      <c r="D40" s="78">
        <f t="shared" si="11"/>
        <v>3550.4292600000003</v>
      </c>
      <c r="E40" s="78">
        <f t="shared" si="12"/>
        <v>4151.9284799999996</v>
      </c>
      <c r="F40" s="78">
        <f t="shared" si="13"/>
        <v>3463.1326800000002</v>
      </c>
      <c r="G40" s="78">
        <f t="shared" si="14"/>
        <v>18416.999999999996</v>
      </c>
      <c r="H40" s="78"/>
      <c r="I40" s="78">
        <f t="shared" si="15"/>
        <v>28603.773119999998</v>
      </c>
      <c r="J40" s="78">
        <f t="shared" si="15"/>
        <v>14310.60384</v>
      </c>
      <c r="K40" s="78">
        <f t="shared" si="15"/>
        <v>28239.232319999999</v>
      </c>
      <c r="L40" s="78">
        <f t="shared" si="15"/>
        <v>8094.3907199999994</v>
      </c>
      <c r="M40" s="78">
        <f t="shared" si="16"/>
        <v>79247.999999999985</v>
      </c>
    </row>
    <row r="41" spans="1:14">
      <c r="A41" s="51">
        <v>40664</v>
      </c>
      <c r="B41" s="78">
        <f t="shared" si="17"/>
        <v>98335.921999999991</v>
      </c>
      <c r="C41" s="78">
        <f t="shared" si="10"/>
        <v>20809.802</v>
      </c>
      <c r="D41" s="78">
        <f t="shared" si="11"/>
        <v>58335.228000000003</v>
      </c>
      <c r="E41" s="78">
        <f t="shared" si="12"/>
        <v>68218.144</v>
      </c>
      <c r="F41" s="78">
        <f t="shared" si="13"/>
        <v>56900.904000000002</v>
      </c>
      <c r="G41" s="78">
        <f t="shared" si="14"/>
        <v>302600</v>
      </c>
      <c r="H41" s="78"/>
      <c r="I41" s="78">
        <f t="shared" si="15"/>
        <v>97327.110059999992</v>
      </c>
      <c r="J41" s="78">
        <f t="shared" si="15"/>
        <v>48693.216419999997</v>
      </c>
      <c r="K41" s="78">
        <f t="shared" si="15"/>
        <v>96086.724659999993</v>
      </c>
      <c r="L41" s="78">
        <f t="shared" si="15"/>
        <v>27541.948859999997</v>
      </c>
      <c r="M41" s="78">
        <f t="shared" si="16"/>
        <v>269649</v>
      </c>
    </row>
    <row r="42" spans="1:14">
      <c r="A42" s="51">
        <v>40695</v>
      </c>
      <c r="B42" s="78">
        <f t="shared" si="17"/>
        <v>33341.272059999996</v>
      </c>
      <c r="C42" s="78">
        <f t="shared" si="10"/>
        <v>7055.66446</v>
      </c>
      <c r="D42" s="78">
        <f t="shared" si="11"/>
        <v>19778.84244</v>
      </c>
      <c r="E42" s="78">
        <f t="shared" si="12"/>
        <v>23129.69312</v>
      </c>
      <c r="F42" s="78">
        <f t="shared" si="13"/>
        <v>19292.52792</v>
      </c>
      <c r="G42" s="78">
        <f t="shared" si="14"/>
        <v>102598</v>
      </c>
      <c r="H42" s="78"/>
      <c r="I42" s="78">
        <f t="shared" si="15"/>
        <v>28068.138159999999</v>
      </c>
      <c r="J42" s="78">
        <f t="shared" si="15"/>
        <v>14042.623119999998</v>
      </c>
      <c r="K42" s="78">
        <f t="shared" si="15"/>
        <v>27710.423759999998</v>
      </c>
      <c r="L42" s="78">
        <f t="shared" si="15"/>
        <v>7942.8149599999997</v>
      </c>
      <c r="M42" s="78">
        <f t="shared" si="16"/>
        <v>77764</v>
      </c>
    </row>
    <row r="43" spans="1:14">
      <c r="A43" s="51">
        <v>40725</v>
      </c>
      <c r="B43" s="78">
        <f t="shared" si="17"/>
        <v>1961.1939499999999</v>
      </c>
      <c r="C43" s="78">
        <f t="shared" si="10"/>
        <v>415.02695</v>
      </c>
      <c r="D43" s="78">
        <f t="shared" si="11"/>
        <v>1163.4273000000001</v>
      </c>
      <c r="E43" s="78">
        <f t="shared" si="12"/>
        <v>1360.5304000000001</v>
      </c>
      <c r="F43" s="78">
        <f t="shared" si="13"/>
        <v>1134.8214</v>
      </c>
      <c r="G43" s="78">
        <f t="shared" si="14"/>
        <v>6034.9999999999991</v>
      </c>
      <c r="H43" s="78"/>
      <c r="I43" s="78">
        <f t="shared" si="15"/>
        <v>12748.76174</v>
      </c>
      <c r="J43" s="78">
        <f t="shared" si="15"/>
        <v>6378.2661799999996</v>
      </c>
      <c r="K43" s="78">
        <f t="shared" si="15"/>
        <v>12586.28514</v>
      </c>
      <c r="L43" s="78">
        <f t="shared" si="15"/>
        <v>3607.6869399999996</v>
      </c>
      <c r="M43" s="78">
        <f t="shared" si="16"/>
        <v>35321</v>
      </c>
    </row>
    <row r="44" spans="1:14">
      <c r="A44" s="51">
        <v>40756</v>
      </c>
      <c r="B44" s="78">
        <f t="shared" si="17"/>
        <v>3417.4375999999997</v>
      </c>
      <c r="C44" s="78">
        <f t="shared" si="10"/>
        <v>723.14080000000001</v>
      </c>
      <c r="D44" s="78">
        <f t="shared" si="11"/>
        <v>2191.7808</v>
      </c>
      <c r="E44" s="78">
        <f t="shared" si="12"/>
        <v>2512.0319999999997</v>
      </c>
      <c r="F44" s="78">
        <f t="shared" si="13"/>
        <v>2115.6088</v>
      </c>
      <c r="G44" s="78">
        <f t="shared" si="14"/>
        <v>10959.999999999998</v>
      </c>
      <c r="H44" s="78"/>
      <c r="I44" s="78">
        <f t="shared" si="15"/>
        <v>6616.7520799999993</v>
      </c>
      <c r="J44" s="78">
        <f t="shared" si="15"/>
        <v>3310.3925599999998</v>
      </c>
      <c r="K44" s="78">
        <f t="shared" si="15"/>
        <v>6532.4248799999996</v>
      </c>
      <c r="L44" s="78">
        <f t="shared" si="15"/>
        <v>1872.43048</v>
      </c>
      <c r="M44" s="78">
        <f t="shared" si="16"/>
        <v>18331.999999999996</v>
      </c>
    </row>
    <row r="45" spans="1:14">
      <c r="A45" s="51">
        <v>40787</v>
      </c>
      <c r="B45" s="78">
        <f t="shared" si="17"/>
        <v>17606.039839999998</v>
      </c>
      <c r="C45" s="78">
        <f t="shared" si="10"/>
        <v>3725.4947199999997</v>
      </c>
      <c r="D45" s="78">
        <f t="shared" si="11"/>
        <v>11291.67072</v>
      </c>
      <c r="E45" s="78">
        <f t="shared" si="12"/>
        <v>12941.548799999999</v>
      </c>
      <c r="F45" s="78">
        <f t="shared" si="13"/>
        <v>10899.245920000001</v>
      </c>
      <c r="G45" s="78">
        <f t="shared" si="14"/>
        <v>56463.999999999993</v>
      </c>
      <c r="H45" s="78"/>
      <c r="I45" s="78">
        <f t="shared" si="15"/>
        <v>14483.43938</v>
      </c>
      <c r="J45" s="78">
        <f t="shared" si="15"/>
        <v>7246.1336599999995</v>
      </c>
      <c r="K45" s="78">
        <f t="shared" si="15"/>
        <v>14298.85518</v>
      </c>
      <c r="L45" s="78">
        <f t="shared" si="15"/>
        <v>4098.5717800000002</v>
      </c>
      <c r="M45" s="78">
        <f t="shared" si="16"/>
        <v>40127</v>
      </c>
    </row>
    <row r="46" spans="1:14">
      <c r="A46" s="51">
        <v>40817</v>
      </c>
      <c r="B46" s="78">
        <f t="shared" si="17"/>
        <v>137668.79214999999</v>
      </c>
      <c r="C46" s="78">
        <f t="shared" si="10"/>
        <v>29131.1597</v>
      </c>
      <c r="D46" s="78">
        <f t="shared" si="11"/>
        <v>88294.169699999999</v>
      </c>
      <c r="E46" s="78">
        <f t="shared" si="12"/>
        <v>101195.238</v>
      </c>
      <c r="F46" s="78">
        <f t="shared" si="13"/>
        <v>85225.640450000006</v>
      </c>
      <c r="G46" s="78">
        <f t="shared" si="14"/>
        <v>441515</v>
      </c>
      <c r="H46" s="78"/>
      <c r="I46" s="78">
        <f t="shared" si="15"/>
        <v>31225.280339999998</v>
      </c>
      <c r="J46" s="78">
        <f t="shared" si="15"/>
        <v>15622.156379999999</v>
      </c>
      <c r="K46" s="78">
        <f t="shared" si="15"/>
        <v>30827.329739999997</v>
      </c>
      <c r="L46" s="78">
        <f t="shared" si="15"/>
        <v>8836.2335399999993</v>
      </c>
      <c r="M46" s="78">
        <f t="shared" si="16"/>
        <v>86511</v>
      </c>
    </row>
    <row r="47" spans="1:14">
      <c r="A47" s="51">
        <v>40848</v>
      </c>
      <c r="B47" s="78">
        <f t="shared" ref="B47:F48" si="18">$B15*J15</f>
        <v>203181.94400999998</v>
      </c>
      <c r="C47" s="78">
        <f t="shared" si="18"/>
        <v>42993.953580000001</v>
      </c>
      <c r="D47" s="78">
        <f t="shared" si="18"/>
        <v>130311.16757999999</v>
      </c>
      <c r="E47" s="78">
        <f t="shared" si="18"/>
        <v>149351.53320000001</v>
      </c>
      <c r="F47" s="78">
        <f t="shared" si="18"/>
        <v>125782.40163000001</v>
      </c>
      <c r="G47" s="78">
        <f>SUM(B47:F47)</f>
        <v>651621</v>
      </c>
      <c r="H47" s="78"/>
      <c r="I47" s="78">
        <f t="shared" ref="I47:L48" si="19">$F15*J$18</f>
        <v>64197.149339999996</v>
      </c>
      <c r="J47" s="78">
        <f t="shared" si="19"/>
        <v>32118.139379999997</v>
      </c>
      <c r="K47" s="78">
        <f t="shared" si="19"/>
        <v>63378.988740000001</v>
      </c>
      <c r="L47" s="78">
        <f t="shared" si="19"/>
        <v>18166.722539999999</v>
      </c>
      <c r="M47" s="78">
        <f>SUM(I47:L47)</f>
        <v>177861</v>
      </c>
    </row>
    <row r="48" spans="1:14">
      <c r="A48" s="51">
        <v>40878</v>
      </c>
      <c r="B48" s="78">
        <f t="shared" si="18"/>
        <v>82867.872839999996</v>
      </c>
      <c r="C48" s="78">
        <f t="shared" si="18"/>
        <v>17535.10872</v>
      </c>
      <c r="D48" s="78">
        <f t="shared" si="18"/>
        <v>53147.48472</v>
      </c>
      <c r="E48" s="78">
        <f t="shared" si="18"/>
        <v>60913.108799999995</v>
      </c>
      <c r="F48" s="78">
        <f t="shared" si="18"/>
        <v>51300.424920000005</v>
      </c>
      <c r="G48" s="78">
        <f>SUM(B48:F48)</f>
        <v>265764</v>
      </c>
      <c r="H48" s="78"/>
      <c r="I48" s="78">
        <f t="shared" si="19"/>
        <v>45922.757139999994</v>
      </c>
      <c r="J48" s="78">
        <f t="shared" si="19"/>
        <v>22975.37398</v>
      </c>
      <c r="K48" s="78">
        <f t="shared" si="19"/>
        <v>45337.49454</v>
      </c>
      <c r="L48" s="78">
        <f t="shared" si="19"/>
        <v>12995.374339999998</v>
      </c>
      <c r="M48" s="78">
        <f>SUM(I48:L48)</f>
        <v>127230.99999999999</v>
      </c>
    </row>
    <row r="49" spans="1:14">
      <c r="B49" s="77">
        <f t="shared" ref="B49:G49" si="20">SUM(B37:B48)</f>
        <v>654392.94643999997</v>
      </c>
      <c r="C49" s="77">
        <f t="shared" si="20"/>
        <v>138316.82767999999</v>
      </c>
      <c r="D49" s="77">
        <f t="shared" si="20"/>
        <v>409163.03054000001</v>
      </c>
      <c r="E49" s="77">
        <f t="shared" si="20"/>
        <v>471864.58419999998</v>
      </c>
      <c r="F49" s="77">
        <f t="shared" si="20"/>
        <v>395937.61114000005</v>
      </c>
      <c r="G49" s="77">
        <f t="shared" si="20"/>
        <v>2069675</v>
      </c>
      <c r="H49" s="77">
        <f>F49+E49</f>
        <v>867802.19534000009</v>
      </c>
      <c r="I49" s="77">
        <f>SUM(I37:I48)</f>
        <v>644256.60453999985</v>
      </c>
      <c r="J49" s="77">
        <f>SUM(J37:J48)</f>
        <v>322324.64577999996</v>
      </c>
      <c r="K49" s="77">
        <f>SUM(K37:K48)</f>
        <v>636045.87594000006</v>
      </c>
      <c r="L49" s="77">
        <f>SUM(L37:L48)</f>
        <v>182313.87373999995</v>
      </c>
      <c r="M49" s="77">
        <f>SUM(M37:M48)</f>
        <v>1784941</v>
      </c>
      <c r="N49" s="77"/>
    </row>
    <row r="50" spans="1:14">
      <c r="I50" s="76"/>
      <c r="J50" s="76"/>
      <c r="K50" s="76"/>
      <c r="L50" s="76"/>
      <c r="M50" s="77"/>
    </row>
    <row r="52" spans="1:14">
      <c r="A52" s="80"/>
      <c r="B52" s="80"/>
      <c r="C52" s="80"/>
      <c r="D52" s="80"/>
      <c r="E52" s="80"/>
      <c r="F52" s="80"/>
      <c r="G52" s="80"/>
      <c r="H52" s="80"/>
      <c r="I52" s="80"/>
      <c r="J52" s="80"/>
      <c r="K52" s="80"/>
      <c r="L52" s="80"/>
      <c r="M52" s="80"/>
    </row>
    <row r="54" spans="1:14">
      <c r="A54" s="19" t="s">
        <v>60</v>
      </c>
    </row>
    <row r="55" spans="1:14" ht="34.5" customHeight="1">
      <c r="A55" s="195" t="s">
        <v>81</v>
      </c>
      <c r="B55" s="195"/>
      <c r="D55" s="19" t="s">
        <v>130</v>
      </c>
      <c r="F55" s="19" t="s">
        <v>82</v>
      </c>
    </row>
    <row r="56" spans="1:14">
      <c r="A56" s="51">
        <v>40544</v>
      </c>
      <c r="B56" s="39">
        <v>29618955.399999999</v>
      </c>
      <c r="D56" s="39">
        <v>11279879.41</v>
      </c>
      <c r="F56" s="39">
        <f t="shared" ref="F56:F67" si="21">B56-D56</f>
        <v>18339075.989999998</v>
      </c>
    </row>
    <row r="57" spans="1:14">
      <c r="A57" s="51">
        <v>40575</v>
      </c>
      <c r="B57" s="39">
        <v>23484871.390000001</v>
      </c>
      <c r="D57" s="39">
        <v>12847501.34</v>
      </c>
      <c r="F57" s="39">
        <f>B57-D57</f>
        <v>10637370.050000001</v>
      </c>
    </row>
    <row r="58" spans="1:14">
      <c r="A58" s="51">
        <v>40603</v>
      </c>
      <c r="B58" s="39">
        <v>30138050.25</v>
      </c>
      <c r="D58" s="39">
        <v>17261632.109999999</v>
      </c>
      <c r="F58" s="39">
        <f t="shared" si="21"/>
        <v>12876418.140000001</v>
      </c>
    </row>
    <row r="59" spans="1:14">
      <c r="A59" s="51">
        <v>40634</v>
      </c>
      <c r="B59" s="39">
        <v>37083829.07</v>
      </c>
      <c r="D59" s="39">
        <v>20743470.829999998</v>
      </c>
      <c r="F59" s="39">
        <f t="shared" si="21"/>
        <v>16340358.240000002</v>
      </c>
    </row>
    <row r="60" spans="1:14">
      <c r="A60" s="51">
        <v>40664</v>
      </c>
      <c r="B60" s="39">
        <v>35795770.060000002</v>
      </c>
      <c r="D60" s="39">
        <v>12200386.289999999</v>
      </c>
      <c r="F60" s="39">
        <f t="shared" si="21"/>
        <v>23595383.770000003</v>
      </c>
    </row>
    <row r="61" spans="1:14">
      <c r="A61" s="51">
        <v>40695</v>
      </c>
      <c r="B61" s="39">
        <v>42627832.57</v>
      </c>
      <c r="D61" s="39">
        <v>18753579.640000001</v>
      </c>
      <c r="F61" s="39">
        <f t="shared" si="21"/>
        <v>23874252.93</v>
      </c>
    </row>
    <row r="62" spans="1:14">
      <c r="A62" s="51">
        <v>40725</v>
      </c>
      <c r="B62" s="39">
        <v>17775310.059999999</v>
      </c>
      <c r="D62" s="39">
        <v>9332450.9000000004</v>
      </c>
      <c r="F62" s="39">
        <f t="shared" si="21"/>
        <v>8442859.1599999983</v>
      </c>
    </row>
    <row r="63" spans="1:14">
      <c r="A63" s="51">
        <v>40756</v>
      </c>
      <c r="B63" s="39">
        <v>38372801.460000001</v>
      </c>
      <c r="D63" s="39">
        <v>22045131.489999998</v>
      </c>
      <c r="F63" s="39">
        <f t="shared" si="21"/>
        <v>16327669.970000003</v>
      </c>
    </row>
    <row r="64" spans="1:14">
      <c r="A64" s="51">
        <v>40787</v>
      </c>
      <c r="B64" s="39">
        <v>41410019.780000001</v>
      </c>
      <c r="D64" s="39">
        <v>19125054.829999998</v>
      </c>
      <c r="F64" s="39">
        <f t="shared" si="21"/>
        <v>22284964.950000003</v>
      </c>
    </row>
    <row r="65" spans="1:6">
      <c r="A65" s="51">
        <v>40817</v>
      </c>
      <c r="B65" s="39">
        <v>4111614.25</v>
      </c>
      <c r="D65" s="39">
        <v>737168.73</v>
      </c>
      <c r="F65" s="39">
        <f t="shared" si="21"/>
        <v>3374445.52</v>
      </c>
    </row>
    <row r="66" spans="1:6">
      <c r="A66" s="51">
        <v>40848</v>
      </c>
      <c r="B66" s="39">
        <v>22525240.010000002</v>
      </c>
      <c r="D66" s="39">
        <v>9129982.5500000007</v>
      </c>
      <c r="F66" s="39">
        <f t="shared" si="21"/>
        <v>13395257.460000001</v>
      </c>
    </row>
    <row r="67" spans="1:6">
      <c r="A67" s="51">
        <v>40878</v>
      </c>
      <c r="B67" s="39">
        <v>9026259.4700000007</v>
      </c>
      <c r="D67" s="39">
        <v>4464793.17</v>
      </c>
      <c r="F67" s="39">
        <f t="shared" si="21"/>
        <v>4561466.3000000007</v>
      </c>
    </row>
    <row r="68" spans="1:6">
      <c r="B68" s="39">
        <f>SUM(B56:B67)</f>
        <v>331970553.76999998</v>
      </c>
      <c r="D68" s="39">
        <f>SUM(D56:D67)</f>
        <v>157921031.28999996</v>
      </c>
      <c r="F68" s="39">
        <f>SUM(F56:F67)</f>
        <v>174049522.48000002</v>
      </c>
    </row>
    <row r="70" spans="1:6">
      <c r="D70" s="77"/>
    </row>
    <row r="73" spans="1:6">
      <c r="A73" s="19" t="s">
        <v>132</v>
      </c>
      <c r="D73" s="19" t="s">
        <v>131</v>
      </c>
    </row>
    <row r="74" spans="1:6">
      <c r="A74" s="51">
        <v>40544</v>
      </c>
      <c r="B74" s="78">
        <v>343001</v>
      </c>
      <c r="D74" s="78">
        <v>271183</v>
      </c>
    </row>
    <row r="75" spans="1:6">
      <c r="A75" s="51">
        <v>40575</v>
      </c>
      <c r="B75" s="78">
        <v>241797</v>
      </c>
      <c r="D75" s="78">
        <v>288760</v>
      </c>
    </row>
    <row r="76" spans="1:6">
      <c r="A76" s="51">
        <v>40603</v>
      </c>
      <c r="B76" s="78">
        <v>319568</v>
      </c>
      <c r="D76" s="78">
        <v>388131</v>
      </c>
    </row>
    <row r="77" spans="1:6">
      <c r="A77" s="51">
        <v>40634</v>
      </c>
      <c r="B77" s="78">
        <v>393328</v>
      </c>
      <c r="D77" s="78">
        <v>456219</v>
      </c>
    </row>
    <row r="78" spans="1:6">
      <c r="A78" s="51">
        <v>40664</v>
      </c>
      <c r="B78" s="78">
        <v>432505</v>
      </c>
      <c r="D78" s="78">
        <v>274756</v>
      </c>
    </row>
    <row r="79" spans="1:6">
      <c r="A79" s="51">
        <v>40695</v>
      </c>
      <c r="B79" s="78">
        <v>500640</v>
      </c>
      <c r="D79" s="78">
        <v>460090</v>
      </c>
    </row>
    <row r="80" spans="1:6">
      <c r="A80" s="51">
        <v>40725</v>
      </c>
      <c r="B80" s="79">
        <v>151156.353</v>
      </c>
      <c r="D80" s="78">
        <v>192547</v>
      </c>
    </row>
    <row r="81" spans="1:4">
      <c r="A81" s="51">
        <v>40756</v>
      </c>
      <c r="B81" s="78">
        <v>321339</v>
      </c>
      <c r="D81" s="78">
        <v>518207</v>
      </c>
    </row>
    <row r="82" spans="1:4">
      <c r="A82" s="51">
        <v>40787</v>
      </c>
      <c r="B82" s="78">
        <v>533819</v>
      </c>
      <c r="D82" s="78">
        <v>402888</v>
      </c>
    </row>
    <row r="83" spans="1:4">
      <c r="A83" s="51">
        <v>40817</v>
      </c>
      <c r="B83" s="78">
        <v>111438</v>
      </c>
      <c r="D83" s="78">
        <v>22379</v>
      </c>
    </row>
    <row r="84" spans="1:4">
      <c r="A84" s="51">
        <v>40848</v>
      </c>
      <c r="B84" s="78">
        <v>285251</v>
      </c>
      <c r="D84" s="78">
        <v>116381</v>
      </c>
    </row>
    <row r="85" spans="1:4">
      <c r="A85" s="51">
        <v>40878</v>
      </c>
      <c r="B85" s="78">
        <v>179104.01</v>
      </c>
      <c r="D85" s="78">
        <v>154716</v>
      </c>
    </row>
    <row r="86" spans="1:4">
      <c r="B86" s="33">
        <f>SUM(B74:B85)</f>
        <v>3812946.3629999999</v>
      </c>
      <c r="D86" s="33">
        <f>SUM(D74:D85)</f>
        <v>3546257</v>
      </c>
    </row>
    <row r="87" spans="1:4">
      <c r="B87" s="33"/>
      <c r="D87" s="33"/>
    </row>
    <row r="88" spans="1:4">
      <c r="A88" s="49" t="s">
        <v>133</v>
      </c>
      <c r="B88" s="33"/>
      <c r="D88" s="33"/>
    </row>
  </sheetData>
  <mergeCells count="8">
    <mergeCell ref="I35:L35"/>
    <mergeCell ref="J3:N3"/>
    <mergeCell ref="J19:N19"/>
    <mergeCell ref="A55:B55"/>
    <mergeCell ref="B3:D3"/>
    <mergeCell ref="F3:H3"/>
    <mergeCell ref="B19:F19"/>
    <mergeCell ref="B35:F35"/>
  </mergeCells>
  <phoneticPr fontId="70" type="noConversion"/>
  <pageMargins left="0.7" right="0.7" top="0.75" bottom="0.75" header="0.3" footer="0.3"/>
  <pageSetup scale="61" fitToHeight="2" orientation="landscape" r:id="rId1"/>
  <headerFooter>
    <oddFooter>&amp;L&amp;F&amp;A &amp;D&amp;T</oddFooter>
  </headerFooter>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Pool Energy Summary</vt:lpstr>
      <vt:lpstr>PJM Bill Detail</vt:lpstr>
      <vt:lpstr>Primary Energy</vt:lpstr>
      <vt:lpstr>Cap Equalization</vt:lpstr>
      <vt:lpstr>OSS Reimbursement</vt:lpstr>
      <vt:lpstr>OSS Margins</vt:lpstr>
      <vt:lpstr>OSS MWh</vt:lpstr>
      <vt:lpstr>OSS Cost</vt:lpstr>
      <vt:lpstr>PSUM</vt:lpstr>
      <vt:lpstr>OVEC D Charge</vt:lpstr>
      <vt:lpstr>Trading &amp; Optimization Detail</vt:lpstr>
      <vt:lpstr>Wheeling Power Bill</vt:lpstr>
      <vt:lpstr>'OSS Cost'!Print_Area</vt:lpstr>
      <vt:lpstr>'OSS MWh'!Print_Area</vt:lpstr>
      <vt:lpstr>'OSS Reimbursement'!Print_Area</vt:lpstr>
      <vt:lpstr>'Primary Energy'!Print_Area</vt:lpstr>
    </vt:vector>
  </TitlesOfParts>
  <Company>IT-WE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E Vaughan</dc:creator>
  <cp:lastModifiedBy>s998095</cp:lastModifiedBy>
  <cp:lastPrinted>2012-11-06T19:14:05Z</cp:lastPrinted>
  <dcterms:created xsi:type="dcterms:W3CDTF">2011-10-14T19:15:05Z</dcterms:created>
  <dcterms:modified xsi:type="dcterms:W3CDTF">2012-11-06T19:14:18Z</dcterms:modified>
</cp:coreProperties>
</file>