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61" windowWidth="15180" windowHeight="8640" tabRatio="931" firstSheet="1" activeTab="4"/>
  </bookViews>
  <sheets>
    <sheet name="Risk Assessment-IPS Actual" sheetId="1" state="hidden" r:id="rId1"/>
    <sheet name="Risk Assessment - IPS Act" sheetId="2" r:id="rId2"/>
    <sheet name="Change Revisions" sheetId="3" r:id="rId3"/>
    <sheet name="INPUT" sheetId="4" r:id="rId4"/>
    <sheet name="Cover Page" sheetId="5" r:id="rId5"/>
    <sheet name="Statement" sheetId="6" r:id="rId6"/>
    <sheet name="Contents" sheetId="7" r:id="rId7"/>
    <sheet name="PAGE1" sheetId="8" r:id="rId8"/>
    <sheet name="PAGE2" sheetId="9" r:id="rId9"/>
    <sheet name="PAGE3" sheetId="10" r:id="rId10"/>
    <sheet name="PAGE4" sheetId="11" r:id="rId11"/>
    <sheet name="PAGE5" sheetId="12" r:id="rId12"/>
    <sheet name="PAGE6" sheetId="13" r:id="rId13"/>
    <sheet name="PAGE6B" sheetId="14" r:id="rId14"/>
    <sheet name="PAGE7" sheetId="15" r:id="rId15"/>
    <sheet name="PAGE8" sheetId="16" r:id="rId16"/>
    <sheet name="PRIMARY 151" sheetId="17" r:id="rId17"/>
    <sheet name="PAGE9" sheetId="18" r:id="rId18"/>
    <sheet name="ECONOMY 151" sheetId="19" r:id="rId19"/>
    <sheet name="PAGE10" sheetId="20" r:id="rId20"/>
    <sheet name="PAGE11" sheetId="21" r:id="rId21"/>
    <sheet name="APP Contents" sheetId="22" r:id="rId22"/>
    <sheet name="APPI" sheetId="23" r:id="rId23"/>
    <sheet name="APPII" sheetId="24" r:id="rId24"/>
    <sheet name="APPIII" sheetId="25" r:id="rId25"/>
    <sheet name="APPIV" sheetId="26" r:id="rId26"/>
    <sheet name="APPV" sheetId="27" r:id="rId27"/>
    <sheet name="APPVI PG1" sheetId="28" r:id="rId28"/>
    <sheet name="APPVI PG 2" sheetId="29" r:id="rId29"/>
    <sheet name="APPVI VLOOKUP NAMES" sheetId="30" state="hidden" r:id="rId30"/>
    <sheet name="APPVII PG1" sheetId="31" r:id="rId31"/>
    <sheet name="APPVII PG2" sheetId="32" r:id="rId32"/>
    <sheet name="APPVII PG3" sheetId="33" r:id="rId33"/>
    <sheet name="APPVII PG4" sheetId="34" r:id="rId34"/>
    <sheet name="APPVIII PG 1" sheetId="35" r:id="rId35"/>
    <sheet name="APPVIII PG 2" sheetId="36" r:id="rId36"/>
    <sheet name="APPVIII PG 3" sheetId="37" r:id="rId37"/>
    <sheet name="APPVIII PG 4" sheetId="38" r:id="rId38"/>
    <sheet name="APPVIII PG 5" sheetId="39" r:id="rId39"/>
    <sheet name="APPVIII PG 6" sheetId="40" r:id="rId40"/>
    <sheet name="APPVIII PG 7" sheetId="41" r:id="rId41"/>
    <sheet name="APP IX (PJM)" sheetId="42" r:id="rId42"/>
    <sheet name="APP X (PASS-THROUGH)" sheetId="43" r:id="rId43"/>
  </sheets>
  <definedNames>
    <definedName name="AdjAcct4470.082Swaps">'APPVII PG3'!$J$26:$J$30</definedName>
    <definedName name="AdjAcct4470.099Cost">'APPVII PG3'!$Q$55:$Q$59</definedName>
    <definedName name="AdjAcct4470.112Cost">'APPVII PG3'!$R$55:$R$59</definedName>
    <definedName name="AdjAcct4470.112MWH">'APPVII PG3'!$G$55:$G$59</definedName>
    <definedName name="AdjAcct4470.112Rev">'APPVII PG3'!$R$55:$R$59</definedName>
    <definedName name="AdjAcct4470.131Cost">'APPVII PG3'!$P$55:$P$59</definedName>
    <definedName name="AdjAcct4470.131MWH">'APPVII PG3'!$F$55:$F$59</definedName>
    <definedName name="AdjAcct4470.143Swaps">'APPVII PG3'!$I$26:$I$30</definedName>
    <definedName name="AdjAcct4470.167Rev">'APPVII PG3'!$T$55:$T$59</definedName>
    <definedName name="AdjAcct4470.169Rev">'APPVII PG3'!$U$55:$U$59</definedName>
    <definedName name="AdjAcct4470.170MWH">'APPVII PG3'!$H$55:$H$59</definedName>
    <definedName name="AdjAcct4470.170Rev">'APPVII PG3'!$S$55:$S$59</definedName>
    <definedName name="AdjAcct5550.001Cost">'APPVII PG3'!$E$26:$E$30</definedName>
    <definedName name="AdjAcct5550.001MWH">'APPVII PG3'!$D$26:$D$30</definedName>
    <definedName name="AdjAcct5550.035Cost">'APPVII PG3'!$K$55:$K$59</definedName>
    <definedName name="AdjAcct5550.035MWH">'APPVII PG3'!$D$55:$D$59</definedName>
    <definedName name="AdjAcct5550.088Cost">'APPVII PG3'!$K$55:$K$59</definedName>
    <definedName name="AdjAcct5550.099Cost">'APPVII PG3'!$M$55:$M$59</definedName>
    <definedName name="AdjAcct5550.099MWH">'APPVII PG3'!$E$55:$E$59</definedName>
    <definedName name="AdjAcct5550.099Swaps">'APPVII PG3'!$H$26:$H$30</definedName>
    <definedName name="AdjAcct5550.100Cost">'APPVII PG3'!$N$55:$N$59</definedName>
    <definedName name="AdjAcct5570.007REC">'APPVII PG3'!$I$55:$I$59</definedName>
    <definedName name="AdjAcct5614.008Cost">'APPVII PG3'!$O$55:$O$59</definedName>
    <definedName name="EastDirectAllcTotal">'APPVIII PG 1'!$C$93</definedName>
    <definedName name="_xlnm.Print_Area" localSheetId="21">'APP Contents'!$A$1:$B$41</definedName>
    <definedName name="_xlnm.Print_Area" localSheetId="41">'APP IX (PJM)'!$A$1:$M$259</definedName>
    <definedName name="_xlnm.Print_Area" localSheetId="42">'APP X (PASS-THROUGH)'!$A$1:$I$244</definedName>
    <definedName name="_xlnm.Print_Area" localSheetId="22">'APPI'!$A$1:$S$67</definedName>
    <definedName name="_xlnm.Print_Area" localSheetId="23">'APPII'!$A$1:$I$71</definedName>
    <definedName name="_xlnm.Print_Area" localSheetId="24">'APPIII'!$A$1:$J$73</definedName>
    <definedName name="_xlnm.Print_Area" localSheetId="25">'APPIV'!$B$1:$N$79</definedName>
    <definedName name="_xlnm.Print_Area" localSheetId="26">'APPV'!$B$1:$L$55</definedName>
    <definedName name="_xlnm.Print_Area" localSheetId="28">'APPVI PG 2'!$A$1:$R$103</definedName>
    <definedName name="_xlnm.Print_Area" localSheetId="27">'APPVI PG1'!$A$1:$O$58</definedName>
    <definedName name="_xlnm.Print_Area" localSheetId="30">'APPVII PG1'!$A$1:$J$56</definedName>
    <definedName name="_xlnm.Print_Area" localSheetId="31">'APPVII PG2'!$A$1:$O$59</definedName>
    <definedName name="_xlnm.Print_Area" localSheetId="32">'APPVII PG3'!$A$1:$U$60</definedName>
    <definedName name="_xlnm.Print_Area" localSheetId="33">'APPVII PG4'!$A$1:$M$71</definedName>
    <definedName name="_xlnm.Print_Area" localSheetId="34">'APPVIII PG 1'!$A$1:$G$95</definedName>
    <definedName name="_xlnm.Print_Area" localSheetId="36">'APPVIII PG 3'!$A$1:$I$53</definedName>
    <definedName name="_xlnm.Print_Area" localSheetId="40">'APPVIII PG 7'!$A$1:$J$61</definedName>
    <definedName name="_xlnm.Print_Area" localSheetId="4">'Cover Page'!$A$1:$C$50</definedName>
    <definedName name="_xlnm.Print_Area" localSheetId="18">'ECONOMY 151'!$A$1:$J$50</definedName>
    <definedName name="_xlnm.Print_Area" localSheetId="3">'INPUT'!$A$1:$V$196</definedName>
    <definedName name="_xlnm.Print_Area" localSheetId="7">'PAGE1'!$A$1:$J$121</definedName>
    <definedName name="_xlnm.Print_Area" localSheetId="19">'PAGE10'!$A$1:$L$114</definedName>
    <definedName name="_xlnm.Print_Area" localSheetId="20">'PAGE11'!$A$1:$J$60</definedName>
    <definedName name="_xlnm.Print_Area" localSheetId="8">'PAGE2'!$A$1:$N$54</definedName>
    <definedName name="_xlnm.Print_Area" localSheetId="9">'PAGE3'!$A$1:$I$42</definedName>
    <definedName name="_xlnm.Print_Area" localSheetId="10">'PAGE4'!$A$1:$J$59</definedName>
    <definedName name="_xlnm.Print_Area" localSheetId="11">'PAGE5'!$A$1:$K$50</definedName>
    <definedName name="_xlnm.Print_Area" localSheetId="12">'PAGE6'!$A$1:$I$50</definedName>
    <definedName name="_xlnm.Print_Area" localSheetId="13">'PAGE6B'!$A$1:$Q$47</definedName>
    <definedName name="_xlnm.Print_Area" localSheetId="14">'PAGE7'!$A$1:$K$55</definedName>
    <definedName name="_xlnm.Print_Area" localSheetId="15">'PAGE8'!$A$1:$K$56</definedName>
    <definedName name="_xlnm.Print_Area" localSheetId="17">'PAGE9'!$A$1:$J$55</definedName>
    <definedName name="_xlnm.Print_Area" localSheetId="16">'PRIMARY 151'!$A$1:$J$50</definedName>
    <definedName name="_xlnm.Print_Titles" localSheetId="34">'APPVIII PG 1'!$1:$10</definedName>
    <definedName name="WestDirectAllcTotal">'APPVIII PG 1'!$D$93</definedName>
  </definedNames>
  <calcPr fullCalcOnLoad="1"/>
</workbook>
</file>

<file path=xl/comments38.xml><?xml version="1.0" encoding="utf-8"?>
<comments xmlns="http://schemas.openxmlformats.org/spreadsheetml/2006/main">
  <authors>
    <author>AEP</author>
  </authors>
  <commentList>
    <comment ref="A3" authorId="0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Teri Myers</author>
    <author>AEP</author>
  </authors>
  <commentList>
    <comment ref="O197" authorId="0">
      <text>
        <r>
          <rPr>
            <b/>
            <sz val="8"/>
            <rFont val="Tahoma"/>
            <family val="0"/>
          </rPr>
          <t>Teri Myers:</t>
        </r>
        <r>
          <rPr>
            <sz val="8"/>
            <rFont val="Tahoma"/>
            <family val="0"/>
          </rPr>
          <t xml:space="preserve">
Only May-September
</t>
        </r>
      </text>
    </comment>
    <comment ref="W151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'=current mo posted from Allow. Mngmt System*(Allocated/Actual from ECR GENE)</t>
        </r>
      </text>
    </comment>
    <comment ref="W152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'=current mo posted from Allow. Mngmt System*(Allocated/Actual from ECR GENE)</t>
        </r>
      </text>
    </comment>
    <comment ref="M189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Portion not allocated
= Actual - Allocated 
or "Firm Load Generation"</t>
        </r>
      </text>
    </comment>
    <comment ref="M190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Portion not allocated
= Actual - Allocated 
or "Firm Load Generation"</t>
        </r>
      </text>
    </comment>
    <comment ref="M147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= Allocated Generation</t>
        </r>
      </text>
    </comment>
    <comment ref="M148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= Allocated Generation</t>
        </r>
      </text>
    </comment>
    <comment ref="O147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'=current mo posted from Allow. Mngmt System*(Allocated/Actual from ECR GENE)</t>
        </r>
      </text>
    </comment>
    <comment ref="O148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'=current mo posted from Allow. Mngmt System*(Allocated/Actual from ECR GENE)</t>
        </r>
      </text>
    </comment>
    <comment ref="L112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= Allocated Generation Total from GENE Report</t>
        </r>
      </text>
    </comment>
    <comment ref="L145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= Allocated Generation Total from GENE Report</t>
        </r>
      </text>
    </comment>
    <comment ref="M112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APCO AM3 Actual Generation = AM3 Generation from App IV - AM1 from Page 10 - AM2 from Page 10.  </t>
        </r>
      </text>
    </comment>
    <comment ref="U111" authorId="1">
      <text>
        <r>
          <rPr>
            <b/>
            <sz val="8"/>
            <rFont val="Tahoma"/>
            <family val="0"/>
          </rPr>
          <t xml:space="preserve">AEP:
</t>
        </r>
        <r>
          <rPr>
            <sz val="8"/>
            <rFont val="Tahoma"/>
            <family val="2"/>
          </rPr>
          <t xml:space="preserve">APCO AM3 Actual Generation = AM3 Generation from App IV - AM1 from Page 10 - AM2 from Page 10.  </t>
        </r>
      </text>
    </comment>
    <comment ref="U112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=Net Generation for OPCO 
Unit Total - AM3 APCO Total.  
Should equal generation listed on Appendix IV
 </t>
        </r>
      </text>
    </comment>
    <comment ref="M145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AEP:
=Net Generation for OPCO 
Unit Total - AM3 APCO Total.  
Should equal generation listed on Appendix IV
</t>
        </r>
      </text>
    </comment>
    <comment ref="L135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KP (AEG) Line</t>
        </r>
      </text>
    </comment>
    <comment ref="L137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Line</t>
        </r>
      </text>
    </comment>
    <comment ref="L140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(AEG) Line</t>
        </r>
      </text>
    </comment>
    <comment ref="M140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(AEG) Line</t>
        </r>
      </text>
    </comment>
    <comment ref="M137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Line</t>
        </r>
      </text>
    </comment>
    <comment ref="L139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Line</t>
        </r>
      </text>
    </comment>
    <comment ref="M139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Line</t>
        </r>
      </text>
    </comment>
    <comment ref="M135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KP (AEG) Line</t>
        </r>
      </text>
    </comment>
    <comment ref="L136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KP (AEG) Line</t>
        </r>
      </text>
    </comment>
    <comment ref="M136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KP (AEG) Line</t>
        </r>
      </text>
    </comment>
    <comment ref="L138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Line</t>
        </r>
      </text>
    </comment>
    <comment ref="M138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Line</t>
        </r>
      </text>
    </comment>
  </commentList>
</comments>
</file>

<file path=xl/sharedStrings.xml><?xml version="1.0" encoding="utf-8"?>
<sst xmlns="http://schemas.openxmlformats.org/spreadsheetml/2006/main" count="5705" uniqueCount="2199">
  <si>
    <t>CALCULATION OF MEMBER PRIMARY CAPACITY FIXED OPERATING RATES:</t>
  </si>
  <si>
    <t>STEAM-ELECTRIC</t>
  </si>
  <si>
    <t>($/kW)</t>
  </si>
  <si>
    <t>(10)=(1)-(2)-(6)</t>
  </si>
  <si>
    <t>(11)</t>
  </si>
  <si>
    <t>(12)=(10)/(11)</t>
  </si>
  <si>
    <t xml:space="preserve">NOTE:  </t>
  </si>
  <si>
    <t xml:space="preserve"> *  Adjusted to exclude allocation of fuel costs (Acct. 151) associated with coal conversion services.</t>
  </si>
  <si>
    <t>APPENDIX VI</t>
  </si>
  <si>
    <t>SETTLEMENT WITH SYSTEM AGENT ASSOCIATED WITH MLR</t>
  </si>
  <si>
    <t>ALLOCATIONS OF AEP SYSTEM RECEIPTS AND DELIVERIES</t>
  </si>
  <si>
    <t>ACTUAL SETTLEMENT</t>
  </si>
  <si>
    <t>ADJUSTMENT AMOUNT</t>
  </si>
  <si>
    <t xml:space="preserve">TO AGENT </t>
  </si>
  <si>
    <t>NET AMOUNT DUE</t>
  </si>
  <si>
    <t>FOR ALL SYSTEM</t>
  </si>
  <si>
    <t>TRANSACTIONS</t>
  </si>
  <si>
    <t>(EXCEPT TRANS.</t>
  </si>
  <si>
    <t>SERVICE)      (1)</t>
  </si>
  <si>
    <t>TRANSMISSION</t>
  </si>
  <si>
    <t>GROSS TOTAL</t>
  </si>
  <si>
    <t>NET TOTAL</t>
  </si>
  <si>
    <t>APPENDIX VII</t>
  </si>
  <si>
    <t>SETTLEMENT WITH SYSTEM AGENT ASSOCIATED</t>
  </si>
  <si>
    <t>NOx Differential</t>
  </si>
  <si>
    <t>Meter Correction Charges</t>
  </si>
  <si>
    <t>(West) = 5650.002</t>
  </si>
  <si>
    <t>4470.147 &amp; 5550.053</t>
  </si>
  <si>
    <t>5614.005 &amp; 5650.002</t>
  </si>
  <si>
    <t>June 2009 Actual Cycle - Sales Reclassification</t>
  </si>
  <si>
    <t>June 2009 Actual Cycle - Purchase Reclassification</t>
  </si>
  <si>
    <t>June 2009 Actual Cycle - Purchased Transmission Reclassification</t>
  </si>
  <si>
    <t>MONTH ENDING 05/31/2009</t>
  </si>
  <si>
    <t>06/08</t>
  </si>
  <si>
    <t>12</t>
  </si>
  <si>
    <t>06/09/08 HR 12</t>
  </si>
  <si>
    <t>06/09/08 HR 16</t>
  </si>
  <si>
    <t>PJM Service Fee</t>
  </si>
  <si>
    <t>SIA Subtotal</t>
  </si>
  <si>
    <t>Adj. to Transmission Losses Credits</t>
  </si>
  <si>
    <t>Synchronous Reserve Charge</t>
  </si>
  <si>
    <t>Day-ahead Operating Reserve for Load Response</t>
  </si>
  <si>
    <t>Adj. for Balancing Operating Reserve for Load Response</t>
  </si>
  <si>
    <t>Adj. for Day-ahead Operating Reserve for Load Response</t>
  </si>
  <si>
    <t>PJM Customer Payment Default</t>
  </si>
  <si>
    <t>Generation Resource Rating Test Failure</t>
  </si>
  <si>
    <t>PJM Customer Payment Default - MP Invoices</t>
  </si>
  <si>
    <t>Generation Resource Rating Test Failure - MP Invoices</t>
  </si>
  <si>
    <t>Planning Period Excess Congestion - MP Invoices</t>
  </si>
  <si>
    <t>Adj. to PJM Scheduling System Control and Dispatch Service Charges - MP Invoices</t>
  </si>
  <si>
    <t>Adj. to Day Ahead Transmission Losses Charges</t>
  </si>
  <si>
    <t>Adj. to Reactive Supply and Voltage Control from Generation Sources Service Charges</t>
  </si>
  <si>
    <t>Adj. to Black Start Service Charges</t>
  </si>
  <si>
    <t>Balancing Operating Reserve LOC Credit</t>
  </si>
  <si>
    <t>RPM Auction Charges</t>
  </si>
  <si>
    <t>Adj. to Day Ahead Transmission Congestion Charges</t>
  </si>
  <si>
    <t>Load Reconciliation for Day-ahead Scheduling Reserve Charge</t>
  </si>
  <si>
    <t>Miscellaneous Bilateral - Dayton/AEPBCK Reconciliation</t>
  </si>
  <si>
    <t>Member Default Charge</t>
  </si>
  <si>
    <t>Journal Entry to Reclass Entergy Spread Portion to Appropriate Zone - Account 4470.066</t>
  </si>
  <si>
    <t>Transmission</t>
  </si>
  <si>
    <t>Purchased</t>
  </si>
  <si>
    <t>Page 1 of 7</t>
  </si>
  <si>
    <t>Page 5 of 7</t>
  </si>
  <si>
    <t>Page 6 of 7</t>
  </si>
  <si>
    <t>Page 7 of 7</t>
  </si>
  <si>
    <t>WITH MLR ALLOCATIONS OF AEP SYSTEM</t>
  </si>
  <si>
    <t>BOOKOUTS AND OPTIONS</t>
  </si>
  <si>
    <t>ALLOCATION BY MLR</t>
  </si>
  <si>
    <t>MCPC2</t>
  </si>
  <si>
    <t>Mid-Continent Power Corp.</t>
  </si>
  <si>
    <t>PJM Interconnection Pool</t>
  </si>
  <si>
    <t>TOTAL COSTS</t>
  </si>
  <si>
    <t>TOTAL REVENUES</t>
  </si>
  <si>
    <t>PREVIOUS</t>
  </si>
  <si>
    <t>ESTIMATE</t>
  </si>
  <si>
    <t>PJM CHARGES TRANSFERRED FROM nMARKET to AEE</t>
  </si>
  <si>
    <t>(I-II)</t>
  </si>
  <si>
    <t>CPL(Unit Power)</t>
  </si>
  <si>
    <t>DC1</t>
  </si>
  <si>
    <t>DC2</t>
  </si>
  <si>
    <t>SMT</t>
  </si>
  <si>
    <t>Check Totals</t>
  </si>
  <si>
    <t>Portion not allocated</t>
  </si>
  <si>
    <t>Prev Mo APPVI Pg 1</t>
  </si>
  <si>
    <t>ok</t>
  </si>
  <si>
    <t>PURCHASES-4210.032</t>
  </si>
  <si>
    <t>REVENUES-4210.31</t>
  </si>
  <si>
    <t>PURCHASES-42103.032</t>
  </si>
  <si>
    <t>REVENUES-4210.031</t>
  </si>
  <si>
    <t>(1)  Power that did not enter into nor did it flow out of the AEP System, and is not included in the ECR/MLR report.</t>
  </si>
  <si>
    <t>EXERCISED</t>
  </si>
  <si>
    <t>EXERCISED OPTIONS</t>
  </si>
  <si>
    <t>17</t>
  </si>
  <si>
    <t>OPERATING COMPANY PERCENTAGE</t>
  </si>
  <si>
    <t>Internal (MLR) MLR MONTHLY MAXIMUM</t>
  </si>
  <si>
    <t>Internal (MLR) MAXIMUM 60-MINUTE</t>
  </si>
  <si>
    <r>
      <t xml:space="preserve">  </t>
    </r>
    <r>
      <rPr>
        <b/>
        <sz val="10"/>
        <rFont val="Comic Sans MS"/>
        <family val="4"/>
      </rPr>
      <t>Indiana Total</t>
    </r>
  </si>
  <si>
    <t>Subtotal (more than two tiers away)</t>
  </si>
  <si>
    <t>+(2)/(8) +(3)/(7)</t>
  </si>
  <si>
    <t>BROKERS'</t>
  </si>
  <si>
    <t>COMMISSIONS</t>
  </si>
  <si>
    <t>PURCHASE</t>
  </si>
  <si>
    <t>RPQ</t>
  </si>
  <si>
    <t>BROKER COMMISSIONS</t>
  </si>
  <si>
    <t xml:space="preserve">         PREVIOUS ESTIMATE</t>
  </si>
  <si>
    <t>POWER</t>
  </si>
  <si>
    <t xml:space="preserve">TOTAL NET  </t>
  </si>
  <si>
    <t>&amp; PREMIUMS (2)</t>
  </si>
  <si>
    <t xml:space="preserve">              CURRENT MONTH</t>
  </si>
  <si>
    <t>=Actual-Allocated</t>
  </si>
  <si>
    <t>CLEB2</t>
  </si>
  <si>
    <t>City of Lebanon</t>
  </si>
  <si>
    <t xml:space="preserve">                 expense, then aggregates such hourly data for the month to arrive at the totals reported above.</t>
  </si>
  <si>
    <t>ERCOT Capacity Purchases</t>
  </si>
  <si>
    <t>ERCOT Non-Dedicated Administration Fee</t>
  </si>
  <si>
    <t>Physical Off-System Purchases</t>
  </si>
  <si>
    <t>Physical Off-System Sales</t>
  </si>
  <si>
    <t>SIA Ratio Calculation</t>
  </si>
  <si>
    <t>Trading and Marketing Realizations</t>
  </si>
  <si>
    <t>Direct</t>
  </si>
  <si>
    <t>Sharing</t>
  </si>
  <si>
    <t>Allocation</t>
  </si>
  <si>
    <t>Act</t>
  </si>
  <si>
    <t>12-Month Total Realizations</t>
  </si>
  <si>
    <t>SIA Sharing Ratios for:</t>
  </si>
  <si>
    <t xml:space="preserve">SOURCE:  The ECR computer program calculates  for each hour of the month the MWh of ECONOMY deliveries </t>
  </si>
  <si>
    <t xml:space="preserve">                 and the associated charges and credits based upon an equal sharing of the savings in production </t>
  </si>
  <si>
    <t xml:space="preserve">                 used in the hourly calculations are derived in APPENDIX V.</t>
  </si>
  <si>
    <t>OPTIONS &amp;</t>
  </si>
  <si>
    <t>PREMIUMS</t>
  </si>
  <si>
    <t>OMG</t>
  </si>
  <si>
    <t>Fowler Ridge (APD &amp; IMD)</t>
  </si>
  <si>
    <t>Orion Camp Grove (OCG)</t>
  </si>
  <si>
    <t>MO/YR</t>
  </si>
  <si>
    <t>Print for Jim</t>
  </si>
  <si>
    <t xml:space="preserve">SOURCE:  The ECR computer program calculates Primary energy deliveries and associated charges for each hour </t>
  </si>
  <si>
    <t xml:space="preserve">  Appalachian Total</t>
  </si>
  <si>
    <t>FTR Auction Charges</t>
  </si>
  <si>
    <t>Inadvertent Interchange Charges</t>
  </si>
  <si>
    <t>PJM Scheduling System Control and Dispatch Service Charges</t>
  </si>
  <si>
    <t>Reliability First Corporation (RFC) Charges</t>
  </si>
  <si>
    <t>RECs</t>
  </si>
  <si>
    <t>Credit ($)</t>
  </si>
  <si>
    <t>Check</t>
  </si>
  <si>
    <t>Compare</t>
  </si>
  <si>
    <t>AMS Environmental</t>
  </si>
  <si>
    <t>Consumption</t>
  </si>
  <si>
    <t>Non-ECR Explicit Congestion -LSE</t>
  </si>
  <si>
    <t>Non-ECR Explicit Congestion -OSS</t>
  </si>
  <si>
    <t>Non-ECR Explicit Losses -LSE</t>
  </si>
  <si>
    <t>Non-ECR Explicit Losses OSS</t>
  </si>
  <si>
    <t xml:space="preserve">                 of the month and aggregates such MWh and Charges for the month as reported above.  The $/mWh </t>
  </si>
  <si>
    <t>(MLR * COL. 2 TOT.)</t>
  </si>
  <si>
    <t>Additional SO2 Adjustment</t>
  </si>
  <si>
    <t>Transmission Paid by East Applicable to West</t>
  </si>
  <si>
    <t>Renewable Energy Credit Commissions</t>
  </si>
  <si>
    <t>0 MW's</t>
  </si>
  <si>
    <t>225 MW's</t>
  </si>
  <si>
    <t xml:space="preserve">NOTE:  (*)  Source of data is "Summary - System Account Settlement for AEP System Deliveries" in the ECR#MLR </t>
  </si>
  <si>
    <t xml:space="preserve">                   report.  The MWh and $ CREDIT AMOUNTS labeled "As Supplied" correspond to the MWh and COST </t>
  </si>
  <si>
    <t>11</t>
  </si>
  <si>
    <t xml:space="preserve">                   columns associated with the "Total All Source Allocation".  The MWh and $ CHARGE AMOUNTS labeled</t>
  </si>
  <si>
    <t xml:space="preserve">                   "MLR SHARE" correspond to the MWh and COST columns associated with the "Total All MLR Allocation".  </t>
  </si>
  <si>
    <t xml:space="preserve">                   Not included are any demand charge portions of purchased power out-of-pocket costs allocated to AEP </t>
  </si>
  <si>
    <t xml:space="preserve">                   incurred and allocated in identical MLR proportion, thus netting zero).  Also, see NOTE (1), page 6.</t>
  </si>
  <si>
    <t>isum</t>
  </si>
  <si>
    <t xml:space="preserve">                   System deliveries (such demand costs would have no net effect in the System Account because they are </t>
  </si>
  <si>
    <t xml:space="preserve">             through the System Pool Account Agent.</t>
  </si>
  <si>
    <t xml:space="preserve">NOTE:  This statement provides amounts to be booked in accounts 555 and 447 and the settlement </t>
  </si>
  <si>
    <t>NET BOOKOUTS,</t>
  </si>
  <si>
    <t>Big Sandy</t>
  </si>
  <si>
    <t>Rockport 1 Purchased from AEG</t>
  </si>
  <si>
    <t xml:space="preserve">  Kentucky Total</t>
  </si>
  <si>
    <t>GAIN</t>
  </si>
  <si>
    <t xml:space="preserve">OPTIONS, </t>
  </si>
  <si>
    <t>COMMISSIONS,</t>
  </si>
  <si>
    <t>NON-ECR</t>
  </si>
  <si>
    <t>BUCKEYE</t>
  </si>
  <si>
    <t>PASS-THROUGH</t>
  </si>
  <si>
    <t>CONGESTION</t>
  </si>
  <si>
    <t>ACCT. 4470.006</t>
  </si>
  <si>
    <t>ACCT. 4470.007</t>
  </si>
  <si>
    <t>(2)  Sold in previous period(s) and exercised in:</t>
  </si>
  <si>
    <t>OFF-SYSTEM THIRD PARTY</t>
  </si>
  <si>
    <t>SALES (1)</t>
  </si>
  <si>
    <t xml:space="preserve">      KPCO allowance:</t>
  </si>
  <si>
    <t xml:space="preserve">      I&amp;M allowance:</t>
  </si>
  <si>
    <t>(2) APCO allowance:</t>
  </si>
  <si>
    <t>Period</t>
  </si>
  <si>
    <t>Accounts</t>
  </si>
  <si>
    <t>Loss</t>
  </si>
  <si>
    <t>City of Westerville - Generation</t>
  </si>
  <si>
    <t>PJM - Westerville - Generation</t>
  </si>
  <si>
    <t>Lawrenceburg Purchased from AEG</t>
  </si>
  <si>
    <t>Sharing %'s</t>
  </si>
  <si>
    <t>East</t>
  </si>
  <si>
    <t>West</t>
  </si>
  <si>
    <t>Split Dollars</t>
  </si>
  <si>
    <t>SWEPCo</t>
  </si>
  <si>
    <t>Applicable</t>
  </si>
  <si>
    <t>Gain /</t>
  </si>
  <si>
    <t>Page 2 of 7</t>
  </si>
  <si>
    <t>Page 4 of 7</t>
  </si>
  <si>
    <t>Page 3 of 7</t>
  </si>
  <si>
    <t>Adj. for Other Supporting Facilities Charge - Aggregate Allocation</t>
  </si>
  <si>
    <t>Load Reconciliation for Inadvertent Interchange Charge</t>
  </si>
  <si>
    <t>Load Reconciliation for PJM Scheduling, System Control and Dispatch Service Refund Charge</t>
  </si>
  <si>
    <t>Load Reconciliation for FERC Annual Charge Recovery Charge</t>
  </si>
  <si>
    <t>Load Reconciliation for Organization of PJM States, Inc. (OPSI) Funding Charge</t>
  </si>
  <si>
    <t>Load Reconciliation for North American Electric Reliability Corporation (NERC) Charge</t>
  </si>
  <si>
    <t>Load Reconciliation for Reliability First Corporation (RFC) Charge</t>
  </si>
  <si>
    <t>Misc Credits</t>
  </si>
  <si>
    <t>Fowler Ridge Wind Farm</t>
  </si>
  <si>
    <t>74.993 MW's</t>
  </si>
  <si>
    <t>4470.107 &amp; 4470.110</t>
  </si>
  <si>
    <t>PJM Purchases Non-ECR - Auctions</t>
  </si>
  <si>
    <t>PJM Capacity Purchases - Auction</t>
  </si>
  <si>
    <t>Non-ECR Auction Sales - OSS</t>
  </si>
  <si>
    <t>Swaps Related to PJM Purchases Non-ECR - Auction</t>
  </si>
  <si>
    <t>Change in SIA Sharing Related to ICR Re-runs</t>
  </si>
  <si>
    <t xml:space="preserve">TOTAL </t>
  </si>
  <si>
    <t>(2)  Prior period adjustments that apply to ICR Reruns for 2-07 thru 10-08 as shown in Appendix VIII, page 6.</t>
  </si>
  <si>
    <t>East Summary:</t>
  </si>
  <si>
    <t>West Summary:</t>
  </si>
  <si>
    <t>AMOS 1</t>
  </si>
  <si>
    <t>AMOS 2</t>
  </si>
  <si>
    <t>ACCOUNTS RECEIVABLE</t>
  </si>
  <si>
    <t>ACCOUNTS PAYABLE</t>
  </si>
  <si>
    <t>AMOS 3</t>
  </si>
  <si>
    <t>SPORN 1</t>
  </si>
  <si>
    <t>SPORN 2</t>
  </si>
  <si>
    <t>SPORN 3</t>
  </si>
  <si>
    <t>SPORN 4</t>
  </si>
  <si>
    <t>SPORN 5</t>
  </si>
  <si>
    <t>BIG SANDY 1</t>
  </si>
  <si>
    <t>BIG SANDY 2</t>
  </si>
  <si>
    <t>ROCKPORT 2</t>
  </si>
  <si>
    <t>TANNERS CREEK 1</t>
  </si>
  <si>
    <t>TANNERS CREEK 2</t>
  </si>
  <si>
    <t>TANNERS CREEK 3</t>
  </si>
  <si>
    <t>CONESVILLE 5</t>
  </si>
  <si>
    <t>CONESVILLE 6</t>
  </si>
  <si>
    <t>MOUNTAINEER 1</t>
  </si>
  <si>
    <t>CLINCH RIVER 1</t>
  </si>
  <si>
    <t>CLINCH RIVER 2</t>
  </si>
  <si>
    <t>CLINCH RIVER 3</t>
  </si>
  <si>
    <t>KANAWHA RIVER 1</t>
  </si>
  <si>
    <t>KANAWHA RIVER 2</t>
  </si>
  <si>
    <t>GLEN LYN 51</t>
  </si>
  <si>
    <t>GLEN LYN 52</t>
  </si>
  <si>
    <t>GLEN LYN 6</t>
  </si>
  <si>
    <t>AM1</t>
  </si>
  <si>
    <t>AM2</t>
  </si>
  <si>
    <t>AM3</t>
  </si>
  <si>
    <t>CR1</t>
  </si>
  <si>
    <t>CR2</t>
  </si>
  <si>
    <t>CR3</t>
  </si>
  <si>
    <t>GL51</t>
  </si>
  <si>
    <t>GL52</t>
  </si>
  <si>
    <t>GL6</t>
  </si>
  <si>
    <t>KR1</t>
  </si>
  <si>
    <t>KR2</t>
  </si>
  <si>
    <t>MT1</t>
  </si>
  <si>
    <t>SP1</t>
  </si>
  <si>
    <t>SP2</t>
  </si>
  <si>
    <t>SP3</t>
  </si>
  <si>
    <t>SP4</t>
  </si>
  <si>
    <t>SP5</t>
  </si>
  <si>
    <t>BS1</t>
  </si>
  <si>
    <t>BS2</t>
  </si>
  <si>
    <t>TC1</t>
  </si>
  <si>
    <t>TC2</t>
  </si>
  <si>
    <t>TC3</t>
  </si>
  <si>
    <t xml:space="preserve">Swaps Related to HPJM &amp; NPJM Books </t>
  </si>
  <si>
    <t>CV5</t>
  </si>
  <si>
    <t>CV6</t>
  </si>
  <si>
    <t>SYSTEMS</t>
  </si>
  <si>
    <t>(b)</t>
  </si>
  <si>
    <t>ZM1</t>
  </si>
  <si>
    <t>ZIMMER 1</t>
  </si>
  <si>
    <t>RP1 (AEG)</t>
  </si>
  <si>
    <t>CD3</t>
  </si>
  <si>
    <t>CARDINAL 3</t>
  </si>
  <si>
    <t>RP1 (OS)</t>
  </si>
  <si>
    <t>SPORN (APCO)</t>
  </si>
  <si>
    <t>Realization Sharing Calculations</t>
  </si>
  <si>
    <t xml:space="preserve">West Share of </t>
  </si>
  <si>
    <t>07/08</t>
  </si>
  <si>
    <t>21</t>
  </si>
  <si>
    <t>PJM NON-ECR PURCHASES - LSE</t>
  </si>
  <si>
    <t>*  SOURCE:  Line 17 of Schedule entitled "Steam-Electric Generating Plant Statistics (Large Plants)" in the FERC Form No. 1</t>
  </si>
  <si>
    <t>08/08</t>
  </si>
  <si>
    <t>01</t>
  </si>
  <si>
    <t>22</t>
  </si>
  <si>
    <t>07/31/08 HR 14</t>
  </si>
  <si>
    <t xml:space="preserve">AP load for July 21, 2008 was changed from 6504 MW to 6493 MW. The Mosel 69 kV tie was understated due to a blown fuse on the meter.  </t>
  </si>
  <si>
    <t>Buckeye Pass-Through</t>
  </si>
  <si>
    <t>Buckeye</t>
  </si>
  <si>
    <t>PJM Admin Fee - Schedule 9 MMU</t>
  </si>
  <si>
    <t xml:space="preserve">     to column (1) numbers).</t>
  </si>
  <si>
    <t xml:space="preserve">East Share of </t>
  </si>
  <si>
    <t>Number</t>
  </si>
  <si>
    <t>ACCT. 4470.010</t>
  </si>
  <si>
    <t>ACCT. 4470.011</t>
  </si>
  <si>
    <t>Central Hudson Gas &amp; Electric Corp.</t>
  </si>
  <si>
    <t>Transmission Purchases</t>
  </si>
  <si>
    <t>(MLR ALLOC.)</t>
  </si>
  <si>
    <t>(SOURCE ALLOC)</t>
  </si>
  <si>
    <t>10</t>
  </si>
  <si>
    <t>BUCKEYE TOTAL</t>
  </si>
  <si>
    <t>ROCKPORT 1 (OWNED SHARE)</t>
  </si>
  <si>
    <t>ComEd Wholesale Marketing</t>
  </si>
  <si>
    <t>Duke Power Company</t>
  </si>
  <si>
    <t>PJM Interconnection</t>
  </si>
  <si>
    <t>CPP</t>
  </si>
  <si>
    <t>BELOW THE LINE</t>
  </si>
  <si>
    <t>PJM Default Payment Charge - OSS</t>
  </si>
  <si>
    <t>Renewable Energy Credits</t>
  </si>
  <si>
    <t>SO2 Differential</t>
  </si>
  <si>
    <t>BELOW THE</t>
  </si>
  <si>
    <t>LINE</t>
  </si>
  <si>
    <t>(ABOVE THE LINE)</t>
  </si>
  <si>
    <t>CHECK TOTALS</t>
  </si>
  <si>
    <t>NO LONGER PARTIAL OWNER</t>
  </si>
  <si>
    <t>WESTERN AEP:</t>
  </si>
  <si>
    <t>=</t>
  </si>
  <si>
    <t>PAGE (6B)</t>
  </si>
  <si>
    <t>East Zone SIA</t>
  </si>
  <si>
    <t>PJM CHARGES FOR EAST ZONE SIA</t>
  </si>
  <si>
    <t>ALLOCATION OF REALIZATION SHARING BY EASTERN AEP OPERATING COMPANIES AND ACCOUNT NUMBERS</t>
  </si>
  <si>
    <t>EASTERN AEP:</t>
  </si>
  <si>
    <t>x</t>
  </si>
  <si>
    <t>ACCOUNT NO.</t>
  </si>
  <si>
    <t>TOTAL OF ALL</t>
  </si>
  <si>
    <t>ACCOUNTS</t>
  </si>
  <si>
    <t>CEREDO</t>
  </si>
  <si>
    <t>Account</t>
  </si>
  <si>
    <t>PJM NON-ECR</t>
  </si>
  <si>
    <t>PJM NON-ECR PURCHASES-OSS</t>
  </si>
  <si>
    <t>NON-ECR PHYSICAL SALES-OSS</t>
  </si>
  <si>
    <t>Amount</t>
  </si>
  <si>
    <t>APPENDIX VIII</t>
  </si>
  <si>
    <t>West. AEP</t>
  </si>
  <si>
    <t>VII.</t>
  </si>
  <si>
    <t>TRADING &amp; MARKETING REALIZATION</t>
  </si>
  <si>
    <t xml:space="preserve">ADJUSTMENT TO ALLOCATION OF </t>
  </si>
  <si>
    <t>SALES (2)</t>
  </si>
  <si>
    <t>SERVICE</t>
  </si>
  <si>
    <t>COMMISSIONS (3)</t>
  </si>
  <si>
    <t>(PURCHASES)</t>
  </si>
  <si>
    <t>TO BE BOOKED NEXT MONTH</t>
  </si>
  <si>
    <t>(SEE PAGE 6B)</t>
  </si>
  <si>
    <t>ADJUSTMENT FOR TRANSMISSION</t>
  </si>
  <si>
    <t xml:space="preserve">SERVICE (PURCHASES) TO BE </t>
  </si>
  <si>
    <t>BOOKED NEXT MONTH</t>
  </si>
  <si>
    <t>CHECK</t>
  </si>
  <si>
    <t>Realization</t>
  </si>
  <si>
    <t>Allegheny Power GM</t>
  </si>
  <si>
    <t>TOTAL SHARE</t>
  </si>
  <si>
    <t>Check Calculation</t>
  </si>
  <si>
    <t>TRANSMISSION SERVICE</t>
  </si>
  <si>
    <t>(b)  From Continuous Emission Monitoring System monthly data.</t>
  </si>
  <si>
    <t>New York Power Authority</t>
  </si>
  <si>
    <t>NYSEG Energy Trading</t>
  </si>
  <si>
    <t>City of Redding</t>
  </si>
  <si>
    <t>AMPO</t>
  </si>
  <si>
    <t>Total</t>
  </si>
  <si>
    <t>AMOUNT DUE (TO)/FROM AGENT</t>
  </si>
  <si>
    <t>Pwr</t>
  </si>
  <si>
    <t>CO.</t>
  </si>
  <si>
    <t>Code</t>
  </si>
  <si>
    <t>Customer</t>
  </si>
  <si>
    <t>ACCT</t>
  </si>
  <si>
    <t>AGNT</t>
  </si>
  <si>
    <t>BILL</t>
  </si>
  <si>
    <t>Totals</t>
  </si>
  <si>
    <t>APGM</t>
  </si>
  <si>
    <t>07</t>
  </si>
  <si>
    <t>CPLC</t>
  </si>
  <si>
    <t>02</t>
  </si>
  <si>
    <t>CPMT</t>
  </si>
  <si>
    <t>CEWM</t>
  </si>
  <si>
    <t>04</t>
  </si>
  <si>
    <t>ENTE</t>
  </si>
  <si>
    <t>FEWM</t>
  </si>
  <si>
    <t>MIJM</t>
  </si>
  <si>
    <t>OVPS</t>
  </si>
  <si>
    <t>PJM</t>
  </si>
  <si>
    <t>SWE</t>
  </si>
  <si>
    <t>SWPP</t>
  </si>
  <si>
    <t>TVAM</t>
  </si>
  <si>
    <t>VAPG</t>
  </si>
  <si>
    <t>BPAP</t>
  </si>
  <si>
    <t>Notes:</t>
  </si>
  <si>
    <t>Short Desc</t>
  </si>
  <si>
    <t>Descr</t>
  </si>
  <si>
    <t>ACE</t>
  </si>
  <si>
    <t>Atlantic City Elect</t>
  </si>
  <si>
    <t>ACET</t>
  </si>
  <si>
    <t>Acetex - Mingo Jct Energy</t>
  </si>
  <si>
    <t>AECC</t>
  </si>
  <si>
    <t>Arkansas Electric Co-Op Corp</t>
  </si>
  <si>
    <t>4210.032</t>
  </si>
  <si>
    <t>4210.031</t>
  </si>
  <si>
    <t>31</t>
  </si>
  <si>
    <t>30</t>
  </si>
  <si>
    <t>20</t>
  </si>
  <si>
    <t>AEMC</t>
  </si>
  <si>
    <t>TOTAL PJM CHARGES TRANSFERRED FROM nMARKET TO AEE (ESTIMATED)</t>
  </si>
  <si>
    <t>TOTAL PJM CHARGES TRANSFERRED FROM nMARKET TO AEE (ACTUAL)</t>
  </si>
  <si>
    <t>TOTAL PJM CHARGES TRANSFERRED FROM nMARKET TO AEE (ADJUSTMENT)</t>
  </si>
  <si>
    <t>(1)  The results shown on this appendix are tabulated for system settlement on IPS, page 1, items VI and VII.</t>
  </si>
  <si>
    <t>TOTAL PJM CHARGES (NON-ECR) FROM INVOICE (ESTIMATED)</t>
  </si>
  <si>
    <t>TOTAL PJM CHARGES (NON-ECR) FROM INVOICE (ACTUAL)</t>
  </si>
  <si>
    <t>Aquila Energy Marktg</t>
  </si>
  <si>
    <t>AEN</t>
  </si>
  <si>
    <t>Austin Energy</t>
  </si>
  <si>
    <t>AEPES</t>
  </si>
  <si>
    <t>AEP Energy Services</t>
  </si>
  <si>
    <t>AES</t>
  </si>
  <si>
    <t>Alliance Energy Services</t>
  </si>
  <si>
    <t>AETC</t>
  </si>
  <si>
    <t>AMOCO Energy Trading</t>
  </si>
  <si>
    <t>AETS</t>
  </si>
  <si>
    <t>Allegheny Energy</t>
  </si>
  <si>
    <t>ALTM</t>
  </si>
  <si>
    <t>Alliant Energy</t>
  </si>
  <si>
    <t>American Municipal Power-Ohio</t>
  </si>
  <si>
    <t>ANHM</t>
  </si>
  <si>
    <t>City of Anaheim</t>
  </si>
  <si>
    <t>APM</t>
  </si>
  <si>
    <t>Associated Elect Cooperative</t>
  </si>
  <si>
    <t>APQF</t>
  </si>
  <si>
    <t>Aquenergy System</t>
  </si>
  <si>
    <t>APS</t>
  </si>
  <si>
    <t>Arizona Public Svc</t>
  </si>
  <si>
    <t>APX</t>
  </si>
  <si>
    <t>Automated Power Exchange, Inc</t>
  </si>
  <si>
    <t>Arcadia</t>
  </si>
  <si>
    <t>Arcadia  (OMEG)</t>
  </si>
  <si>
    <t>AVA</t>
  </si>
  <si>
    <t>Avista Corporation</t>
  </si>
  <si>
    <t>AVST</t>
  </si>
  <si>
    <t>Avista Energy, Inc.</t>
  </si>
  <si>
    <t>AYP</t>
  </si>
  <si>
    <t>AYP Energy, Inc.</t>
  </si>
  <si>
    <t>BCPD</t>
  </si>
  <si>
    <t>PUD No. 1 of Benton</t>
  </si>
  <si>
    <t>BGE</t>
  </si>
  <si>
    <t>Baltimore Gas &amp; Electric</t>
  </si>
  <si>
    <t>Bloomdale</t>
  </si>
  <si>
    <t>Bloomdale  (OMEG)</t>
  </si>
  <si>
    <t>BLUE</t>
  </si>
  <si>
    <t>Blue Ridge Power Agency</t>
  </si>
  <si>
    <t>Bonneville Power Admin</t>
  </si>
  <si>
    <t>BPEC</t>
  </si>
  <si>
    <t>B.P. Energy Company</t>
  </si>
  <si>
    <t>BRPS</t>
  </si>
  <si>
    <t>BREC Power Supply</t>
  </si>
  <si>
    <t>Bryan</t>
  </si>
  <si>
    <t>150.007 MW's</t>
  </si>
  <si>
    <t>Adj. for Synchronous Condensing Charge</t>
  </si>
  <si>
    <t>Day-Ahead Economic Load Response Program</t>
  </si>
  <si>
    <t>Bryan  (OMEG)</t>
  </si>
  <si>
    <t>BRYN2</t>
  </si>
  <si>
    <t>City of Bryan, Texas</t>
  </si>
  <si>
    <t>BUCK</t>
  </si>
  <si>
    <t>Buckeye Rural Electric Admin</t>
  </si>
  <si>
    <t>BURB</t>
  </si>
  <si>
    <t>City of Burbank</t>
  </si>
  <si>
    <t>CAES</t>
  </si>
  <si>
    <t>ConAgra Energy Services, Inc.</t>
  </si>
  <si>
    <t>CALP</t>
  </si>
  <si>
    <t>Calpine Power Service Company</t>
  </si>
  <si>
    <t>Carey</t>
  </si>
  <si>
    <t>Carey   (OMEG)</t>
  </si>
  <si>
    <t>CEDE</t>
  </si>
  <si>
    <t>ConEd Energy</t>
  </si>
  <si>
    <t>CEDS</t>
  </si>
  <si>
    <t>NOX Repricing Worksheet</t>
  </si>
  <si>
    <t>05/09</t>
  </si>
  <si>
    <t>28</t>
  </si>
  <si>
    <t xml:space="preserve">Buckeye hourly actual loads were reloaded for March 2009, on May 26, 2009. There was no impact to the hourly CSP and OP loads. </t>
  </si>
  <si>
    <t>(1) $303,750.of the ENTE invoice will be allocated to PSO/SWEPCO - See Appendix VIII Page 4</t>
  </si>
  <si>
    <t>(3) A portion of the MISO invoice is charged back to CLEB2 ($108,654)</t>
  </si>
  <si>
    <t>(2) A portion of the DUKE invoice is charged back to CLEB2 ($1,866)</t>
  </si>
  <si>
    <t>Con Edison Solutions, Inc.</t>
  </si>
  <si>
    <t>CEPD</t>
  </si>
  <si>
    <t>ConEdison Company of New York</t>
  </si>
  <si>
    <t>CETR</t>
  </si>
  <si>
    <t>Consumers Energy Traders</t>
  </si>
  <si>
    <t>CHEC</t>
  </si>
  <si>
    <t>CHPM</t>
  </si>
  <si>
    <t>Chelan County PUD</t>
  </si>
  <si>
    <t>CIES</t>
  </si>
  <si>
    <t>Cook Inlet Energy Supply, LP</t>
  </si>
  <si>
    <t>CILM</t>
  </si>
  <si>
    <t>Central Illinois</t>
  </si>
  <si>
    <t>CISO</t>
  </si>
  <si>
    <t>California ISO</t>
  </si>
  <si>
    <t>CITZ</t>
  </si>
  <si>
    <t>Citizens Lehman Power Sales</t>
  </si>
  <si>
    <t>CLEC</t>
  </si>
  <si>
    <t>Cleco Utility Group, LLC</t>
  </si>
  <si>
    <t>Clyde</t>
  </si>
  <si>
    <t>Clyde  (OMEG)</t>
  </si>
  <si>
    <t>CMS</t>
  </si>
  <si>
    <t>CMS Marketing Svcs and Trading</t>
  </si>
  <si>
    <t>CNCT</t>
  </si>
  <si>
    <t>Conectiv Energy Supply, Inc.</t>
  </si>
  <si>
    <t>CNGP</t>
  </si>
  <si>
    <t>CNG Power Services</t>
  </si>
  <si>
    <t>CONC</t>
  </si>
  <si>
    <t>Conoco Inc.</t>
  </si>
  <si>
    <t>CORP</t>
  </si>
  <si>
    <t>Coral Power, LLC</t>
  </si>
  <si>
    <t>CPM</t>
  </si>
  <si>
    <t>Columbia Power Marketing Corp</t>
  </si>
  <si>
    <t>Cinergy Power Mktg &amp; Trading</t>
  </si>
  <si>
    <t xml:space="preserve">Changed the input macro to prompt the user for the year.  Previously, the year was hard-coded in the macro. </t>
  </si>
  <si>
    <t>Cleveland Public Power</t>
  </si>
  <si>
    <t>CPS</t>
  </si>
  <si>
    <t>Constellation Power Source</t>
  </si>
  <si>
    <t>CPX</t>
  </si>
  <si>
    <t>(3)  Actual commissions paid in:</t>
  </si>
  <si>
    <t>Rate**</t>
  </si>
  <si>
    <t>** SOURCE:  Member Weighted Average Investment Cost multiplied by Monthly Carrying Charge Factor from</t>
  </si>
  <si>
    <t xml:space="preserve">                     Interconnection Agreement, Article 6.212.</t>
  </si>
  <si>
    <t>SPP Non-Dedicated Region Settlement</t>
  </si>
  <si>
    <t>City of Columbus Generation Credit</t>
  </si>
  <si>
    <t>SO2 &amp; NOX emission allowances used in dispatch versus operating companies inventory costs (see page 11).</t>
  </si>
  <si>
    <t>Split Rock Energy</t>
  </si>
  <si>
    <t>Transmission Enhancement Charges</t>
  </si>
  <si>
    <t>Adj. to Non-Firm Point-to-Point Transmission Service Charges</t>
  </si>
  <si>
    <t>Load Reconciliation for Balancing Operating Reserve</t>
  </si>
  <si>
    <t>Market Monitoring Unit (MMU) Funding Charge</t>
  </si>
  <si>
    <t>FERC Annual Charge Recovery Charge</t>
  </si>
  <si>
    <t>Organization of PJM States, Inc. (OPSI) Funding Charge</t>
  </si>
  <si>
    <t xml:space="preserve">       </t>
  </si>
  <si>
    <t xml:space="preserve">         companies are recovered as credits.  Includes adjustment to account for the difference between market price of </t>
  </si>
  <si>
    <t>(2)    The total of the credits reported in the ECR#MLR report for System Sales for Resale (A/C 447).</t>
  </si>
  <si>
    <t>MLR Report</t>
  </si>
  <si>
    <t>Cantor</t>
  </si>
  <si>
    <t>Plant Performance</t>
  </si>
  <si>
    <t>Macro</t>
  </si>
  <si>
    <t>AMS Recap</t>
  </si>
  <si>
    <t>Dale Template Pg 2</t>
  </si>
  <si>
    <t>Dale Template Pg 3</t>
  </si>
  <si>
    <t>Dale Template Pg 1</t>
  </si>
  <si>
    <t>Is the spreasheet used as a model or for modeling? (model variables are input in order to attempt to predict a future result) - 1 point</t>
  </si>
  <si>
    <t>Does the spreadsheet contain data-transforming macros?  (Excluding Print macros) - 2 points</t>
  </si>
  <si>
    <t>Yes, Nested = 2 points
Yes = 1 point
No = 0 points</t>
  </si>
  <si>
    <t>Yes = 0 points
No = 1 point</t>
  </si>
  <si>
    <t>Spreadsheet Classification:</t>
  </si>
  <si>
    <t>Enter Minimum or Complex</t>
  </si>
  <si>
    <t>Risk Grading Scale:</t>
  </si>
  <si>
    <t>Minimum = 0-5 pts</t>
  </si>
  <si>
    <t xml:space="preserve">       Complex  = 6+ points</t>
  </si>
  <si>
    <t>If the spreadsheet evaluates to 'Complex', but you choose a 'Minimum' classification, explain your reasoning here:</t>
  </si>
  <si>
    <t>Name of File Assessed:</t>
  </si>
  <si>
    <t xml:space="preserve">  Interchange Power Statement - Actual</t>
  </si>
  <si>
    <t>Path of File Assessed:</t>
  </si>
  <si>
    <t>\\adwhslcel01\settlements\!Settlements Directory\Pool\Critical Spreadsheets\EAST\Interchange Power Statement\IPS - yyyy\Month yyyy Actual.xls</t>
  </si>
  <si>
    <t xml:space="preserve">  6/9/2009</t>
  </si>
  <si>
    <t xml:space="preserve">  Dick Quaintance</t>
  </si>
  <si>
    <t>This assessment should be completed and stored with every spreadsheet on the inventory list.  Create a 'Risk Assessment' tab within each workbook and keep the results of this assessment for audit purposes.</t>
  </si>
  <si>
    <t xml:space="preserve">(1)     The variable energy costs, which are incurred by the members in supplying energy for AEP System deliveries to non-affiliated </t>
  </si>
  <si>
    <t>Firm Load Gen.</t>
  </si>
  <si>
    <t>California Power Exchange</t>
  </si>
  <si>
    <t>CRC</t>
  </si>
  <si>
    <t>Colorado River Commission</t>
  </si>
  <si>
    <t>CRGL</t>
  </si>
  <si>
    <t>Cargill - Alliant</t>
  </si>
  <si>
    <t>CTM</t>
  </si>
  <si>
    <t>CLECO Corporation Trading</t>
  </si>
  <si>
    <t>CWL</t>
  </si>
  <si>
    <t>City, Water and Light</t>
  </si>
  <si>
    <t>Cygnet</t>
  </si>
  <si>
    <t>Cygnet  (OMEG)</t>
  </si>
  <si>
    <t>DEL</t>
  </si>
  <si>
    <t>Delmarva Power &amp; Light</t>
  </si>
  <si>
    <t>DEMO</t>
  </si>
  <si>
    <t>Detroit Edison Merch</t>
  </si>
  <si>
    <t>Deshler</t>
  </si>
  <si>
    <t>Deshler  (OMEG)</t>
  </si>
  <si>
    <t>DETM</t>
  </si>
  <si>
    <t>Duke Energy Trading</t>
  </si>
  <si>
    <t>DGTM</t>
  </si>
  <si>
    <t>Deseret Gen &amp; Trans Co-op</t>
  </si>
  <si>
    <t>DLPM</t>
  </si>
  <si>
    <t>Duquesne Light Company</t>
  </si>
  <si>
    <t>DPLG</t>
  </si>
  <si>
    <t>DP&amp;L Power Services</t>
  </si>
  <si>
    <t>DTET</t>
  </si>
  <si>
    <t>DTE Energy Trading, Inc.</t>
  </si>
  <si>
    <t>DUKS</t>
  </si>
  <si>
    <t>DukeSolutions, Inc.</t>
  </si>
  <si>
    <t>DYPM</t>
  </si>
  <si>
    <t>MISO</t>
  </si>
  <si>
    <t>Midwest ISO</t>
  </si>
  <si>
    <t>Dynegy Power Marketing, Inc.</t>
  </si>
  <si>
    <t>EEI</t>
  </si>
  <si>
    <t>Electric Energy, Inc.</t>
  </si>
  <si>
    <t>EKPM</t>
  </si>
  <si>
    <t>East KY Power Co-Op Power Mktg</t>
  </si>
  <si>
    <t>ELKM</t>
  </si>
  <si>
    <t>Elkem</t>
  </si>
  <si>
    <t>EMMT</t>
  </si>
  <si>
    <t>Description</t>
  </si>
  <si>
    <t>Commissions on Bookout Purchases</t>
  </si>
  <si>
    <t>Commissions on Bookout Sales</t>
  </si>
  <si>
    <t>Exercised Sales Options</t>
  </si>
  <si>
    <t>Exercised Purchase Options</t>
  </si>
  <si>
    <t>Swaps Related to Trading Activity ("P" Books)</t>
  </si>
  <si>
    <t>Swaps Related to Accrual / Hedging Activity</t>
  </si>
  <si>
    <t>Below the Line Activity:</t>
  </si>
  <si>
    <t>Transitional Purchases (West Coast)</t>
  </si>
  <si>
    <t>Transitional Sales (West Coast)</t>
  </si>
  <si>
    <t>Above the Line Activity:</t>
  </si>
  <si>
    <t>(SEE APPENDIX VIII, pages 2, 3, &amp; 4)</t>
  </si>
  <si>
    <t>Physical Energy Sales Margins</t>
  </si>
  <si>
    <t>16</t>
  </si>
  <si>
    <t>15</t>
  </si>
  <si>
    <t>14</t>
  </si>
  <si>
    <t>13</t>
  </si>
  <si>
    <t>Lawrenceburg</t>
  </si>
  <si>
    <t>COLUMBUS SOUHTHERN POWER COMPANY</t>
  </si>
  <si>
    <t>Columbus Total</t>
  </si>
  <si>
    <t>Difference between Market price and Book Value</t>
  </si>
  <si>
    <t>West Non-Dedicated Sales Demand Charges</t>
  </si>
  <si>
    <t>West Non-Dedicated Purchase Demand Charges</t>
  </si>
  <si>
    <t>PJM Entries</t>
  </si>
  <si>
    <t>AEP Pool Purchases from Dow Plaquemine</t>
  </si>
  <si>
    <t>4470.001, 002 &amp; 089</t>
  </si>
  <si>
    <t>Off System Physical Purchases</t>
  </si>
  <si>
    <t>Off System Physical Purchases for Agent for Contracts</t>
  </si>
  <si>
    <t>SPREADS FOR DIRECT ALLOCATION TO WEST</t>
  </si>
  <si>
    <t>ADJUSTMENT FOR RECLASS OF ENTERGY</t>
  </si>
  <si>
    <t>Off System Physical Purchases for BGE / PEPCo</t>
  </si>
  <si>
    <t>4470.001 &amp; 002</t>
  </si>
  <si>
    <t xml:space="preserve">Received </t>
  </si>
  <si>
    <t>From</t>
  </si>
  <si>
    <t>Source File</t>
  </si>
  <si>
    <t>ECR Section 452</t>
  </si>
  <si>
    <t>Quaintance</t>
  </si>
  <si>
    <t>IPS</t>
  </si>
  <si>
    <t>Shimman</t>
  </si>
  <si>
    <t>Supplemental Spreadsheet</t>
  </si>
  <si>
    <t>Woodruff</t>
  </si>
  <si>
    <t>Buckeye / PJM Entry</t>
  </si>
  <si>
    <t>Reed</t>
  </si>
  <si>
    <t>PJM Entry</t>
  </si>
  <si>
    <t>Sterling</t>
  </si>
  <si>
    <t>Gas Off System File</t>
  </si>
  <si>
    <t>Entries Received from Christoff</t>
  </si>
  <si>
    <t>East Off System Spreadsheets</t>
  </si>
  <si>
    <t>Roberts</t>
  </si>
  <si>
    <t>West Off System Spreadsheets</t>
  </si>
  <si>
    <t>Bookout Purchases Related to Entergy Spreads</t>
  </si>
  <si>
    <t>Bookout Sales Related to Entergy Spreads</t>
  </si>
  <si>
    <t>(East) = 4470.066</t>
  </si>
  <si>
    <t>Exercised  &amp; Expired Sales Option Premiums</t>
  </si>
  <si>
    <t>Gas Swaps - NYMEX, Basis, Gas Daily, Penult</t>
  </si>
  <si>
    <t>$ COST</t>
  </si>
  <si>
    <t>$ REVENUE</t>
  </si>
  <si>
    <t>PJM NON-ECR - ACTUAL</t>
  </si>
  <si>
    <t>Exercised &amp; Expired Purchase Option Premiums</t>
  </si>
  <si>
    <t>Bookout Purchase Commissions Related to Entergy Spread</t>
  </si>
  <si>
    <t>Bookout Sales Commissions Related to Entergy Spread</t>
  </si>
  <si>
    <t>Edison Mission Mktg &amp; Trading</t>
  </si>
  <si>
    <t>ENERZ</t>
  </si>
  <si>
    <t>ENGA</t>
  </si>
  <si>
    <t>Engage Energy</t>
  </si>
  <si>
    <t>Western AEP Needs to Receive from Eastern AEP</t>
  </si>
  <si>
    <t>PJM - New Allocation Summary Sheet Effective 10-07</t>
  </si>
  <si>
    <t>PJM Administration Fees - Schedule 9 &amp; 10 Effective 10-07</t>
  </si>
  <si>
    <t>PJM Non-ECR Explicit Congestion &amp; Losses Effective 10-07</t>
  </si>
  <si>
    <t>PJM NITS &amp; Transmission Owner Entry Effective 10-07</t>
  </si>
  <si>
    <t>27</t>
  </si>
  <si>
    <t>Entergy Power Serv</t>
  </si>
  <si>
    <t>EPEC</t>
  </si>
  <si>
    <t>El Paso Electric Company</t>
  </si>
  <si>
    <t>EPLU</t>
  </si>
  <si>
    <t>PP&amp;L Energy Plus Co.</t>
  </si>
  <si>
    <t>EPMC</t>
  </si>
  <si>
    <t>Entergy Power Marketing Corp</t>
  </si>
  <si>
    <t>EPME</t>
  </si>
  <si>
    <t>WT</t>
  </si>
  <si>
    <t>WATERFORD</t>
  </si>
  <si>
    <t>El Paso Merchant Energy, L.P.</t>
  </si>
  <si>
    <t>EPMI</t>
  </si>
  <si>
    <t>Enron Capital &amp; Trading</t>
  </si>
  <si>
    <t>EPPS</t>
  </si>
  <si>
    <t>El Paso Power Services Company</t>
  </si>
  <si>
    <t>EPRM</t>
  </si>
  <si>
    <t>E Prime, Inc.</t>
  </si>
  <si>
    <t>ETGX</t>
  </si>
  <si>
    <t>Energy Transfer Group</t>
  </si>
  <si>
    <t>EWEB</t>
  </si>
  <si>
    <t>Eugene Water &amp; Elect Board</t>
  </si>
  <si>
    <t>EXEL</t>
  </si>
  <si>
    <t>Exelon Energy</t>
  </si>
  <si>
    <t>FETM</t>
  </si>
  <si>
    <t>FirstEnergy Trading</t>
  </si>
  <si>
    <t>First Energy Wholesale Pwr Mkt</t>
  </si>
  <si>
    <t>FORM2</t>
  </si>
  <si>
    <t>Formosa Plastics Corporation</t>
  </si>
  <si>
    <t>FPCM</t>
  </si>
  <si>
    <t>Florida Power Corporation</t>
  </si>
  <si>
    <t>FPLM</t>
  </si>
  <si>
    <t>Florida Power &amp; Light</t>
  </si>
  <si>
    <t>FPLP</t>
  </si>
  <si>
    <t>FPL Energy Power Marketing,Inc</t>
  </si>
  <si>
    <t>GCPD</t>
  </si>
  <si>
    <t>Grant County PUD No.</t>
  </si>
  <si>
    <t>GEM</t>
  </si>
  <si>
    <t>Griffin Energy Marketing, LLC</t>
  </si>
  <si>
    <t>GLND</t>
  </si>
  <si>
    <t>Glendale Power Marketing</t>
  </si>
  <si>
    <t>GPUA</t>
  </si>
  <si>
    <t>GPU Advance Resources, Inc.</t>
  </si>
  <si>
    <t>GPUE</t>
  </si>
  <si>
    <t>GPU Energy</t>
  </si>
  <si>
    <t>GRE</t>
  </si>
  <si>
    <t>Great River Energy</t>
  </si>
  <si>
    <t>Greenwich</t>
  </si>
  <si>
    <t>Greenwich  (OMEG)</t>
  </si>
  <si>
    <t>Hamilton</t>
  </si>
  <si>
    <t>City of Hamilton</t>
  </si>
  <si>
    <t>HEPM</t>
  </si>
  <si>
    <t>Hoosier Power Market</t>
  </si>
  <si>
    <t>HFET</t>
  </si>
  <si>
    <t>Hafslund Energy Trading</t>
  </si>
  <si>
    <t>HLPT</t>
  </si>
  <si>
    <t>Houston Lighting &amp; Power</t>
  </si>
  <si>
    <t>HOLL</t>
  </si>
  <si>
    <t>City of Holland</t>
  </si>
  <si>
    <t>HQUS</t>
  </si>
  <si>
    <t>HQ Energy Services US Inc.</t>
  </si>
  <si>
    <t>IEPI</t>
  </si>
  <si>
    <t>Illinova Energy Partners, Inc.</t>
  </si>
  <si>
    <t>ILMX</t>
  </si>
  <si>
    <t>Illinois Electric Marketing</t>
  </si>
  <si>
    <t>Indiana Municipal Power Agency</t>
  </si>
  <si>
    <t>IPBP</t>
  </si>
  <si>
    <t>Illinois Power Co.</t>
  </si>
  <si>
    <t>IPCA</t>
  </si>
  <si>
    <t>Illinois Power Company</t>
  </si>
  <si>
    <t>IPCM</t>
  </si>
  <si>
    <t>Idaho Power Marketng</t>
  </si>
  <si>
    <t>IPLM</t>
  </si>
  <si>
    <t>&amp; ENERGY</t>
  </si>
  <si>
    <t>Indianapolis Power &amp; Light Co</t>
  </si>
  <si>
    <t>JRMC</t>
  </si>
  <si>
    <t>Jay County Electric Co-Op, Inc</t>
  </si>
  <si>
    <t>KCPS</t>
  </si>
  <si>
    <t>Kansas City Power &amp; Light Co</t>
  </si>
  <si>
    <t>KOCH</t>
  </si>
  <si>
    <t>Koch Power Services, Inc.</t>
  </si>
  <si>
    <t>LCRA</t>
  </si>
  <si>
    <t>Lower Colorado River Authority</t>
  </si>
  <si>
    <t>LDWP</t>
  </si>
  <si>
    <t>Los Angeles Dept Water &amp; Power</t>
  </si>
  <si>
    <t>APPENDIX IX</t>
  </si>
  <si>
    <t>NON-ECR ENERGY</t>
  </si>
  <si>
    <t>SWAPS &amp; PJM</t>
  </si>
  <si>
    <t>Capacity Credit Market</t>
  </si>
  <si>
    <t>WR</t>
  </si>
  <si>
    <t>Check Data</t>
  </si>
  <si>
    <t>LGE</t>
  </si>
  <si>
    <t>LPM</t>
  </si>
  <si>
    <t>LG&amp;E Power Markets</t>
  </si>
  <si>
    <t>LTVI</t>
  </si>
  <si>
    <t>LTV - Illinois</t>
  </si>
  <si>
    <t>MECB</t>
  </si>
  <si>
    <t>MidAmerican Energy</t>
  </si>
  <si>
    <t>MECO</t>
  </si>
  <si>
    <t>MIECO, Inc.</t>
  </si>
  <si>
    <t>MECR</t>
  </si>
  <si>
    <t>MidAmerican Energy Company</t>
  </si>
  <si>
    <t>MEGA</t>
  </si>
  <si>
    <t>Merchant Energy Grp (Americas)</t>
  </si>
  <si>
    <t>MERL</t>
  </si>
  <si>
    <t>Merrill Lynch Capital Svcs.</t>
  </si>
  <si>
    <t>MGEP</t>
  </si>
  <si>
    <t>Madison Gas and Electric Co</t>
  </si>
  <si>
    <t>MID</t>
  </si>
  <si>
    <t>Modesto Irrigation District</t>
  </si>
  <si>
    <t>MI Elect Coord Syst-Joint Mer</t>
  </si>
  <si>
    <t>MPEX</t>
  </si>
  <si>
    <t>Minnesota Power Energy Exch</t>
  </si>
  <si>
    <t>MPPA</t>
  </si>
  <si>
    <t>Michigan Public Power Agency</t>
  </si>
  <si>
    <t>MPS</t>
  </si>
  <si>
    <t>Missouri Public Service</t>
  </si>
  <si>
    <t>MPTM</t>
  </si>
  <si>
    <t>Montana Power Trading &amp; Mktg</t>
  </si>
  <si>
    <t>MSCG</t>
  </si>
  <si>
    <t>Morgan Stanley Capt.</t>
  </si>
  <si>
    <t>NAEC</t>
  </si>
  <si>
    <t>North American Energy</t>
  </si>
  <si>
    <t>NCEM</t>
  </si>
  <si>
    <t>NC Electric Membership Corp.</t>
  </si>
  <si>
    <t>NCMP</t>
  </si>
  <si>
    <t>No Carolina Muni Pwr Agency #1</t>
  </si>
  <si>
    <t>NCMX</t>
  </si>
  <si>
    <t>Eastern AEP Owes Western AEP</t>
  </si>
  <si>
    <t>NC Electric Marketing, LLC</t>
  </si>
  <si>
    <t>NCPA</t>
  </si>
  <si>
    <t>Northern California Pwr Agency</t>
  </si>
  <si>
    <t>NESI</t>
  </si>
  <si>
    <t>NESI Power Marketing</t>
  </si>
  <si>
    <t>NEVI</t>
  </si>
  <si>
    <t>ecpr</t>
  </si>
  <si>
    <t>New Energy Ventures, LLC</t>
  </si>
  <si>
    <t>NIP</t>
  </si>
  <si>
    <t>NIPSCO Energy Management</t>
  </si>
  <si>
    <t>NMEM</t>
  </si>
  <si>
    <t>Niagara Mohawk Energy Mktg</t>
  </si>
  <si>
    <t>NMNM</t>
  </si>
  <si>
    <t>Niagra Mohawk</t>
  </si>
  <si>
    <t>NRG</t>
  </si>
  <si>
    <t>NRG Power Marketing, Inc.</t>
  </si>
  <si>
    <t>NRTG</t>
  </si>
  <si>
    <t>Alloc. Gen.</t>
  </si>
  <si>
    <t>Act. Gen.</t>
  </si>
  <si>
    <t>NEPOO ISO New England</t>
  </si>
  <si>
    <t>NSI</t>
  </si>
  <si>
    <t>NYSEG Solutions, Inc.</t>
  </si>
  <si>
    <t>NSPP</t>
  </si>
  <si>
    <t>NSP Energy Marketing</t>
  </si>
  <si>
    <t>NU</t>
  </si>
  <si>
    <t>Northeast Utilities</t>
  </si>
  <si>
    <t>NVPM</t>
  </si>
  <si>
    <t>Nevada Power Co.- Power Mktg</t>
  </si>
  <si>
    <t>NYET</t>
  </si>
  <si>
    <t>NYIS</t>
  </si>
  <si>
    <t>New York ISO</t>
  </si>
  <si>
    <t>NYNY</t>
  </si>
  <si>
    <t>New York State Elect</t>
  </si>
  <si>
    <t>YEAR 2008</t>
  </si>
  <si>
    <t>12/31/2008</t>
  </si>
  <si>
    <t xml:space="preserve">                    for the year ending 12/31/2008.</t>
  </si>
  <si>
    <t>INVENTORY</t>
  </si>
  <si>
    <t>NYPA</t>
  </si>
  <si>
    <t>ODEC</t>
  </si>
  <si>
    <t>Old Dominion Elec.</t>
  </si>
  <si>
    <t>OERI</t>
  </si>
  <si>
    <t>OGE Energy Resources, Inc.</t>
  </si>
  <si>
    <t>Ohio City</t>
  </si>
  <si>
    <t>Ohio City  (OMEG)</t>
  </si>
  <si>
    <t>OHMK</t>
  </si>
  <si>
    <t>Ontario Hydro</t>
  </si>
  <si>
    <t>OKGE</t>
  </si>
  <si>
    <t>Oklahoma Gas and Electric</t>
  </si>
  <si>
    <t>OMPA</t>
  </si>
  <si>
    <t>Oklahoma Municipal Power Auth</t>
  </si>
  <si>
    <t>OMPC</t>
  </si>
  <si>
    <t>Old Mill Power Company</t>
  </si>
  <si>
    <t>OPC</t>
  </si>
  <si>
    <t>Ogelthorpe Power Corporation</t>
  </si>
  <si>
    <t>OPMC</t>
  </si>
  <si>
    <t>Actual:</t>
  </si>
  <si>
    <t>Appendix VIII</t>
  </si>
  <si>
    <t>ALLOCATION BY MLR ($)</t>
  </si>
  <si>
    <t>ONEOK Power Marketing</t>
  </si>
  <si>
    <t>OPMW</t>
  </si>
  <si>
    <t>Orion Power MidWest</t>
  </si>
  <si>
    <t>OPPM</t>
  </si>
  <si>
    <t>OPPD Energy Marketing</t>
  </si>
  <si>
    <t>ORPH</t>
  </si>
  <si>
    <t>BS</t>
  </si>
  <si>
    <t>OVEC Power Scheduling</t>
  </si>
  <si>
    <t>PAC</t>
  </si>
  <si>
    <t>Pacificorp Power Marketing</t>
  </si>
  <si>
    <t>PAPL</t>
  </si>
  <si>
    <t>Pennsylvania Power &amp; Light</t>
  </si>
  <si>
    <t>PASM</t>
  </si>
  <si>
    <t>City of Pasadena</t>
  </si>
  <si>
    <t>PCES</t>
  </si>
  <si>
    <t>Pan Canadian Energy Services</t>
  </si>
  <si>
    <t>PECO</t>
  </si>
  <si>
    <t>PECO Energy</t>
  </si>
  <si>
    <t>PEGT</t>
  </si>
  <si>
    <t>REALIZED</t>
  </si>
  <si>
    <t>01/09</t>
  </si>
  <si>
    <t>01/16/09 HR 08</t>
  </si>
  <si>
    <t>01/16/09 HR 09</t>
  </si>
  <si>
    <t xml:space="preserve">OP and CSP loads for January 2009, were revised due to an underlying change in the Buckeye load. The change did not create a new MLR peak. </t>
  </si>
  <si>
    <t>Plains Electric Generation</t>
  </si>
  <si>
    <t>PEPS</t>
  </si>
  <si>
    <t>PEPCO Services Inc.</t>
  </si>
  <si>
    <t>PGAE</t>
  </si>
  <si>
    <t>SIA</t>
  </si>
  <si>
    <t>Pacific Gas &amp; Electric</t>
  </si>
  <si>
    <t>PGEM</t>
  </si>
  <si>
    <t>Portland General Electric</t>
  </si>
  <si>
    <t>PGET</t>
  </si>
  <si>
    <t>PG&amp;E Energy Trading - Power LP</t>
  </si>
  <si>
    <t>PHIB</t>
  </si>
  <si>
    <t>Phibro Power LLC</t>
  </si>
  <si>
    <t>PJMP</t>
  </si>
  <si>
    <t>Plymouth</t>
  </si>
  <si>
    <t>Plymouth  (OMEG)</t>
  </si>
  <si>
    <t>PNGC</t>
  </si>
  <si>
    <t>IMPA/RP&amp;L</t>
  </si>
  <si>
    <t>Pacific NW Generating Co-Op</t>
  </si>
  <si>
    <t>PNMM</t>
  </si>
  <si>
    <t>Public Svc Co of New Mexico</t>
  </si>
  <si>
    <t>PPMI</t>
  </si>
  <si>
    <t>PacifiCorp Power Marketing</t>
  </si>
  <si>
    <t>PRO</t>
  </si>
  <si>
    <t>ProLiance Energy, LLC</t>
  </si>
  <si>
    <t>PSCM</t>
  </si>
  <si>
    <t>Public Service Co of Colorado</t>
  </si>
  <si>
    <t>PSEG</t>
  </si>
  <si>
    <t>Public Service Electric &amp; Gas</t>
  </si>
  <si>
    <t>PSEM</t>
  </si>
  <si>
    <t>Puget Sound Energy, Inc.</t>
  </si>
  <si>
    <t>PWMT</t>
  </si>
  <si>
    <t>Pinnacle West Capital Corp</t>
  </si>
  <si>
    <t>PWRAZUS</t>
  </si>
  <si>
    <t>City of Azusa</t>
  </si>
  <si>
    <t>PWRCCT</t>
  </si>
  <si>
    <t>Cinergy Capital &amp; Trading, Inc</t>
  </si>
  <si>
    <t>PWRCDWR</t>
  </si>
  <si>
    <t>CA Dept of Water Resources</t>
  </si>
  <si>
    <t>PWRHESS</t>
  </si>
  <si>
    <t>Amerada Hess Corporation</t>
  </si>
  <si>
    <t>PWX</t>
  </si>
  <si>
    <t>British Columbia Power Exch Co</t>
  </si>
  <si>
    <t>RADF</t>
  </si>
  <si>
    <t>City of Radford</t>
  </si>
  <si>
    <t>REDD</t>
  </si>
  <si>
    <t>REMC</t>
  </si>
  <si>
    <t>Rainbow Energy Marketing</t>
  </si>
  <si>
    <t>(West) = 565 Accts.</t>
  </si>
  <si>
    <t>Transmission Associated With 250 MW Link paid by West</t>
  </si>
  <si>
    <t>Republic</t>
  </si>
  <si>
    <t>Republic  (OMEG)</t>
  </si>
  <si>
    <t>RES</t>
  </si>
  <si>
    <t>Reliant Energy Serv.</t>
  </si>
  <si>
    <t>RPL</t>
  </si>
  <si>
    <t>Richmond Power &amp; Light Co</t>
  </si>
  <si>
    <t>RVS</t>
  </si>
  <si>
    <t>City of Riverside</t>
  </si>
  <si>
    <t>SCAN</t>
  </si>
  <si>
    <t>Scana Energy Marketing, Inc.</t>
  </si>
  <si>
    <t>SCEG</t>
  </si>
  <si>
    <t>Figure A - Spreadsheet/Database Risk Assessment Template</t>
  </si>
  <si>
    <t>Interchange Power Statement - Actual</t>
  </si>
  <si>
    <t>Risk Values</t>
  </si>
  <si>
    <t>Risk Factors</t>
  </si>
  <si>
    <t>Comments</t>
  </si>
  <si>
    <t>Response</t>
  </si>
  <si>
    <t>Score</t>
  </si>
  <si>
    <t>Maximum Score</t>
  </si>
  <si>
    <t>09/08</t>
  </si>
  <si>
    <t>03</t>
  </si>
  <si>
    <t>Is the spreadsheet used as a model or for modeling? (model variables are input in order to attempt to predict a future result) - 1 point</t>
  </si>
  <si>
    <t>Yes = 1 point
No = 0 points</t>
  </si>
  <si>
    <t>No</t>
  </si>
  <si>
    <t>Does the spreadsheet contain data-tranforming macros? (Excluding Print Macros)- 2 points</t>
  </si>
  <si>
    <t>Yes = 2 points
No = 0 points</t>
  </si>
  <si>
    <t>Does the spreadsheet contain V-lookups? - 1 point</t>
  </si>
  <si>
    <t>Does the spreadsheet contain IF statements? - 1 point</t>
  </si>
  <si>
    <t>Yes</t>
  </si>
  <si>
    <t>Is the spreadsheet linked to itself? - 1 point</t>
  </si>
  <si>
    <t>02/09</t>
  </si>
  <si>
    <t>05</t>
  </si>
  <si>
    <r>
      <t>ALLOWANCES</t>
    </r>
    <r>
      <rPr>
        <b/>
        <sz val="8"/>
        <rFont val="Book Antiqua"/>
        <family val="1"/>
      </rPr>
      <t>(Pg 11)</t>
    </r>
    <r>
      <rPr>
        <b/>
        <sz val="12"/>
        <rFont val="Book Antiqua"/>
        <family val="1"/>
      </rPr>
      <t>:</t>
    </r>
  </si>
  <si>
    <r>
      <t xml:space="preserve">1.  </t>
    </r>
    <r>
      <rPr>
        <b/>
        <sz val="10"/>
        <color indexed="10"/>
        <rFont val="Book Antiqua"/>
        <family val="1"/>
      </rPr>
      <t>II. Tax on Capacity Credit</t>
    </r>
    <r>
      <rPr>
        <sz val="10"/>
        <color indexed="10"/>
        <rFont val="Book Antiqua"/>
        <family val="1"/>
      </rPr>
      <t xml:space="preserve"> (gross up) must equal </t>
    </r>
    <r>
      <rPr>
        <b/>
        <sz val="10"/>
        <color indexed="10"/>
        <rFont val="Book Antiqua"/>
        <family val="1"/>
      </rPr>
      <t xml:space="preserve">II. Allocation of Tax </t>
    </r>
  </si>
  <si>
    <r>
      <t xml:space="preserve">     </t>
    </r>
    <r>
      <rPr>
        <b/>
        <sz val="10"/>
        <color indexed="10"/>
        <rFont val="Book Antiqua"/>
        <family val="1"/>
      </rPr>
      <t>on Capacity Credit</t>
    </r>
    <r>
      <rPr>
        <sz val="10"/>
        <color indexed="10"/>
        <rFont val="Book Antiqua"/>
        <family val="1"/>
      </rPr>
      <t xml:space="preserve"> (charge/credit columns).</t>
    </r>
  </si>
  <si>
    <r>
      <t xml:space="preserve">2. </t>
    </r>
    <r>
      <rPr>
        <b/>
        <sz val="10"/>
        <color indexed="10"/>
        <rFont val="Book Antiqua"/>
        <family val="1"/>
      </rPr>
      <t xml:space="preserve"> I. Allocation of Tax on Sales for Resale</t>
    </r>
    <r>
      <rPr>
        <sz val="10"/>
        <color indexed="10"/>
        <rFont val="Book Antiqua"/>
        <family val="1"/>
      </rPr>
      <t xml:space="preserve"> (MLR Share of Tax $ </t>
    </r>
  </si>
  <si>
    <r>
      <t xml:space="preserve">3.  </t>
    </r>
    <r>
      <rPr>
        <b/>
        <sz val="10"/>
        <color indexed="10"/>
        <rFont val="Book Antiqua"/>
        <family val="1"/>
      </rPr>
      <t>II. Allocation of Tax on Capacity Credit</t>
    </r>
    <r>
      <rPr>
        <sz val="10"/>
        <color indexed="10"/>
        <rFont val="Book Antiqua"/>
        <family val="1"/>
      </rPr>
      <t xml:space="preserve"> (ratio) must equal 1.0000.</t>
    </r>
  </si>
  <si>
    <t>Is the spreadsheet linked to another spreadsheet? - 1 point</t>
  </si>
  <si>
    <t>Does the spreadsheet contain information which is considered material? - 2 points</t>
  </si>
  <si>
    <t>Has adequate training been provided for the person who owns/supports the spreadsheet? - 1 point</t>
  </si>
  <si>
    <t>Yes = 0 point
No = 1 points</t>
  </si>
  <si>
    <t>How often are there modifications to the formulas or macros within the spreadsheet?</t>
  </si>
  <si>
    <t>Annually = 0 points
Quarterly = 1 point
Monthly = 2 points
Weekly = 3 points</t>
  </si>
  <si>
    <t>Annually</t>
  </si>
  <si>
    <t>Total Score</t>
  </si>
  <si>
    <t>Spreadsheet Classification</t>
  </si>
  <si>
    <t>Minimum</t>
  </si>
  <si>
    <t>Risk Assessment Grading Scale</t>
  </si>
  <si>
    <t>Control Category</t>
  </si>
  <si>
    <t>Classification</t>
  </si>
  <si>
    <t>Rely on general policy and controls</t>
  </si>
  <si>
    <t xml:space="preserve"> 0 - 5</t>
  </si>
  <si>
    <t>Maximum control features outlined in the policy</t>
  </si>
  <si>
    <t>Complex</t>
  </si>
  <si>
    <t>6+</t>
  </si>
  <si>
    <t>File Assessed:</t>
  </si>
  <si>
    <t>Assessment Date:</t>
  </si>
  <si>
    <t>Assessor's Name:</t>
  </si>
  <si>
    <t>South Carolina Electric &amp; Gas</t>
  </si>
  <si>
    <t>SCEM</t>
  </si>
  <si>
    <t>Southern Co Energy Marketing</t>
  </si>
  <si>
    <t>SCLM</t>
  </si>
  <si>
    <t>Seattle City Light</t>
  </si>
  <si>
    <t>SDGE</t>
  </si>
  <si>
    <t>San Diego Gas &amp; Electric Co</t>
  </si>
  <si>
    <t>SEI</t>
  </si>
  <si>
    <t>Southern Electric Int'l</t>
  </si>
  <si>
    <t>SEL</t>
  </si>
  <si>
    <t>Strategic Energy, Ltd.</t>
  </si>
  <si>
    <t>SEPA</t>
  </si>
  <si>
    <t>Southeastern Power Admin</t>
  </si>
  <si>
    <t>SESI</t>
  </si>
  <si>
    <t>$$$</t>
  </si>
  <si>
    <t>PJM NON-ECR - ACTUAL MWH</t>
  </si>
  <si>
    <t>Act. 5550.099</t>
  </si>
  <si>
    <t>Act. 4470.131</t>
  </si>
  <si>
    <t>Act. 4470.112</t>
  </si>
  <si>
    <t>Act. 4470.170</t>
  </si>
  <si>
    <t>Act. 5570.007</t>
  </si>
  <si>
    <t>Act. 5550.088</t>
  </si>
  <si>
    <t>Act. 5550.100</t>
  </si>
  <si>
    <t>Act. 5614.008</t>
  </si>
  <si>
    <t>Act. 4470.099</t>
  </si>
  <si>
    <t>Act. 4470.167</t>
  </si>
  <si>
    <t>Act. 4470.169</t>
  </si>
  <si>
    <t>Act. 4470.082</t>
  </si>
  <si>
    <t>Act. 4470.143</t>
  </si>
  <si>
    <t>Act. 5550.001</t>
  </si>
  <si>
    <t>Statoil Energy Services, Inc.</t>
  </si>
  <si>
    <t>SETC</t>
  </si>
  <si>
    <t>Sempra Energy Trading</t>
  </si>
  <si>
    <t>SETI</t>
  </si>
  <si>
    <t>Allocation of Frozen Book Transfer</t>
  </si>
  <si>
    <t>City of Columbus - PJM Entry</t>
  </si>
  <si>
    <t>PAGE (3)</t>
  </si>
  <si>
    <t>CALCULATION OF MEMBER PRIMARY CAPACITY</t>
  </si>
  <si>
    <t>SURPLUS/(DEFICIT) kW AND $ SETTLEMENT</t>
  </si>
  <si>
    <t>SURPLUS</t>
  </si>
  <si>
    <t>RESERVATION</t>
  </si>
  <si>
    <t>(SYS. kW) * (2)</t>
  </si>
  <si>
    <t>(4) = (1) - (3)</t>
  </si>
  <si>
    <t>MEMBER CAPACITY $ SETTLEMENT</t>
  </si>
  <si>
    <t>(CHARGE) **</t>
  </si>
  <si>
    <t>$/kW *</t>
  </si>
  <si>
    <t>+</t>
  </si>
  <si>
    <t>EQUALIZATION CAPACITY RATE:</t>
  </si>
  <si>
    <t>(This is the average $/kW rate paid by deficit members.)</t>
  </si>
  <si>
    <t xml:space="preserve">NOTES:    </t>
  </si>
  <si>
    <t xml:space="preserve">  *  The sum of the Member's Primary Capacity Investment Rate (Appendix III) and the Member's Capacity Fixed</t>
  </si>
  <si>
    <t xml:space="preserve">      Operating Rate (Appendix IV &amp; V) applicable to Members having a Member Primary Capacity Surplus.</t>
  </si>
  <si>
    <t>** Credits should be recoreded in Account 447, Sales for Resale.</t>
  </si>
  <si>
    <t xml:space="preserve">      Charges should be recorded in Account 555, Purchased Power.</t>
  </si>
  <si>
    <t>Power Intercompany with AEPEP</t>
  </si>
  <si>
    <t>Gas Intercompany with AEPEP</t>
  </si>
  <si>
    <t>Statoil Energy Trading, Inc.</t>
  </si>
  <si>
    <t>Shiloh</t>
  </si>
  <si>
    <t>Shiloh  (OMEG)</t>
  </si>
  <si>
    <t>SIGH</t>
  </si>
  <si>
    <t>Sigeco/Hoosier (Sigehoo)</t>
  </si>
  <si>
    <t>SIGW</t>
  </si>
  <si>
    <t>SIGE Power Marketing</t>
  </si>
  <si>
    <t>SIPC</t>
  </si>
  <si>
    <t>Southern Illinois Power Co-Op</t>
  </si>
  <si>
    <t>SMUD</t>
  </si>
  <si>
    <t>Sacramento Muni Utility Distr</t>
  </si>
  <si>
    <t>SNCL</t>
  </si>
  <si>
    <t>Silicon Valley Power</t>
  </si>
  <si>
    <t>SNPD</t>
  </si>
  <si>
    <t>Snohomish County PUD</t>
  </si>
  <si>
    <t>SPM</t>
  </si>
  <si>
    <t>Sonat Power Marketing</t>
  </si>
  <si>
    <t>SPMI</t>
  </si>
  <si>
    <t>Sithe Power Marketing, Inc.</t>
  </si>
  <si>
    <t>SPPC</t>
  </si>
  <si>
    <t>Sierra Pacific Power Corp</t>
  </si>
  <si>
    <t>SPSM</t>
  </si>
  <si>
    <t>Southwestern Public Service Co</t>
  </si>
  <si>
    <t>SRPM</t>
  </si>
  <si>
    <t>POWER SWAPS</t>
  </si>
  <si>
    <t>FINANCIAL GAS</t>
  </si>
  <si>
    <t>PHYSICAL GAS</t>
  </si>
  <si>
    <t>FIN. SPARK GAS</t>
  </si>
  <si>
    <t>POWER DEFERRALS</t>
  </si>
  <si>
    <t>GAS DEFERRALS</t>
  </si>
  <si>
    <t xml:space="preserve">BROKER </t>
  </si>
  <si>
    <t>COMMISIONS</t>
  </si>
  <si>
    <t>SWAPS</t>
  </si>
  <si>
    <t>MMBTU</t>
  </si>
  <si>
    <t>BROKER</t>
  </si>
  <si>
    <t>FINANCIALS</t>
  </si>
  <si>
    <t>PREMIUM</t>
  </si>
  <si>
    <t>PAYMENTS</t>
  </si>
  <si>
    <t>GREATER THAN 1 YEAR</t>
  </si>
  <si>
    <t>LESS THAN 1 YEAR</t>
  </si>
  <si>
    <t>Salt River Project-Power Mktg</t>
  </si>
  <si>
    <t>St. Clairs</t>
  </si>
  <si>
    <t>St. Clairsville  (OMEG)</t>
  </si>
  <si>
    <t>STAN</t>
  </si>
  <si>
    <t>Stand Energy Corporation</t>
  </si>
  <si>
    <t>STRG</t>
  </si>
  <si>
    <t>City of Sturgis</t>
  </si>
  <si>
    <t>Southern Company</t>
  </si>
  <si>
    <t>Southwest Power Pool</t>
  </si>
  <si>
    <t>Sycamore</t>
  </si>
  <si>
    <t>Sycamore  (OMEG)</t>
  </si>
  <si>
    <t>TCP</t>
  </si>
  <si>
    <t>Trans Canada Power</t>
  </si>
  <si>
    <t>TCPM</t>
  </si>
  <si>
    <t>TransCanada Power Marketing</t>
  </si>
  <si>
    <t>TEA</t>
  </si>
  <si>
    <t>The Energy Authority</t>
  </si>
  <si>
    <t>TEMI</t>
  </si>
  <si>
    <t>Tractebel Energy Marketing</t>
  </si>
  <si>
    <t>TEMU</t>
  </si>
  <si>
    <t>TransAlta Energy Marketing US</t>
  </si>
  <si>
    <t>TEMX</t>
  </si>
  <si>
    <t xml:space="preserve">TOTAL COSTS  </t>
  </si>
  <si>
    <t>Texas Electric Marketing LLC</t>
  </si>
  <si>
    <t>TEPM</t>
  </si>
  <si>
    <t>Spinning Reserve - Credit</t>
  </si>
  <si>
    <t>Reactive Supply and Voltage Control Credit (Expense)</t>
  </si>
  <si>
    <t>Regulation Credit (Expense)</t>
  </si>
  <si>
    <t>Tuscon Electric Power</t>
  </si>
  <si>
    <t>TIDS</t>
  </si>
  <si>
    <t>Turlock Irrigation Dist (PSE)</t>
  </si>
  <si>
    <t>TLEG</t>
  </si>
  <si>
    <t>PAGE N/A:</t>
  </si>
  <si>
    <t>PAGE 11:</t>
  </si>
  <si>
    <t>EXGN</t>
  </si>
  <si>
    <t>The Legacy Energy Group, LLC</t>
  </si>
  <si>
    <t>PAGE 8:  PRIMARY</t>
  </si>
  <si>
    <t>PAGE 9:  ECONOMY</t>
  </si>
  <si>
    <t>TMPA</t>
  </si>
  <si>
    <t>Page 4 of 4</t>
  </si>
  <si>
    <t>Page 3 of 4</t>
  </si>
  <si>
    <t>Page 2 of 4</t>
  </si>
  <si>
    <t>Page 1 of 4</t>
  </si>
  <si>
    <t>Texas Municipal Power Auth</t>
  </si>
  <si>
    <t>TNMP</t>
  </si>
  <si>
    <t xml:space="preserve">Created a macro to print the appropriate pages of the IPS.  This does not affect any of the functionality of formulas of the spreadsheet. </t>
  </si>
  <si>
    <t>CKD</t>
  </si>
  <si>
    <t>Texas-New Mexico Power Company</t>
  </si>
  <si>
    <t>TNSK</t>
  </si>
  <si>
    <t>Tenaska Power Services Company</t>
  </si>
  <si>
    <t>TPCO</t>
  </si>
  <si>
    <t>Tennessee Power</t>
  </si>
  <si>
    <t>TPWP</t>
  </si>
  <si>
    <t>As Booked</t>
  </si>
  <si>
    <t>Bookouts</t>
  </si>
  <si>
    <t>Commissions</t>
  </si>
  <si>
    <t>Journal Entry to Reclass Entergy Spreads to Appropriate Zone - Account 4470.006</t>
  </si>
  <si>
    <t>Journal Entry to Reclass Entergy Spreads to Appropriate Zone - Account 4470.010</t>
  </si>
  <si>
    <t>In Actual Cycle</t>
  </si>
  <si>
    <t>Less Entergy Direct</t>
  </si>
  <si>
    <t>In Estimated Cycle</t>
  </si>
  <si>
    <t>Adjustment</t>
  </si>
  <si>
    <t>Tacoma Power</t>
  </si>
  <si>
    <t>Darby</t>
  </si>
  <si>
    <t>TUEG</t>
  </si>
  <si>
    <t>Tu Electric Power Supply</t>
  </si>
  <si>
    <t>TVA Bulk Power Trading</t>
  </si>
  <si>
    <t>TXU</t>
  </si>
  <si>
    <t>TXU Energy Trading</t>
  </si>
  <si>
    <t>UCU</t>
  </si>
  <si>
    <t>UtiliCorp United, Inc.</t>
  </si>
  <si>
    <t>USGC</t>
  </si>
  <si>
    <t>WABASH (WVPA)</t>
  </si>
  <si>
    <t>Incremental Implicit Congestion - OSS</t>
  </si>
  <si>
    <t>Meter Correction - LSE</t>
  </si>
  <si>
    <t>SRE</t>
  </si>
  <si>
    <t>U.S. Generating Comp</t>
  </si>
  <si>
    <t>TOTAL SWAPS</t>
  </si>
  <si>
    <t>Virginia Power Marketing</t>
  </si>
  <si>
    <t>VEPG</t>
  </si>
  <si>
    <t>VERN</t>
  </si>
  <si>
    <t>City of Vernon</t>
  </si>
  <si>
    <t>VGE</t>
  </si>
  <si>
    <t>Vitol Gas &amp; Electric, LLC</t>
  </si>
  <si>
    <t>APPENDIX X</t>
  </si>
  <si>
    <t>PJM CHARGE DESCRIPTION</t>
  </si>
  <si>
    <t>AP AMT</t>
  </si>
  <si>
    <t>KP AMT</t>
  </si>
  <si>
    <t>IM AMT</t>
  </si>
  <si>
    <t>OP AMT</t>
  </si>
  <si>
    <t>CS AMT</t>
  </si>
  <si>
    <t>A/C 510-514</t>
  </si>
  <si>
    <t>AEP AMT TOTAL</t>
  </si>
  <si>
    <t>Note:</t>
  </si>
  <si>
    <t>WABV</t>
  </si>
  <si>
    <t>Louisville Gas &amp; Electric, Co.</t>
  </si>
  <si>
    <t>Wabash Valley</t>
  </si>
  <si>
    <t>WAMP</t>
  </si>
  <si>
    <t>Western Area Power</t>
  </si>
  <si>
    <t>Wapakoneta</t>
  </si>
  <si>
    <t>Wapakoneta  (OMEG)</t>
  </si>
  <si>
    <t>WEPM</t>
  </si>
  <si>
    <t>Wisconsin Electric Power Co</t>
  </si>
  <si>
    <t>WESC</t>
  </si>
  <si>
    <t>Williams Energy Services Co.</t>
  </si>
  <si>
    <t>Wharton</t>
  </si>
  <si>
    <t>Wharton  (OMEG)</t>
  </si>
  <si>
    <t>WPEK</t>
  </si>
  <si>
    <t>West Plains Energy - Kansas</t>
  </si>
  <si>
    <t>WPEL</t>
  </si>
  <si>
    <t>West Plains Energy - Colorado</t>
  </si>
  <si>
    <t>WPL</t>
  </si>
  <si>
    <t>Wisconsin Power &amp; Light</t>
  </si>
  <si>
    <t>WPPI</t>
  </si>
  <si>
    <t>Wisconsin Public Power, Inc.</t>
  </si>
  <si>
    <t>WPSC</t>
  </si>
  <si>
    <t>Wolverine Power Supply Coop</t>
  </si>
  <si>
    <t>WPSE</t>
  </si>
  <si>
    <t>WPS Energy Services, Inc.</t>
  </si>
  <si>
    <t>WPSM</t>
  </si>
  <si>
    <t>Wisconsin Public Service</t>
  </si>
  <si>
    <t>WRGS</t>
  </si>
  <si>
    <t>MAPP</t>
  </si>
  <si>
    <t>Mid-Continent Area Power Pool</t>
  </si>
  <si>
    <t>DOWP</t>
  </si>
  <si>
    <t>East. AEP (Co. 28)</t>
  </si>
  <si>
    <t>XIII.</t>
  </si>
  <si>
    <t>XIV.</t>
  </si>
  <si>
    <t>Dow Plaquemine</t>
  </si>
  <si>
    <t>Western Resources Gen Svcs</t>
  </si>
  <si>
    <t>WVPA</t>
  </si>
  <si>
    <t>Wabash Valley Power Assn, Inc.</t>
  </si>
  <si>
    <t>WVPR</t>
  </si>
  <si>
    <t>West Virginia Power</t>
  </si>
  <si>
    <t>Page 1 of 2</t>
  </si>
  <si>
    <t>Page 2 of 2</t>
  </si>
  <si>
    <t>ERCO</t>
  </si>
  <si>
    <t>ERCOT ISO</t>
  </si>
  <si>
    <t>MONTH/YEAR:</t>
  </si>
  <si>
    <t>CAPACITY</t>
  </si>
  <si>
    <t>ENERGY</t>
  </si>
  <si>
    <t>OTHER</t>
  </si>
  <si>
    <t>CHARGE</t>
  </si>
  <si>
    <t xml:space="preserve"> </t>
  </si>
  <si>
    <t>CREDIT</t>
  </si>
  <si>
    <t>MLR:</t>
  </si>
  <si>
    <t>APCO</t>
  </si>
  <si>
    <t>KPCO</t>
  </si>
  <si>
    <t>I&amp;M</t>
  </si>
  <si>
    <t>OPCO</t>
  </si>
  <si>
    <t>CSP</t>
  </si>
  <si>
    <t>ENERGY MWh</t>
  </si>
  <si>
    <t>$ TOTAL</t>
  </si>
  <si>
    <t>FROM POOL</t>
  </si>
  <si>
    <t>TO POOL</t>
  </si>
  <si>
    <t xml:space="preserve">CHARGE </t>
  </si>
  <si>
    <t>PRICE INDEX:</t>
  </si>
  <si>
    <t>1.  Include in note on page 6.</t>
  </si>
  <si>
    <t>PAGE 3:</t>
  </si>
  <si>
    <t>1.  ROUND COLUMN 3, ROW 1, TO NEAREST 100TH.</t>
  </si>
  <si>
    <t>2.  CHANGES MAY NEED TO BE MADE TO COLUMN 3, ROW 2,</t>
  </si>
  <si>
    <t>(APPENDIX II)</t>
  </si>
  <si>
    <t xml:space="preserve">     FOR ROUNDING.</t>
  </si>
  <si>
    <t>PAGE 4:</t>
  </si>
  <si>
    <t>MWH</t>
  </si>
  <si>
    <t>RECEIVED</t>
  </si>
  <si>
    <t>DELIVERED</t>
  </si>
  <si>
    <t>APPENDIX IV :</t>
  </si>
  <si>
    <t>(MLR SHARE)</t>
  </si>
  <si>
    <t>(AS SUPPLIED)</t>
  </si>
  <si>
    <t>NET GENERATION</t>
  </si>
  <si>
    <t>PRODUCTION</t>
  </si>
  <si>
    <t>EEA</t>
  </si>
  <si>
    <t>Engage Energy America, LLC</t>
  </si>
  <si>
    <t>FUEL 501</t>
  </si>
  <si>
    <t>MAINTENANCE</t>
  </si>
  <si>
    <t>FUEL 151</t>
  </si>
  <si>
    <t>GL</t>
  </si>
  <si>
    <t>SP</t>
  </si>
  <si>
    <t>KR</t>
  </si>
  <si>
    <t>CR</t>
  </si>
  <si>
    <t>AM</t>
  </si>
  <si>
    <t>MT</t>
  </si>
  <si>
    <t>XXXXXXXXXXXXXXXX</t>
  </si>
  <si>
    <t>XXXXXXXXXXXXX</t>
  </si>
  <si>
    <t>PAGE 5:</t>
  </si>
  <si>
    <t>PREVIOUSLY ESTIMATED</t>
  </si>
  <si>
    <t>XXXXXXXXXXXXXXXXXX</t>
  </si>
  <si>
    <t>$</t>
  </si>
  <si>
    <t>RP1</t>
  </si>
  <si>
    <t>RP2</t>
  </si>
  <si>
    <t>TC1-3</t>
  </si>
  <si>
    <t>XXXXXXXXXXXX</t>
  </si>
  <si>
    <t>TC4</t>
  </si>
  <si>
    <t>TC TOTAL</t>
  </si>
  <si>
    <t>PAGE 2:  PREVIOUS ESTIMATE</t>
  </si>
  <si>
    <t>PAGE 6:</t>
  </si>
  <si>
    <t xml:space="preserve">SYSTEM </t>
  </si>
  <si>
    <t>THIRD PARTY</t>
  </si>
  <si>
    <t>1.  Make sure the totals of column</t>
  </si>
  <si>
    <t>RP2 (AEG)</t>
  </si>
  <si>
    <t>SALES</t>
  </si>
  <si>
    <t>DEMAND</t>
  </si>
  <si>
    <t xml:space="preserve">     (1) &amp; (2) are equal.</t>
  </si>
  <si>
    <t>RP2 (LS)</t>
  </si>
  <si>
    <t>REVENUES</t>
  </si>
  <si>
    <t xml:space="preserve">     (Make changes, if necessary,</t>
  </si>
  <si>
    <t>COOK</t>
  </si>
  <si>
    <t>2.  Put the price index number in</t>
  </si>
  <si>
    <t xml:space="preserve">     the note.</t>
  </si>
  <si>
    <t>MR</t>
  </si>
  <si>
    <t>KM</t>
  </si>
  <si>
    <t>CD</t>
  </si>
  <si>
    <t>ML</t>
  </si>
  <si>
    <t>PAGE 7:</t>
  </si>
  <si>
    <t>GENERATION SUPPLIED</t>
  </si>
  <si>
    <t>AEG/OVEC PURCHASES</t>
  </si>
  <si>
    <t>PURCHASED POWER</t>
  </si>
  <si>
    <t>GV</t>
  </si>
  <si>
    <t>MWh</t>
  </si>
  <si>
    <t>COST</t>
  </si>
  <si>
    <t>CV</t>
  </si>
  <si>
    <t>PC</t>
  </si>
  <si>
    <t>BJ</t>
  </si>
  <si>
    <t>ST</t>
  </si>
  <si>
    <t>ZM</t>
  </si>
  <si>
    <t>151</t>
  </si>
  <si>
    <t xml:space="preserve">(1)  Details of the realization sharing by account numbers is shown in Appendix VIII, page 7. </t>
  </si>
  <si>
    <t>KPCO/APCO</t>
  </si>
  <si>
    <t>I&amp;M/APCO</t>
  </si>
  <si>
    <t>OPCO/APCO</t>
  </si>
  <si>
    <t>APPENDIX VI-1:</t>
  </si>
  <si>
    <t>CSP/APCO</t>
  </si>
  <si>
    <t>APCO/KPCO</t>
  </si>
  <si>
    <t>I&amp;M/KPCO</t>
  </si>
  <si>
    <t>OPCO/KPCO</t>
  </si>
  <si>
    <t>CSP/KPCO</t>
  </si>
  <si>
    <t>APCO/I&amp;M</t>
  </si>
  <si>
    <t>KPCO/I&amp;M</t>
  </si>
  <si>
    <t>OPCO/I&amp;M</t>
  </si>
  <si>
    <t>CSP/I&amp;M</t>
  </si>
  <si>
    <t>APCO/OPCO</t>
  </si>
  <si>
    <t>PJM Feasibility Study - OSS</t>
  </si>
  <si>
    <t>Monthly Payment / Refund for Buckeye / OVEC 6-08 thru 12-08</t>
  </si>
  <si>
    <t>KPCO/OPCO</t>
  </si>
  <si>
    <t>I&amp;M/OPCO</t>
  </si>
  <si>
    <t>CSP/OPCO</t>
  </si>
  <si>
    <t>APPENDIX VII-1</t>
  </si>
  <si>
    <t>APCO/CSP</t>
  </si>
  <si>
    <t>KPCO/CSP</t>
  </si>
  <si>
    <t>ACTUAL</t>
  </si>
  <si>
    <t>PURCHASES</t>
  </si>
  <si>
    <t>COSTS</t>
  </si>
  <si>
    <t>REVENUE</t>
  </si>
  <si>
    <t>I&amp;M/CSP</t>
  </si>
  <si>
    <t>TOTAL</t>
  </si>
  <si>
    <t>OPCO/CSP</t>
  </si>
  <si>
    <t>PREVIOUS ESTIMATE</t>
  </si>
  <si>
    <t>PAGE 10:</t>
  </si>
  <si>
    <t>BILLING</t>
  </si>
  <si>
    <t>TAXABLE</t>
  </si>
  <si>
    <t>NOTES:</t>
  </si>
  <si>
    <t>AMOUNT</t>
  </si>
  <si>
    <t>*****</t>
  </si>
  <si>
    <t>NIPS</t>
  </si>
  <si>
    <t xml:space="preserve">     Expense) - makes sure the total = the sum of its parts.</t>
  </si>
  <si>
    <t>OPTIONS</t>
  </si>
  <si>
    <t>CE</t>
  </si>
  <si>
    <t>WABASH</t>
  </si>
  <si>
    <t>IMPA</t>
  </si>
  <si>
    <t>IN-STATE</t>
  </si>
  <si>
    <t>ALLOC. GEN.</t>
  </si>
  <si>
    <t>ALLOWANCES</t>
  </si>
  <si>
    <t>GENERATION</t>
  </si>
  <si>
    <t>CONSUMED</t>
  </si>
  <si>
    <t>CD1</t>
  </si>
  <si>
    <t>CD2</t>
  </si>
  <si>
    <t>GV1</t>
  </si>
  <si>
    <t>GV2</t>
  </si>
  <si>
    <t>KM1</t>
  </si>
  <si>
    <t>KM2</t>
  </si>
  <si>
    <t>KM3</t>
  </si>
  <si>
    <t>ML1</t>
  </si>
  <si>
    <t>ML2</t>
  </si>
  <si>
    <t>MR1</t>
  </si>
  <si>
    <t>MR2</t>
  </si>
  <si>
    <t>MR3</t>
  </si>
  <si>
    <t>MR4</t>
  </si>
  <si>
    <t>MR5</t>
  </si>
  <si>
    <t>BJ6</t>
  </si>
  <si>
    <t>CV1</t>
  </si>
  <si>
    <t>CV2</t>
  </si>
  <si>
    <t>CV3</t>
  </si>
  <si>
    <t>CV4</t>
  </si>
  <si>
    <t>PC5</t>
  </si>
  <si>
    <t>10/08</t>
  </si>
  <si>
    <t>ST1</t>
  </si>
  <si>
    <t>ST2</t>
  </si>
  <si>
    <t>Adjustment to West</t>
  </si>
  <si>
    <t>ST3</t>
  </si>
  <si>
    <t>Unit Total</t>
  </si>
  <si>
    <t>Ohio Power</t>
  </si>
  <si>
    <t>East. AEP (Co.122)</t>
  </si>
  <si>
    <t>ST4</t>
  </si>
  <si>
    <t>Mizuho Securities</t>
  </si>
  <si>
    <t>Balancing Transmission Implicit Congestion Charge-LSE</t>
  </si>
  <si>
    <t>Balancing Transmission Implicit Congestion Charge-OSS</t>
  </si>
  <si>
    <t>ACCOUNT 509</t>
  </si>
  <si>
    <t>APPENDIX I</t>
  </si>
  <si>
    <t>AMERICAN ELECTRIC POWER SYSTEM</t>
  </si>
  <si>
    <t>MEMBER LOAD RATIO SUMMARY</t>
  </si>
  <si>
    <t>APPALACHIAN</t>
  </si>
  <si>
    <t>KENTUCKY</t>
  </si>
  <si>
    <t>INDIANA</t>
  </si>
  <si>
    <t>OHIO</t>
  </si>
  <si>
    <t>COLUMBUS</t>
  </si>
  <si>
    <t>City of Columbus Generation Credits</t>
  </si>
  <si>
    <t>Amended System Integration Agreement (SIA) Effective 4/1/06</t>
  </si>
  <si>
    <t>June 2009 Actual Cycle</t>
  </si>
  <si>
    <t>Synchronous Reserve Reclass for 3/09 &amp; 4/09 in 6/09</t>
  </si>
  <si>
    <t>4470.204 &amp; 4470.205</t>
  </si>
  <si>
    <t>PJM - Westerville Generation Charges &amp; Credits</t>
  </si>
  <si>
    <t>ICR Non-Dedicated AP / AR Energy &amp; Ancillaries</t>
  </si>
  <si>
    <t>Mizuho UBS Accrual (Previously Paribas UBS Accrual)</t>
  </si>
  <si>
    <t>UBS Securities / ABN Amro</t>
  </si>
  <si>
    <t>Bookout Purchases</t>
  </si>
  <si>
    <t>Capacity Purchases - Trading</t>
  </si>
  <si>
    <t>Bookout Sales</t>
  </si>
  <si>
    <t>Dowagiac Termination Payment (May 2009 thru May 2010)</t>
  </si>
  <si>
    <t>60-MINUTE INTEGRATED MEGAWATT DEMAND</t>
  </si>
  <si>
    <t>EXCLUDE AEP SYSTEM SALES</t>
  </si>
  <si>
    <t>DA</t>
  </si>
  <si>
    <t>HR</t>
  </si>
  <si>
    <t>PEAK</t>
  </si>
  <si>
    <t>06</t>
  </si>
  <si>
    <t>09</t>
  </si>
  <si>
    <t>08</t>
  </si>
  <si>
    <t>nMARKET TO AEE (NON-ECR)</t>
  </si>
  <si>
    <t>(SEE APPENDIX IX)</t>
  </si>
  <si>
    <t>(SEE APPENDIX X)</t>
  </si>
  <si>
    <t>XI.</t>
  </si>
  <si>
    <t>IX.</t>
  </si>
  <si>
    <t>X.</t>
  </si>
  <si>
    <t>PAGE (1A)</t>
  </si>
  <si>
    <t>ADJUSTMENT FOR PJM CHARGES</t>
  </si>
  <si>
    <t xml:space="preserve">TRANSFERRED FROM </t>
  </si>
  <si>
    <t>(NON-ECR) FROM INVOICE</t>
  </si>
  <si>
    <t>ADJUSTMENT FOR OFFSET OF</t>
  </si>
  <si>
    <t>BUCKEYE PASS-THROUGH CHARGES</t>
  </si>
  <si>
    <t>ASSOCIATED WITH PJM</t>
  </si>
  <si>
    <t>ADJUSTMENT FOR BUCKEYE SHARE</t>
  </si>
  <si>
    <t>OF PJM CONGESTION CHARGES</t>
  </si>
  <si>
    <t>INTEGRATED MW DEMAND EXPERIENCED</t>
  </si>
  <si>
    <t>DURING PRECEDING 12-MONTHS</t>
  </si>
  <si>
    <t>DATE/TIME</t>
  </si>
  <si>
    <t>SOURCE ALLOC.</t>
  </si>
  <si>
    <t>AS SUPPLIED</t>
  </si>
  <si>
    <t>UNADJUSTED</t>
  </si>
  <si>
    <t>ACTUAL:</t>
  </si>
  <si>
    <t>PAGE (1)</t>
  </si>
  <si>
    <t>($)</t>
  </si>
  <si>
    <t>Affiliated Sales Removed from ECR / ICR</t>
  </si>
  <si>
    <t>(West)=565, 5614 &amp; 5757 Accts</t>
  </si>
  <si>
    <t>Bookout Purchases Related To Entergy Spreads</t>
  </si>
  <si>
    <t>MEMBER</t>
  </si>
  <si>
    <t>AMOUNT DUE</t>
  </si>
  <si>
    <t>TO AGENT</t>
  </si>
  <si>
    <t>FROM AGENT</t>
  </si>
  <si>
    <t>(SOURCE:  PAGE 2)</t>
  </si>
  <si>
    <t>(CHARGE)</t>
  </si>
  <si>
    <t>(CREDIT)</t>
  </si>
  <si>
    <t>I.</t>
  </si>
  <si>
    <t>II.</t>
  </si>
  <si>
    <t>PREVIOUSLY</t>
  </si>
  <si>
    <t>ESTIMATED</t>
  </si>
  <si>
    <t>III.</t>
  </si>
  <si>
    <t>ADJUSTMENT</t>
  </si>
  <si>
    <t>David B. Roberts (Bruce)</t>
  </si>
  <si>
    <t>EKPC</t>
  </si>
  <si>
    <t xml:space="preserve">East KY Power Co-Op </t>
  </si>
  <si>
    <t>Planning Period Excess Congestion</t>
  </si>
  <si>
    <t>PURCHASES-447010</t>
  </si>
  <si>
    <t>SALES-4470006</t>
  </si>
  <si>
    <t>TO BE BOOKED</t>
  </si>
  <si>
    <t>NEXT MONTH</t>
  </si>
  <si>
    <t>(I - II)</t>
  </si>
  <si>
    <t>IV.</t>
  </si>
  <si>
    <t>ACTUAL THIS MONTH</t>
  </si>
  <si>
    <t>(SEE APPENDIX VI)</t>
  </si>
  <si>
    <t>(Net amounts due System Agent to</t>
  </si>
  <si>
    <t xml:space="preserve"> effect sharing by MLR in revenues</t>
  </si>
  <si>
    <t xml:space="preserve"> and cost of purchases for AEP System</t>
  </si>
  <si>
    <t xml:space="preserve"> cash-settled transactions)</t>
  </si>
  <si>
    <t>V.</t>
  </si>
  <si>
    <t>ESTIMATED THIS MONTH</t>
  </si>
  <si>
    <t>VI.</t>
  </si>
  <si>
    <t>ADJUSTMENT TO BE MADE NEXT MONTH</t>
  </si>
  <si>
    <t>PAGE (2)</t>
  </si>
  <si>
    <t>SYSTEM ACCOUNT</t>
  </si>
  <si>
    <t>RECAPITULATION OF CAPACITY, ENERGY, AND OTHER CHARGES</t>
  </si>
  <si>
    <t>CAPACITY (PAGE 3)</t>
  </si>
  <si>
    <t>$ CAPACITY (PAGE 3)</t>
  </si>
  <si>
    <t>$ ENERGY (PAGE 4)</t>
  </si>
  <si>
    <t>SURPLUS/</t>
  </si>
  <si>
    <t xml:space="preserve">CREDIT </t>
  </si>
  <si>
    <t>(DEFICIT)</t>
  </si>
  <si>
    <t>RATE</t>
  </si>
  <si>
    <t>A/C 555</t>
  </si>
  <si>
    <t>A/C 447</t>
  </si>
  <si>
    <t>kW</t>
  </si>
  <si>
    <t>$/kW</t>
  </si>
  <si>
    <t>(1)</t>
  </si>
  <si>
    <t>(2)</t>
  </si>
  <si>
    <t>(3)</t>
  </si>
  <si>
    <t>(4)</t>
  </si>
  <si>
    <t>$ TOTAL OF ALL ABOVE</t>
  </si>
  <si>
    <t>(5)</t>
  </si>
  <si>
    <t>(7)</t>
  </si>
  <si>
    <t>(8)</t>
  </si>
  <si>
    <t>PRIMARY</t>
  </si>
  <si>
    <t>CAPACITY kW</t>
  </si>
  <si>
    <t>LOAD RATIO</t>
  </si>
  <si>
    <t>(APPENDIX I)</t>
  </si>
  <si>
    <t>AME</t>
  </si>
  <si>
    <t>Calc SO2</t>
  </si>
  <si>
    <t>ALLOCATION OF PJM Non-ECR CHARGES</t>
  </si>
  <si>
    <t>PJM NON-ECR CHARGES FROM INVOICE - COUNTERPARTY BUCKEYE</t>
  </si>
  <si>
    <t>PJM - BUCKEYE</t>
  </si>
  <si>
    <t>12/08</t>
  </si>
  <si>
    <t>Auction Revenue Rights Credits</t>
  </si>
  <si>
    <t>Balancing Operating Reserve Charge</t>
  </si>
  <si>
    <t>Balancing Operating Reserve Generator Credit</t>
  </si>
  <si>
    <t>Balancing Transmission Implicit Congestion Charge</t>
  </si>
  <si>
    <t>Balancing Transmission Implicit Loss Charge</t>
  </si>
  <si>
    <t>Black Start Service Charges</t>
  </si>
  <si>
    <t>Black Start Service Credits</t>
  </si>
  <si>
    <t>Day-Ahead Operating Reserve Generator Credit</t>
  </si>
  <si>
    <t>Day-Ahead Transmission Implicit Congestion Charge</t>
  </si>
  <si>
    <t>Day-Ahead Transmission Implicit Loss Charge</t>
  </si>
  <si>
    <t>Expansion Cost Recovery Charges</t>
  </si>
  <si>
    <t>Firm Point-to-Point Transmission Service Credits</t>
  </si>
  <si>
    <t>FTR Congestion Credit (Target Allocation)</t>
  </si>
  <si>
    <t>Locational Reliability</t>
  </si>
  <si>
    <t>Non-Firm Point-to-Point Transmission Service Charges</t>
  </si>
  <si>
    <t>Non-Firm Point-to-Point Transmission Service Credits</t>
  </si>
  <si>
    <t>Non-Unit Specific Capacity Transaction Credits</t>
  </si>
  <si>
    <t>North American Electric Reliability Corporation (NERC) Charge</t>
  </si>
  <si>
    <t>Other Supporting Facilities Charges</t>
  </si>
  <si>
    <t>Reactive Supply and Voltage Control from Generation Sources Service Charges</t>
  </si>
  <si>
    <t>Reactive Supply and Voltage Control from Generation Sources Service Credits</t>
  </si>
  <si>
    <t>Regulation Charge</t>
  </si>
  <si>
    <t>Regulation Credit</t>
  </si>
  <si>
    <t>RPM Auction Credits</t>
  </si>
  <si>
    <t>Transmission Loss Credit</t>
  </si>
  <si>
    <t>N</t>
  </si>
  <si>
    <t>Network Integration Transmission Service Charges</t>
  </si>
  <si>
    <t>Transmission Owner Scheduling System Control and Dispatch Service Charges</t>
  </si>
  <si>
    <t>Ameren Energy, Inc.</t>
  </si>
  <si>
    <t>NOTE:</t>
  </si>
  <si>
    <t>PUPP</t>
  </si>
  <si>
    <t>PJM Capacity Related to Normal Purchases</t>
  </si>
  <si>
    <t>Non-ECR Purchased Capacity</t>
  </si>
  <si>
    <t>Wabash &amp; AMPO PJM Capacity Entry</t>
  </si>
  <si>
    <t>4470.124, 125 &amp; 209</t>
  </si>
  <si>
    <t>Camp Grove Wind Farm</t>
  </si>
  <si>
    <t>PJM - Generation Activity on PJM Transmission Invoice</t>
  </si>
  <si>
    <t>03/09</t>
  </si>
  <si>
    <t>gene</t>
  </si>
  <si>
    <t>Load Reconciliation for Schedule 9-6 - Advanced Second Control Center</t>
  </si>
  <si>
    <t>Load Reconciliation for Market Monitoring Unit (MMU) Funding</t>
  </si>
  <si>
    <t>Load Reconciliation for Day-ahead Scheduling Reserve</t>
  </si>
  <si>
    <t>Adj. to Transmission Congestion Credits for Jun 2006 - May 2007</t>
  </si>
  <si>
    <t>Balancing Operating Reserve Generator Credit - Kammer Area Max</t>
  </si>
  <si>
    <t>Adj. for Peak-Hour Period Availability Credits</t>
  </si>
  <si>
    <t>Adj. for Synchronized Reserve Charge</t>
  </si>
  <si>
    <t>PJM Administrative Defaults - OSS</t>
  </si>
  <si>
    <t>4470.126 &amp; 5550.039</t>
  </si>
  <si>
    <t>DUKE2</t>
  </si>
  <si>
    <t>Additional ECR Realization from OVEC Surplus Rate Change</t>
  </si>
  <si>
    <t>(I - III)</t>
  </si>
  <si>
    <t>Adj. to Non-Firm Point-to-Point Transmission Service Credits</t>
  </si>
  <si>
    <t>Capacity Resource Deficiency  Credit</t>
  </si>
  <si>
    <t>Load Reconciliation for Synchronous Condensing Charge</t>
  </si>
  <si>
    <t>Reconciliation for Scheduling System Control and Dispatch Service Charges</t>
  </si>
  <si>
    <t>Reconciliation for Synchronized Reserve</t>
  </si>
  <si>
    <t>Reconciliation for Transmission Owner Scheduling System Control and Dispatch Service Charges</t>
  </si>
  <si>
    <t>Reconcilliation for Regulation Charges</t>
  </si>
  <si>
    <t>Reconcilliation for Spot Market Charges</t>
  </si>
  <si>
    <t>SR Credit (Tier 2)</t>
  </si>
  <si>
    <t>PJM Schedule 9 &amp; 10 Entry - LSE</t>
  </si>
  <si>
    <t>PJM Schedule 9 &amp; 10 Entry - OSS</t>
  </si>
  <si>
    <t>Adj. to Balancing Operating Reserves Charges</t>
  </si>
  <si>
    <t>Reconciliation for Transmission Congestion Charges</t>
  </si>
  <si>
    <t>Reconciliation for Transmission Losses Charges</t>
  </si>
  <si>
    <t>Reconciliation for Transmission Losses Credits</t>
  </si>
  <si>
    <t>Union Power Partners</t>
  </si>
  <si>
    <t>11/08</t>
  </si>
  <si>
    <t>Exelon Generation Company</t>
  </si>
  <si>
    <t>4470.099 &amp; 4470.124</t>
  </si>
  <si>
    <t>MISO FTR Revenue - Effective 1/1/08</t>
  </si>
  <si>
    <t>PJM AEP WOH Activity</t>
  </si>
  <si>
    <t xml:space="preserve">PJM/MISO </t>
  </si>
  <si>
    <t>RENEWABLE ENERGY</t>
  </si>
  <si>
    <t>CREDIT COMMISSIONS</t>
  </si>
  <si>
    <t>ACCT. 5570.007</t>
  </si>
  <si>
    <t>RENEWABLE</t>
  </si>
  <si>
    <t>ENERGY CREDITS</t>
  </si>
  <si>
    <t>Invoice Adjustment - Spot Energy Sales</t>
  </si>
  <si>
    <t>PAGE (4)</t>
  </si>
  <si>
    <t xml:space="preserve"> Actual</t>
  </si>
  <si>
    <t>SUMMARY OF ENERGY SETTLEMENT</t>
  </si>
  <si>
    <t>CHARGE MEMBER</t>
  </si>
  <si>
    <t>CREDIT MEMBER</t>
  </si>
  <si>
    <t xml:space="preserve">  I.  AEP EXTERNAL ENERGY  *</t>
  </si>
  <si>
    <t>ENERGY COST</t>
  </si>
  <si>
    <t>RECOVERY AND MLR</t>
  </si>
  <si>
    <t>ALLOCATION FOR ALL</t>
  </si>
  <si>
    <t xml:space="preserve">AEP SYSTEM </t>
  </si>
  <si>
    <t>DELIVERIES TO</t>
  </si>
  <si>
    <t>NON-AFFILIATED COS.</t>
  </si>
  <si>
    <t>AEP</t>
  </si>
  <si>
    <t>ADJUSTMENT TO</t>
  </si>
  <si>
    <t>PREVENT RECOGNITION</t>
  </si>
  <si>
    <t>OF SALES BY POOL</t>
  </si>
  <si>
    <t>GL5</t>
  </si>
  <si>
    <t>MEMBERS TO</t>
  </si>
  <si>
    <t>THEMSELVES</t>
  </si>
  <si>
    <t>(PAGE 7)</t>
  </si>
  <si>
    <t>SUBTOTAL</t>
  </si>
  <si>
    <t>AEP EXTERNAL</t>
  </si>
  <si>
    <t xml:space="preserve"> II.  INTERNAL ENERGY AMONG POOL MEMBERS</t>
  </si>
  <si>
    <t>(PAGE 8)</t>
  </si>
  <si>
    <t>ECONOMY</t>
  </si>
  <si>
    <t>(PAGE 9)</t>
  </si>
  <si>
    <t>III.  TOTAL SYSTEM ACCOUNT ENERGY</t>
  </si>
  <si>
    <t>(I + II)</t>
  </si>
  <si>
    <t>PAGE (5)</t>
  </si>
  <si>
    <t>RECONCILIATION OF INTERRUPTIBLE CUSTOMERS</t>
  </si>
  <si>
    <t>LAWRENCEBURG</t>
  </si>
  <si>
    <t>DB</t>
  </si>
  <si>
    <t>LW</t>
  </si>
  <si>
    <t>DARBY</t>
  </si>
  <si>
    <t>DB1</t>
  </si>
  <si>
    <t>DB2</t>
  </si>
  <si>
    <t>DB3</t>
  </si>
  <si>
    <t>DB4</t>
  </si>
  <si>
    <t>DB5</t>
  </si>
  <si>
    <t>DB6</t>
  </si>
  <si>
    <t>DARBY 1</t>
  </si>
  <si>
    <t>DARBY 2</t>
  </si>
  <si>
    <t>DARBY 3</t>
  </si>
  <si>
    <t>DARBY 4</t>
  </si>
  <si>
    <t>DARBY 5</t>
  </si>
  <si>
    <t>DARBY 6</t>
  </si>
  <si>
    <t>Beckjord</t>
  </si>
  <si>
    <t>Conesville</t>
  </si>
  <si>
    <t>Picway</t>
  </si>
  <si>
    <t>Stuart</t>
  </si>
  <si>
    <t>Waterford</t>
  </si>
  <si>
    <t>Zimmer</t>
  </si>
  <si>
    <t>Racine (Hydro)</t>
  </si>
  <si>
    <t>Rockport 1 (I&amp;M owned)</t>
  </si>
  <si>
    <t>Rockport 1 (Purchase from AEG)</t>
  </si>
  <si>
    <t>Rockport 2 (I&amp;M leased)</t>
  </si>
  <si>
    <t>Rockport 2 (Purchase from AEG)</t>
  </si>
  <si>
    <t>Others (Hydro)</t>
  </si>
  <si>
    <t>Ceredo</t>
  </si>
  <si>
    <t>Clinch River</t>
  </si>
  <si>
    <t>Glen Lyn</t>
  </si>
  <si>
    <t>Kanawha River</t>
  </si>
  <si>
    <t>Mountaineer</t>
  </si>
  <si>
    <t>Smith Mountain (Hydro)</t>
  </si>
  <si>
    <t>SEPA Capacity Agreement</t>
  </si>
  <si>
    <t>Other Conventional Hydros</t>
  </si>
  <si>
    <t>Summersville</t>
  </si>
  <si>
    <t>BUY-THROUGH ALLOCATION OR INTERNAL CUSTOMERS IN GENERAL</t>
  </si>
  <si>
    <t>WHEREBY POOL ENERGY IS SPECIFICALLY ALLOCATED</t>
  </si>
  <si>
    <t xml:space="preserve">  I.  AEP POOL ENERGY  *</t>
  </si>
  <si>
    <t>TRANSFER OF FUNDS BETWEEN EASTERN AEP AND WESTERN AEP</t>
  </si>
  <si>
    <t>WESTERN AEP JOURNAL ENTRIES</t>
  </si>
  <si>
    <t>EASTERN AEP JOURNAL ENTRIES</t>
  </si>
  <si>
    <t>Transfer</t>
  </si>
  <si>
    <t>of Funds</t>
  </si>
  <si>
    <t>Item Description</t>
  </si>
  <si>
    <t>East Amount</t>
  </si>
  <si>
    <t>West Amount</t>
  </si>
  <si>
    <t>Direct Allocation</t>
  </si>
  <si>
    <t>Amounts</t>
  </si>
  <si>
    <t>To Be Shared</t>
  </si>
  <si>
    <t>Various</t>
  </si>
  <si>
    <t>Monongahela Power - PJM Entry</t>
  </si>
  <si>
    <t>Buckeye - PJM Entry</t>
  </si>
  <si>
    <t>PJM - G/L to Invoice Adjustment</t>
  </si>
  <si>
    <t>Dow Plaquemine Entry</t>
  </si>
  <si>
    <t>Gas Non-Dedicated Swaps</t>
  </si>
  <si>
    <t>Gas Net Non-Dedicated Spark Swaps</t>
  </si>
  <si>
    <t>Gas Net Non-Dedicated Spark Swap - Accruals</t>
  </si>
  <si>
    <t>Gas Net Non-Ded. Spark Broker Commissions</t>
  </si>
  <si>
    <t>Gas Non-Dedicated Swap - Accruals</t>
  </si>
  <si>
    <t>Gas Non-Ded Spark Gas Broker Commissions</t>
  </si>
  <si>
    <t>Paribas Futures</t>
  </si>
  <si>
    <t>ECR / ICR</t>
  </si>
  <si>
    <t>ECR Purchase Demand Charges</t>
  </si>
  <si>
    <t>4470.144</t>
  </si>
  <si>
    <t>SIA Sharing Ratios</t>
  </si>
  <si>
    <t>PSO</t>
  </si>
  <si>
    <t>SWEPCO</t>
  </si>
  <si>
    <t>TCC</t>
  </si>
  <si>
    <t>TNC</t>
  </si>
  <si>
    <t>PLR:</t>
  </si>
  <si>
    <t xml:space="preserve">   East Direct Allocation</t>
  </si>
  <si>
    <t xml:space="preserve">   West Direct Allocation</t>
  </si>
  <si>
    <t xml:space="preserve">   Total</t>
  </si>
  <si>
    <t>PLR</t>
  </si>
  <si>
    <t xml:space="preserve">Entergy Direct </t>
  </si>
  <si>
    <t>Allocation to West</t>
  </si>
  <si>
    <t>SWEP</t>
  </si>
  <si>
    <t>SIA SHARING RATIOS</t>
  </si>
  <si>
    <t>REALIZATION TO BE SHARED:</t>
  </si>
  <si>
    <t xml:space="preserve">     LESS AMOUNT ALREADY BOOKED ON WEST</t>
  </si>
  <si>
    <t>WESTERN REALIZATION SHARE:</t>
  </si>
  <si>
    <t>Realizations</t>
  </si>
  <si>
    <t>Booked to West</t>
  </si>
  <si>
    <t>ACCOUNTS EAST ($)</t>
  </si>
  <si>
    <t>ACCOUNTS WEST ($)</t>
  </si>
  <si>
    <t>ENERGY AND ENERGY</t>
  </si>
  <si>
    <t>COST RECOVERY</t>
  </si>
  <si>
    <t>ALLOCATED TO</t>
  </si>
  <si>
    <t>SPECIAL SERVICE</t>
  </si>
  <si>
    <t>CUSTOMERS</t>
  </si>
  <si>
    <t xml:space="preserve">ADJUSTMENT </t>
  </si>
  <si>
    <t>PAGE (6)</t>
  </si>
  <si>
    <t xml:space="preserve">        AEP SYSTEM DELIVERIES TO OTHER COMPANIES</t>
  </si>
  <si>
    <t xml:space="preserve">        RECONCILIATION OF SYSTEM ACCOUNT COST EQUALIZATION</t>
  </si>
  <si>
    <t xml:space="preserve">         TOTAL AND NET REVENUES</t>
  </si>
  <si>
    <t>Cost Equalization for AEP System Deliveries</t>
  </si>
  <si>
    <t>in the System Account (Page 4, Item 1)</t>
  </si>
  <si>
    <t>CREDIT MEMBER (2)</t>
  </si>
  <si>
    <t>CREDIT MEMBER (1)</t>
  </si>
  <si>
    <t>SYSTEM SALES</t>
  </si>
  <si>
    <t>EXCESS OF REVENUE</t>
  </si>
  <si>
    <t>OVER ENERGY COSTS</t>
  </si>
  <si>
    <t>(4)=(3)-(1)</t>
  </si>
  <si>
    <t>NET REVENUE REALIZED</t>
  </si>
  <si>
    <t>DEMAND CHARGE</t>
  </si>
  <si>
    <t>BY THE MEMBERS</t>
  </si>
  <si>
    <t>(MLR)</t>
  </si>
  <si>
    <t>PAID TO</t>
  </si>
  <si>
    <t>(I.E., EXCESS OF REVENUE</t>
  </si>
  <si>
    <t>THIRD PARTIES</t>
  </si>
  <si>
    <t>OVER INCURRED COSTS)</t>
  </si>
  <si>
    <t>THIS MONTH</t>
  </si>
  <si>
    <t>(6)=(4)-(5)</t>
  </si>
  <si>
    <t>SO2 to CPL:</t>
  </si>
  <si>
    <t>PAGE (7)</t>
  </si>
  <si>
    <t>CALCULATION OF ADJUSTMENT TO PREVENT RECOGNITION OF SALES</t>
  </si>
  <si>
    <t>BY POOL MEMBERS TO THEMSELVES</t>
  </si>
  <si>
    <t xml:space="preserve">  I.  GENERATION SUPPLIED TO THE POOL FOR SYSTEM SALES (1)</t>
  </si>
  <si>
    <t>COST (2)</t>
  </si>
  <si>
    <t>MLR</t>
  </si>
  <si>
    <t>COST ($)</t>
  </si>
  <si>
    <t xml:space="preserve"> II.  AEG AND OVEC PURCHASES SUPPLIED FOR SYSTEM SALES (1)</t>
  </si>
  <si>
    <t xml:space="preserve">COST </t>
  </si>
  <si>
    <t>PRIOR PERIOD ADJUSTMENTS (2)</t>
  </si>
  <si>
    <r>
      <t>PRIOR PERIOD ADJUSTMENTS</t>
    </r>
    <r>
      <rPr>
        <sz val="10"/>
        <rFont val="Comic Sans MS"/>
        <family val="4"/>
      </rPr>
      <t xml:space="preserve"> (2)</t>
    </r>
  </si>
  <si>
    <t>III.  PURCHASED POWER SUPPLIED FOR SYSTEM SALES (3)</t>
  </si>
  <si>
    <t>AS ALLOCATED</t>
  </si>
  <si>
    <t xml:space="preserve"> IV.  TOTAL ADJUSTMENT (I + II + III)</t>
  </si>
  <si>
    <t>TOTAL ADJUSTMENT</t>
  </si>
  <si>
    <t>TO PAGE 4</t>
  </si>
  <si>
    <t>(1)  The source of the MWh and COST data is the "Allocated Sources by Operating Companies - Summary -</t>
  </si>
  <si>
    <t xml:space="preserve">      All Deliveries - Cash "from the ECR#MLR report.</t>
  </si>
  <si>
    <t>(2)  See Note (1), page 6.</t>
  </si>
  <si>
    <t>(3)  Excludes OVEC and AEG purchases allocated to System Sales (shown in II above).</t>
  </si>
  <si>
    <t>PAGE (8)</t>
  </si>
  <si>
    <t xml:space="preserve">              PRIMARY ENERGY</t>
  </si>
  <si>
    <t>RECEIVED ENERGY</t>
  </si>
  <si>
    <t>DELIVERING</t>
  </si>
  <si>
    <t>RECEIVING</t>
  </si>
  <si>
    <t>$/MWh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</si>
  <si>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</si>
  <si>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</si>
  <si>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</si>
  <si>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</si>
  <si>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</si>
  <si>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</si>
  <si>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</si>
  <si>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</si>
  <si>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</si>
  <si>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</si>
  <si>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</si>
  <si>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</si>
  <si>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</si>
  <si>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</si>
  <si>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</si>
  <si>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</si>
  <si>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</si>
  <si>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</si>
  <si>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</si>
  <si>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</si>
  <si>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</si>
  <si>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</si>
  <si>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City of Columbus - Load</t>
  </si>
  <si>
    <t>City of Columbus - Generation</t>
  </si>
  <si>
    <t>PJM - Columbus Load</t>
  </si>
  <si>
    <t>PJM - Columbus Generation</t>
  </si>
  <si>
    <t>23.</t>
  </si>
  <si>
    <t>24.</t>
  </si>
  <si>
    <t>Print for Bruce</t>
  </si>
  <si>
    <t>04/09</t>
  </si>
  <si>
    <t>OFFSET OF PASS-THROUGH CHARGES ASSOCIATED WITH PJM</t>
  </si>
  <si>
    <t>Monongahela Power Company</t>
  </si>
  <si>
    <t>TOTAL OFFSET OF PASS-THROUGH CHARGES (ACTUAL)</t>
  </si>
  <si>
    <t>TOTAL OFFSET OF PASS-THROUGH CHARGES (ESTIMATED)</t>
  </si>
  <si>
    <t>TOTAL OFFSET OF PASS-THROUGH CHARGES (ADJUSTMENT)</t>
  </si>
  <si>
    <t>Capability***</t>
  </si>
  <si>
    <t>*** SOURCE: Interchange Power Statement, Appendix II</t>
  </si>
  <si>
    <t>25.</t>
  </si>
  <si>
    <t>26.</t>
  </si>
  <si>
    <t>TOTAL ALL MEMBERS RECEIVED</t>
  </si>
  <si>
    <t>DELIVERED ENERGY</t>
  </si>
  <si>
    <t>BY MEMBER</t>
  </si>
  <si>
    <t>SUM OF LINES</t>
  </si>
  <si>
    <t>27.</t>
  </si>
  <si>
    <t>June 2009</t>
  </si>
  <si>
    <t>Used AMS 7/6/2009</t>
  </si>
  <si>
    <t>Macros- OK</t>
  </si>
  <si>
    <t>Check-ok</t>
  </si>
  <si>
    <t>6, 11, 16, &amp; 21</t>
  </si>
  <si>
    <t>28.</t>
  </si>
  <si>
    <t>1, 12, 17, &amp; 22</t>
  </si>
  <si>
    <t>29.</t>
  </si>
  <si>
    <t>2, 7, 18, &amp; 23</t>
  </si>
  <si>
    <t>30.</t>
  </si>
  <si>
    <t>3, 8, 13, &amp; 24</t>
  </si>
  <si>
    <t>31.</t>
  </si>
  <si>
    <t>4, 9, 14, &amp; 19</t>
  </si>
  <si>
    <t>32.</t>
  </si>
  <si>
    <t>TOTAL ALL MEMBERS DELIVERED:</t>
  </si>
  <si>
    <t>ACCOUNT 151 FUEL COST ASSOCIATED</t>
  </si>
  <si>
    <t>WITH PRIMARY ENERGY</t>
  </si>
  <si>
    <t>PAGE (9)</t>
  </si>
  <si>
    <t xml:space="preserve">              ECONOMY ENERGY</t>
  </si>
  <si>
    <t>Date</t>
  </si>
  <si>
    <t>Subject</t>
  </si>
  <si>
    <t>East Interchange Power Statement and Related Data</t>
  </si>
  <si>
    <t>D. J. Kulha</t>
  </si>
  <si>
    <t>To</t>
  </si>
  <si>
    <t xml:space="preserve">See Distribution List  </t>
  </si>
  <si>
    <t xml:space="preserve">   </t>
  </si>
  <si>
    <t>INTERCHANGE POWER STATEMENT</t>
  </si>
  <si>
    <t>FOR THE MONTH OF</t>
  </si>
  <si>
    <t xml:space="preserve">AEP SYSTEM MLR ALLOCATION OF EXPENSES FOR TRANSMISSION SERVICE </t>
  </si>
  <si>
    <t>MISO  Retail</t>
  </si>
  <si>
    <t>MISO Trading</t>
  </si>
  <si>
    <t>MISO Auction</t>
  </si>
  <si>
    <t xml:space="preserve">AEP SYSTEM MLR ALLOCATION OF PASS-THROUGH RECEIPTS FOR TRANSMISSION SERVICE </t>
  </si>
  <si>
    <t>NOX Repricing</t>
  </si>
  <si>
    <t>Act. 5550.023</t>
  </si>
  <si>
    <t>Act. 5550.107</t>
  </si>
  <si>
    <t>----------------------------------------------------------------------</t>
  </si>
  <si>
    <t>Approved</t>
  </si>
  <si>
    <t>Reviewer:</t>
  </si>
  <si>
    <t>STATEMENT OF SETTLEMENT TO BE MADE</t>
  </si>
  <si>
    <t>FOR ELECTRIC POWER AND ENERGY RECEIVED AND DELIVERED</t>
  </si>
  <si>
    <t>APPLICABLE TO SEPTEMBER 2006 BUSINESS</t>
  </si>
  <si>
    <t xml:space="preserve">Pursuant to the Interconnection Agreement, dated July 6, 1951, </t>
  </si>
  <si>
    <t>as Amended</t>
  </si>
  <si>
    <t>by and among</t>
  </si>
  <si>
    <t>Appalachian Power Company (APCo),</t>
  </si>
  <si>
    <t>Columbus Southern Power Company (CSP),</t>
  </si>
  <si>
    <t>Indiana Michigan Power Company, (I&amp;M),</t>
  </si>
  <si>
    <t>Kentucky Power Company (KPCo),</t>
  </si>
  <si>
    <t>Ohio Power Company (OPCo),</t>
  </si>
  <si>
    <t>and with</t>
  </si>
  <si>
    <t>American Electric Power Service Corporation</t>
  </si>
  <si>
    <t>as Agent.</t>
  </si>
  <si>
    <t>Prepared by:</t>
  </si>
  <si>
    <t>Wholesale Commercial Accounting Group</t>
  </si>
  <si>
    <t>CONTENTS</t>
  </si>
  <si>
    <t>Inadvertent - OSS</t>
  </si>
  <si>
    <t>Inadvertent - LSE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</si>
  <si>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</si>
  <si>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Summary of Settlements with the System Agent, for all Members    </t>
  </si>
  <si>
    <t>System Account Settlement</t>
  </si>
  <si>
    <t xml:space="preserve">Recapitulation of Capacity, Energy, Other Charges                               </t>
  </si>
  <si>
    <t xml:space="preserve">Calculation of Capacity Settlement                                                       </t>
  </si>
  <si>
    <t xml:space="preserve">Summary of Energy Settlement                                                            </t>
  </si>
  <si>
    <t xml:space="preserve">Reconciliation with Interruptible Customers                                                </t>
  </si>
  <si>
    <t>Reconciliation with regard to Realization and</t>
  </si>
  <si>
    <t xml:space="preserve">Service Schedule D with Western AEP                                                           </t>
  </si>
  <si>
    <t xml:space="preserve">Calculation of Adjustment                                                                       </t>
  </si>
  <si>
    <t xml:space="preserve">Detail of Primary Energy                                                                    </t>
  </si>
  <si>
    <t xml:space="preserve">Detail of Economy Energy                                                                     </t>
  </si>
  <si>
    <t xml:space="preserve">AEP System Actual Emission Allowances                                               </t>
  </si>
  <si>
    <t xml:space="preserve">Adjustments to System Account due to Emission Allowances                   </t>
  </si>
  <si>
    <t>Appendices</t>
  </si>
  <si>
    <t xml:space="preserve">Supporting Cost and Operating Data                                          </t>
  </si>
  <si>
    <t>I - VIII</t>
  </si>
  <si>
    <t>PAGE</t>
  </si>
  <si>
    <r>
      <t>NO</t>
    </r>
    <r>
      <rPr>
        <sz val="10"/>
        <rFont val="Comic Sans MS"/>
        <family val="4"/>
      </rPr>
      <t>.</t>
    </r>
  </si>
  <si>
    <t>APPENDICES</t>
  </si>
  <si>
    <t>SUPPORTING COST AND OPERATING DATA</t>
  </si>
  <si>
    <t xml:space="preserve">                                                                                                                                                                                           </t>
  </si>
  <si>
    <r>
      <t>SYNOPSIS OF CONTENTS</t>
    </r>
    <r>
      <rPr>
        <b/>
        <sz val="12"/>
        <rFont val="Comic Sans MS"/>
        <family val="4"/>
      </rPr>
      <t xml:space="preserve"> </t>
    </r>
  </si>
  <si>
    <t>-  Member Load Ratio (MLR) for each month</t>
  </si>
  <si>
    <t>-  List of maximum MLR demands in each of past 12 months</t>
  </si>
  <si>
    <t>-  Maximum MLR demands experienced in the past 12 months</t>
  </si>
  <si>
    <t>-  Kilowatts of Primary Capacity, listed by station</t>
  </si>
  <si>
    <t>Explicit Loss &amp; Transmission Loss Reclass for 1/09 &amp; 2/09 in 4/09</t>
  </si>
  <si>
    <t>PRIMARY CAPACITY INVESTMENT COSTS AND RATES, BY STATION,</t>
  </si>
  <si>
    <t>-  Kilowatts of capacity as of January 1</t>
  </si>
  <si>
    <t>-  Installed cost of production plant</t>
  </si>
  <si>
    <t>-  Weighted average investment cost, $/KW</t>
  </si>
  <si>
    <t>-  Member Primary Capacity Investment Rate, $/KW</t>
  </si>
  <si>
    <t>-  Net Generation  in megawatt-hours (MWH)</t>
  </si>
  <si>
    <t>-  Total Net Production Expenses</t>
  </si>
  <si>
    <t>-  Fuel Expenses, Account 501</t>
  </si>
  <si>
    <t>Adj. to PJM Scheduling System Control and Dispatch Service Charges</t>
  </si>
  <si>
    <t>Day-ahead Scheduling Reserve Charge</t>
  </si>
  <si>
    <t>Day-ahead Operating Reserve Charge</t>
  </si>
  <si>
    <t>Balancing Operating Reserve for Load Response</t>
  </si>
  <si>
    <t>Adj. to Regulation Charges</t>
  </si>
  <si>
    <t>Adj. for Other Supporting Facilities Charge - Power Factor</t>
  </si>
  <si>
    <t>Real-Time Economic Load Response Program Charges</t>
  </si>
  <si>
    <t>FTR Congestion Credit (Target Allocation) - Explicit Congestion</t>
  </si>
  <si>
    <t>Day-ahead Scheduling Reserve Credit</t>
  </si>
  <si>
    <t>FTR Auction Credit</t>
  </si>
  <si>
    <t>no</t>
  </si>
  <si>
    <t>-  Maintenance Expenses, Accounts 510-515</t>
  </si>
  <si>
    <t>CALCULATION OF RATES BASED UPON THIS MONTH’S WEIGHTED</t>
  </si>
  <si>
    <t xml:space="preserve">V  </t>
  </si>
  <si>
    <t>-  Member Primary Energy Rates</t>
  </si>
  <si>
    <t>-  Member Primary Capacity Fixed Operating Rates</t>
  </si>
  <si>
    <t>SETTLEMENT OF PJM CHARGES NOT PROCESSED THROUGH ECR</t>
  </si>
  <si>
    <t xml:space="preserve">IX  </t>
  </si>
  <si>
    <t>SETTLEMENT OF BUCKEYE CHARGES FROM PJM</t>
  </si>
  <si>
    <t xml:space="preserve">X </t>
  </si>
  <si>
    <t xml:space="preserve">MEMBER LOAD RATIO SUMMARY                                            </t>
  </si>
  <si>
    <t xml:space="preserve"> I</t>
  </si>
  <si>
    <t xml:space="preserve">SYSTEM PRIMARY CAPACITY                                                 </t>
  </si>
  <si>
    <t>II</t>
  </si>
  <si>
    <t xml:space="preserve">APPLICABLE TO MEMBERS WITH PRIMARY CAPACITY SURPLUS       </t>
  </si>
  <si>
    <t>III</t>
  </si>
  <si>
    <t xml:space="preserve">PRIMARY CAPACITY NET PRODUCTION EXPENSES, BY MEMBER        </t>
  </si>
  <si>
    <t>IV</t>
  </si>
  <si>
    <t>VI-VII</t>
  </si>
  <si>
    <t xml:space="preserve">     </t>
  </si>
  <si>
    <t xml:space="preserve">VIII </t>
  </si>
  <si>
    <t>SETTLEMENT WITH SYSTEM AGENT ASSOCIATED WITH MLR ALLOCATIONS</t>
  </si>
  <si>
    <t xml:space="preserve"> OF AEP SYSTEM RECEIPTS AND DELIVERIES      </t>
  </si>
  <si>
    <t xml:space="preserve">TRADING AND MARKETING REALIZATIONS FOR BASE YEAR AND CURRENT </t>
  </si>
  <si>
    <t>MONTH -- BACKUP DATA FOR SERVICE SCHEDULE D WITH WESTERN AEP</t>
  </si>
  <si>
    <t>(1)  Source is ECR#MLR report, MLR Allocation of System Transactions.</t>
  </si>
  <si>
    <t>Created on 9/30/06</t>
  </si>
  <si>
    <t>(2)  Source is Appendix VII.</t>
  </si>
  <si>
    <t xml:space="preserve">NOTES:  </t>
  </si>
  <si>
    <t>WITH ECONOMY ENERGY</t>
  </si>
  <si>
    <t>VIII.</t>
  </si>
  <si>
    <t>EXPENSE</t>
  </si>
  <si>
    <t>$ CHARGE</t>
  </si>
  <si>
    <t>$ CREDIT</t>
  </si>
  <si>
    <t>PAGE (11)</t>
  </si>
  <si>
    <t>STEC</t>
  </si>
  <si>
    <t>Notes</t>
  </si>
  <si>
    <t>LW1</t>
  </si>
  <si>
    <t>LW2</t>
  </si>
  <si>
    <t>LAWRENCEBURG 1</t>
  </si>
  <si>
    <t>LAWRENCEBURG 2</t>
  </si>
  <si>
    <t>South Texas Electric Coop, Inc.</t>
  </si>
  <si>
    <t>LOSSES</t>
  </si>
  <si>
    <t>PHYSICAL BOOKOUT</t>
  </si>
  <si>
    <t>MEMBER PRIMARY</t>
  </si>
  <si>
    <t>NOX</t>
  </si>
  <si>
    <t>SO2</t>
  </si>
  <si>
    <t>SO2 EMISSION</t>
  </si>
  <si>
    <t>SO2 COST ($)</t>
  </si>
  <si>
    <t>SO2 ADJUSTMENT</t>
  </si>
  <si>
    <t>(7)  From ECR/MLR report "Allocated Sources by Operating Companies - All Deliveries"</t>
  </si>
  <si>
    <t>NOX COST ($)</t>
  </si>
  <si>
    <t>NOX ADJUSTMENT</t>
  </si>
  <si>
    <t>SO2 COST</t>
  </si>
  <si>
    <t>NOX COST</t>
  </si>
  <si>
    <t>(6)=(5)-(4)</t>
  </si>
  <si>
    <t>(8)=(7)+(3)+(6)</t>
  </si>
  <si>
    <t>ADJUSTED</t>
  </si>
  <si>
    <t>(5)=(3)*(4)</t>
  </si>
  <si>
    <t>GTC</t>
  </si>
  <si>
    <t>Georgia Transmission Corporation</t>
  </si>
  <si>
    <t>KEYG2</t>
  </si>
  <si>
    <t>Long Island Power Authority - KeySpan</t>
  </si>
  <si>
    <t>PAGE 6B:</t>
  </si>
  <si>
    <t>(3)=(2)/(1)</t>
  </si>
  <si>
    <t>(4)=(3)*.0137</t>
  </si>
  <si>
    <t>TOTAL NET</t>
  </si>
  <si>
    <t>FUEL</t>
  </si>
  <si>
    <t>ONE-HALF</t>
  </si>
  <si>
    <t>A/C 501</t>
  </si>
  <si>
    <t>CAPABILITY OF</t>
  </si>
  <si>
    <t>TOTAL FIXED</t>
  </si>
  <si>
    <t>OPERATING</t>
  </si>
  <si>
    <t>CAPACITY, kW</t>
  </si>
  <si>
    <t>CAPACITY FIXED</t>
  </si>
  <si>
    <t>OPERATING RATE</t>
  </si>
  <si>
    <t>AEP SYSTEM</t>
  </si>
  <si>
    <t>ALLOWANCES CONSUMED FOR SALES</t>
  </si>
  <si>
    <t>TO NON-AFFILIATED SYSTEMS (a)</t>
  </si>
  <si>
    <t>ALLOCATED</t>
  </si>
  <si>
    <t>TO SALES TO</t>
  </si>
  <si>
    <t>SYSTEM</t>
  </si>
  <si>
    <t>EMISSION</t>
  </si>
  <si>
    <t>NON-AFFILIATED</t>
  </si>
  <si>
    <t>ALLOCATION</t>
  </si>
  <si>
    <t>EXPENDED FOR</t>
  </si>
  <si>
    <t>(MWh)</t>
  </si>
  <si>
    <t>FACTOR</t>
  </si>
  <si>
    <t>(3)=(1)/(2)</t>
  </si>
  <si>
    <t>TANNERS CREEK 4</t>
  </si>
  <si>
    <t>CARDINAL 1</t>
  </si>
  <si>
    <t>CARDINAL 2</t>
  </si>
  <si>
    <t>GAVIN 1</t>
  </si>
  <si>
    <t>GAVIN 2</t>
  </si>
  <si>
    <t>KAMMER 1</t>
  </si>
  <si>
    <t>KAMMER 2</t>
  </si>
  <si>
    <t>KAMMER 3</t>
  </si>
  <si>
    <t>MITCHELL 1</t>
  </si>
  <si>
    <t>MITCHELL 2</t>
  </si>
  <si>
    <t>MUSKINGUM 1</t>
  </si>
  <si>
    <t>MUSKINGUM 2</t>
  </si>
  <si>
    <t>MUSKINGUM 3</t>
  </si>
  <si>
    <t>MUSKINGUM 4</t>
  </si>
  <si>
    <t>MUSKINGUM 5</t>
  </si>
  <si>
    <t>BECKJORD 6</t>
  </si>
  <si>
    <t>CONESVILLE 1</t>
  </si>
  <si>
    <t>CONESVILLE 2</t>
  </si>
  <si>
    <t>CONESVILLE 3</t>
  </si>
  <si>
    <t>CONESVILLE 4</t>
  </si>
  <si>
    <t>PICWAY 5</t>
  </si>
  <si>
    <t>STUART 1</t>
  </si>
  <si>
    <t>STUART 2</t>
  </si>
  <si>
    <t>STUART 3</t>
  </si>
  <si>
    <t>STUART 4</t>
  </si>
  <si>
    <t>(a)  As per Section 4.3 and Appendix E of the Interim Allowance Agreement.</t>
  </si>
  <si>
    <t>ADJUSTMENT TO ACCOUNT FOR</t>
  </si>
  <si>
    <t>LESS EASTERN AEP REALIZATION SHARE:</t>
  </si>
  <si>
    <t>CE1</t>
  </si>
  <si>
    <t>CE2</t>
  </si>
  <si>
    <t>CE3</t>
  </si>
  <si>
    <t>CE4</t>
  </si>
  <si>
    <t>CE5</t>
  </si>
  <si>
    <t>CE6</t>
  </si>
  <si>
    <t>WFD</t>
  </si>
  <si>
    <t>CEREDO1</t>
  </si>
  <si>
    <t>CEREDO2</t>
  </si>
  <si>
    <t>CEREDO3</t>
  </si>
  <si>
    <t>CEREDO4</t>
  </si>
  <si>
    <t>CEREDO5</t>
  </si>
  <si>
    <t>CEREDO6</t>
  </si>
  <si>
    <t>RTO Start-up Cost Recovery</t>
  </si>
  <si>
    <t>MARKET PRICE (1) vs. INVENTORY COST (2)</t>
  </si>
  <si>
    <t>DIFFERENTIAL OF EMISSION ALLOWANCES</t>
  </si>
  <si>
    <t>SOURCE ALLOCATION</t>
  </si>
  <si>
    <t>I.  AEP EXTERNAL ENERGY (3)</t>
  </si>
  <si>
    <t>(ADJUSTED)</t>
  </si>
  <si>
    <t>(3)=(2)-(1)</t>
  </si>
  <si>
    <t>SOURCE</t>
  </si>
  <si>
    <t>(UNADJUSTED)</t>
  </si>
  <si>
    <t>East. AEP (Co. 122)</t>
  </si>
  <si>
    <t>(1)  Market Price ($/allowance):</t>
  </si>
  <si>
    <t xml:space="preserve">      OPCO allowance:</t>
  </si>
  <si>
    <t xml:space="preserve">      CSP allowance:</t>
  </si>
  <si>
    <t>APPENDIX II</t>
  </si>
  <si>
    <t>CD2 &amp; CD3</t>
  </si>
  <si>
    <t xml:space="preserve">SO2 Allow. </t>
  </si>
  <si>
    <t>Calculated Totals</t>
  </si>
  <si>
    <t xml:space="preserve">                SYSTEM PRIMARY CAPACITY</t>
  </si>
  <si>
    <t>STATION</t>
  </si>
  <si>
    <t>APPALACHIAN POWER COMPANY</t>
  </si>
  <si>
    <t>TOTAL MEMBER STEAM-ELECTRIC PRIMARY CAPACITY</t>
  </si>
  <si>
    <t>EXGN/CE/PECO</t>
  </si>
  <si>
    <t>TOTAL MEMBER PRIMARY CAPACITY</t>
  </si>
  <si>
    <t>KENTUCKY POWER COMPANY</t>
  </si>
  <si>
    <t>INDIANA MICHIGAN POWER COMPANY</t>
  </si>
  <si>
    <t>Progress Energy</t>
  </si>
  <si>
    <t>18</t>
  </si>
  <si>
    <t>UBS/ABN Amro - 4470.081</t>
  </si>
  <si>
    <t>OHIO POWER COMPANY</t>
  </si>
  <si>
    <t>COLUMBUS SOUTHERN POWER COMPANY</t>
  </si>
  <si>
    <t>TOTAL SYSTEM PRIMARY CAPACITY</t>
  </si>
  <si>
    <t>SOURCE:  kW RATINGS ARE ESTABLISHED BY THE OPERATING COMMITTEE.</t>
  </si>
  <si>
    <t>APPENDIX III</t>
  </si>
  <si>
    <t>City of Westerville</t>
  </si>
  <si>
    <t>City of Columbus</t>
  </si>
  <si>
    <t xml:space="preserve">Correcting Entry for October Actual Meter Correction </t>
  </si>
  <si>
    <t>MEMBER WEIGHTED AVERAGE INVESTMENT COSTS</t>
  </si>
  <si>
    <t>AND MEMBER PRIMARY CAPACITY INVESTMENT RATES</t>
  </si>
  <si>
    <t>Installed</t>
  </si>
  <si>
    <t>Member</t>
  </si>
  <si>
    <t>Cost of</t>
  </si>
  <si>
    <t xml:space="preserve">Weighted </t>
  </si>
  <si>
    <t>Primary</t>
  </si>
  <si>
    <t>Generating Stations</t>
  </si>
  <si>
    <t>ALLOCATION BY MLR (MWh)</t>
  </si>
  <si>
    <t>Dollars</t>
  </si>
  <si>
    <t>Production</t>
  </si>
  <si>
    <t>Average</t>
  </si>
  <si>
    <t>Capacity</t>
  </si>
  <si>
    <t>Other than Hydro</t>
  </si>
  <si>
    <t>Plant *</t>
  </si>
  <si>
    <t>Investment</t>
  </si>
  <si>
    <t xml:space="preserve">Investment </t>
  </si>
  <si>
    <t>Classified as Part of</t>
  </si>
  <si>
    <t>as of</t>
  </si>
  <si>
    <t xml:space="preserve">Cost </t>
  </si>
  <si>
    <t>Member Primary Capacity</t>
  </si>
  <si>
    <t>$/kW/Month</t>
  </si>
  <si>
    <t>Rockport 2 Purchased from AEG</t>
  </si>
  <si>
    <t>Cook</t>
  </si>
  <si>
    <t>MECS</t>
  </si>
  <si>
    <t>Michigan Electric Coordinated System</t>
  </si>
  <si>
    <t>Rockport 1 Ownership Share</t>
  </si>
  <si>
    <t>Rockport 2 Leased Shared</t>
  </si>
  <si>
    <t>Tanners Creek</t>
  </si>
  <si>
    <t>Amos</t>
  </si>
  <si>
    <t>Cardinal</t>
  </si>
  <si>
    <t>Gavin</t>
  </si>
  <si>
    <t>Kammer</t>
  </si>
  <si>
    <t>Mitchell</t>
  </si>
  <si>
    <t>Muskingum River</t>
  </si>
  <si>
    <t>Sporn</t>
  </si>
  <si>
    <t xml:space="preserve">  Ohio Total</t>
  </si>
  <si>
    <t>19</t>
  </si>
  <si>
    <t xml:space="preserve">APPENDIX IV </t>
  </si>
  <si>
    <t>PRODUCTION EXPENSES INCURRED</t>
  </si>
  <si>
    <t>STEAM-ELECTRIC STATIONS ALLOCATED TO SYSTEM PRIMARY CAPACITY</t>
  </si>
  <si>
    <t>NET</t>
  </si>
  <si>
    <t>EXPENSES</t>
  </si>
  <si>
    <t>A/C 151</t>
  </si>
  <si>
    <t>A/C 152</t>
  </si>
  <si>
    <t>GLEN LYN</t>
  </si>
  <si>
    <t>KANAWHA RIVER</t>
  </si>
  <si>
    <t>CLINCH RIVER</t>
  </si>
  <si>
    <t>TES</t>
  </si>
  <si>
    <t>TECO Energy Source</t>
  </si>
  <si>
    <t>AMOS (APCO)</t>
  </si>
  <si>
    <t>MOUNTAINEER</t>
  </si>
  <si>
    <t>SUM</t>
  </si>
  <si>
    <t>COAL CONVERSION</t>
  </si>
  <si>
    <t>RATES:</t>
  </si>
  <si>
    <t>BIG SANDY</t>
  </si>
  <si>
    <t>ROCKPORT 1 (AEG)</t>
  </si>
  <si>
    <t>ROCKPORT 2 (AEG)</t>
  </si>
  <si>
    <t>A/C 515 ALL STATIONS</t>
  </si>
  <si>
    <t>TANNERS CREEK 1-3</t>
  </si>
  <si>
    <t>TANNERS CREEK TOTAL</t>
  </si>
  <si>
    <t>ROCKPORT 1</t>
  </si>
  <si>
    <t>ROCKPORT 2 (LEASED SHARE)</t>
  </si>
  <si>
    <t>SPORN (OPCO)</t>
  </si>
  <si>
    <t>MUSKINGUM</t>
  </si>
  <si>
    <t>(I - II + III)</t>
  </si>
  <si>
    <t>KAMMER</t>
  </si>
  <si>
    <t>PAGE (10-1)</t>
  </si>
  <si>
    <t>PAGE (10-2)</t>
  </si>
  <si>
    <t>(PAGE 4)</t>
  </si>
  <si>
    <t>(1)+(3)</t>
  </si>
  <si>
    <t>(2)+(4)</t>
  </si>
  <si>
    <t>CARDINAL (OPCO)</t>
  </si>
  <si>
    <t>Network Integration Transmission Service Charge</t>
  </si>
  <si>
    <t>Transmission Owner Scheduling, System…</t>
  </si>
  <si>
    <t>Power Factor Charges</t>
  </si>
  <si>
    <t>Other Supporting Facilities Charge</t>
  </si>
  <si>
    <t>MITCHELL</t>
  </si>
  <si>
    <t>AMOS (OPCO)</t>
  </si>
  <si>
    <t>GAVIN</t>
  </si>
  <si>
    <t>CONESVILLE</t>
  </si>
  <si>
    <t>PICWAY</t>
  </si>
  <si>
    <t>BECKJORD</t>
  </si>
  <si>
    <t>STUART</t>
  </si>
  <si>
    <t>ZIMMER</t>
  </si>
  <si>
    <t>SYSTEM TOTAL</t>
  </si>
  <si>
    <t>APPENDIX V</t>
  </si>
  <si>
    <t xml:space="preserve">CALCULATION OF </t>
  </si>
  <si>
    <t>PRIMARY ENERGY RATES AND PRIMARY CAPACITY FIXED OPERATING RATES</t>
  </si>
  <si>
    <t>PRODUCTION EXPENSES OF STEAM-ELECTRIC PRIMARY CAPACITY (FROM APPENDIX IV):</t>
  </si>
  <si>
    <t>COMPANY</t>
  </si>
  <si>
    <t>EXPENSE (*)</t>
  </si>
  <si>
    <t>A/C 151 (*)</t>
  </si>
  <si>
    <t>CALCULATION OF MEMBER PRIMARY RATES:</t>
  </si>
  <si>
    <t xml:space="preserve">PART OF </t>
  </si>
  <si>
    <t>GENERATION (*)</t>
  </si>
  <si>
    <t>ENERGY RATE</t>
  </si>
  <si>
    <t>Documentation of Change Management:</t>
  </si>
  <si>
    <t>Date of</t>
  </si>
  <si>
    <t>Change</t>
  </si>
  <si>
    <t>Effective Date</t>
  </si>
  <si>
    <t>Rev. No.</t>
  </si>
  <si>
    <t>Description of Change</t>
  </si>
  <si>
    <t>Owner</t>
  </si>
  <si>
    <t>Approver</t>
  </si>
  <si>
    <t>of New Version</t>
  </si>
  <si>
    <t xml:space="preserve">  (1) Adjustment from August 2005 for buy-through allocation error in ECR</t>
  </si>
  <si>
    <t>NOTES:    (*)  Figures on this page are carried on to "Total System Account Energy", Item III, page 4.</t>
  </si>
  <si>
    <t>(APPENDIX IV)</t>
  </si>
  <si>
    <t>MILLS/kWh</t>
  </si>
  <si>
    <t>(6)=(3)+(5)</t>
  </si>
  <si>
    <t>(9)=(5)/(7)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</si>
</sst>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0000"/>
    <numFmt numFmtId="166" formatCode="#,##0.000_);\(#,##0.000\)"/>
    <numFmt numFmtId="167" formatCode="#,##0.0000_);\(#,##0.0000\)"/>
    <numFmt numFmtId="168" formatCode="#,##0;[Red]#,##0"/>
    <numFmt numFmtId="169" formatCode="0.00_);\(0.00\)"/>
    <numFmt numFmtId="170" formatCode="#,##0.00000_);\(#,##0.00000\)"/>
    <numFmt numFmtId="171" formatCode="#,##0.0000"/>
    <numFmt numFmtId="172" formatCode="0.000"/>
    <numFmt numFmtId="173" formatCode="_(* #,##0_);_(* \(#,##0\);_(* &quot;-&quot;??_);_(@_)"/>
    <numFmt numFmtId="174" formatCode="&quot;$&quot;#,##0"/>
    <numFmt numFmtId="175" formatCode="0.000%"/>
    <numFmt numFmtId="176" formatCode="mmmm\-yy"/>
    <numFmt numFmtId="177" formatCode="00000"/>
    <numFmt numFmtId="178" formatCode="0.0000"/>
    <numFmt numFmtId="179" formatCode="0.000000"/>
    <numFmt numFmtId="180" formatCode="0.0000000"/>
    <numFmt numFmtId="181" formatCode="&quot;$&quot;#,##0.00000_);\(&quot;$&quot;#,##0.00000\)"/>
    <numFmt numFmtId="182" formatCode="&quot;$&quot;#,##0.0_);\(&quot;$&quot;#,##0.0\)"/>
    <numFmt numFmtId="183" formatCode="&quot;$&quot;#,##0.000_);\(&quot;$&quot;#,##0.000\)"/>
    <numFmt numFmtId="184" formatCode="0.0"/>
    <numFmt numFmtId="185" formatCode="_(* #,##0.0_);_(* \(#,##0.0\);_(* &quot;-&quot;??_);_(@_)"/>
    <numFmt numFmtId="186" formatCode="_(* #,##0.00000_);_(* \(#,##0.00000\);_(* &quot;-&quot;?????_);_(@_)"/>
    <numFmt numFmtId="187" formatCode="0.0%"/>
    <numFmt numFmtId="188" formatCode="_(* #,##0.000_);_(* \(#,##0.000\);_(* &quot;-&quot;??_);_(@_)"/>
    <numFmt numFmtId="189" formatCode="_(* #,##0.0000_);_(* \(#,##0.0000\);_(* &quot;-&quot;??_);_(@_)"/>
    <numFmt numFmtId="190" formatCode="0_);\(0\)"/>
    <numFmt numFmtId="191" formatCode="_(* #,##0.0_);_(* \(#,##0.0\);_(* &quot;-&quot;?_);_(@_)"/>
    <numFmt numFmtId="192" formatCode="#,##0.0_);\(#,##0.0\)"/>
    <numFmt numFmtId="193" formatCode="General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_(&quot;$&quot;* #,##0.0_);_(&quot;$&quot;* \(#,##0.0\);_(&quot;$&quot;* &quot;-&quot;??_);_(@_)"/>
    <numFmt numFmtId="198" formatCode="_(&quot;$&quot;* #,##0_);_(&quot;$&quot;* \(#,##0\);_(&quot;$&quot;* &quot;-&quot;??_);_(@_)"/>
    <numFmt numFmtId="199" formatCode="_(* #,##0.00000_);_(* \(#,##0.00000\);_(* &quot;-&quot;??_);_(@_)"/>
    <numFmt numFmtId="200" formatCode="0.00000000"/>
    <numFmt numFmtId="201" formatCode="_(* #,##0.0000_);_(* \(#,##0.0000\);_(* &quot;-&quot;????_);_(@_)"/>
    <numFmt numFmtId="202" formatCode="_(* #,##0.000_);_(* \(#,##0.000\);_(* &quot;-&quot;???_);_(@_)"/>
    <numFmt numFmtId="203" formatCode="&quot;$&quot;#,##0.0000_);\(&quot;$&quot;#,##0.0000\)"/>
    <numFmt numFmtId="204" formatCode="_(* #,##0.000000_);_(* \(#,##0.000000\);_(* &quot;-&quot;??_);_(@_)"/>
    <numFmt numFmtId="205" formatCode="_(* #,##0.0000000_);_(* \(#,##0.0000000\);_(* &quot;-&quot;??_);_(@_)"/>
    <numFmt numFmtId="206" formatCode="_(* #,##0.00000000_);_(* \(#,##0.00000000\);_(* &quot;-&quot;??_);_(@_)"/>
    <numFmt numFmtId="207" formatCode="#,##0.000000_);\(#,##0.000000\)"/>
    <numFmt numFmtId="208" formatCode="0.000000000"/>
    <numFmt numFmtId="209" formatCode="[$€-2]\ #,##0.00_);[Red]\([$€-2]\ #,##0.00\)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sz val="10"/>
      <color indexed="8"/>
      <name val="Comic Sans MS"/>
      <family val="4"/>
    </font>
    <font>
      <b/>
      <u val="single"/>
      <sz val="10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b/>
      <sz val="10"/>
      <color indexed="10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b/>
      <u val="single"/>
      <sz val="8"/>
      <name val="Comic Sans MS"/>
      <family val="4"/>
    </font>
    <font>
      <b/>
      <u val="single"/>
      <sz val="12"/>
      <name val="Comic Sans MS"/>
      <family val="4"/>
    </font>
    <font>
      <sz val="12"/>
      <name val="Comic Sans MS"/>
      <family val="4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MS Sans Serif"/>
      <family val="0"/>
    </font>
    <font>
      <b/>
      <i/>
      <sz val="8"/>
      <name val="Comic Sans MS"/>
      <family val="4"/>
    </font>
    <font>
      <i/>
      <sz val="8"/>
      <name val="Comic Sans MS"/>
      <family val="4"/>
    </font>
    <font>
      <sz val="8"/>
      <color indexed="48"/>
      <name val="Comic Sans MS"/>
      <family val="4"/>
    </font>
    <font>
      <b/>
      <sz val="8"/>
      <color indexed="48"/>
      <name val="Comic Sans MS"/>
      <family val="4"/>
    </font>
    <font>
      <sz val="7"/>
      <name val="Small Fonts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color indexed="10"/>
      <name val="Comic Sans MS"/>
      <family val="4"/>
    </font>
    <font>
      <sz val="10"/>
      <name val="Courier"/>
      <family val="0"/>
    </font>
    <font>
      <sz val="10"/>
      <name val="Helv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0"/>
    </font>
    <font>
      <b/>
      <u val="single"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2"/>
      <color indexed="9"/>
      <name val="Arial"/>
      <family val="2"/>
    </font>
    <font>
      <sz val="10"/>
      <name val="Book Antiqua"/>
      <family val="1"/>
    </font>
    <font>
      <b/>
      <sz val="12"/>
      <name val="Book Antiqua"/>
      <family val="1"/>
    </font>
    <font>
      <sz val="8"/>
      <color indexed="10"/>
      <name val="Book Antiqua"/>
      <family val="1"/>
    </font>
    <font>
      <b/>
      <sz val="8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sz val="9"/>
      <name val="Book Antiqua"/>
      <family val="1"/>
    </font>
    <font>
      <sz val="10"/>
      <color indexed="8"/>
      <name val="Book Antiqua"/>
      <family val="1"/>
    </font>
    <font>
      <b/>
      <u val="single"/>
      <sz val="10"/>
      <name val="Book Antiqua"/>
      <family val="1"/>
    </font>
    <font>
      <b/>
      <sz val="10"/>
      <color indexed="10"/>
      <name val="Book Antiqua"/>
      <family val="1"/>
    </font>
    <font>
      <b/>
      <sz val="12"/>
      <color indexed="8"/>
      <name val="Book Antiqua"/>
      <family val="1"/>
    </font>
    <font>
      <sz val="10"/>
      <color indexed="9"/>
      <name val="Book Antiqua"/>
      <family val="1"/>
    </font>
    <font>
      <u val="single"/>
      <sz val="10"/>
      <name val="Book Antiqua"/>
      <family val="1"/>
    </font>
    <font>
      <sz val="10"/>
      <color indexed="10"/>
      <name val="Book Antiqua"/>
      <family val="1"/>
    </font>
    <font>
      <sz val="10"/>
      <color indexed="8"/>
      <name val="Arial"/>
      <family val="2"/>
    </font>
    <font>
      <sz val="8"/>
      <name val="Book Antiqua"/>
      <family val="1"/>
    </font>
    <font>
      <sz val="10"/>
      <color indexed="12"/>
      <name val="Comic Sans MS"/>
      <family val="4"/>
    </font>
    <font>
      <b/>
      <sz val="11"/>
      <name val="Book Antiqua"/>
      <family val="1"/>
    </font>
    <font>
      <sz val="8"/>
      <color indexed="10"/>
      <name val="Comic Sans MS"/>
      <family val="4"/>
    </font>
    <font>
      <b/>
      <sz val="10"/>
      <color indexed="56"/>
      <name val="Book Antiqua"/>
      <family val="1"/>
    </font>
    <font>
      <b/>
      <sz val="10"/>
      <color indexed="56"/>
      <name val="Comic Sans MS"/>
      <family val="4"/>
    </font>
    <font>
      <sz val="10"/>
      <color indexed="14"/>
      <name val="Comic Sans MS"/>
      <family val="4"/>
    </font>
    <font>
      <u val="single"/>
      <sz val="9"/>
      <name val="Arial"/>
      <family val="2"/>
    </font>
    <font>
      <sz val="7"/>
      <name val="Arial"/>
      <family val="2"/>
    </font>
    <font>
      <b/>
      <sz val="10"/>
      <color indexed="12"/>
      <name val="Comic Sans MS"/>
      <family val="4"/>
    </font>
    <font>
      <b/>
      <sz val="10"/>
      <color indexed="12"/>
      <name val="Book Antiqua"/>
      <family val="1"/>
    </font>
    <font>
      <sz val="8"/>
      <color indexed="12"/>
      <name val="Arial"/>
      <family val="0"/>
    </font>
    <font>
      <b/>
      <sz val="16"/>
      <name val="Arial"/>
      <family val="2"/>
    </font>
  </fonts>
  <fills count="11">
    <fill>
      <patternFill/>
    </fill>
    <fill>
      <patternFill patternType="gray125"/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35" fillId="0" borderId="0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/>
      <protection/>
    </xf>
    <xf numFmtId="43" fontId="0" fillId="0" borderId="0">
      <alignment/>
      <protection/>
    </xf>
    <xf numFmtId="193" fontId="36" fillId="0" borderId="0" applyProtection="0">
      <alignment/>
    </xf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1">
      <alignment horizontal="center"/>
      <protection/>
    </xf>
    <xf numFmtId="0" fontId="4" fillId="2" borderId="0" applyNumberFormat="0" applyFont="0" applyBorder="0" applyAlignment="0" applyProtection="0"/>
  </cellStyleXfs>
  <cellXfs count="1037">
    <xf numFmtId="0" fontId="0" fillId="0" borderId="0" xfId="0" applyAlignment="1">
      <alignment/>
    </xf>
    <xf numFmtId="17" fontId="8" fillId="0" borderId="0" xfId="0" applyNumberFormat="1" applyFont="1" applyFill="1" applyBorder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7" fontId="8" fillId="0" borderId="0" xfId="0" applyNumberFormat="1" applyFont="1" applyFill="1" applyAlignment="1" quotePrefix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 horizontal="center"/>
    </xf>
    <xf numFmtId="37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7" fontId="8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7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37" fontId="8" fillId="0" borderId="0" xfId="0" applyNumberFormat="1" applyFont="1" applyAlignment="1">
      <alignment/>
    </xf>
    <xf numFmtId="37" fontId="8" fillId="0" borderId="0" xfId="0" applyNumberFormat="1" applyFont="1" applyFill="1" applyAlignment="1">
      <alignment/>
    </xf>
    <xf numFmtId="0" fontId="11" fillId="0" borderId="0" xfId="0" applyFont="1" applyAlignment="1">
      <alignment horizontal="center"/>
    </xf>
    <xf numFmtId="17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 quotePrefix="1">
      <alignment horizontal="center"/>
    </xf>
    <xf numFmtId="0" fontId="8" fillId="0" borderId="0" xfId="0" applyFont="1" applyAlignment="1" quotePrefix="1">
      <alignment/>
    </xf>
    <xf numFmtId="0" fontId="11" fillId="0" borderId="0" xfId="0" applyFont="1" applyAlignment="1" quotePrefix="1">
      <alignment horizontal="center"/>
    </xf>
    <xf numFmtId="37" fontId="8" fillId="0" borderId="2" xfId="0" applyNumberFormat="1" applyFont="1" applyFill="1" applyBorder="1" applyAlignment="1">
      <alignment/>
    </xf>
    <xf numFmtId="37" fontId="8" fillId="0" borderId="2" xfId="0" applyNumberFormat="1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17" fontId="16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7" fillId="0" borderId="2" xfId="0" applyFont="1" applyBorder="1" applyAlignment="1">
      <alignment/>
    </xf>
    <xf numFmtId="0" fontId="17" fillId="0" borderId="2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2" xfId="0" applyFont="1" applyBorder="1" applyAlignment="1" quotePrefix="1">
      <alignment horizontal="center"/>
    </xf>
    <xf numFmtId="0" fontId="17" fillId="0" borderId="0" xfId="0" applyFont="1" applyAlignment="1" quotePrefix="1">
      <alignment horizontal="center"/>
    </xf>
    <xf numFmtId="0" fontId="16" fillId="0" borderId="0" xfId="0" applyFont="1" applyAlignment="1" quotePrefix="1">
      <alignment horizontal="center"/>
    </xf>
    <xf numFmtId="37" fontId="16" fillId="0" borderId="0" xfId="0" applyNumberFormat="1" applyFont="1" applyAlignment="1">
      <alignment/>
    </xf>
    <xf numFmtId="169" fontId="16" fillId="0" borderId="0" xfId="0" applyNumberFormat="1" applyFont="1" applyAlignment="1">
      <alignment/>
    </xf>
    <xf numFmtId="37" fontId="16" fillId="0" borderId="0" xfId="0" applyNumberFormat="1" applyFont="1" applyFill="1" applyAlignment="1">
      <alignment/>
    </xf>
    <xf numFmtId="37" fontId="16" fillId="0" borderId="2" xfId="0" applyNumberFormat="1" applyFont="1" applyFill="1" applyBorder="1" applyAlignment="1">
      <alignment/>
    </xf>
    <xf numFmtId="37" fontId="16" fillId="0" borderId="0" xfId="0" applyNumberFormat="1" applyFont="1" applyFill="1" applyBorder="1" applyAlignment="1">
      <alignment/>
    </xf>
    <xf numFmtId="37" fontId="16" fillId="0" borderId="2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2" xfId="0" applyFont="1" applyBorder="1" applyAlignment="1">
      <alignment/>
    </xf>
    <xf numFmtId="0" fontId="16" fillId="0" borderId="2" xfId="0" applyFont="1" applyBorder="1" applyAlignment="1">
      <alignment horizontal="center"/>
    </xf>
    <xf numFmtId="0" fontId="17" fillId="0" borderId="0" xfId="0" applyFont="1" applyBorder="1" applyAlignment="1" quotePrefix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Fill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2" xfId="0" applyFont="1" applyFill="1" applyBorder="1" applyAlignment="1" quotePrefix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37" fontId="8" fillId="0" borderId="0" xfId="0" applyNumberFormat="1" applyFont="1" applyBorder="1" applyAlignment="1">
      <alignment/>
    </xf>
    <xf numFmtId="0" fontId="11" fillId="0" borderId="0" xfId="0" applyFont="1" applyFill="1" applyAlignment="1" quotePrefix="1">
      <alignment horizontal="center"/>
    </xf>
    <xf numFmtId="168" fontId="8" fillId="0" borderId="0" xfId="0" applyNumberFormat="1" applyFont="1" applyAlignment="1">
      <alignment/>
    </xf>
    <xf numFmtId="168" fontId="8" fillId="0" borderId="2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 quotePrefix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2" xfId="0" applyFont="1" applyBorder="1" applyAlignment="1" quotePrefix="1">
      <alignment horizontal="center"/>
    </xf>
    <xf numFmtId="0" fontId="13" fillId="0" borderId="0" xfId="0" applyFont="1" applyAlignment="1" quotePrefix="1">
      <alignment horizontal="center"/>
    </xf>
    <xf numFmtId="0" fontId="8" fillId="0" borderId="0" xfId="0" applyFont="1" applyAlignment="1" quotePrefix="1">
      <alignment horizontal="right"/>
    </xf>
    <xf numFmtId="166" fontId="8" fillId="0" borderId="0" xfId="0" applyNumberFormat="1" applyFont="1" applyAlignment="1">
      <alignment/>
    </xf>
    <xf numFmtId="166" fontId="8" fillId="0" borderId="2" xfId="0" applyNumberFormat="1" applyFont="1" applyBorder="1" applyAlignment="1">
      <alignment/>
    </xf>
    <xf numFmtId="0" fontId="8" fillId="0" borderId="0" xfId="0" applyFont="1" applyAlignment="1">
      <alignment horizontal="right"/>
    </xf>
    <xf numFmtId="166" fontId="8" fillId="0" borderId="0" xfId="0" applyNumberFormat="1" applyFont="1" applyFill="1" applyAlignment="1">
      <alignment/>
    </xf>
    <xf numFmtId="166" fontId="8" fillId="0" borderId="0" xfId="0" applyNumberFormat="1" applyFont="1" applyFill="1" applyAlignment="1">
      <alignment/>
    </xf>
    <xf numFmtId="166" fontId="8" fillId="0" borderId="0" xfId="0" applyNumberFormat="1" applyFont="1" applyAlignment="1">
      <alignment/>
    </xf>
    <xf numFmtId="166" fontId="8" fillId="0" borderId="2" xfId="0" applyNumberFormat="1" applyFont="1" applyBorder="1" applyAlignment="1">
      <alignment/>
    </xf>
    <xf numFmtId="166" fontId="11" fillId="0" borderId="0" xfId="0" applyNumberFormat="1" applyFont="1" applyAlignment="1">
      <alignment horizontal="center"/>
    </xf>
    <xf numFmtId="37" fontId="11" fillId="0" borderId="2" xfId="0" applyNumberFormat="1" applyFont="1" applyBorder="1" applyAlignment="1">
      <alignment horizontal="center"/>
    </xf>
    <xf numFmtId="166" fontId="8" fillId="0" borderId="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Alignment="1" quotePrefix="1">
      <alignment/>
    </xf>
    <xf numFmtId="167" fontId="16" fillId="0" borderId="0" xfId="0" applyNumberFormat="1" applyFont="1" applyAlignment="1">
      <alignment horizontal="center"/>
    </xf>
    <xf numFmtId="171" fontId="16" fillId="0" borderId="0" xfId="0" applyNumberFormat="1" applyFont="1" applyAlignment="1">
      <alignment/>
    </xf>
    <xf numFmtId="167" fontId="16" fillId="0" borderId="2" xfId="0" applyNumberFormat="1" applyFont="1" applyBorder="1" applyAlignment="1">
      <alignment horizontal="center"/>
    </xf>
    <xf numFmtId="171" fontId="16" fillId="0" borderId="2" xfId="0" applyNumberFormat="1" applyFont="1" applyBorder="1" applyAlignment="1">
      <alignment/>
    </xf>
    <xf numFmtId="0" fontId="10" fillId="0" borderId="0" xfId="0" applyFont="1" applyAlignment="1" quotePrefix="1">
      <alignment horizontal="center"/>
    </xf>
    <xf numFmtId="2" fontId="8" fillId="0" borderId="0" xfId="0" applyNumberFormat="1" applyFont="1" applyAlignment="1">
      <alignment/>
    </xf>
    <xf numFmtId="0" fontId="10" fillId="0" borderId="2" xfId="0" applyFont="1" applyBorder="1" applyAlignment="1">
      <alignment horizontal="center"/>
    </xf>
    <xf numFmtId="39" fontId="8" fillId="0" borderId="0" xfId="0" applyNumberFormat="1" applyFont="1" applyAlignment="1">
      <alignment/>
    </xf>
    <xf numFmtId="39" fontId="8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 quotePrefix="1">
      <alignment horizontal="center"/>
    </xf>
    <xf numFmtId="0" fontId="18" fillId="0" borderId="0" xfId="0" applyFont="1" applyAlignment="1">
      <alignment horizontal="left"/>
    </xf>
    <xf numFmtId="37" fontId="16" fillId="0" borderId="0" xfId="0" applyNumberFormat="1" applyFont="1" applyAlignment="1">
      <alignment/>
    </xf>
    <xf numFmtId="37" fontId="16" fillId="0" borderId="0" xfId="0" applyNumberFormat="1" applyFont="1" applyBorder="1" applyAlignment="1">
      <alignment/>
    </xf>
    <xf numFmtId="37" fontId="16" fillId="0" borderId="2" xfId="0" applyNumberFormat="1" applyFont="1" applyBorder="1" applyAlignment="1">
      <alignment/>
    </xf>
    <xf numFmtId="37" fontId="16" fillId="0" borderId="0" xfId="0" applyNumberFormat="1" applyFont="1" applyAlignment="1" quotePrefix="1">
      <alignment/>
    </xf>
    <xf numFmtId="37" fontId="17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37" fontId="8" fillId="0" borderId="2" xfId="0" applyNumberFormat="1" applyFont="1" applyBorder="1" applyAlignment="1">
      <alignment/>
    </xf>
    <xf numFmtId="172" fontId="8" fillId="0" borderId="2" xfId="0" applyNumberFormat="1" applyFont="1" applyBorder="1" applyAlignment="1">
      <alignment/>
    </xf>
    <xf numFmtId="2" fontId="8" fillId="0" borderId="0" xfId="0" applyNumberFormat="1" applyFont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37" fontId="16" fillId="0" borderId="0" xfId="0" applyNumberFormat="1" applyFont="1" applyBorder="1" applyAlignment="1">
      <alignment/>
    </xf>
    <xf numFmtId="167" fontId="16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 quotePrefix="1">
      <alignment/>
    </xf>
    <xf numFmtId="167" fontId="16" fillId="0" borderId="2" xfId="0" applyNumberFormat="1" applyFont="1" applyBorder="1" applyAlignment="1">
      <alignment/>
    </xf>
    <xf numFmtId="167" fontId="16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17" fontId="16" fillId="0" borderId="0" xfId="0" applyNumberFormat="1" applyFont="1" applyAlignment="1">
      <alignment/>
    </xf>
    <xf numFmtId="172" fontId="8" fillId="0" borderId="0" xfId="0" applyNumberFormat="1" applyFont="1" applyFill="1" applyAlignment="1">
      <alignment horizontal="center"/>
    </xf>
    <xf numFmtId="37" fontId="11" fillId="0" borderId="0" xfId="0" applyNumberFormat="1" applyFont="1" applyAlignment="1">
      <alignment horizontal="center"/>
    </xf>
    <xf numFmtId="0" fontId="17" fillId="0" borderId="0" xfId="0" applyFont="1" applyAlignment="1" quotePrefix="1">
      <alignment horizontal="left"/>
    </xf>
    <xf numFmtId="0" fontId="7" fillId="0" borderId="0" xfId="0" applyFont="1" applyAlignment="1" quotePrefix="1">
      <alignment/>
    </xf>
    <xf numFmtId="14" fontId="10" fillId="0" borderId="0" xfId="0" applyNumberFormat="1" applyFont="1" applyAlignment="1" quotePrefix="1">
      <alignment horizontal="center"/>
    </xf>
    <xf numFmtId="37" fontId="8" fillId="0" borderId="0" xfId="0" applyNumberFormat="1" applyFont="1" applyAlignment="1">
      <alignment horizontal="right"/>
    </xf>
    <xf numFmtId="167" fontId="16" fillId="0" borderId="0" xfId="0" applyNumberFormat="1" applyFont="1" applyBorder="1" applyAlignment="1">
      <alignment horizontal="center"/>
    </xf>
    <xf numFmtId="171" fontId="16" fillId="0" borderId="0" xfId="0" applyNumberFormat="1" applyFont="1" applyBorder="1" applyAlignment="1">
      <alignment/>
    </xf>
    <xf numFmtId="0" fontId="11" fillId="0" borderId="0" xfId="0" applyFont="1" applyFill="1" applyAlignment="1">
      <alignment/>
    </xf>
    <xf numFmtId="0" fontId="16" fillId="3" borderId="0" xfId="0" applyFont="1" applyFill="1" applyAlignment="1">
      <alignment/>
    </xf>
    <xf numFmtId="37" fontId="16" fillId="3" borderId="0" xfId="0" applyNumberFormat="1" applyFont="1" applyFill="1" applyAlignment="1">
      <alignment/>
    </xf>
    <xf numFmtId="167" fontId="16" fillId="3" borderId="0" xfId="0" applyNumberFormat="1" applyFont="1" applyFill="1" applyAlignment="1">
      <alignment horizontal="center"/>
    </xf>
    <xf numFmtId="0" fontId="16" fillId="3" borderId="0" xfId="0" applyFont="1" applyFill="1" applyAlignment="1" quotePrefix="1">
      <alignment/>
    </xf>
    <xf numFmtId="171" fontId="16" fillId="3" borderId="0" xfId="0" applyNumberFormat="1" applyFont="1" applyFill="1" applyAlignment="1">
      <alignment/>
    </xf>
    <xf numFmtId="37" fontId="16" fillId="3" borderId="2" xfId="0" applyNumberFormat="1" applyFont="1" applyFill="1" applyBorder="1" applyAlignment="1">
      <alignment/>
    </xf>
    <xf numFmtId="167" fontId="16" fillId="3" borderId="2" xfId="0" applyNumberFormat="1" applyFont="1" applyFill="1" applyBorder="1" applyAlignment="1">
      <alignment horizontal="center"/>
    </xf>
    <xf numFmtId="171" fontId="16" fillId="3" borderId="2" xfId="0" applyNumberFormat="1" applyFont="1" applyFill="1" applyBorder="1" applyAlignment="1">
      <alignment/>
    </xf>
    <xf numFmtId="0" fontId="13" fillId="0" borderId="0" xfId="0" applyFont="1" applyAlignment="1">
      <alignment/>
    </xf>
    <xf numFmtId="174" fontId="8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10" fontId="8" fillId="0" borderId="0" xfId="0" applyNumberFormat="1" applyFont="1" applyAlignment="1">
      <alignment/>
    </xf>
    <xf numFmtId="174" fontId="11" fillId="0" borderId="0" xfId="0" applyNumberFormat="1" applyFont="1" applyAlignment="1">
      <alignment/>
    </xf>
    <xf numFmtId="5" fontId="11" fillId="0" borderId="0" xfId="0" applyNumberFormat="1" applyFont="1" applyAlignment="1">
      <alignment/>
    </xf>
    <xf numFmtId="5" fontId="8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5" fontId="0" fillId="0" borderId="0" xfId="0" applyNumberFormat="1" applyAlignment="1">
      <alignment/>
    </xf>
    <xf numFmtId="5" fontId="0" fillId="0" borderId="3" xfId="0" applyNumberFormat="1" applyBorder="1" applyAlignment="1">
      <alignment/>
    </xf>
    <xf numFmtId="5" fontId="0" fillId="0" borderId="0" xfId="0" applyNumberFormat="1" applyBorder="1" applyAlignment="1">
      <alignment/>
    </xf>
    <xf numFmtId="0" fontId="2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5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1" xfId="0" applyFont="1" applyBorder="1" applyAlignment="1">
      <alignment/>
    </xf>
    <xf numFmtId="0" fontId="17" fillId="0" borderId="1" xfId="0" applyFont="1" applyBorder="1" applyAlignment="1">
      <alignment/>
    </xf>
    <xf numFmtId="37" fontId="16" fillId="0" borderId="1" xfId="0" applyNumberFormat="1" applyFont="1" applyBorder="1" applyAlignment="1">
      <alignment/>
    </xf>
    <xf numFmtId="167" fontId="16" fillId="0" borderId="0" xfId="0" applyNumberFormat="1" applyFont="1" applyFill="1" applyAlignment="1">
      <alignment horizontal="center"/>
    </xf>
    <xf numFmtId="0" fontId="16" fillId="0" borderId="0" xfId="0" applyFont="1" applyFill="1" applyAlignment="1" quotePrefix="1">
      <alignment/>
    </xf>
    <xf numFmtId="171" fontId="16" fillId="0" borderId="0" xfId="0" applyNumberFormat="1" applyFont="1" applyFill="1" applyAlignment="1">
      <alignment/>
    </xf>
    <xf numFmtId="0" fontId="8" fillId="0" borderId="0" xfId="22">
      <alignment/>
      <protection/>
    </xf>
    <xf numFmtId="0" fontId="16" fillId="0" borderId="0" xfId="22" applyFont="1">
      <alignment/>
      <protection/>
    </xf>
    <xf numFmtId="17" fontId="17" fillId="0" borderId="0" xfId="22" applyNumberFormat="1" applyFont="1" applyAlignment="1">
      <alignment horizontal="left"/>
      <protection/>
    </xf>
    <xf numFmtId="0" fontId="17" fillId="0" borderId="0" xfId="22" applyFont="1">
      <alignment/>
      <protection/>
    </xf>
    <xf numFmtId="0" fontId="16" fillId="0" borderId="0" xfId="22" applyFont="1" applyAlignment="1">
      <alignment horizontal="left"/>
      <protection/>
    </xf>
    <xf numFmtId="37" fontId="16" fillId="0" borderId="0" xfId="22" applyNumberFormat="1" applyFont="1">
      <alignment/>
      <protection/>
    </xf>
    <xf numFmtId="37" fontId="16" fillId="0" borderId="0" xfId="22" applyNumberFormat="1" applyFont="1" applyBorder="1">
      <alignment/>
      <protection/>
    </xf>
    <xf numFmtId="0" fontId="17" fillId="0" borderId="0" xfId="22" applyFont="1" applyAlignment="1">
      <alignment horizontal="left"/>
      <protection/>
    </xf>
    <xf numFmtId="37" fontId="17" fillId="0" borderId="0" xfId="22" applyNumberFormat="1" applyFont="1">
      <alignment/>
      <protection/>
    </xf>
    <xf numFmtId="17" fontId="17" fillId="0" borderId="0" xfId="22" applyNumberFormat="1" applyFont="1">
      <alignment/>
      <protection/>
    </xf>
    <xf numFmtId="37" fontId="16" fillId="0" borderId="0" xfId="22" applyNumberFormat="1" applyFont="1" applyAlignment="1">
      <alignment horizontal="center"/>
      <protection/>
    </xf>
    <xf numFmtId="37" fontId="16" fillId="0" borderId="0" xfId="22" applyNumberFormat="1" applyFont="1" applyBorder="1" applyAlignment="1">
      <alignment horizontal="center"/>
      <protection/>
    </xf>
    <xf numFmtId="0" fontId="16" fillId="0" borderId="0" xfId="22" applyFont="1" applyAlignment="1">
      <alignment horizontal="center"/>
      <protection/>
    </xf>
    <xf numFmtId="0" fontId="26" fillId="0" borderId="4" xfId="22" applyFont="1" applyBorder="1">
      <alignment/>
      <protection/>
    </xf>
    <xf numFmtId="0" fontId="27" fillId="0" borderId="5" xfId="22" applyFont="1" applyBorder="1">
      <alignment/>
      <protection/>
    </xf>
    <xf numFmtId="0" fontId="27" fillId="0" borderId="5" xfId="22" applyFont="1" applyBorder="1" applyAlignment="1">
      <alignment horizontal="center"/>
      <protection/>
    </xf>
    <xf numFmtId="0" fontId="27" fillId="0" borderId="6" xfId="22" applyFont="1" applyFill="1" applyBorder="1">
      <alignment/>
      <protection/>
    </xf>
    <xf numFmtId="0" fontId="17" fillId="0" borderId="0" xfId="22" applyFont="1" applyAlignment="1">
      <alignment horizontal="center"/>
      <protection/>
    </xf>
    <xf numFmtId="0" fontId="18" fillId="0" borderId="0" xfId="22" applyFont="1" applyAlignment="1">
      <alignment horizontal="center"/>
      <protection/>
    </xf>
    <xf numFmtId="0" fontId="17" fillId="0" borderId="2" xfId="22" applyFont="1" applyBorder="1" applyAlignment="1">
      <alignment horizontal="center"/>
      <protection/>
    </xf>
    <xf numFmtId="175" fontId="28" fillId="0" borderId="7" xfId="25" applyNumberFormat="1" applyFont="1" applyBorder="1" applyAlignment="1">
      <alignment/>
    </xf>
    <xf numFmtId="10" fontId="28" fillId="0" borderId="8" xfId="22" applyNumberFormat="1" applyFont="1" applyFill="1" applyBorder="1" applyAlignment="1">
      <alignment horizontal="center"/>
      <protection/>
    </xf>
    <xf numFmtId="0" fontId="18" fillId="0" borderId="0" xfId="22" applyFont="1" applyFill="1" applyAlignment="1">
      <alignment horizontal="center"/>
      <protection/>
    </xf>
    <xf numFmtId="0" fontId="18" fillId="0" borderId="2" xfId="22" applyFont="1" applyBorder="1" applyAlignment="1">
      <alignment horizontal="center"/>
      <protection/>
    </xf>
    <xf numFmtId="173" fontId="16" fillId="0" borderId="2" xfId="16" applyNumberFormat="1" applyFont="1" applyBorder="1" applyAlignment="1">
      <alignment horizontal="center"/>
    </xf>
    <xf numFmtId="0" fontId="29" fillId="0" borderId="9" xfId="22" applyFont="1" applyBorder="1">
      <alignment/>
      <protection/>
    </xf>
    <xf numFmtId="0" fontId="30" fillId="0" borderId="0" xfId="22" applyFont="1" applyBorder="1">
      <alignment/>
      <protection/>
    </xf>
    <xf numFmtId="0" fontId="29" fillId="0" borderId="0" xfId="22" applyFont="1" applyBorder="1">
      <alignment/>
      <protection/>
    </xf>
    <xf numFmtId="0" fontId="16" fillId="0" borderId="0" xfId="22" applyFont="1" applyBorder="1">
      <alignment/>
      <protection/>
    </xf>
    <xf numFmtId="0" fontId="29" fillId="0" borderId="0" xfId="22" applyFont="1" applyBorder="1" quotePrefix="1">
      <alignment/>
      <protection/>
    </xf>
    <xf numFmtId="37" fontId="29" fillId="0" borderId="10" xfId="22" applyNumberFormat="1" applyFont="1" applyBorder="1">
      <alignment/>
      <protection/>
    </xf>
    <xf numFmtId="37" fontId="16" fillId="0" borderId="9" xfId="22" applyNumberFormat="1" applyFont="1" applyBorder="1">
      <alignment/>
      <protection/>
    </xf>
    <xf numFmtId="37" fontId="16" fillId="0" borderId="10" xfId="22" applyNumberFormat="1" applyFont="1" applyBorder="1">
      <alignment/>
      <protection/>
    </xf>
    <xf numFmtId="173" fontId="16" fillId="0" borderId="9" xfId="16" applyNumberFormat="1" applyFont="1" applyBorder="1" applyAlignment="1">
      <alignment/>
    </xf>
    <xf numFmtId="173" fontId="16" fillId="0" borderId="0" xfId="16" applyNumberFormat="1" applyFont="1" applyBorder="1" applyAlignment="1">
      <alignment/>
    </xf>
    <xf numFmtId="173" fontId="16" fillId="0" borderId="10" xfId="22" applyNumberFormat="1" applyFont="1" applyBorder="1">
      <alignment/>
      <protection/>
    </xf>
    <xf numFmtId="0" fontId="16" fillId="0" borderId="9" xfId="22" applyFont="1" applyBorder="1">
      <alignment/>
      <protection/>
    </xf>
    <xf numFmtId="43" fontId="16" fillId="0" borderId="10" xfId="16" applyFont="1" applyBorder="1" applyAlignment="1">
      <alignment/>
    </xf>
    <xf numFmtId="0" fontId="16" fillId="0" borderId="10" xfId="22" applyFont="1" applyBorder="1">
      <alignment/>
      <protection/>
    </xf>
    <xf numFmtId="0" fontId="16" fillId="0" borderId="11" xfId="22" applyFont="1" applyBorder="1">
      <alignment/>
      <protection/>
    </xf>
    <xf numFmtId="0" fontId="16" fillId="0" borderId="2" xfId="22" applyFont="1" applyBorder="1">
      <alignment/>
      <protection/>
    </xf>
    <xf numFmtId="43" fontId="16" fillId="0" borderId="12" xfId="16" applyFont="1" applyBorder="1" applyAlignment="1">
      <alignment/>
    </xf>
    <xf numFmtId="0" fontId="16" fillId="0" borderId="12" xfId="22" applyFont="1" applyBorder="1">
      <alignment/>
      <protection/>
    </xf>
    <xf numFmtId="0" fontId="17" fillId="0" borderId="0" xfId="22" applyFont="1" applyAlignment="1">
      <alignment horizontal="right"/>
      <protection/>
    </xf>
    <xf numFmtId="43" fontId="16" fillId="0" borderId="0" xfId="16" applyFont="1" applyAlignment="1">
      <alignment/>
    </xf>
    <xf numFmtId="0" fontId="25" fillId="0" borderId="1" xfId="27" applyAlignment="1">
      <alignment horizontal="center" wrapText="1"/>
      <protection/>
    </xf>
    <xf numFmtId="0" fontId="8" fillId="0" borderId="0" xfId="26" applyAlignment="1">
      <alignment/>
    </xf>
    <xf numFmtId="0" fontId="8" fillId="2" borderId="0" xfId="28" applyAlignment="1">
      <alignment/>
    </xf>
    <xf numFmtId="37" fontId="17" fillId="0" borderId="0" xfId="22" applyNumberFormat="1" applyFont="1" applyAlignment="1">
      <alignment horizontal="right"/>
      <protection/>
    </xf>
    <xf numFmtId="0" fontId="8" fillId="0" borderId="0" xfId="26" applyFont="1" applyAlignment="1">
      <alignment/>
    </xf>
    <xf numFmtId="170" fontId="16" fillId="0" borderId="9" xfId="22" applyNumberFormat="1" applyFont="1" applyBorder="1">
      <alignment/>
      <protection/>
    </xf>
    <xf numFmtId="170" fontId="16" fillId="0" borderId="0" xfId="22" applyNumberFormat="1" applyFont="1" applyBorder="1">
      <alignment/>
      <protection/>
    </xf>
    <xf numFmtId="170" fontId="16" fillId="0" borderId="13" xfId="22" applyNumberFormat="1" applyFont="1" applyBorder="1">
      <alignment/>
      <protection/>
    </xf>
    <xf numFmtId="170" fontId="16" fillId="0" borderId="14" xfId="22" applyNumberFormat="1" applyFont="1" applyBorder="1">
      <alignment/>
      <protection/>
    </xf>
    <xf numFmtId="170" fontId="16" fillId="0" borderId="15" xfId="22" applyNumberFormat="1" applyFont="1" applyBorder="1">
      <alignment/>
      <protection/>
    </xf>
    <xf numFmtId="170" fontId="16" fillId="0" borderId="11" xfId="22" applyNumberFormat="1" applyFont="1" applyBorder="1">
      <alignment/>
      <protection/>
    </xf>
    <xf numFmtId="170" fontId="16" fillId="0" borderId="16" xfId="22" applyNumberFormat="1" applyFont="1" applyBorder="1">
      <alignment/>
      <protection/>
    </xf>
    <xf numFmtId="37" fontId="16" fillId="0" borderId="10" xfId="22" applyNumberFormat="1" applyFont="1" applyFill="1" applyBorder="1">
      <alignment/>
      <protection/>
    </xf>
    <xf numFmtId="0" fontId="16" fillId="0" borderId="0" xfId="0" applyFont="1" applyFill="1" applyBorder="1" applyAlignment="1">
      <alignment/>
    </xf>
    <xf numFmtId="0" fontId="16" fillId="0" borderId="10" xfId="22" applyFont="1" applyFill="1" applyBorder="1">
      <alignment/>
      <protection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37" fontId="0" fillId="0" borderId="0" xfId="0" applyNumberFormat="1" applyAlignment="1">
      <alignment/>
    </xf>
    <xf numFmtId="5" fontId="22" fillId="0" borderId="0" xfId="0" applyNumberFormat="1" applyFont="1" applyAlignment="1">
      <alignment horizontal="center"/>
    </xf>
    <xf numFmtId="37" fontId="0" fillId="0" borderId="0" xfId="0" applyNumberFormat="1" applyAlignment="1">
      <alignment horizontal="right"/>
    </xf>
    <xf numFmtId="5" fontId="0" fillId="0" borderId="0" xfId="0" applyNumberFormat="1" applyAlignment="1">
      <alignment horizontal="right"/>
    </xf>
    <xf numFmtId="5" fontId="0" fillId="0" borderId="2" xfId="0" applyNumberFormat="1" applyFont="1" applyBorder="1" applyAlignment="1">
      <alignment/>
    </xf>
    <xf numFmtId="5" fontId="0" fillId="0" borderId="2" xfId="0" applyNumberFormat="1" applyBorder="1" applyAlignment="1">
      <alignment horizontal="right"/>
    </xf>
    <xf numFmtId="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5" fontId="8" fillId="0" borderId="0" xfId="0" applyNumberFormat="1" applyFont="1" applyFill="1" applyAlignment="1">
      <alignment/>
    </xf>
    <xf numFmtId="0" fontId="8" fillId="0" borderId="0" xfId="0" applyFont="1" applyFill="1" applyAlignment="1" quotePrefix="1">
      <alignment/>
    </xf>
    <xf numFmtId="5" fontId="0" fillId="0" borderId="0" xfId="0" applyNumberFormat="1" applyFill="1" applyAlignment="1">
      <alignment/>
    </xf>
    <xf numFmtId="5" fontId="11" fillId="0" borderId="2" xfId="0" applyNumberFormat="1" applyFont="1" applyBorder="1" applyAlignment="1">
      <alignment/>
    </xf>
    <xf numFmtId="5" fontId="8" fillId="0" borderId="2" xfId="0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 quotePrefix="1">
      <alignment horizontal="center"/>
    </xf>
    <xf numFmtId="0" fontId="17" fillId="0" borderId="0" xfId="0" applyFont="1" applyFill="1" applyBorder="1" applyAlignment="1">
      <alignment horizontal="center"/>
    </xf>
    <xf numFmtId="17" fontId="17" fillId="0" borderId="0" xfId="0" applyNumberFormat="1" applyFont="1" applyFill="1" applyAlignment="1" quotePrefix="1">
      <alignment horizontal="center"/>
    </xf>
    <xf numFmtId="0" fontId="16" fillId="0" borderId="0" xfId="0" applyFont="1" applyFill="1" applyAlignment="1">
      <alignment horizontal="right"/>
    </xf>
    <xf numFmtId="37" fontId="11" fillId="0" borderId="0" xfId="0" applyNumberFormat="1" applyFont="1" applyBorder="1" applyAlignment="1" quotePrefix="1">
      <alignment horizontal="center"/>
    </xf>
    <xf numFmtId="0" fontId="29" fillId="0" borderId="9" xfId="22" applyFont="1" applyFill="1" applyBorder="1">
      <alignment/>
      <protection/>
    </xf>
    <xf numFmtId="0" fontId="16" fillId="0" borderId="17" xfId="22" applyFont="1" applyBorder="1">
      <alignment/>
      <protection/>
    </xf>
    <xf numFmtId="37" fontId="29" fillId="0" borderId="0" xfId="22" applyNumberFormat="1" applyFont="1" applyBorder="1">
      <alignment/>
      <protection/>
    </xf>
    <xf numFmtId="37" fontId="16" fillId="0" borderId="0" xfId="22" applyNumberFormat="1" applyFont="1" applyFill="1" applyBorder="1">
      <alignment/>
      <protection/>
    </xf>
    <xf numFmtId="0" fontId="16" fillId="0" borderId="18" xfId="22" applyFont="1" applyBorder="1">
      <alignment/>
      <protection/>
    </xf>
    <xf numFmtId="37" fontId="16" fillId="0" borderId="18" xfId="22" applyNumberFormat="1" applyFont="1" applyBorder="1">
      <alignment/>
      <protection/>
    </xf>
    <xf numFmtId="37" fontId="16" fillId="0" borderId="19" xfId="22" applyNumberFormat="1" applyFont="1" applyBorder="1">
      <alignment/>
      <protection/>
    </xf>
    <xf numFmtId="0" fontId="12" fillId="0" borderId="0" xfId="0" applyFont="1" applyFill="1" applyAlignment="1">
      <alignment/>
    </xf>
    <xf numFmtId="0" fontId="16" fillId="0" borderId="2" xfId="0" applyFont="1" applyFill="1" applyBorder="1" applyAlignment="1">
      <alignment/>
    </xf>
    <xf numFmtId="0" fontId="16" fillId="0" borderId="19" xfId="22" applyFont="1" applyBorder="1">
      <alignment/>
      <protection/>
    </xf>
    <xf numFmtId="0" fontId="14" fillId="0" borderId="0" xfId="0" applyFont="1" applyFill="1" applyBorder="1" applyAlignment="1">
      <alignment/>
    </xf>
    <xf numFmtId="0" fontId="29" fillId="0" borderId="0" xfId="22" applyFont="1" applyFill="1" applyBorder="1" quotePrefix="1">
      <alignment/>
      <protection/>
    </xf>
    <xf numFmtId="0" fontId="29" fillId="0" borderId="0" xfId="22" applyFont="1" applyFill="1" applyBorder="1">
      <alignment/>
      <protection/>
    </xf>
    <xf numFmtId="17" fontId="11" fillId="0" borderId="0" xfId="0" applyNumberFormat="1" applyFont="1" applyAlignment="1" quotePrefix="1">
      <alignment horizontal="center"/>
    </xf>
    <xf numFmtId="0" fontId="11" fillId="0" borderId="20" xfId="0" applyFont="1" applyBorder="1" applyAlignment="1">
      <alignment horizontal="center"/>
    </xf>
    <xf numFmtId="0" fontId="8" fillId="0" borderId="20" xfId="0" applyFont="1" applyBorder="1" applyAlignment="1" quotePrefix="1">
      <alignment horizontal="right"/>
    </xf>
    <xf numFmtId="0" fontId="8" fillId="0" borderId="20" xfId="0" applyFont="1" applyBorder="1" applyAlignment="1">
      <alignment horizontal="right"/>
    </xf>
    <xf numFmtId="0" fontId="11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20" fillId="0" borderId="0" xfId="0" applyFont="1" applyBorder="1" applyAlignment="1" quotePrefix="1">
      <alignment/>
    </xf>
    <xf numFmtId="5" fontId="0" fillId="4" borderId="0" xfId="0" applyNumberFormat="1" applyFill="1" applyBorder="1" applyAlignment="1">
      <alignment/>
    </xf>
    <xf numFmtId="173" fontId="8" fillId="0" borderId="0" xfId="16" applyNumberFormat="1" applyFont="1" applyBorder="1" applyAlignment="1">
      <alignment/>
    </xf>
    <xf numFmtId="173" fontId="8" fillId="0" borderId="0" xfId="16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166" fontId="16" fillId="0" borderId="0" xfId="0" applyNumberFormat="1" applyFont="1" applyFill="1" applyAlignment="1">
      <alignment/>
    </xf>
    <xf numFmtId="0" fontId="8" fillId="0" borderId="0" xfId="0" applyFont="1" applyFill="1" applyAlignment="1" quotePrefix="1">
      <alignment horizontal="center"/>
    </xf>
    <xf numFmtId="0" fontId="17" fillId="0" borderId="0" xfId="22" applyFont="1" applyFill="1" applyAlignment="1">
      <alignment horizontal="left"/>
      <protection/>
    </xf>
    <xf numFmtId="0" fontId="8" fillId="0" borderId="2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23" fillId="0" borderId="0" xfId="0" applyNumberFormat="1" applyFont="1" applyBorder="1" applyAlignment="1">
      <alignment/>
    </xf>
    <xf numFmtId="190" fontId="29" fillId="0" borderId="0" xfId="22" applyNumberFormat="1" applyFont="1" applyBorder="1" quotePrefix="1">
      <alignment/>
      <protection/>
    </xf>
    <xf numFmtId="0" fontId="11" fillId="0" borderId="0" xfId="0" applyFont="1" applyFill="1" applyAlignment="1">
      <alignment horizontal="left"/>
    </xf>
    <xf numFmtId="17" fontId="8" fillId="0" borderId="0" xfId="0" applyNumberFormat="1" applyFont="1" applyAlignment="1" quotePrefix="1">
      <alignment/>
    </xf>
    <xf numFmtId="43" fontId="8" fillId="0" borderId="0" xfId="16" applyFont="1" applyAlignment="1">
      <alignment/>
    </xf>
    <xf numFmtId="43" fontId="8" fillId="0" borderId="0" xfId="16" applyFont="1" applyBorder="1" applyAlignment="1">
      <alignment/>
    </xf>
    <xf numFmtId="0" fontId="11" fillId="0" borderId="2" xfId="0" applyFont="1" applyBorder="1" applyAlignment="1">
      <alignment horizontal="center" wrapText="1"/>
    </xf>
    <xf numFmtId="43" fontId="11" fillId="0" borderId="2" xfId="16" applyFont="1" applyBorder="1" applyAlignment="1">
      <alignment horizontal="center"/>
    </xf>
    <xf numFmtId="43" fontId="11" fillId="0" borderId="0" xfId="16" applyFont="1" applyBorder="1" applyAlignment="1">
      <alignment horizontal="center"/>
    </xf>
    <xf numFmtId="43" fontId="11" fillId="0" borderId="2" xfId="16" applyFont="1" applyBorder="1" applyAlignment="1">
      <alignment horizontal="center" wrapText="1"/>
    </xf>
    <xf numFmtId="0" fontId="11" fillId="0" borderId="0" xfId="0" applyFont="1" applyBorder="1" applyAlignment="1">
      <alignment/>
    </xf>
    <xf numFmtId="173" fontId="8" fillId="0" borderId="0" xfId="16" applyNumberFormat="1" applyFont="1" applyAlignment="1">
      <alignment/>
    </xf>
    <xf numFmtId="173" fontId="8" fillId="0" borderId="2" xfId="16" applyNumberFormat="1" applyFont="1" applyBorder="1" applyAlignment="1">
      <alignment/>
    </xf>
    <xf numFmtId="173" fontId="8" fillId="0" borderId="3" xfId="16" applyNumberFormat="1" applyFont="1" applyBorder="1" applyAlignment="1">
      <alignment/>
    </xf>
    <xf numFmtId="173" fontId="8" fillId="0" borderId="0" xfId="16" applyNumberFormat="1" applyFont="1" applyAlignment="1">
      <alignment horizontal="center"/>
    </xf>
    <xf numFmtId="0" fontId="11" fillId="0" borderId="2" xfId="0" applyFont="1" applyFill="1" applyBorder="1" applyAlignment="1">
      <alignment horizontal="center" wrapText="1"/>
    </xf>
    <xf numFmtId="173" fontId="8" fillId="0" borderId="0" xfId="16" applyNumberFormat="1" applyFont="1" applyFill="1" applyAlignment="1">
      <alignment/>
    </xf>
    <xf numFmtId="173" fontId="8" fillId="0" borderId="2" xfId="16" applyNumberFormat="1" applyFont="1" applyFill="1" applyBorder="1" applyAlignment="1">
      <alignment/>
    </xf>
    <xf numFmtId="5" fontId="0" fillId="0" borderId="0" xfId="0" applyNumberFormat="1" applyFont="1" applyBorder="1" applyAlignment="1">
      <alignment/>
    </xf>
    <xf numFmtId="5" fontId="0" fillId="0" borderId="0" xfId="0" applyNumberFormat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183" fontId="0" fillId="0" borderId="0" xfId="0" applyNumberFormat="1" applyAlignment="1">
      <alignment/>
    </xf>
    <xf numFmtId="183" fontId="0" fillId="0" borderId="0" xfId="0" applyNumberFormat="1" applyFont="1" applyAlignment="1">
      <alignment/>
    </xf>
    <xf numFmtId="0" fontId="8" fillId="0" borderId="0" xfId="0" applyFont="1" applyFill="1" applyAlignment="1" quotePrefix="1">
      <alignment horizontal="right"/>
    </xf>
    <xf numFmtId="39" fontId="23" fillId="0" borderId="21" xfId="0" applyNumberFormat="1" applyFont="1" applyBorder="1" applyAlignment="1">
      <alignment/>
    </xf>
    <xf numFmtId="39" fontId="23" fillId="0" borderId="22" xfId="0" applyNumberFormat="1" applyFont="1" applyBorder="1" applyAlignment="1">
      <alignment/>
    </xf>
    <xf numFmtId="39" fontId="23" fillId="0" borderId="0" xfId="0" applyNumberFormat="1" applyFont="1" applyBorder="1" applyAlignment="1">
      <alignment/>
    </xf>
    <xf numFmtId="39" fontId="23" fillId="0" borderId="10" xfId="0" applyNumberFormat="1" applyFont="1" applyBorder="1" applyAlignment="1">
      <alignment/>
    </xf>
    <xf numFmtId="39" fontId="23" fillId="0" borderId="2" xfId="0" applyNumberFormat="1" applyFont="1" applyBorder="1" applyAlignment="1">
      <alignment/>
    </xf>
    <xf numFmtId="39" fontId="23" fillId="0" borderId="12" xfId="0" applyNumberFormat="1" applyFont="1" applyBorder="1" applyAlignment="1">
      <alignment/>
    </xf>
    <xf numFmtId="0" fontId="11" fillId="0" borderId="2" xfId="0" applyFont="1" applyFill="1" applyBorder="1" applyAlignment="1">
      <alignment horizontal="center"/>
    </xf>
    <xf numFmtId="43" fontId="8" fillId="0" borderId="0" xfId="16" applyFont="1" applyFill="1" applyBorder="1" applyAlignment="1">
      <alignment/>
    </xf>
    <xf numFmtId="0" fontId="34" fillId="0" borderId="0" xfId="0" applyFont="1" applyBorder="1" applyAlignment="1">
      <alignment horizontal="center" vertical="top" wrapText="1"/>
    </xf>
    <xf numFmtId="173" fontId="8" fillId="0" borderId="3" xfId="16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8" fillId="0" borderId="2" xfId="0" applyFont="1" applyFill="1" applyBorder="1" applyAlignment="1">
      <alignment/>
    </xf>
    <xf numFmtId="0" fontId="11" fillId="0" borderId="0" xfId="0" applyFont="1" applyFill="1" applyBorder="1" applyAlignment="1" quotePrefix="1">
      <alignment horizontal="center"/>
    </xf>
    <xf numFmtId="37" fontId="8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73" fontId="8" fillId="0" borderId="0" xfId="16" applyNumberFormat="1" applyFont="1" applyFill="1" applyBorder="1" applyAlignment="1">
      <alignment horizontal="center"/>
    </xf>
    <xf numFmtId="173" fontId="11" fillId="0" borderId="2" xfId="16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44" fontId="8" fillId="0" borderId="0" xfId="18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29" fillId="0" borderId="0" xfId="22" applyFont="1" applyBorder="1" applyAlignment="1" quotePrefix="1">
      <alignment horizontal="center"/>
      <protection/>
    </xf>
    <xf numFmtId="0" fontId="29" fillId="0" borderId="0" xfId="22" applyFont="1" applyBorder="1" applyAlignment="1">
      <alignment horizontal="center"/>
      <protection/>
    </xf>
    <xf numFmtId="190" fontId="29" fillId="0" borderId="0" xfId="22" applyNumberFormat="1" applyFont="1" applyBorder="1" applyAlignment="1" quotePrefix="1">
      <alignment horizontal="center"/>
      <protection/>
    </xf>
    <xf numFmtId="37" fontId="9" fillId="0" borderId="0" xfId="0" applyNumberFormat="1" applyFont="1" applyFill="1" applyBorder="1" applyAlignment="1">
      <alignment/>
    </xf>
    <xf numFmtId="37" fontId="11" fillId="0" borderId="0" xfId="0" applyNumberFormat="1" applyFont="1" applyFill="1" applyBorder="1" applyAlignment="1">
      <alignment horizontal="center"/>
    </xf>
    <xf numFmtId="37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8" fontId="11" fillId="0" borderId="0" xfId="16" applyNumberFormat="1" applyFont="1" applyBorder="1" applyAlignment="1">
      <alignment horizontal="center"/>
    </xf>
    <xf numFmtId="43" fontId="8" fillId="0" borderId="0" xfId="16" applyFont="1" applyFill="1" applyAlignment="1">
      <alignment/>
    </xf>
    <xf numFmtId="173" fontId="8" fillId="4" borderId="0" xfId="16" applyNumberFormat="1" applyFont="1" applyFill="1" applyBorder="1" applyAlignment="1">
      <alignment horizontal="center"/>
    </xf>
    <xf numFmtId="173" fontId="8" fillId="4" borderId="0" xfId="16" applyNumberFormat="1" applyFont="1" applyFill="1" applyAlignment="1">
      <alignment/>
    </xf>
    <xf numFmtId="43" fontId="16" fillId="0" borderId="0" xfId="16" applyFont="1" applyBorder="1" applyAlignment="1">
      <alignment/>
    </xf>
    <xf numFmtId="44" fontId="8" fillId="0" borderId="0" xfId="18" applyFont="1" applyFill="1" applyBorder="1" applyAlignment="1">
      <alignment/>
    </xf>
    <xf numFmtId="0" fontId="31" fillId="0" borderId="0" xfId="0" applyFont="1" applyFill="1" applyAlignment="1">
      <alignment/>
    </xf>
    <xf numFmtId="37" fontId="8" fillId="0" borderId="0" xfId="0" applyNumberFormat="1" applyFont="1" applyFill="1" applyAlignment="1">
      <alignment horizontal="right"/>
    </xf>
    <xf numFmtId="17" fontId="0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72" fontId="0" fillId="0" borderId="0" xfId="0" applyNumberFormat="1" applyFill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7" fontId="1" fillId="0" borderId="1" xfId="0" applyNumberFormat="1" applyFont="1" applyBorder="1" applyAlignment="1">
      <alignment horizontal="center"/>
    </xf>
    <xf numFmtId="7" fontId="1" fillId="0" borderId="8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" xfId="0" applyBorder="1" applyAlignment="1">
      <alignment/>
    </xf>
    <xf numFmtId="172" fontId="0" fillId="0" borderId="0" xfId="0" applyNumberFormat="1" applyFont="1" applyAlignment="1">
      <alignment horizontal="center"/>
    </xf>
    <xf numFmtId="5" fontId="1" fillId="0" borderId="0" xfId="0" applyNumberFormat="1" applyFont="1" applyBorder="1" applyAlignment="1">
      <alignment horizontal="right"/>
    </xf>
    <xf numFmtId="0" fontId="0" fillId="0" borderId="27" xfId="0" applyBorder="1" applyAlignment="1">
      <alignment/>
    </xf>
    <xf numFmtId="198" fontId="0" fillId="0" borderId="0" xfId="18" applyNumberFormat="1" applyBorder="1" applyAlignment="1">
      <alignment/>
    </xf>
    <xf numFmtId="175" fontId="0" fillId="0" borderId="23" xfId="25" applyNumberFormat="1" applyBorder="1" applyAlignment="1">
      <alignment/>
    </xf>
    <xf numFmtId="198" fontId="0" fillId="0" borderId="2" xfId="18" applyNumberFormat="1" applyBorder="1" applyAlignment="1">
      <alignment/>
    </xf>
    <xf numFmtId="0" fontId="0" fillId="0" borderId="7" xfId="0" applyBorder="1" applyAlignment="1">
      <alignment/>
    </xf>
    <xf numFmtId="198" fontId="0" fillId="0" borderId="1" xfId="18" applyNumberFormat="1" applyBorder="1" applyAlignment="1">
      <alignment/>
    </xf>
    <xf numFmtId="0" fontId="0" fillId="0" borderId="8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left" indent="5"/>
    </xf>
    <xf numFmtId="170" fontId="0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Alignment="1">
      <alignment/>
    </xf>
    <xf numFmtId="37" fontId="0" fillId="0" borderId="2" xfId="0" applyNumberFormat="1" applyFont="1" applyFill="1" applyBorder="1" applyAlignment="1">
      <alignment/>
    </xf>
    <xf numFmtId="37" fontId="0" fillId="0" borderId="2" xfId="0" applyNumberFormat="1" applyFont="1" applyBorder="1" applyAlignment="1">
      <alignment/>
    </xf>
    <xf numFmtId="37" fontId="0" fillId="0" borderId="0" xfId="0" applyNumberFormat="1" applyFont="1" applyFill="1" applyBorder="1" applyAlignment="1">
      <alignment/>
    </xf>
    <xf numFmtId="170" fontId="0" fillId="0" borderId="0" xfId="0" applyNumberFormat="1" applyFont="1" applyAlignment="1">
      <alignment horizontal="center"/>
    </xf>
    <xf numFmtId="0" fontId="0" fillId="0" borderId="0" xfId="0" applyFont="1" applyFill="1" applyAlignment="1" quotePrefix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 quotePrefix="1">
      <alignment/>
    </xf>
    <xf numFmtId="39" fontId="23" fillId="0" borderId="14" xfId="0" applyNumberFormat="1" applyFont="1" applyBorder="1" applyAlignment="1">
      <alignment/>
    </xf>
    <xf numFmtId="39" fontId="23" fillId="0" borderId="9" xfId="0" applyNumberFormat="1" applyFont="1" applyBorder="1" applyAlignment="1">
      <alignment/>
    </xf>
    <xf numFmtId="39" fontId="23" fillId="0" borderId="11" xfId="0" applyNumberFormat="1" applyFont="1" applyBorder="1" applyAlignment="1">
      <alignment/>
    </xf>
    <xf numFmtId="0" fontId="23" fillId="0" borderId="2" xfId="0" applyFont="1" applyBorder="1" applyAlignment="1">
      <alignment/>
    </xf>
    <xf numFmtId="175" fontId="8" fillId="0" borderId="0" xfId="0" applyNumberFormat="1" applyFont="1" applyAlignment="1">
      <alignment/>
    </xf>
    <xf numFmtId="5" fontId="8" fillId="0" borderId="0" xfId="0" applyNumberFormat="1" applyFont="1" applyBorder="1" applyAlignment="1">
      <alignment/>
    </xf>
    <xf numFmtId="0" fontId="0" fillId="0" borderId="2" xfId="0" applyFill="1" applyBorder="1" applyAlignment="1">
      <alignment/>
    </xf>
    <xf numFmtId="5" fontId="8" fillId="0" borderId="2" xfId="0" applyNumberFormat="1" applyFont="1" applyFill="1" applyBorder="1" applyAlignment="1">
      <alignment/>
    </xf>
    <xf numFmtId="0" fontId="0" fillId="0" borderId="0" xfId="0" applyAlignment="1" quotePrefix="1">
      <alignment horizontal="left"/>
    </xf>
    <xf numFmtId="37" fontId="0" fillId="0" borderId="0" xfId="0" applyNumberFormat="1" applyFill="1" applyAlignment="1">
      <alignment/>
    </xf>
    <xf numFmtId="175" fontId="1" fillId="5" borderId="0" xfId="0" applyNumberFormat="1" applyFont="1" applyFill="1" applyBorder="1" applyAlignment="1">
      <alignment horizontal="center"/>
    </xf>
    <xf numFmtId="175" fontId="1" fillId="5" borderId="23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7" fontId="1" fillId="0" borderId="0" xfId="0" applyNumberFormat="1" applyFont="1" applyBorder="1" applyAlignment="1">
      <alignment horizontal="center"/>
    </xf>
    <xf numFmtId="7" fontId="1" fillId="0" borderId="23" xfId="0" applyNumberFormat="1" applyFont="1" applyBorder="1" applyAlignment="1">
      <alignment horizontal="center"/>
    </xf>
    <xf numFmtId="7" fontId="22" fillId="0" borderId="0" xfId="0" applyNumberFormat="1" applyFont="1" applyBorder="1" applyAlignment="1">
      <alignment horizontal="center"/>
    </xf>
    <xf numFmtId="7" fontId="22" fillId="0" borderId="2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7" fillId="0" borderId="0" xfId="0" applyFont="1" applyAlignment="1">
      <alignment/>
    </xf>
    <xf numFmtId="0" fontId="1" fillId="5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0" fillId="0" borderId="0" xfId="0" applyNumberFormat="1" applyAlignment="1">
      <alignment/>
    </xf>
    <xf numFmtId="0" fontId="3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7" fontId="21" fillId="0" borderId="0" xfId="0" applyNumberFormat="1" applyFont="1" applyAlignment="1">
      <alignment horizontal="center"/>
    </xf>
    <xf numFmtId="17" fontId="0" fillId="0" borderId="0" xfId="0" applyNumberFormat="1" applyAlignment="1">
      <alignment horizontal="center"/>
    </xf>
    <xf numFmtId="7" fontId="37" fillId="0" borderId="0" xfId="0" applyNumberFormat="1" applyFont="1" applyAlignment="1">
      <alignment horizontal="center"/>
    </xf>
    <xf numFmtId="7" fontId="38" fillId="0" borderId="0" xfId="0" applyNumberFormat="1" applyFont="1" applyAlignment="1">
      <alignment horizontal="center"/>
    </xf>
    <xf numFmtId="37" fontId="8" fillId="0" borderId="21" xfId="0" applyNumberFormat="1" applyFont="1" applyBorder="1" applyAlignment="1">
      <alignment/>
    </xf>
    <xf numFmtId="173" fontId="0" fillId="0" borderId="0" xfId="16" applyNumberFormat="1" applyAlignment="1">
      <alignment/>
    </xf>
    <xf numFmtId="173" fontId="0" fillId="0" borderId="21" xfId="16" applyNumberFormat="1" applyBorder="1" applyAlignment="1">
      <alignment/>
    </xf>
    <xf numFmtId="0" fontId="39" fillId="0" borderId="0" xfId="0" applyFont="1" applyAlignment="1">
      <alignment/>
    </xf>
    <xf numFmtId="199" fontId="0" fillId="0" borderId="0" xfId="16" applyNumberFormat="1" applyAlignment="1">
      <alignment/>
    </xf>
    <xf numFmtId="0" fontId="0" fillId="0" borderId="2" xfId="0" applyBorder="1" applyAlignment="1">
      <alignment/>
    </xf>
    <xf numFmtId="164" fontId="0" fillId="0" borderId="3" xfId="0" applyNumberFormat="1" applyBorder="1" applyAlignment="1">
      <alignment/>
    </xf>
    <xf numFmtId="8" fontId="11" fillId="0" borderId="0" xfId="16" applyNumberFormat="1" applyFont="1" applyFill="1" applyBorder="1" applyAlignment="1">
      <alignment horizontal="center"/>
    </xf>
    <xf numFmtId="0" fontId="16" fillId="0" borderId="0" xfId="22" applyFont="1" applyFill="1">
      <alignment/>
      <protection/>
    </xf>
    <xf numFmtId="7" fontId="21" fillId="0" borderId="0" xfId="0" applyNumberFormat="1" applyFont="1" applyBorder="1" applyAlignment="1">
      <alignment horizontal="center"/>
    </xf>
    <xf numFmtId="17" fontId="39" fillId="0" borderId="0" xfId="0" applyNumberFormat="1" applyFont="1" applyAlignment="1">
      <alignment horizontal="right"/>
    </xf>
    <xf numFmtId="5" fontId="0" fillId="0" borderId="0" xfId="0" applyNumberFormat="1" applyFill="1" applyAlignment="1">
      <alignment horizontal="center"/>
    </xf>
    <xf numFmtId="0" fontId="8" fillId="0" borderId="0" xfId="0" applyFont="1" applyAlignment="1">
      <alignment horizontal="left" indent="3"/>
    </xf>
    <xf numFmtId="0" fontId="8" fillId="0" borderId="0" xfId="0" applyFont="1" applyAlignment="1" quotePrefix="1">
      <alignment horizontal="left" indent="4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7" fillId="0" borderId="0" xfId="22" applyFont="1" applyFill="1">
      <alignment/>
      <protection/>
    </xf>
    <xf numFmtId="43" fontId="16" fillId="0" borderId="0" xfId="16" applyFont="1" applyFill="1" applyAlignment="1">
      <alignment/>
    </xf>
    <xf numFmtId="5" fontId="1" fillId="0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40" fillId="0" borderId="0" xfId="0" applyFont="1" applyAlignment="1">
      <alignment horizontal="left"/>
    </xf>
    <xf numFmtId="0" fontId="29" fillId="0" borderId="0" xfId="22" applyFont="1" applyFill="1" applyBorder="1" applyAlignment="1" quotePrefix="1">
      <alignment horizontal="center"/>
      <protection/>
    </xf>
    <xf numFmtId="0" fontId="16" fillId="0" borderId="0" xfId="22" applyFont="1" applyFill="1" applyBorder="1">
      <alignment/>
      <protection/>
    </xf>
    <xf numFmtId="37" fontId="16" fillId="0" borderId="9" xfId="22" applyNumberFormat="1" applyFont="1" applyFill="1" applyBorder="1">
      <alignment/>
      <protection/>
    </xf>
    <xf numFmtId="173" fontId="16" fillId="0" borderId="9" xfId="16" applyNumberFormat="1" applyFont="1" applyFill="1" applyBorder="1" applyAlignment="1">
      <alignment/>
    </xf>
    <xf numFmtId="173" fontId="16" fillId="0" borderId="0" xfId="16" applyNumberFormat="1" applyFont="1" applyFill="1" applyBorder="1" applyAlignment="1">
      <alignment/>
    </xf>
    <xf numFmtId="173" fontId="16" fillId="0" borderId="10" xfId="22" applyNumberFormat="1" applyFont="1" applyFill="1" applyBorder="1">
      <alignment/>
      <protection/>
    </xf>
    <xf numFmtId="190" fontId="29" fillId="0" borderId="0" xfId="22" applyNumberFormat="1" applyFont="1" applyFill="1" applyBorder="1" applyAlignment="1" quotePrefix="1">
      <alignment horizontal="center"/>
      <protection/>
    </xf>
    <xf numFmtId="37" fontId="1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7" fontId="11" fillId="0" borderId="2" xfId="0" applyNumberFormat="1" applyFont="1" applyBorder="1" applyAlignment="1" quotePrefix="1">
      <alignment horizontal="center"/>
    </xf>
    <xf numFmtId="167" fontId="8" fillId="0" borderId="0" xfId="0" applyNumberFormat="1" applyFont="1" applyBorder="1" applyAlignment="1">
      <alignment/>
    </xf>
    <xf numFmtId="0" fontId="0" fillId="0" borderId="27" xfId="0" applyFill="1" applyBorder="1" applyAlignment="1">
      <alignment/>
    </xf>
    <xf numFmtId="0" fontId="0" fillId="0" borderId="24" xfId="0" applyFill="1" applyBorder="1" applyAlignment="1">
      <alignment/>
    </xf>
    <xf numFmtId="0" fontId="8" fillId="0" borderId="0" xfId="0" applyFont="1" applyAlignment="1">
      <alignment horizontal="left" indent="1"/>
    </xf>
    <xf numFmtId="173" fontId="0" fillId="0" borderId="0" xfId="0" applyNumberFormat="1" applyAlignment="1">
      <alignment/>
    </xf>
    <xf numFmtId="0" fontId="11" fillId="0" borderId="0" xfId="0" applyFont="1" applyAlignment="1">
      <alignment horizontal="left" indent="1"/>
    </xf>
    <xf numFmtId="5" fontId="1" fillId="0" borderId="0" xfId="0" applyNumberFormat="1" applyFont="1" applyBorder="1" applyAlignment="1">
      <alignment/>
    </xf>
    <xf numFmtId="8" fontId="8" fillId="0" borderId="0" xfId="18" applyNumberFormat="1" applyFont="1" applyFill="1" applyBorder="1" applyAlignment="1">
      <alignment/>
    </xf>
    <xf numFmtId="7" fontId="39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7" fontId="0" fillId="0" borderId="0" xfId="0" applyNumberFormat="1" applyAlignment="1">
      <alignment horizontal="center"/>
    </xf>
    <xf numFmtId="7" fontId="22" fillId="0" borderId="0" xfId="0" applyNumberFormat="1" applyFont="1" applyAlignment="1">
      <alignment horizontal="center"/>
    </xf>
    <xf numFmtId="0" fontId="1" fillId="5" borderId="26" xfId="0" applyFont="1" applyFill="1" applyBorder="1" applyAlignment="1">
      <alignment horizontal="center"/>
    </xf>
    <xf numFmtId="5" fontId="0" fillId="0" borderId="0" xfId="0" applyNumberFormat="1" applyFill="1" applyBorder="1" applyAlignment="1">
      <alignment/>
    </xf>
    <xf numFmtId="0" fontId="0" fillId="0" borderId="0" xfId="0" applyFont="1" applyFill="1" applyAlignment="1">
      <alignment horizontal="center"/>
    </xf>
    <xf numFmtId="7" fontId="21" fillId="0" borderId="0" xfId="0" applyNumberFormat="1" applyFont="1" applyFill="1" applyBorder="1" applyAlignment="1">
      <alignment horizontal="center"/>
    </xf>
    <xf numFmtId="37" fontId="8" fillId="0" borderId="0" xfId="0" applyNumberFormat="1" applyFont="1" applyAlignment="1" quotePrefix="1">
      <alignment/>
    </xf>
    <xf numFmtId="43" fontId="0" fillId="0" borderId="0" xfId="23">
      <alignment/>
      <protection/>
    </xf>
    <xf numFmtId="0" fontId="1" fillId="0" borderId="24" xfId="23" applyNumberFormat="1" applyFont="1" applyBorder="1">
      <alignment/>
      <protection/>
    </xf>
    <xf numFmtId="43" fontId="0" fillId="0" borderId="0" xfId="23" applyBorder="1" applyAlignment="1">
      <alignment wrapText="1"/>
      <protection/>
    </xf>
    <xf numFmtId="43" fontId="0" fillId="0" borderId="0" xfId="23" applyBorder="1">
      <alignment/>
      <protection/>
    </xf>
    <xf numFmtId="0" fontId="0" fillId="0" borderId="23" xfId="23" applyNumberFormat="1" applyBorder="1">
      <alignment/>
      <protection/>
    </xf>
    <xf numFmtId="0" fontId="0" fillId="0" borderId="24" xfId="23" applyNumberFormat="1" applyBorder="1">
      <alignment/>
      <protection/>
    </xf>
    <xf numFmtId="0" fontId="0" fillId="0" borderId="28" xfId="23" applyNumberFormat="1" applyBorder="1">
      <alignment/>
      <protection/>
    </xf>
    <xf numFmtId="43" fontId="0" fillId="0" borderId="20" xfId="23" applyBorder="1" applyAlignment="1">
      <alignment wrapText="1"/>
      <protection/>
    </xf>
    <xf numFmtId="43" fontId="0" fillId="0" borderId="20" xfId="23" applyBorder="1" applyAlignment="1">
      <alignment horizontal="center" wrapText="1"/>
      <protection/>
    </xf>
    <xf numFmtId="0" fontId="0" fillId="0" borderId="29" xfId="23" applyNumberFormat="1" applyBorder="1" applyAlignment="1">
      <alignment horizontal="center" wrapText="1"/>
      <protection/>
    </xf>
    <xf numFmtId="43" fontId="0" fillId="0" borderId="20" xfId="23" applyFont="1" applyBorder="1">
      <alignment/>
      <protection/>
    </xf>
    <xf numFmtId="43" fontId="0" fillId="0" borderId="20" xfId="23" applyBorder="1">
      <alignment/>
      <protection/>
    </xf>
    <xf numFmtId="0" fontId="0" fillId="0" borderId="29" xfId="23" applyNumberFormat="1" applyBorder="1">
      <alignment/>
      <protection/>
    </xf>
    <xf numFmtId="43" fontId="1" fillId="0" borderId="17" xfId="23" applyFont="1" applyBorder="1" applyAlignment="1">
      <alignment wrapText="1"/>
      <protection/>
    </xf>
    <xf numFmtId="43" fontId="1" fillId="0" borderId="18" xfId="23" applyFont="1" applyBorder="1" applyAlignment="1">
      <alignment wrapText="1"/>
      <protection/>
    </xf>
    <xf numFmtId="43" fontId="1" fillId="0" borderId="18" xfId="23" applyFont="1" applyBorder="1">
      <alignment/>
      <protection/>
    </xf>
    <xf numFmtId="0" fontId="1" fillId="0" borderId="30" xfId="23" applyNumberFormat="1" applyFont="1" applyBorder="1">
      <alignment/>
      <protection/>
    </xf>
    <xf numFmtId="43" fontId="1" fillId="0" borderId="0" xfId="23" applyFont="1" applyBorder="1" applyAlignment="1">
      <alignment wrapText="1"/>
      <protection/>
    </xf>
    <xf numFmtId="43" fontId="1" fillId="0" borderId="0" xfId="23" applyFont="1" applyBorder="1">
      <alignment/>
      <protection/>
    </xf>
    <xf numFmtId="0" fontId="1" fillId="0" borderId="23" xfId="23" applyNumberFormat="1" applyFont="1" applyBorder="1">
      <alignment/>
      <protection/>
    </xf>
    <xf numFmtId="0" fontId="0" fillId="0" borderId="31" xfId="23" applyNumberFormat="1" applyBorder="1">
      <alignment/>
      <protection/>
    </xf>
    <xf numFmtId="43" fontId="0" fillId="0" borderId="32" xfId="23" applyBorder="1" applyAlignment="1">
      <alignment wrapText="1"/>
      <protection/>
    </xf>
    <xf numFmtId="43" fontId="0" fillId="0" borderId="32" xfId="23" applyBorder="1">
      <alignment/>
      <protection/>
    </xf>
    <xf numFmtId="43" fontId="0" fillId="0" borderId="1" xfId="23" applyBorder="1">
      <alignment/>
      <protection/>
    </xf>
    <xf numFmtId="0" fontId="0" fillId="0" borderId="8" xfId="23" applyNumberFormat="1" applyBorder="1">
      <alignment/>
      <protection/>
    </xf>
    <xf numFmtId="0" fontId="0" fillId="0" borderId="0" xfId="23" applyNumberFormat="1">
      <alignment/>
      <protection/>
    </xf>
    <xf numFmtId="43" fontId="0" fillId="0" borderId="0" xfId="23" applyAlignment="1">
      <alignment horizontal="right" wrapText="1"/>
      <protection/>
    </xf>
    <xf numFmtId="43" fontId="0" fillId="0" borderId="2" xfId="23" applyBorder="1" applyAlignment="1">
      <alignment wrapText="1"/>
      <protection/>
    </xf>
    <xf numFmtId="43" fontId="0" fillId="0" borderId="2" xfId="23" applyBorder="1">
      <alignment/>
      <protection/>
    </xf>
    <xf numFmtId="43" fontId="0" fillId="0" borderId="0" xfId="23" applyAlignment="1">
      <alignment horizontal="right"/>
      <protection/>
    </xf>
    <xf numFmtId="43" fontId="0" fillId="0" borderId="0" xfId="23" applyAlignment="1">
      <alignment wrapText="1"/>
      <protection/>
    </xf>
    <xf numFmtId="14" fontId="0" fillId="0" borderId="0" xfId="0" applyNumberFormat="1" applyFont="1" applyFill="1" applyAlignment="1">
      <alignment horizontal="left"/>
    </xf>
    <xf numFmtId="173" fontId="8" fillId="0" borderId="0" xfId="0" applyNumberFormat="1" applyFont="1" applyAlignment="1">
      <alignment/>
    </xf>
    <xf numFmtId="0" fontId="41" fillId="0" borderId="0" xfId="0" applyFont="1" applyBorder="1" applyAlignment="1">
      <alignment/>
    </xf>
    <xf numFmtId="0" fontId="42" fillId="6" borderId="0" xfId="0" applyFont="1" applyFill="1" applyAlignment="1">
      <alignment/>
    </xf>
    <xf numFmtId="15" fontId="21" fillId="6" borderId="0" xfId="0" applyNumberFormat="1" applyFont="1" applyFill="1" applyAlignment="1">
      <alignment/>
    </xf>
    <xf numFmtId="0" fontId="0" fillId="6" borderId="0" xfId="0" applyFill="1" applyAlignment="1">
      <alignment/>
    </xf>
    <xf numFmtId="0" fontId="38" fillId="6" borderId="0" xfId="0" applyFont="1" applyFill="1" applyAlignment="1">
      <alignment/>
    </xf>
    <xf numFmtId="0" fontId="21" fillId="6" borderId="0" xfId="0" applyFont="1" applyFill="1" applyAlignment="1">
      <alignment/>
    </xf>
    <xf numFmtId="0" fontId="38" fillId="6" borderId="0" xfId="0" applyFont="1" applyFill="1" applyAlignment="1">
      <alignment horizontal="justify"/>
    </xf>
    <xf numFmtId="0" fontId="44" fillId="6" borderId="0" xfId="0" applyFont="1" applyFill="1" applyAlignment="1">
      <alignment vertical="top" wrapText="1"/>
    </xf>
    <xf numFmtId="0" fontId="20" fillId="0" borderId="0" xfId="0" applyFont="1" applyAlignment="1">
      <alignment/>
    </xf>
    <xf numFmtId="0" fontId="19" fillId="6" borderId="0" xfId="0" applyFont="1" applyFill="1" applyAlignment="1">
      <alignment horizontal="center"/>
    </xf>
    <xf numFmtId="0" fontId="20" fillId="6" borderId="0" xfId="0" applyFont="1" applyFill="1" applyAlignment="1">
      <alignment horizontal="center"/>
    </xf>
    <xf numFmtId="17" fontId="7" fillId="6" borderId="0" xfId="0" applyNumberFormat="1" applyFont="1" applyFill="1" applyAlignment="1">
      <alignment horizontal="center"/>
    </xf>
    <xf numFmtId="0" fontId="20" fillId="6" borderId="0" xfId="0" applyFont="1" applyFill="1" applyAlignment="1">
      <alignment/>
    </xf>
    <xf numFmtId="0" fontId="43" fillId="6" borderId="0" xfId="0" applyFont="1" applyFill="1" applyAlignment="1">
      <alignment/>
    </xf>
    <xf numFmtId="0" fontId="11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19" fillId="6" borderId="0" xfId="0" applyFont="1" applyFill="1" applyAlignment="1">
      <alignment/>
    </xf>
    <xf numFmtId="0" fontId="0" fillId="6" borderId="0" xfId="0" applyFill="1" applyAlignment="1">
      <alignment horizontal="left"/>
    </xf>
    <xf numFmtId="0" fontId="7" fillId="6" borderId="0" xfId="0" applyFont="1" applyFill="1" applyAlignment="1">
      <alignment horizontal="center"/>
    </xf>
    <xf numFmtId="0" fontId="7" fillId="6" borderId="0" xfId="0" applyFont="1" applyFill="1" applyAlignment="1">
      <alignment horizontal="left"/>
    </xf>
    <xf numFmtId="0" fontId="20" fillId="6" borderId="0" xfId="0" applyFont="1" applyFill="1" applyAlignment="1">
      <alignment horizontal="left"/>
    </xf>
    <xf numFmtId="0" fontId="15" fillId="0" borderId="0" xfId="0" applyFont="1" applyAlignment="1">
      <alignment/>
    </xf>
    <xf numFmtId="178" fontId="8" fillId="0" borderId="0" xfId="0" applyNumberFormat="1" applyFont="1" applyAlignment="1">
      <alignment/>
    </xf>
    <xf numFmtId="37" fontId="16" fillId="0" borderId="21" xfId="0" applyNumberFormat="1" applyFont="1" applyFill="1" applyBorder="1" applyAlignment="1">
      <alignment/>
    </xf>
    <xf numFmtId="14" fontId="44" fillId="6" borderId="0" xfId="0" applyNumberFormat="1" applyFont="1" applyFill="1" applyAlignment="1">
      <alignment horizontal="left" vertical="top" wrapText="1"/>
    </xf>
    <xf numFmtId="0" fontId="41" fillId="6" borderId="0" xfId="0" applyFont="1" applyFill="1" applyAlignment="1">
      <alignment/>
    </xf>
    <xf numFmtId="14" fontId="38" fillId="6" borderId="0" xfId="0" applyNumberFormat="1" applyFont="1" applyFill="1" applyAlignment="1">
      <alignment horizontal="left"/>
    </xf>
    <xf numFmtId="0" fontId="0" fillId="5" borderId="0" xfId="0" applyFill="1" applyAlignment="1">
      <alignment/>
    </xf>
    <xf numFmtId="0" fontId="44" fillId="5" borderId="0" xfId="0" applyFont="1" applyFill="1" applyAlignment="1">
      <alignment vertical="top" wrapText="1"/>
    </xf>
    <xf numFmtId="0" fontId="11" fillId="0" borderId="0" xfId="0" applyFont="1" applyBorder="1" applyAlignment="1" quotePrefix="1">
      <alignment/>
    </xf>
    <xf numFmtId="0" fontId="11" fillId="0" borderId="24" xfId="0" applyFont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37" fontId="8" fillId="0" borderId="24" xfId="0" applyNumberFormat="1" applyFont="1" applyFill="1" applyBorder="1" applyAlignment="1">
      <alignment/>
    </xf>
    <xf numFmtId="37" fontId="8" fillId="0" borderId="33" xfId="0" applyNumberFormat="1" applyFont="1" applyFill="1" applyBorder="1" applyAlignment="1">
      <alignment/>
    </xf>
    <xf numFmtId="37" fontId="8" fillId="0" borderId="24" xfId="0" applyNumberFormat="1" applyFont="1" applyBorder="1" applyAlignment="1">
      <alignment/>
    </xf>
    <xf numFmtId="37" fontId="8" fillId="0" borderId="33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37" fontId="29" fillId="0" borderId="0" xfId="22" applyNumberFormat="1" applyFont="1" applyFill="1" applyBorder="1">
      <alignment/>
      <protection/>
    </xf>
    <xf numFmtId="0" fontId="0" fillId="0" borderId="0" xfId="0" applyFont="1" applyFill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44" fontId="1" fillId="0" borderId="0" xfId="0" applyNumberFormat="1" applyFont="1" applyAlignment="1">
      <alignment/>
    </xf>
    <xf numFmtId="7" fontId="21" fillId="0" borderId="0" xfId="0" applyNumberFormat="1" applyFont="1" applyAlignment="1">
      <alignment/>
    </xf>
    <xf numFmtId="7" fontId="0" fillId="0" borderId="0" xfId="0" applyNumberFormat="1" applyFont="1" applyAlignment="1">
      <alignment horizontal="center"/>
    </xf>
    <xf numFmtId="37" fontId="0" fillId="0" borderId="0" xfId="18" applyNumberFormat="1" applyAlignment="1">
      <alignment horizontal="center"/>
    </xf>
    <xf numFmtId="37" fontId="0" fillId="0" borderId="0" xfId="0" applyNumberFormat="1" applyAlignment="1">
      <alignment horizontal="center"/>
    </xf>
    <xf numFmtId="198" fontId="21" fillId="0" borderId="3" xfId="0" applyNumberFormat="1" applyFont="1" applyBorder="1" applyAlignment="1">
      <alignment horizontal="center"/>
    </xf>
    <xf numFmtId="44" fontId="1" fillId="0" borderId="0" xfId="18" applyFont="1" applyAlignment="1">
      <alignment horizontal="center"/>
    </xf>
    <xf numFmtId="198" fontId="1" fillId="0" borderId="0" xfId="18" applyNumberFormat="1" applyFont="1" applyAlignment="1">
      <alignment horizontal="center"/>
    </xf>
    <xf numFmtId="2" fontId="17" fillId="0" borderId="0" xfId="22" applyNumberFormat="1" applyFont="1" applyFill="1" applyAlignment="1">
      <alignment horizontal="left"/>
      <protection/>
    </xf>
    <xf numFmtId="0" fontId="1" fillId="0" borderId="0" xfId="0" applyFont="1" applyFill="1" applyAlignment="1">
      <alignment/>
    </xf>
    <xf numFmtId="173" fontId="0" fillId="0" borderId="0" xfId="16" applyNumberFormat="1" applyAlignment="1">
      <alignment/>
    </xf>
    <xf numFmtId="0" fontId="16" fillId="0" borderId="0" xfId="0" applyFont="1" applyAlignment="1">
      <alignment horizontal="right"/>
    </xf>
    <xf numFmtId="0" fontId="46" fillId="0" borderId="0" xfId="0" applyFont="1" applyAlignment="1">
      <alignment/>
    </xf>
    <xf numFmtId="0" fontId="47" fillId="5" borderId="20" xfId="0" applyFont="1" applyFill="1" applyBorder="1" applyAlignment="1">
      <alignment/>
    </xf>
    <xf numFmtId="0" fontId="47" fillId="5" borderId="17" xfId="0" applyFont="1" applyFill="1" applyBorder="1" applyAlignment="1">
      <alignment/>
    </xf>
    <xf numFmtId="0" fontId="46" fillId="5" borderId="15" xfId="0" applyFont="1" applyFill="1" applyBorder="1" applyAlignment="1">
      <alignment/>
    </xf>
    <xf numFmtId="0" fontId="46" fillId="5" borderId="13" xfId="0" applyFont="1" applyFill="1" applyBorder="1" applyAlignment="1">
      <alignment/>
    </xf>
    <xf numFmtId="0" fontId="46" fillId="5" borderId="16" xfId="0" applyFont="1" applyFill="1" applyBorder="1" applyAlignment="1">
      <alignment/>
    </xf>
    <xf numFmtId="0" fontId="8" fillId="5" borderId="19" xfId="0" applyFont="1" applyFill="1" applyBorder="1" applyAlignment="1">
      <alignment/>
    </xf>
    <xf numFmtId="0" fontId="46" fillId="5" borderId="19" xfId="0" applyFont="1" applyFill="1" applyBorder="1" applyAlignment="1">
      <alignment/>
    </xf>
    <xf numFmtId="0" fontId="47" fillId="5" borderId="14" xfId="0" applyFont="1" applyFill="1" applyBorder="1" applyAlignment="1">
      <alignment/>
    </xf>
    <xf numFmtId="0" fontId="46" fillId="5" borderId="20" xfId="0" applyFont="1" applyFill="1" applyBorder="1" applyAlignment="1">
      <alignment horizontal="center"/>
    </xf>
    <xf numFmtId="0" fontId="48" fillId="6" borderId="17" xfId="0" applyFont="1" applyFill="1" applyBorder="1" applyAlignment="1">
      <alignment horizontal="right"/>
    </xf>
    <xf numFmtId="0" fontId="46" fillId="5" borderId="19" xfId="0" applyFont="1" applyFill="1" applyBorder="1" applyAlignment="1">
      <alignment horizontal="center"/>
    </xf>
    <xf numFmtId="0" fontId="46" fillId="5" borderId="9" xfId="0" applyFont="1" applyFill="1" applyBorder="1" applyAlignment="1">
      <alignment/>
    </xf>
    <xf numFmtId="0" fontId="46" fillId="5" borderId="11" xfId="0" applyFont="1" applyFill="1" applyBorder="1" applyAlignment="1">
      <alignment/>
    </xf>
    <xf numFmtId="0" fontId="50" fillId="5" borderId="20" xfId="0" applyFont="1" applyFill="1" applyBorder="1" applyAlignment="1">
      <alignment horizontal="center"/>
    </xf>
    <xf numFmtId="0" fontId="46" fillId="5" borderId="21" xfId="0" applyFont="1" applyFill="1" applyBorder="1" applyAlignment="1">
      <alignment/>
    </xf>
    <xf numFmtId="0" fontId="51" fillId="5" borderId="20" xfId="0" applyFont="1" applyFill="1" applyBorder="1" applyAlignment="1">
      <alignment horizontal="center"/>
    </xf>
    <xf numFmtId="0" fontId="52" fillId="5" borderId="0" xfId="0" applyFont="1" applyFill="1" applyAlignment="1">
      <alignment horizontal="center"/>
    </xf>
    <xf numFmtId="0" fontId="51" fillId="5" borderId="2" xfId="0" applyFont="1" applyFill="1" applyBorder="1" applyAlignment="1">
      <alignment horizontal="center"/>
    </xf>
    <xf numFmtId="0" fontId="52" fillId="5" borderId="10" xfId="0" applyFont="1" applyFill="1" applyBorder="1" applyAlignment="1">
      <alignment horizontal="center"/>
    </xf>
    <xf numFmtId="0" fontId="51" fillId="5" borderId="10" xfId="0" applyFont="1" applyFill="1" applyBorder="1" applyAlignment="1">
      <alignment horizontal="center"/>
    </xf>
    <xf numFmtId="0" fontId="52" fillId="5" borderId="0" xfId="0" applyFont="1" applyFill="1" applyBorder="1" applyAlignment="1">
      <alignment horizontal="center"/>
    </xf>
    <xf numFmtId="0" fontId="51" fillId="5" borderId="19" xfId="0" applyFont="1" applyFill="1" applyBorder="1" applyAlignment="1">
      <alignment horizontal="center"/>
    </xf>
    <xf numFmtId="0" fontId="46" fillId="5" borderId="18" xfId="0" applyFont="1" applyFill="1" applyBorder="1" applyAlignment="1">
      <alignment/>
    </xf>
    <xf numFmtId="0" fontId="50" fillId="5" borderId="16" xfId="0" applyFont="1" applyFill="1" applyBorder="1" applyAlignment="1">
      <alignment horizontal="center"/>
    </xf>
    <xf numFmtId="0" fontId="50" fillId="5" borderId="12" xfId="0" applyFont="1" applyFill="1" applyBorder="1" applyAlignment="1">
      <alignment horizontal="center"/>
    </xf>
    <xf numFmtId="37" fontId="46" fillId="5" borderId="20" xfId="0" applyNumberFormat="1" applyFont="1" applyFill="1" applyBorder="1" applyAlignment="1">
      <alignment/>
    </xf>
    <xf numFmtId="37" fontId="50" fillId="5" borderId="10" xfId="0" applyNumberFormat="1" applyFont="1" applyFill="1" applyBorder="1" applyAlignment="1">
      <alignment horizontal="center"/>
    </xf>
    <xf numFmtId="37" fontId="46" fillId="6" borderId="10" xfId="0" applyNumberFormat="1" applyFont="1" applyFill="1" applyBorder="1" applyAlignment="1">
      <alignment/>
    </xf>
    <xf numFmtId="37" fontId="50" fillId="5" borderId="19" xfId="0" applyNumberFormat="1" applyFont="1" applyFill="1" applyBorder="1" applyAlignment="1">
      <alignment/>
    </xf>
    <xf numFmtId="0" fontId="46" fillId="0" borderId="0" xfId="0" applyFont="1" applyFill="1" applyAlignment="1">
      <alignment horizontal="left"/>
    </xf>
    <xf numFmtId="0" fontId="46" fillId="0" borderId="0" xfId="0" applyFont="1" applyFill="1" applyAlignment="1">
      <alignment/>
    </xf>
    <xf numFmtId="0" fontId="46" fillId="0" borderId="9" xfId="0" applyFont="1" applyFill="1" applyBorder="1" applyAlignment="1">
      <alignment/>
    </xf>
    <xf numFmtId="37" fontId="46" fillId="6" borderId="12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37" fontId="46" fillId="0" borderId="0" xfId="0" applyNumberFormat="1" applyFont="1" applyFill="1" applyBorder="1" applyAlignment="1">
      <alignment/>
    </xf>
    <xf numFmtId="37" fontId="46" fillId="0" borderId="22" xfId="0" applyNumberFormat="1" applyFont="1" applyFill="1" applyBorder="1" applyAlignment="1">
      <alignment/>
    </xf>
    <xf numFmtId="37" fontId="46" fillId="0" borderId="10" xfId="0" applyNumberFormat="1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37" fontId="46" fillId="0" borderId="0" xfId="0" applyNumberFormat="1" applyFont="1" applyAlignment="1">
      <alignment/>
    </xf>
    <xf numFmtId="37" fontId="46" fillId="0" borderId="0" xfId="0" applyNumberFormat="1" applyFont="1" applyFill="1" applyAlignment="1">
      <alignment/>
    </xf>
    <xf numFmtId="37" fontId="46" fillId="6" borderId="0" xfId="0" applyNumberFormat="1" applyFont="1" applyFill="1" applyBorder="1" applyAlignment="1">
      <alignment/>
    </xf>
    <xf numFmtId="37" fontId="46" fillId="6" borderId="22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46" fillId="0" borderId="2" xfId="0" applyFont="1" applyBorder="1" applyAlignment="1">
      <alignment/>
    </xf>
    <xf numFmtId="37" fontId="46" fillId="0" borderId="0" xfId="0" applyNumberFormat="1" applyFont="1" applyFill="1" applyBorder="1" applyAlignment="1">
      <alignment horizontal="right"/>
    </xf>
    <xf numFmtId="37" fontId="46" fillId="0" borderId="21" xfId="0" applyNumberFormat="1" applyFont="1" applyFill="1" applyBorder="1" applyAlignment="1">
      <alignment/>
    </xf>
    <xf numFmtId="37" fontId="46" fillId="0" borderId="2" xfId="0" applyNumberFormat="1" applyFont="1" applyFill="1" applyBorder="1" applyAlignment="1">
      <alignment/>
    </xf>
    <xf numFmtId="0" fontId="50" fillId="5" borderId="9" xfId="0" applyFont="1" applyFill="1" applyBorder="1" applyAlignment="1">
      <alignment/>
    </xf>
    <xf numFmtId="0" fontId="46" fillId="5" borderId="10" xfId="0" applyFont="1" applyFill="1" applyBorder="1" applyAlignment="1">
      <alignment/>
    </xf>
    <xf numFmtId="0" fontId="50" fillId="5" borderId="0" xfId="0" applyFont="1" applyFill="1" applyBorder="1" applyAlignment="1">
      <alignment/>
    </xf>
    <xf numFmtId="0" fontId="50" fillId="5" borderId="11" xfId="0" applyFont="1" applyFill="1" applyBorder="1" applyAlignment="1">
      <alignment horizontal="center"/>
    </xf>
    <xf numFmtId="0" fontId="50" fillId="5" borderId="2" xfId="0" applyFont="1" applyFill="1" applyBorder="1" applyAlignment="1">
      <alignment horizontal="center"/>
    </xf>
    <xf numFmtId="37" fontId="46" fillId="5" borderId="16" xfId="0" applyNumberFormat="1" applyFont="1" applyFill="1" applyBorder="1" applyAlignment="1">
      <alignment/>
    </xf>
    <xf numFmtId="37" fontId="46" fillId="5" borderId="12" xfId="0" applyNumberFormat="1" applyFont="1" applyFill="1" applyBorder="1" applyAlignment="1">
      <alignment/>
    </xf>
    <xf numFmtId="0" fontId="50" fillId="5" borderId="14" xfId="0" applyFont="1" applyFill="1" applyBorder="1" applyAlignment="1">
      <alignment horizontal="center"/>
    </xf>
    <xf numFmtId="0" fontId="50" fillId="5" borderId="21" xfId="0" applyFont="1" applyFill="1" applyBorder="1" applyAlignment="1">
      <alignment horizontal="center"/>
    </xf>
    <xf numFmtId="0" fontId="50" fillId="5" borderId="22" xfId="0" applyFont="1" applyFill="1" applyBorder="1" applyAlignment="1">
      <alignment horizontal="center"/>
    </xf>
    <xf numFmtId="0" fontId="54" fillId="5" borderId="9" xfId="0" applyFont="1" applyFill="1" applyBorder="1" applyAlignment="1">
      <alignment horizontal="center"/>
    </xf>
    <xf numFmtId="0" fontId="54" fillId="5" borderId="0" xfId="0" applyFont="1" applyFill="1" applyBorder="1" applyAlignment="1">
      <alignment horizontal="center"/>
    </xf>
    <xf numFmtId="0" fontId="54" fillId="5" borderId="10" xfId="0" applyFont="1" applyFill="1" applyBorder="1" applyAlignment="1">
      <alignment horizontal="center"/>
    </xf>
    <xf numFmtId="0" fontId="54" fillId="5" borderId="11" xfId="0" applyFont="1" applyFill="1" applyBorder="1" applyAlignment="1">
      <alignment horizontal="center"/>
    </xf>
    <xf numFmtId="172" fontId="54" fillId="5" borderId="2" xfId="0" applyNumberFormat="1" applyFont="1" applyFill="1" applyBorder="1" applyAlignment="1">
      <alignment horizontal="center"/>
    </xf>
    <xf numFmtId="0" fontId="54" fillId="5" borderId="2" xfId="0" applyFont="1" applyFill="1" applyBorder="1" applyAlignment="1">
      <alignment horizontal="center"/>
    </xf>
    <xf numFmtId="0" fontId="54" fillId="5" borderId="12" xfId="0" applyFont="1" applyFill="1" applyBorder="1" applyAlignment="1">
      <alignment horizontal="center"/>
    </xf>
    <xf numFmtId="0" fontId="50" fillId="5" borderId="15" xfId="0" applyFont="1" applyFill="1" applyBorder="1" applyAlignment="1">
      <alignment/>
    </xf>
    <xf numFmtId="0" fontId="50" fillId="5" borderId="13" xfId="0" applyFont="1" applyFill="1" applyBorder="1" applyAlignment="1">
      <alignment/>
    </xf>
    <xf numFmtId="0" fontId="50" fillId="5" borderId="16" xfId="0" applyFont="1" applyFill="1" applyBorder="1" applyAlignment="1">
      <alignment/>
    </xf>
    <xf numFmtId="0" fontId="50" fillId="5" borderId="20" xfId="0" applyFont="1" applyFill="1" applyBorder="1" applyAlignment="1">
      <alignment/>
    </xf>
    <xf numFmtId="37" fontId="46" fillId="5" borderId="17" xfId="0" applyNumberFormat="1" applyFont="1" applyFill="1" applyBorder="1" applyAlignment="1">
      <alignment/>
    </xf>
    <xf numFmtId="37" fontId="46" fillId="5" borderId="18" xfId="0" applyNumberFormat="1" applyFont="1" applyFill="1" applyBorder="1" applyAlignment="1">
      <alignment/>
    </xf>
    <xf numFmtId="37" fontId="46" fillId="5" borderId="19" xfId="0" applyNumberFormat="1" applyFont="1" applyFill="1" applyBorder="1" applyAlignment="1">
      <alignment/>
    </xf>
    <xf numFmtId="0" fontId="55" fillId="0" borderId="0" xfId="0" applyFont="1" applyAlignment="1">
      <alignment/>
    </xf>
    <xf numFmtId="0" fontId="54" fillId="5" borderId="15" xfId="0" applyFont="1" applyFill="1" applyBorder="1" applyAlignment="1">
      <alignment horizontal="center"/>
    </xf>
    <xf numFmtId="37" fontId="50" fillId="5" borderId="22" xfId="0" applyNumberFormat="1" applyFont="1" applyFill="1" applyBorder="1" applyAlignment="1">
      <alignment horizontal="center"/>
    </xf>
    <xf numFmtId="0" fontId="54" fillId="5" borderId="16" xfId="0" applyFont="1" applyFill="1" applyBorder="1" applyAlignment="1">
      <alignment horizontal="center"/>
    </xf>
    <xf numFmtId="37" fontId="54" fillId="5" borderId="12" xfId="0" applyNumberFormat="1" applyFont="1" applyFill="1" applyBorder="1" applyAlignment="1">
      <alignment horizontal="center"/>
    </xf>
    <xf numFmtId="0" fontId="50" fillId="5" borderId="14" xfId="0" applyFont="1" applyFill="1" applyBorder="1" applyAlignment="1">
      <alignment/>
    </xf>
    <xf numFmtId="0" fontId="54" fillId="5" borderId="20" xfId="0" applyFont="1" applyFill="1" applyBorder="1" applyAlignment="1">
      <alignment horizontal="center"/>
    </xf>
    <xf numFmtId="37" fontId="46" fillId="5" borderId="15" xfId="0" applyNumberFormat="1" applyFont="1" applyFill="1" applyBorder="1" applyAlignment="1">
      <alignment/>
    </xf>
    <xf numFmtId="37" fontId="46" fillId="5" borderId="13" xfId="0" applyNumberFormat="1" applyFont="1" applyFill="1" applyBorder="1" applyAlignment="1">
      <alignment/>
    </xf>
    <xf numFmtId="37" fontId="50" fillId="5" borderId="20" xfId="0" applyNumberFormat="1" applyFont="1" applyFill="1" applyBorder="1" applyAlignment="1">
      <alignment horizontal="center"/>
    </xf>
    <xf numFmtId="0" fontId="50" fillId="5" borderId="18" xfId="0" applyFont="1" applyFill="1" applyBorder="1" applyAlignment="1">
      <alignment/>
    </xf>
    <xf numFmtId="0" fontId="46" fillId="5" borderId="20" xfId="0" applyFont="1" applyFill="1" applyBorder="1" applyAlignment="1">
      <alignment/>
    </xf>
    <xf numFmtId="37" fontId="46" fillId="5" borderId="14" xfId="0" applyNumberFormat="1" applyFont="1" applyFill="1" applyBorder="1" applyAlignment="1">
      <alignment/>
    </xf>
    <xf numFmtId="37" fontId="46" fillId="5" borderId="9" xfId="0" applyNumberFormat="1" applyFont="1" applyFill="1" applyBorder="1" applyAlignment="1">
      <alignment/>
    </xf>
    <xf numFmtId="37" fontId="46" fillId="5" borderId="11" xfId="0" applyNumberFormat="1" applyFont="1" applyFill="1" applyBorder="1" applyAlignment="1">
      <alignment/>
    </xf>
    <xf numFmtId="0" fontId="50" fillId="5" borderId="11" xfId="0" applyFont="1" applyFill="1" applyBorder="1" applyAlignment="1">
      <alignment/>
    </xf>
    <xf numFmtId="0" fontId="50" fillId="5" borderId="15" xfId="0" applyFont="1" applyFill="1" applyBorder="1" applyAlignment="1">
      <alignment horizontal="center"/>
    </xf>
    <xf numFmtId="0" fontId="50" fillId="5" borderId="34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1" fillId="5" borderId="35" xfId="0" applyFont="1" applyFill="1" applyBorder="1" applyAlignment="1">
      <alignment horizontal="center"/>
    </xf>
    <xf numFmtId="0" fontId="54" fillId="5" borderId="33" xfId="0" applyFont="1" applyFill="1" applyBorder="1" applyAlignment="1">
      <alignment horizontal="center"/>
    </xf>
    <xf numFmtId="172" fontId="10" fillId="5" borderId="11" xfId="0" applyNumberFormat="1" applyFont="1" applyFill="1" applyBorder="1" applyAlignment="1">
      <alignment horizontal="center"/>
    </xf>
    <xf numFmtId="0" fontId="10" fillId="5" borderId="36" xfId="0" applyFont="1" applyFill="1" applyBorder="1" applyAlignment="1">
      <alignment horizontal="center"/>
    </xf>
    <xf numFmtId="0" fontId="50" fillId="5" borderId="4" xfId="0" applyFont="1" applyFill="1" applyBorder="1" applyAlignment="1">
      <alignment/>
    </xf>
    <xf numFmtId="0" fontId="50" fillId="5" borderId="5" xfId="0" applyFont="1" applyFill="1" applyBorder="1" applyAlignment="1">
      <alignment/>
    </xf>
    <xf numFmtId="37" fontId="50" fillId="5" borderId="6" xfId="0" applyNumberFormat="1" applyFont="1" applyFill="1" applyBorder="1" applyAlignment="1">
      <alignment/>
    </xf>
    <xf numFmtId="37" fontId="8" fillId="5" borderId="28" xfId="0" applyNumberFormat="1" applyFont="1" applyFill="1" applyBorder="1" applyAlignment="1">
      <alignment/>
    </xf>
    <xf numFmtId="0" fontId="50" fillId="5" borderId="17" xfId="0" applyFont="1" applyFill="1" applyBorder="1" applyAlignment="1">
      <alignment/>
    </xf>
    <xf numFmtId="0" fontId="50" fillId="5" borderId="37" xfId="0" applyFont="1" applyFill="1" applyBorder="1" applyAlignment="1">
      <alignment/>
    </xf>
    <xf numFmtId="37" fontId="8" fillId="5" borderId="18" xfId="0" applyNumberFormat="1" applyFont="1" applyFill="1" applyBorder="1" applyAlignment="1">
      <alignment/>
    </xf>
    <xf numFmtId="37" fontId="50" fillId="5" borderId="18" xfId="0" applyNumberFormat="1" applyFont="1" applyFill="1" applyBorder="1" applyAlignment="1">
      <alignment/>
    </xf>
    <xf numFmtId="37" fontId="11" fillId="5" borderId="18" xfId="0" applyNumberFormat="1" applyFont="1" applyFill="1" applyBorder="1" applyAlignment="1">
      <alignment/>
    </xf>
    <xf numFmtId="37" fontId="50" fillId="5" borderId="21" xfId="0" applyNumberFormat="1" applyFont="1" applyFill="1" applyBorder="1" applyAlignment="1">
      <alignment horizontal="center"/>
    </xf>
    <xf numFmtId="37" fontId="11" fillId="5" borderId="22" xfId="0" applyNumberFormat="1" applyFont="1" applyFill="1" applyBorder="1" applyAlignment="1">
      <alignment horizontal="center"/>
    </xf>
    <xf numFmtId="0" fontId="54" fillId="5" borderId="2" xfId="16" applyNumberFormat="1" applyFont="1" applyFill="1" applyBorder="1" applyAlignment="1">
      <alignment horizontal="center"/>
    </xf>
    <xf numFmtId="172" fontId="54" fillId="5" borderId="2" xfId="16" applyNumberFormat="1" applyFont="1" applyFill="1" applyBorder="1" applyAlignment="1">
      <alignment horizontal="center"/>
    </xf>
    <xf numFmtId="0" fontId="54" fillId="5" borderId="12" xfId="16" applyNumberFormat="1" applyFont="1" applyFill="1" applyBorder="1" applyAlignment="1">
      <alignment horizontal="center"/>
    </xf>
    <xf numFmtId="0" fontId="10" fillId="5" borderId="12" xfId="16" applyNumberFormat="1" applyFont="1" applyFill="1" applyBorder="1" applyAlignment="1">
      <alignment horizontal="center"/>
    </xf>
    <xf numFmtId="37" fontId="46" fillId="5" borderId="21" xfId="0" applyNumberFormat="1" applyFont="1" applyFill="1" applyBorder="1" applyAlignment="1">
      <alignment/>
    </xf>
    <xf numFmtId="37" fontId="46" fillId="5" borderId="22" xfId="0" applyNumberFormat="1" applyFont="1" applyFill="1" applyBorder="1" applyAlignment="1">
      <alignment/>
    </xf>
    <xf numFmtId="37" fontId="8" fillId="5" borderId="21" xfId="0" applyNumberFormat="1" applyFont="1" applyFill="1" applyBorder="1" applyAlignment="1">
      <alignment/>
    </xf>
    <xf numFmtId="0" fontId="46" fillId="0" borderId="0" xfId="0" applyFont="1" applyBorder="1" applyAlignment="1">
      <alignment/>
    </xf>
    <xf numFmtId="0" fontId="50" fillId="5" borderId="9" xfId="0" applyFont="1" applyFill="1" applyBorder="1" applyAlignment="1">
      <alignment horizontal="center"/>
    </xf>
    <xf numFmtId="0" fontId="50" fillId="5" borderId="13" xfId="0" applyFont="1" applyFill="1" applyBorder="1" applyAlignment="1">
      <alignment horizontal="center"/>
    </xf>
    <xf numFmtId="0" fontId="58" fillId="0" borderId="0" xfId="0" applyFont="1" applyBorder="1" applyAlignment="1">
      <alignment/>
    </xf>
    <xf numFmtId="0" fontId="46" fillId="0" borderId="0" xfId="0" applyFont="1" applyBorder="1" applyAlignment="1" quotePrefix="1">
      <alignment/>
    </xf>
    <xf numFmtId="173" fontId="46" fillId="0" borderId="0" xfId="16" applyNumberFormat="1" applyFont="1" applyBorder="1" applyAlignment="1">
      <alignment/>
    </xf>
    <xf numFmtId="10" fontId="46" fillId="0" borderId="0" xfId="25" applyNumberFormat="1" applyFont="1" applyBorder="1" applyAlignment="1">
      <alignment/>
    </xf>
    <xf numFmtId="37" fontId="46" fillId="6" borderId="2" xfId="0" applyNumberFormat="1" applyFont="1" applyFill="1" applyBorder="1" applyAlignment="1">
      <alignment/>
    </xf>
    <xf numFmtId="0" fontId="46" fillId="0" borderId="9" xfId="0" applyFont="1" applyBorder="1" applyAlignment="1">
      <alignment/>
    </xf>
    <xf numFmtId="0" fontId="46" fillId="0" borderId="0" xfId="0" applyFont="1" applyFill="1" applyBorder="1" applyAlignment="1">
      <alignment horizontal="center"/>
    </xf>
    <xf numFmtId="173" fontId="46" fillId="0" borderId="0" xfId="16" applyNumberFormat="1" applyFont="1" applyFill="1" applyBorder="1" applyAlignment="1">
      <alignment/>
    </xf>
    <xf numFmtId="173" fontId="46" fillId="0" borderId="0" xfId="0" applyNumberFormat="1" applyFont="1" applyFill="1" applyBorder="1" applyAlignment="1">
      <alignment/>
    </xf>
    <xf numFmtId="43" fontId="46" fillId="0" borderId="0" xfId="0" applyNumberFormat="1" applyFont="1" applyFill="1" applyBorder="1" applyAlignment="1">
      <alignment/>
    </xf>
    <xf numFmtId="0" fontId="59" fillId="6" borderId="14" xfId="0" applyFont="1" applyFill="1" applyBorder="1" applyAlignment="1" quotePrefix="1">
      <alignment/>
    </xf>
    <xf numFmtId="0" fontId="59" fillId="6" borderId="21" xfId="0" applyFont="1" applyFill="1" applyBorder="1" applyAlignment="1">
      <alignment/>
    </xf>
    <xf numFmtId="0" fontId="59" fillId="6" borderId="22" xfId="0" applyFont="1" applyFill="1" applyBorder="1" applyAlignment="1">
      <alignment/>
    </xf>
    <xf numFmtId="0" fontId="59" fillId="6" borderId="9" xfId="0" applyFont="1" applyFill="1" applyBorder="1" applyAlignment="1">
      <alignment/>
    </xf>
    <xf numFmtId="0" fontId="59" fillId="6" borderId="0" xfId="0" applyFont="1" applyFill="1" applyBorder="1" applyAlignment="1">
      <alignment/>
    </xf>
    <xf numFmtId="0" fontId="59" fillId="6" borderId="10" xfId="0" applyFont="1" applyFill="1" applyBorder="1" applyAlignment="1">
      <alignment/>
    </xf>
    <xf numFmtId="0" fontId="59" fillId="6" borderId="11" xfId="0" applyFont="1" applyFill="1" applyBorder="1" applyAlignment="1" quotePrefix="1">
      <alignment/>
    </xf>
    <xf numFmtId="0" fontId="59" fillId="6" borderId="2" xfId="0" applyFont="1" applyFill="1" applyBorder="1" applyAlignment="1">
      <alignment/>
    </xf>
    <xf numFmtId="0" fontId="59" fillId="6" borderId="12" xfId="0" applyFont="1" applyFill="1" applyBorder="1" applyAlignment="1">
      <alignment/>
    </xf>
    <xf numFmtId="0" fontId="50" fillId="0" borderId="0" xfId="0" applyFont="1" applyFill="1" applyAlignment="1">
      <alignment horizontal="center"/>
    </xf>
    <xf numFmtId="0" fontId="59" fillId="6" borderId="0" xfId="0" applyFont="1" applyFill="1" applyBorder="1" applyAlignment="1" quotePrefix="1">
      <alignment/>
    </xf>
    <xf numFmtId="0" fontId="46" fillId="0" borderId="0" xfId="0" applyFont="1" applyAlignment="1">
      <alignment horizontal="left"/>
    </xf>
    <xf numFmtId="0" fontId="46" fillId="6" borderId="0" xfId="0" applyFont="1" applyFill="1" applyBorder="1" applyAlignment="1">
      <alignment/>
    </xf>
    <xf numFmtId="0" fontId="46" fillId="6" borderId="10" xfId="0" applyFont="1" applyFill="1" applyBorder="1" applyAlignment="1">
      <alignment/>
    </xf>
    <xf numFmtId="0" fontId="46" fillId="6" borderId="2" xfId="0" applyFont="1" applyFill="1" applyBorder="1" applyAlignment="1">
      <alignment/>
    </xf>
    <xf numFmtId="0" fontId="46" fillId="6" borderId="12" xfId="0" applyFont="1" applyFill="1" applyBorder="1" applyAlignment="1">
      <alignment/>
    </xf>
    <xf numFmtId="0" fontId="46" fillId="6" borderId="21" xfId="0" applyFont="1" applyFill="1" applyBorder="1" applyAlignment="1">
      <alignment/>
    </xf>
    <xf numFmtId="0" fontId="46" fillId="6" borderId="22" xfId="0" applyFont="1" applyFill="1" applyBorder="1" applyAlignment="1">
      <alignment/>
    </xf>
    <xf numFmtId="0" fontId="59" fillId="0" borderId="0" xfId="0" applyFont="1" applyAlignment="1">
      <alignment/>
    </xf>
    <xf numFmtId="0" fontId="59" fillId="6" borderId="11" xfId="0" applyFont="1" applyFill="1" applyBorder="1" applyAlignment="1">
      <alignment/>
    </xf>
    <xf numFmtId="37" fontId="46" fillId="0" borderId="0" xfId="0" applyNumberFormat="1" applyFont="1" applyFill="1" applyBorder="1" applyAlignment="1">
      <alignment horizontal="center"/>
    </xf>
    <xf numFmtId="2" fontId="46" fillId="0" borderId="0" xfId="0" applyNumberFormat="1" applyFont="1" applyFill="1" applyBorder="1" applyAlignment="1">
      <alignment/>
    </xf>
    <xf numFmtId="37" fontId="46" fillId="0" borderId="0" xfId="0" applyNumberFormat="1" applyFont="1" applyFill="1" applyBorder="1" applyAlignment="1">
      <alignment/>
    </xf>
    <xf numFmtId="167" fontId="46" fillId="0" borderId="0" xfId="0" applyNumberFormat="1" applyFont="1" applyFill="1" applyBorder="1" applyAlignment="1">
      <alignment/>
    </xf>
    <xf numFmtId="166" fontId="46" fillId="0" borderId="0" xfId="0" applyNumberFormat="1" applyFont="1" applyFill="1" applyBorder="1" applyAlignment="1">
      <alignment/>
    </xf>
    <xf numFmtId="37" fontId="46" fillId="6" borderId="20" xfId="0" applyNumberFormat="1" applyFont="1" applyFill="1" applyBorder="1" applyAlignment="1">
      <alignment/>
    </xf>
    <xf numFmtId="37" fontId="46" fillId="6" borderId="19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37" fontId="46" fillId="7" borderId="20" xfId="0" applyNumberFormat="1" applyFont="1" applyFill="1" applyBorder="1" applyAlignment="1">
      <alignment/>
    </xf>
    <xf numFmtId="0" fontId="50" fillId="6" borderId="0" xfId="0" applyFont="1" applyFill="1" applyAlignment="1">
      <alignment/>
    </xf>
    <xf numFmtId="0" fontId="46" fillId="0" borderId="21" xfId="0" applyFont="1" applyFill="1" applyBorder="1" applyAlignment="1">
      <alignment horizontal="center"/>
    </xf>
    <xf numFmtId="0" fontId="46" fillId="0" borderId="0" xfId="0" applyFont="1" applyAlignment="1" quotePrefix="1">
      <alignment/>
    </xf>
    <xf numFmtId="43" fontId="46" fillId="0" borderId="0" xfId="16" applyFont="1" applyAlignment="1">
      <alignment/>
    </xf>
    <xf numFmtId="0" fontId="59" fillId="0" borderId="0" xfId="0" applyFont="1" applyFill="1" applyBorder="1" applyAlignment="1">
      <alignment/>
    </xf>
    <xf numFmtId="0" fontId="56" fillId="5" borderId="17" xfId="0" applyFont="1" applyFill="1" applyBorder="1" applyAlignment="1">
      <alignment/>
    </xf>
    <xf numFmtId="0" fontId="53" fillId="5" borderId="18" xfId="0" applyFont="1" applyFill="1" applyBorder="1" applyAlignment="1">
      <alignment/>
    </xf>
    <xf numFmtId="0" fontId="57" fillId="5" borderId="18" xfId="0" applyFont="1" applyFill="1" applyBorder="1" applyAlignment="1">
      <alignment/>
    </xf>
    <xf numFmtId="0" fontId="57" fillId="5" borderId="19" xfId="0" applyFont="1" applyFill="1" applyBorder="1" applyAlignment="1">
      <alignment/>
    </xf>
    <xf numFmtId="0" fontId="46" fillId="5" borderId="14" xfId="0" applyFont="1" applyFill="1" applyBorder="1" applyAlignment="1">
      <alignment/>
    </xf>
    <xf numFmtId="0" fontId="54" fillId="5" borderId="21" xfId="0" applyFont="1" applyFill="1" applyBorder="1" applyAlignment="1">
      <alignment horizontal="center"/>
    </xf>
    <xf numFmtId="0" fontId="46" fillId="5" borderId="22" xfId="0" applyFont="1" applyFill="1" applyBorder="1" applyAlignment="1">
      <alignment/>
    </xf>
    <xf numFmtId="37" fontId="54" fillId="5" borderId="21" xfId="0" applyNumberFormat="1" applyFont="1" applyFill="1" applyBorder="1" applyAlignment="1">
      <alignment horizontal="center"/>
    </xf>
    <xf numFmtId="37" fontId="50" fillId="5" borderId="11" xfId="0" applyNumberFormat="1" applyFont="1" applyFill="1" applyBorder="1" applyAlignment="1">
      <alignment horizontal="center"/>
    </xf>
    <xf numFmtId="37" fontId="50" fillId="5" borderId="2" xfId="0" applyNumberFormat="1" applyFont="1" applyFill="1" applyBorder="1" applyAlignment="1">
      <alignment horizontal="center"/>
    </xf>
    <xf numFmtId="37" fontId="50" fillId="5" borderId="12" xfId="0" applyNumberFormat="1" applyFont="1" applyFill="1" applyBorder="1" applyAlignment="1">
      <alignment horizontal="center"/>
    </xf>
    <xf numFmtId="37" fontId="46" fillId="5" borderId="10" xfId="0" applyNumberFormat="1" applyFont="1" applyFill="1" applyBorder="1" applyAlignment="1">
      <alignment/>
    </xf>
    <xf numFmtId="37" fontId="46" fillId="5" borderId="2" xfId="0" applyNumberFormat="1" applyFont="1" applyFill="1" applyBorder="1" applyAlignment="1">
      <alignment/>
    </xf>
    <xf numFmtId="37" fontId="0" fillId="6" borderId="9" xfId="0" applyNumberFormat="1" applyFont="1" applyFill="1" applyBorder="1" applyAlignment="1">
      <alignment/>
    </xf>
    <xf numFmtId="37" fontId="0" fillId="6" borderId="11" xfId="0" applyNumberFormat="1" applyFont="1" applyFill="1" applyBorder="1" applyAlignment="1">
      <alignment/>
    </xf>
    <xf numFmtId="37" fontId="0" fillId="6" borderId="10" xfId="0" applyNumberFormat="1" applyFont="1" applyFill="1" applyBorder="1" applyAlignment="1">
      <alignment/>
    </xf>
    <xf numFmtId="37" fontId="0" fillId="6" borderId="2" xfId="0" applyNumberFormat="1" applyFont="1" applyFill="1" applyBorder="1" applyAlignment="1">
      <alignment/>
    </xf>
    <xf numFmtId="37" fontId="0" fillId="6" borderId="12" xfId="0" applyNumberFormat="1" applyFont="1" applyFill="1" applyBorder="1" applyAlignment="1">
      <alignment/>
    </xf>
    <xf numFmtId="37" fontId="0" fillId="4" borderId="9" xfId="0" applyNumberFormat="1" applyFont="1" applyFill="1" applyBorder="1" applyAlignment="1">
      <alignment/>
    </xf>
    <xf numFmtId="37" fontId="0" fillId="4" borderId="11" xfId="0" applyNumberFormat="1" applyFont="1" applyFill="1" applyBorder="1" applyAlignment="1">
      <alignment/>
    </xf>
    <xf numFmtId="37" fontId="0" fillId="4" borderId="15" xfId="0" applyNumberFormat="1" applyFont="1" applyFill="1" applyBorder="1" applyAlignment="1">
      <alignment/>
    </xf>
    <xf numFmtId="37" fontId="0" fillId="4" borderId="13" xfId="0" applyNumberFormat="1" applyFont="1" applyFill="1" applyBorder="1" applyAlignment="1">
      <alignment/>
    </xf>
    <xf numFmtId="37" fontId="0" fillId="4" borderId="16" xfId="0" applyNumberFormat="1" applyFont="1" applyFill="1" applyBorder="1" applyAlignment="1">
      <alignment/>
    </xf>
    <xf numFmtId="37" fontId="0" fillId="5" borderId="10" xfId="0" applyNumberFormat="1" applyFont="1" applyFill="1" applyBorder="1" applyAlignment="1">
      <alignment/>
    </xf>
    <xf numFmtId="37" fontId="0" fillId="5" borderId="9" xfId="0" applyNumberFormat="1" applyFont="1" applyFill="1" applyBorder="1" applyAlignment="1">
      <alignment/>
    </xf>
    <xf numFmtId="37" fontId="0" fillId="5" borderId="11" xfId="0" applyNumberFormat="1" applyFont="1" applyFill="1" applyBorder="1" applyAlignment="1">
      <alignment/>
    </xf>
    <xf numFmtId="37" fontId="0" fillId="5" borderId="16" xfId="0" applyNumberFormat="1" applyFont="1" applyFill="1" applyBorder="1" applyAlignment="1">
      <alignment/>
    </xf>
    <xf numFmtId="37" fontId="0" fillId="5" borderId="12" xfId="0" applyNumberFormat="1" applyFont="1" applyFill="1" applyBorder="1" applyAlignment="1">
      <alignment/>
    </xf>
    <xf numFmtId="164" fontId="0" fillId="6" borderId="10" xfId="0" applyNumberFormat="1" applyFont="1" applyFill="1" applyBorder="1" applyAlignment="1">
      <alignment horizontal="center"/>
    </xf>
    <xf numFmtId="164" fontId="0" fillId="6" borderId="12" xfId="0" applyNumberFormat="1" applyFont="1" applyFill="1" applyBorder="1" applyAlignment="1">
      <alignment horizontal="center"/>
    </xf>
    <xf numFmtId="164" fontId="0" fillId="5" borderId="20" xfId="0" applyNumberFormat="1" applyFont="1" applyFill="1" applyBorder="1" applyAlignment="1">
      <alignment horizontal="center"/>
    </xf>
    <xf numFmtId="164" fontId="0" fillId="6" borderId="16" xfId="0" applyNumberFormat="1" applyFont="1" applyFill="1" applyBorder="1" applyAlignment="1">
      <alignment horizontal="center"/>
    </xf>
    <xf numFmtId="164" fontId="0" fillId="5" borderId="12" xfId="0" applyNumberFormat="1" applyFont="1" applyFill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37" fontId="0" fillId="6" borderId="13" xfId="0" applyNumberFormat="1" applyFont="1" applyFill="1" applyBorder="1" applyAlignment="1">
      <alignment/>
    </xf>
    <xf numFmtId="37" fontId="0" fillId="5" borderId="20" xfId="0" applyNumberFormat="1" applyFont="1" applyFill="1" applyBorder="1" applyAlignment="1">
      <alignment/>
    </xf>
    <xf numFmtId="37" fontId="60" fillId="6" borderId="10" xfId="0" applyNumberFormat="1" applyFont="1" applyFill="1" applyBorder="1" applyAlignment="1">
      <alignment/>
    </xf>
    <xf numFmtId="37" fontId="1" fillId="5" borderId="10" xfId="0" applyNumberFormat="1" applyFont="1" applyFill="1" applyBorder="1" applyAlignment="1">
      <alignment horizontal="center"/>
    </xf>
    <xf numFmtId="37" fontId="1" fillId="5" borderId="16" xfId="0" applyNumberFormat="1" applyFont="1" applyFill="1" applyBorder="1" applyAlignment="1">
      <alignment/>
    </xf>
    <xf numFmtId="37" fontId="1" fillId="5" borderId="12" xfId="0" applyNumberFormat="1" applyFont="1" applyFill="1" applyBorder="1" applyAlignment="1">
      <alignment/>
    </xf>
    <xf numFmtId="39" fontId="1" fillId="5" borderId="12" xfId="0" applyNumberFormat="1" applyFont="1" applyFill="1" applyBorder="1" applyAlignment="1">
      <alignment/>
    </xf>
    <xf numFmtId="0" fontId="1" fillId="5" borderId="19" xfId="0" applyFont="1" applyFill="1" applyBorder="1" applyAlignment="1">
      <alignment/>
    </xf>
    <xf numFmtId="37" fontId="1" fillId="5" borderId="10" xfId="0" applyNumberFormat="1" applyFont="1" applyFill="1" applyBorder="1" applyAlignment="1">
      <alignment horizontal="left"/>
    </xf>
    <xf numFmtId="37" fontId="1" fillId="5" borderId="10" xfId="0" applyNumberFormat="1" applyFont="1" applyFill="1" applyBorder="1" applyAlignment="1">
      <alignment/>
    </xf>
    <xf numFmtId="37" fontId="1" fillId="5" borderId="19" xfId="0" applyNumberFormat="1" applyFont="1" applyFill="1" applyBorder="1" applyAlignment="1">
      <alignment/>
    </xf>
    <xf numFmtId="37" fontId="0" fillId="6" borderId="15" xfId="0" applyNumberFormat="1" applyFont="1" applyFill="1" applyBorder="1" applyAlignment="1">
      <alignment/>
    </xf>
    <xf numFmtId="37" fontId="0" fillId="6" borderId="16" xfId="0" applyNumberFormat="1" applyFont="1" applyFill="1" applyBorder="1" applyAlignment="1">
      <alignment/>
    </xf>
    <xf numFmtId="37" fontId="0" fillId="6" borderId="0" xfId="0" applyNumberFormat="1" applyFont="1" applyFill="1" applyBorder="1" applyAlignment="1">
      <alignment/>
    </xf>
    <xf numFmtId="37" fontId="0" fillId="6" borderId="22" xfId="0" applyNumberFormat="1" applyFont="1" applyFill="1" applyBorder="1" applyAlignment="1">
      <alignment/>
    </xf>
    <xf numFmtId="37" fontId="0" fillId="6" borderId="38" xfId="0" applyNumberFormat="1" applyFont="1" applyFill="1" applyBorder="1" applyAlignment="1">
      <alignment/>
    </xf>
    <xf numFmtId="37" fontId="0" fillId="6" borderId="36" xfId="0" applyNumberFormat="1" applyFont="1" applyFill="1" applyBorder="1" applyAlignment="1">
      <alignment/>
    </xf>
    <xf numFmtId="37" fontId="0" fillId="5" borderId="17" xfId="0" applyNumberFormat="1" applyFont="1" applyFill="1" applyBorder="1" applyAlignment="1">
      <alignment/>
    </xf>
    <xf numFmtId="37" fontId="0" fillId="5" borderId="28" xfId="0" applyNumberFormat="1" applyFont="1" applyFill="1" applyBorder="1" applyAlignment="1">
      <alignment/>
    </xf>
    <xf numFmtId="37" fontId="0" fillId="5" borderId="36" xfId="0" applyNumberFormat="1" applyFont="1" applyFill="1" applyBorder="1" applyAlignment="1">
      <alignment/>
    </xf>
    <xf numFmtId="37" fontId="0" fillId="5" borderId="18" xfId="0" applyNumberFormat="1" applyFont="1" applyFill="1" applyBorder="1" applyAlignment="1">
      <alignment/>
    </xf>
    <xf numFmtId="37" fontId="0" fillId="5" borderId="19" xfId="0" applyNumberFormat="1" applyFont="1" applyFill="1" applyBorder="1" applyAlignment="1">
      <alignment/>
    </xf>
    <xf numFmtId="37" fontId="0" fillId="5" borderId="2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37" fontId="0" fillId="6" borderId="21" xfId="0" applyNumberFormat="1" applyFont="1" applyFill="1" applyBorder="1" applyAlignment="1">
      <alignment/>
    </xf>
    <xf numFmtId="39" fontId="0" fillId="4" borderId="15" xfId="0" applyNumberFormat="1" applyFont="1" applyFill="1" applyBorder="1" applyAlignment="1">
      <alignment/>
    </xf>
    <xf numFmtId="39" fontId="0" fillId="4" borderId="13" xfId="0" applyNumberFormat="1" applyFont="1" applyFill="1" applyBorder="1" applyAlignment="1">
      <alignment/>
    </xf>
    <xf numFmtId="37" fontId="0" fillId="6" borderId="10" xfId="0" applyNumberFormat="1" applyFont="1" applyFill="1" applyBorder="1" applyAlignment="1">
      <alignment/>
    </xf>
    <xf numFmtId="37" fontId="0" fillId="8" borderId="10" xfId="0" applyNumberFormat="1" applyFont="1" applyFill="1" applyBorder="1" applyAlignment="1">
      <alignment/>
    </xf>
    <xf numFmtId="37" fontId="0" fillId="6" borderId="22" xfId="0" applyNumberFormat="1" applyFont="1" applyFill="1" applyBorder="1" applyAlignment="1">
      <alignment/>
    </xf>
    <xf numFmtId="37" fontId="0" fillId="6" borderId="12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13" xfId="0" applyNumberFormat="1" applyFont="1" applyFill="1" applyBorder="1" applyAlignment="1">
      <alignment/>
    </xf>
    <xf numFmtId="0" fontId="46" fillId="5" borderId="0" xfId="0" applyFont="1" applyFill="1" applyBorder="1" applyAlignment="1">
      <alignment/>
    </xf>
    <xf numFmtId="0" fontId="50" fillId="5" borderId="10" xfId="0" applyFont="1" applyFill="1" applyBorder="1" applyAlignment="1">
      <alignment horizontal="center"/>
    </xf>
    <xf numFmtId="0" fontId="50" fillId="5" borderId="11" xfId="0" applyFont="1" applyFill="1" applyBorder="1" applyAlignment="1" quotePrefix="1">
      <alignment horizontal="center"/>
    </xf>
    <xf numFmtId="0" fontId="46" fillId="5" borderId="2" xfId="0" applyFont="1" applyFill="1" applyBorder="1" applyAlignment="1">
      <alignment/>
    </xf>
    <xf numFmtId="0" fontId="50" fillId="5" borderId="12" xfId="0" applyFont="1" applyFill="1" applyBorder="1" applyAlignment="1" quotePrefix="1">
      <alignment horizontal="center"/>
    </xf>
    <xf numFmtId="0" fontId="50" fillId="5" borderId="0" xfId="0" applyFont="1" applyFill="1" applyBorder="1" applyAlignment="1">
      <alignment horizontal="center"/>
    </xf>
    <xf numFmtId="37" fontId="50" fillId="5" borderId="9" xfId="0" applyNumberFormat="1" applyFont="1" applyFill="1" applyBorder="1" applyAlignment="1">
      <alignment horizontal="center"/>
    </xf>
    <xf numFmtId="0" fontId="50" fillId="5" borderId="17" xfId="0" applyFont="1" applyFill="1" applyBorder="1" applyAlignment="1">
      <alignment horizontal="centerContinuous"/>
    </xf>
    <xf numFmtId="0" fontId="46" fillId="5" borderId="19" xfId="0" applyFont="1" applyFill="1" applyBorder="1" applyAlignment="1">
      <alignment horizontal="centerContinuous"/>
    </xf>
    <xf numFmtId="0" fontId="50" fillId="5" borderId="15" xfId="0" applyFont="1" applyFill="1" applyBorder="1" applyAlignment="1">
      <alignment horizontal="centerContinuous"/>
    </xf>
    <xf numFmtId="0" fontId="46" fillId="5" borderId="22" xfId="0" applyFont="1" applyFill="1" applyBorder="1" applyAlignment="1">
      <alignment horizontal="centerContinuous"/>
    </xf>
    <xf numFmtId="0" fontId="50" fillId="5" borderId="11" xfId="0" applyFont="1" applyFill="1" applyBorder="1" applyAlignment="1">
      <alignment horizontal="centerContinuous"/>
    </xf>
    <xf numFmtId="0" fontId="46" fillId="5" borderId="12" xfId="0" applyFont="1" applyFill="1" applyBorder="1" applyAlignment="1">
      <alignment horizontal="centerContinuous"/>
    </xf>
    <xf numFmtId="0" fontId="46" fillId="5" borderId="15" xfId="0" applyFont="1" applyFill="1" applyBorder="1" applyAlignment="1">
      <alignment horizontal="right"/>
    </xf>
    <xf numFmtId="0" fontId="46" fillId="5" borderId="13" xfId="0" applyFont="1" applyFill="1" applyBorder="1" applyAlignment="1">
      <alignment horizontal="right"/>
    </xf>
    <xf numFmtId="0" fontId="46" fillId="5" borderId="16" xfId="0" applyFont="1" applyFill="1" applyBorder="1" applyAlignment="1">
      <alignment horizontal="right"/>
    </xf>
    <xf numFmtId="37" fontId="0" fillId="5" borderId="14" xfId="0" applyNumberFormat="1" applyFont="1" applyFill="1" applyBorder="1" applyAlignment="1">
      <alignment/>
    </xf>
    <xf numFmtId="0" fontId="0" fillId="5" borderId="0" xfId="0" applyFont="1" applyFill="1" applyBorder="1" applyAlignment="1">
      <alignment/>
    </xf>
    <xf numFmtId="37" fontId="0" fillId="5" borderId="15" xfId="0" applyNumberFormat="1" applyFont="1" applyFill="1" applyBorder="1" applyAlignment="1">
      <alignment/>
    </xf>
    <xf numFmtId="37" fontId="0" fillId="5" borderId="13" xfId="0" applyNumberFormat="1" applyFont="1" applyFill="1" applyBorder="1" applyAlignment="1">
      <alignment/>
    </xf>
    <xf numFmtId="0" fontId="0" fillId="5" borderId="19" xfId="0" applyFont="1" applyFill="1" applyBorder="1" applyAlignment="1">
      <alignment/>
    </xf>
    <xf numFmtId="0" fontId="47" fillId="5" borderId="9" xfId="0" applyFont="1" applyFill="1" applyBorder="1" applyAlignment="1">
      <alignment/>
    </xf>
    <xf numFmtId="0" fontId="46" fillId="5" borderId="12" xfId="0" applyFont="1" applyFill="1" applyBorder="1" applyAlignment="1">
      <alignment/>
    </xf>
    <xf numFmtId="0" fontId="54" fillId="5" borderId="10" xfId="0" applyFont="1" applyFill="1" applyBorder="1" applyAlignment="1" quotePrefix="1">
      <alignment horizontal="center"/>
    </xf>
    <xf numFmtId="37" fontId="0" fillId="5" borderId="22" xfId="0" applyNumberFormat="1" applyFont="1" applyFill="1" applyBorder="1" applyAlignment="1">
      <alignment/>
    </xf>
    <xf numFmtId="39" fontId="0" fillId="5" borderId="10" xfId="0" applyNumberFormat="1" applyFont="1" applyFill="1" applyBorder="1" applyAlignment="1" quotePrefix="1">
      <alignment horizontal="center"/>
    </xf>
    <xf numFmtId="37" fontId="0" fillId="5" borderId="10" xfId="0" applyNumberFormat="1" applyFont="1" applyFill="1" applyBorder="1" applyAlignment="1">
      <alignment horizontal="center"/>
    </xf>
    <xf numFmtId="37" fontId="0" fillId="5" borderId="10" xfId="0" applyNumberFormat="1" applyFont="1" applyFill="1" applyBorder="1" applyAlignment="1" quotePrefix="1">
      <alignment horizontal="center"/>
    </xf>
    <xf numFmtId="37" fontId="0" fillId="5" borderId="12" xfId="0" applyNumberFormat="1" applyFont="1" applyFill="1" applyBorder="1" applyAlignment="1">
      <alignment horizontal="center"/>
    </xf>
    <xf numFmtId="39" fontId="0" fillId="4" borderId="16" xfId="0" applyNumberFormat="1" applyFont="1" applyFill="1" applyBorder="1" applyAlignment="1">
      <alignment/>
    </xf>
    <xf numFmtId="39" fontId="50" fillId="5" borderId="15" xfId="0" applyNumberFormat="1" applyFont="1" applyFill="1" applyBorder="1" applyAlignment="1">
      <alignment horizontal="center"/>
    </xf>
    <xf numFmtId="37" fontId="50" fillId="5" borderId="14" xfId="0" applyNumberFormat="1" applyFont="1" applyFill="1" applyBorder="1" applyAlignment="1">
      <alignment horizontal="center"/>
    </xf>
    <xf numFmtId="39" fontId="50" fillId="5" borderId="16" xfId="0" applyNumberFormat="1" applyFont="1" applyFill="1" applyBorder="1" applyAlignment="1">
      <alignment horizontal="center"/>
    </xf>
    <xf numFmtId="39" fontId="46" fillId="5" borderId="13" xfId="0" applyNumberFormat="1" applyFont="1" applyFill="1" applyBorder="1" applyAlignment="1">
      <alignment/>
    </xf>
    <xf numFmtId="37" fontId="46" fillId="5" borderId="2" xfId="0" applyNumberFormat="1" applyFont="1" applyFill="1" applyBorder="1" applyAlignment="1">
      <alignment horizontal="center"/>
    </xf>
    <xf numFmtId="0" fontId="46" fillId="5" borderId="9" xfId="0" applyFont="1" applyFill="1" applyBorder="1" applyAlignment="1">
      <alignment horizontal="center"/>
    </xf>
    <xf numFmtId="0" fontId="46" fillId="5" borderId="11" xfId="0" applyFont="1" applyFill="1" applyBorder="1" applyAlignment="1">
      <alignment horizontal="center"/>
    </xf>
    <xf numFmtId="0" fontId="46" fillId="5" borderId="14" xfId="0" applyFont="1" applyFill="1" applyBorder="1" applyAlignment="1">
      <alignment horizontal="center"/>
    </xf>
    <xf numFmtId="37" fontId="0" fillId="8" borderId="13" xfId="0" applyNumberFormat="1" applyFont="1" applyFill="1" applyBorder="1" applyAlignment="1">
      <alignment/>
    </xf>
    <xf numFmtId="37" fontId="0" fillId="5" borderId="22" xfId="0" applyNumberFormat="1" applyFont="1" applyFill="1" applyBorder="1" applyAlignment="1">
      <alignment/>
    </xf>
    <xf numFmtId="37" fontId="0" fillId="5" borderId="10" xfId="0" applyNumberFormat="1" applyFont="1" applyFill="1" applyBorder="1" applyAlignment="1">
      <alignment/>
    </xf>
    <xf numFmtId="37" fontId="0" fillId="5" borderId="12" xfId="0" applyNumberFormat="1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37" fontId="0" fillId="8" borderId="0" xfId="0" applyNumberFormat="1" applyFont="1" applyFill="1" applyBorder="1" applyAlignment="1">
      <alignment/>
    </xf>
    <xf numFmtId="37" fontId="46" fillId="5" borderId="16" xfId="0" applyNumberFormat="1" applyFont="1" applyFill="1" applyBorder="1" applyAlignment="1">
      <alignment horizontal="center"/>
    </xf>
    <xf numFmtId="0" fontId="46" fillId="5" borderId="13" xfId="0" applyFont="1" applyFill="1" applyBorder="1" applyAlignment="1">
      <alignment horizontal="center"/>
    </xf>
    <xf numFmtId="0" fontId="46" fillId="5" borderId="16" xfId="0" applyFont="1" applyFill="1" applyBorder="1" applyAlignment="1">
      <alignment horizontal="center"/>
    </xf>
    <xf numFmtId="173" fontId="46" fillId="5" borderId="13" xfId="16" applyNumberFormat="1" applyFont="1" applyFill="1" applyBorder="1" applyAlignment="1">
      <alignment horizontal="center"/>
    </xf>
    <xf numFmtId="173" fontId="46" fillId="5" borderId="16" xfId="16" applyNumberFormat="1" applyFont="1" applyFill="1" applyBorder="1" applyAlignment="1">
      <alignment horizontal="center"/>
    </xf>
    <xf numFmtId="173" fontId="0" fillId="0" borderId="20" xfId="16" applyNumberFormat="1" applyFont="1" applyBorder="1" applyAlignment="1">
      <alignment horizontal="center"/>
    </xf>
    <xf numFmtId="173" fontId="0" fillId="8" borderId="20" xfId="16" applyNumberFormat="1" applyFont="1" applyFill="1" applyBorder="1" applyAlignment="1">
      <alignment horizontal="center"/>
    </xf>
    <xf numFmtId="39" fontId="0" fillId="5" borderId="13" xfId="0" applyNumberFormat="1" applyFont="1" applyFill="1" applyBorder="1" applyAlignment="1">
      <alignment/>
    </xf>
    <xf numFmtId="39" fontId="0" fillId="5" borderId="10" xfId="0" applyNumberFormat="1" applyFont="1" applyFill="1" applyBorder="1" applyAlignment="1">
      <alignment/>
    </xf>
    <xf numFmtId="39" fontId="0" fillId="5" borderId="16" xfId="0" applyNumberFormat="1" applyFont="1" applyFill="1" applyBorder="1" applyAlignment="1">
      <alignment/>
    </xf>
    <xf numFmtId="39" fontId="0" fillId="5" borderId="12" xfId="0" applyNumberFormat="1" applyFont="1" applyFill="1" applyBorder="1" applyAlignment="1">
      <alignment/>
    </xf>
    <xf numFmtId="0" fontId="46" fillId="5" borderId="0" xfId="0" applyFont="1" applyFill="1" applyAlignment="1">
      <alignment/>
    </xf>
    <xf numFmtId="37" fontId="46" fillId="5" borderId="20" xfId="0" applyNumberFormat="1" applyFont="1" applyFill="1" applyBorder="1" applyAlignment="1">
      <alignment horizontal="center"/>
    </xf>
    <xf numFmtId="37" fontId="0" fillId="6" borderId="16" xfId="0" applyNumberFormat="1" applyFont="1" applyFill="1" applyBorder="1" applyAlignment="1">
      <alignment horizontal="center"/>
    </xf>
    <xf numFmtId="37" fontId="0" fillId="0" borderId="16" xfId="0" applyNumberFormat="1" applyFont="1" applyFill="1" applyBorder="1" applyAlignment="1">
      <alignment horizontal="center"/>
    </xf>
    <xf numFmtId="37" fontId="0" fillId="6" borderId="12" xfId="0" applyNumberFormat="1" applyFont="1" applyFill="1" applyBorder="1" applyAlignment="1">
      <alignment horizontal="center"/>
    </xf>
    <xf numFmtId="37" fontId="0" fillId="0" borderId="12" xfId="0" applyNumberFormat="1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center"/>
    </xf>
    <xf numFmtId="37" fontId="0" fillId="5" borderId="20" xfId="0" applyNumberFormat="1" applyFont="1" applyFill="1" applyBorder="1" applyAlignment="1">
      <alignment horizontal="center"/>
    </xf>
    <xf numFmtId="1" fontId="0" fillId="5" borderId="20" xfId="0" applyNumberFormat="1" applyFont="1" applyFill="1" applyBorder="1" applyAlignment="1">
      <alignment horizontal="center"/>
    </xf>
    <xf numFmtId="0" fontId="46" fillId="7" borderId="20" xfId="0" applyFont="1" applyFill="1" applyBorder="1" applyAlignment="1">
      <alignment/>
    </xf>
    <xf numFmtId="0" fontId="54" fillId="5" borderId="13" xfId="0" applyFont="1" applyFill="1" applyBorder="1" applyAlignment="1">
      <alignment horizontal="center"/>
    </xf>
    <xf numFmtId="0" fontId="0" fillId="5" borderId="16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61" fillId="0" borderId="0" xfId="0" applyFont="1" applyFill="1" applyAlignment="1">
      <alignment/>
    </xf>
    <xf numFmtId="39" fontId="61" fillId="0" borderId="0" xfId="0" applyNumberFormat="1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0" fontId="30" fillId="0" borderId="0" xfId="22" applyFont="1" applyFill="1" applyBorder="1">
      <alignment/>
      <protection/>
    </xf>
    <xf numFmtId="170" fontId="16" fillId="0" borderId="9" xfId="22" applyNumberFormat="1" applyFont="1" applyFill="1" applyBorder="1">
      <alignment/>
      <protection/>
    </xf>
    <xf numFmtId="170" fontId="16" fillId="0" borderId="13" xfId="22" applyNumberFormat="1" applyFont="1" applyFill="1" applyBorder="1">
      <alignment/>
      <protection/>
    </xf>
    <xf numFmtId="17" fontId="17" fillId="0" borderId="0" xfId="22" applyNumberFormat="1" applyFont="1" applyFill="1" applyAlignment="1">
      <alignment horizontal="left"/>
      <protection/>
    </xf>
    <xf numFmtId="37" fontId="60" fillId="6" borderId="10" xfId="0" applyNumberFormat="1" applyFont="1" applyFill="1" applyBorder="1" applyAlignment="1">
      <alignment/>
    </xf>
    <xf numFmtId="37" fontId="60" fillId="6" borderId="12" xfId="0" applyNumberFormat="1" applyFont="1" applyFill="1" applyBorder="1" applyAlignment="1">
      <alignment/>
    </xf>
    <xf numFmtId="0" fontId="62" fillId="0" borderId="0" xfId="0" applyFont="1" applyFill="1" applyAlignment="1">
      <alignment/>
    </xf>
    <xf numFmtId="37" fontId="0" fillId="6" borderId="14" xfId="0" applyNumberFormat="1" applyFont="1" applyFill="1" applyBorder="1" applyAlignment="1">
      <alignment/>
    </xf>
    <xf numFmtId="37" fontId="0" fillId="4" borderId="13" xfId="0" applyNumberFormat="1" applyFont="1" applyFill="1" applyBorder="1" applyAlignment="1">
      <alignment/>
    </xf>
    <xf numFmtId="37" fontId="0" fillId="4" borderId="0" xfId="0" applyNumberFormat="1" applyFont="1" applyFill="1" applyBorder="1" applyAlignment="1">
      <alignment/>
    </xf>
    <xf numFmtId="37" fontId="0" fillId="4" borderId="1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37" fontId="14" fillId="0" borderId="0" xfId="0" applyNumberFormat="1" applyFont="1" applyFill="1" applyBorder="1" applyAlignment="1">
      <alignment/>
    </xf>
    <xf numFmtId="37" fontId="16" fillId="0" borderId="0" xfId="0" applyNumberFormat="1" applyFont="1" applyFill="1" applyAlignment="1">
      <alignment/>
    </xf>
    <xf numFmtId="37" fontId="16" fillId="0" borderId="2" xfId="0" applyNumberFormat="1" applyFont="1" applyFill="1" applyBorder="1" applyAlignment="1">
      <alignment/>
    </xf>
    <xf numFmtId="17" fontId="63" fillId="6" borderId="19" xfId="0" applyNumberFormat="1" applyFont="1" applyFill="1" applyBorder="1" applyAlignment="1" quotePrefix="1">
      <alignment horizontal="left"/>
    </xf>
    <xf numFmtId="173" fontId="16" fillId="0" borderId="2" xfId="16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Alignment="1">
      <alignment/>
    </xf>
    <xf numFmtId="37" fontId="66" fillId="0" borderId="0" xfId="0" applyNumberFormat="1" applyFont="1" applyFill="1" applyBorder="1" applyAlignment="1">
      <alignment/>
    </xf>
    <xf numFmtId="37" fontId="65" fillId="0" borderId="0" xfId="0" applyNumberFormat="1" applyFont="1" applyFill="1" applyBorder="1" applyAlignment="1">
      <alignment/>
    </xf>
    <xf numFmtId="0" fontId="67" fillId="0" borderId="0" xfId="0" applyFont="1" applyFill="1" applyAlignment="1">
      <alignment/>
    </xf>
    <xf numFmtId="17" fontId="8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0" fontId="31" fillId="0" borderId="14" xfId="0" applyFont="1" applyBorder="1" applyAlignment="1">
      <alignment/>
    </xf>
    <xf numFmtId="0" fontId="31" fillId="0" borderId="21" xfId="0" applyFont="1" applyBorder="1" applyAlignment="1">
      <alignment/>
    </xf>
    <xf numFmtId="0" fontId="31" fillId="0" borderId="22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/>
    </xf>
    <xf numFmtId="0" fontId="31" fillId="0" borderId="19" xfId="0" applyFont="1" applyBorder="1" applyAlignment="1">
      <alignment/>
    </xf>
    <xf numFmtId="0" fontId="31" fillId="0" borderId="11" xfId="0" applyFont="1" applyBorder="1" applyAlignment="1">
      <alignment/>
    </xf>
    <xf numFmtId="0" fontId="31" fillId="0" borderId="2" xfId="0" applyFont="1" applyBorder="1" applyAlignment="1">
      <alignment/>
    </xf>
    <xf numFmtId="0" fontId="31" fillId="0" borderId="12" xfId="0" applyFont="1" applyBorder="1" applyAlignment="1">
      <alignment/>
    </xf>
    <xf numFmtId="0" fontId="31" fillId="0" borderId="20" xfId="0" applyFont="1" applyBorder="1" applyAlignment="1">
      <alignment wrapText="1"/>
    </xf>
    <xf numFmtId="0" fontId="68" fillId="0" borderId="20" xfId="0" applyFont="1" applyBorder="1" applyAlignment="1">
      <alignment wrapText="1"/>
    </xf>
    <xf numFmtId="0" fontId="68" fillId="0" borderId="20" xfId="0" applyFont="1" applyBorder="1" applyAlignment="1">
      <alignment horizontal="center" wrapText="1"/>
    </xf>
    <xf numFmtId="0" fontId="31" fillId="0" borderId="0" xfId="0" applyFont="1" applyAlignment="1">
      <alignment wrapText="1"/>
    </xf>
    <xf numFmtId="1" fontId="31" fillId="0" borderId="20" xfId="0" applyNumberFormat="1" applyFont="1" applyBorder="1" applyAlignment="1">
      <alignment wrapText="1"/>
    </xf>
    <xf numFmtId="0" fontId="31" fillId="0" borderId="20" xfId="0" applyFont="1" applyBorder="1" applyAlignment="1">
      <alignment wrapText="1"/>
    </xf>
    <xf numFmtId="0" fontId="31" fillId="0" borderId="15" xfId="0" applyFont="1" applyBorder="1" applyAlignment="1">
      <alignment wrapText="1"/>
    </xf>
    <xf numFmtId="0" fontId="41" fillId="0" borderId="18" xfId="0" applyFont="1" applyBorder="1" applyAlignment="1">
      <alignment wrapText="1"/>
    </xf>
    <xf numFmtId="0" fontId="31" fillId="0" borderId="18" xfId="0" applyFont="1" applyBorder="1" applyAlignment="1">
      <alignment wrapText="1"/>
    </xf>
    <xf numFmtId="1" fontId="41" fillId="0" borderId="20" xfId="0" applyNumberFormat="1" applyFont="1" applyBorder="1" applyAlignment="1">
      <alignment wrapText="1"/>
    </xf>
    <xf numFmtId="0" fontId="31" fillId="0" borderId="13" xfId="0" applyFont="1" applyBorder="1" applyAlignment="1">
      <alignment wrapText="1"/>
    </xf>
    <xf numFmtId="0" fontId="41" fillId="0" borderId="2" xfId="0" applyFont="1" applyBorder="1" applyAlignment="1">
      <alignment wrapText="1"/>
    </xf>
    <xf numFmtId="0" fontId="41" fillId="0" borderId="12" xfId="0" applyFont="1" applyBorder="1" applyAlignment="1">
      <alignment wrapText="1"/>
    </xf>
    <xf numFmtId="0" fontId="31" fillId="0" borderId="16" xfId="0" applyFont="1" applyBorder="1" applyAlignment="1">
      <alignment wrapText="1"/>
    </xf>
    <xf numFmtId="0" fontId="31" fillId="0" borderId="17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31" fillId="0" borderId="0" xfId="0" applyFont="1" applyAlignment="1">
      <alignment horizontal="right" wrapText="1"/>
    </xf>
    <xf numFmtId="14" fontId="31" fillId="0" borderId="2" xfId="0" applyNumberFormat="1" applyFont="1" applyBorder="1" applyAlignment="1">
      <alignment horizontal="left" wrapText="1"/>
    </xf>
    <xf numFmtId="0" fontId="31" fillId="0" borderId="2" xfId="0" applyFont="1" applyBorder="1" applyAlignment="1">
      <alignment horizontal="left"/>
    </xf>
    <xf numFmtId="0" fontId="31" fillId="0" borderId="0" xfId="0" applyFont="1" applyAlignment="1">
      <alignment horizontal="left" wrapText="1"/>
    </xf>
    <xf numFmtId="0" fontId="31" fillId="0" borderId="0" xfId="0" applyFont="1" applyAlignment="1">
      <alignment horizontal="right"/>
    </xf>
    <xf numFmtId="0" fontId="31" fillId="0" borderId="2" xfId="0" applyFont="1" applyBorder="1" applyAlignment="1">
      <alignment wrapText="1"/>
    </xf>
    <xf numFmtId="0" fontId="31" fillId="0" borderId="2" xfId="0" applyFont="1" applyBorder="1" applyAlignment="1">
      <alignment/>
    </xf>
    <xf numFmtId="37" fontId="17" fillId="0" borderId="0" xfId="0" applyNumberFormat="1" applyFont="1" applyFill="1" applyBorder="1" applyAlignment="1">
      <alignment horizontal="center"/>
    </xf>
    <xf numFmtId="37" fontId="49" fillId="5" borderId="20" xfId="0" applyNumberFormat="1" applyFont="1" applyFill="1" applyBorder="1" applyAlignment="1">
      <alignment horizontal="center"/>
    </xf>
    <xf numFmtId="37" fontId="51" fillId="5" borderId="20" xfId="0" applyNumberFormat="1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0" fillId="0" borderId="0" xfId="0" applyFill="1" applyAlignment="1" quotePrefix="1">
      <alignment/>
    </xf>
    <xf numFmtId="173" fontId="0" fillId="0" borderId="0" xfId="16" applyNumberFormat="1" applyFill="1" applyAlignment="1">
      <alignment/>
    </xf>
    <xf numFmtId="173" fontId="0" fillId="0" borderId="0" xfId="16" applyNumberFormat="1" applyFill="1" applyAlignment="1">
      <alignment/>
    </xf>
    <xf numFmtId="37" fontId="70" fillId="0" borderId="2" xfId="0" applyNumberFormat="1" applyFont="1" applyFill="1" applyBorder="1" applyAlignment="1">
      <alignment/>
    </xf>
    <xf numFmtId="0" fontId="71" fillId="0" borderId="0" xfId="0" applyFont="1" applyAlignment="1">
      <alignment/>
    </xf>
    <xf numFmtId="2" fontId="60" fillId="0" borderId="13" xfId="0" applyNumberFormat="1" applyFont="1" applyFill="1" applyBorder="1" applyAlignment="1">
      <alignment/>
    </xf>
    <xf numFmtId="2" fontId="60" fillId="6" borderId="13" xfId="0" applyNumberFormat="1" applyFont="1" applyFill="1" applyBorder="1" applyAlignment="1">
      <alignment/>
    </xf>
    <xf numFmtId="2" fontId="60" fillId="6" borderId="16" xfId="0" applyNumberFormat="1" applyFont="1" applyFill="1" applyBorder="1" applyAlignment="1">
      <alignment/>
    </xf>
    <xf numFmtId="173" fontId="8" fillId="9" borderId="0" xfId="16" applyNumberFormat="1" applyFont="1" applyFill="1" applyAlignment="1">
      <alignment/>
    </xf>
    <xf numFmtId="37" fontId="29" fillId="8" borderId="10" xfId="22" applyNumberFormat="1" applyFont="1" applyFill="1" applyBorder="1">
      <alignment/>
      <protection/>
    </xf>
    <xf numFmtId="0" fontId="16" fillId="0" borderId="0" xfId="22" applyFont="1" applyFill="1" applyAlignment="1">
      <alignment horizontal="left"/>
      <protection/>
    </xf>
    <xf numFmtId="37" fontId="16" fillId="0" borderId="0" xfId="22" applyNumberFormat="1" applyFont="1" applyFill="1">
      <alignment/>
      <protection/>
    </xf>
    <xf numFmtId="37" fontId="17" fillId="0" borderId="0" xfId="22" applyNumberFormat="1" applyFont="1" applyFill="1">
      <alignment/>
      <protection/>
    </xf>
    <xf numFmtId="37" fontId="29" fillId="0" borderId="10" xfId="22" applyNumberFormat="1" applyFont="1" applyFill="1" applyBorder="1">
      <alignment/>
      <protection/>
    </xf>
    <xf numFmtId="37" fontId="29" fillId="0" borderId="10" xfId="22" applyNumberFormat="1" applyFont="1" applyFill="1" applyBorder="1" quotePrefix="1">
      <alignment/>
      <protection/>
    </xf>
    <xf numFmtId="4" fontId="0" fillId="0" borderId="20" xfId="0" applyNumberFormat="1" applyFont="1" applyFill="1" applyBorder="1" applyAlignment="1">
      <alignment horizontal="center"/>
    </xf>
    <xf numFmtId="0" fontId="8" fillId="6" borderId="0" xfId="0" applyFont="1" applyFill="1" applyAlignment="1">
      <alignment/>
    </xf>
    <xf numFmtId="37" fontId="60" fillId="6" borderId="15" xfId="0" applyNumberFormat="1" applyFont="1" applyFill="1" applyBorder="1" applyAlignment="1">
      <alignment/>
    </xf>
    <xf numFmtId="37" fontId="60" fillId="6" borderId="13" xfId="0" applyNumberFormat="1" applyFont="1" applyFill="1" applyBorder="1" applyAlignment="1">
      <alignment/>
    </xf>
    <xf numFmtId="37" fontId="60" fillId="6" borderId="16" xfId="0" applyNumberFormat="1" applyFont="1" applyFill="1" applyBorder="1" applyAlignment="1">
      <alignment/>
    </xf>
    <xf numFmtId="37" fontId="60" fillId="6" borderId="14" xfId="0" applyNumberFormat="1" applyFont="1" applyFill="1" applyBorder="1" applyAlignment="1">
      <alignment/>
    </xf>
    <xf numFmtId="37" fontId="60" fillId="6" borderId="9" xfId="0" applyNumberFormat="1" applyFont="1" applyFill="1" applyBorder="1" applyAlignment="1">
      <alignment/>
    </xf>
    <xf numFmtId="37" fontId="60" fillId="6" borderId="11" xfId="0" applyNumberFormat="1" applyFont="1" applyFill="1" applyBorder="1" applyAlignment="1">
      <alignment/>
    </xf>
    <xf numFmtId="37" fontId="60" fillId="6" borderId="0" xfId="0" applyNumberFormat="1" applyFont="1" applyFill="1" applyBorder="1" applyAlignment="1">
      <alignment/>
    </xf>
    <xf numFmtId="37" fontId="60" fillId="6" borderId="2" xfId="0" applyNumberFormat="1" applyFont="1" applyFill="1" applyBorder="1" applyAlignment="1">
      <alignment/>
    </xf>
    <xf numFmtId="37" fontId="60" fillId="0" borderId="13" xfId="0" applyNumberFormat="1" applyFont="1" applyFill="1" applyBorder="1" applyAlignment="1">
      <alignment/>
    </xf>
    <xf numFmtId="37" fontId="60" fillId="0" borderId="9" xfId="0" applyNumberFormat="1" applyFont="1" applyFill="1" applyBorder="1" applyAlignment="1">
      <alignment/>
    </xf>
    <xf numFmtId="37" fontId="60" fillId="6" borderId="13" xfId="0" applyNumberFormat="1" applyFont="1" applyFill="1" applyBorder="1" applyAlignment="1">
      <alignment/>
    </xf>
    <xf numFmtId="37" fontId="60" fillId="6" borderId="0" xfId="0" applyNumberFormat="1" applyFont="1" applyFill="1" applyBorder="1" applyAlignment="1">
      <alignment/>
    </xf>
    <xf numFmtId="37" fontId="60" fillId="6" borderId="15" xfId="0" applyNumberFormat="1" applyFont="1" applyFill="1" applyBorder="1" applyAlignment="1">
      <alignment/>
    </xf>
    <xf numFmtId="37" fontId="60" fillId="8" borderId="13" xfId="0" applyNumberFormat="1" applyFont="1" applyFill="1" applyBorder="1" applyAlignment="1">
      <alignment/>
    </xf>
    <xf numFmtId="37" fontId="60" fillId="8" borderId="9" xfId="0" applyNumberFormat="1" applyFont="1" applyFill="1" applyBorder="1" applyAlignment="1">
      <alignment/>
    </xf>
    <xf numFmtId="37" fontId="60" fillId="6" borderId="16" xfId="0" applyNumberFormat="1" applyFont="1" applyFill="1" applyBorder="1" applyAlignment="1">
      <alignment/>
    </xf>
    <xf numFmtId="37" fontId="60" fillId="6" borderId="21" xfId="0" applyNumberFormat="1" applyFont="1" applyFill="1" applyBorder="1" applyAlignment="1">
      <alignment/>
    </xf>
    <xf numFmtId="37" fontId="60" fillId="6" borderId="2" xfId="0" applyNumberFormat="1" applyFont="1" applyFill="1" applyBorder="1" applyAlignment="1">
      <alignment/>
    </xf>
    <xf numFmtId="37" fontId="60" fillId="8" borderId="0" xfId="0" applyNumberFormat="1" applyFont="1" applyFill="1" applyBorder="1" applyAlignment="1">
      <alignment/>
    </xf>
    <xf numFmtId="37" fontId="60" fillId="4" borderId="13" xfId="0" applyNumberFormat="1" applyFont="1" applyFill="1" applyBorder="1" applyAlignment="1">
      <alignment/>
    </xf>
    <xf numFmtId="37" fontId="60" fillId="8" borderId="14" xfId="0" applyNumberFormat="1" applyFont="1" applyFill="1" applyBorder="1" applyAlignment="1">
      <alignment/>
    </xf>
    <xf numFmtId="37" fontId="60" fillId="4" borderId="9" xfId="0" applyNumberFormat="1" applyFont="1" applyFill="1" applyBorder="1" applyAlignment="1">
      <alignment/>
    </xf>
    <xf numFmtId="37" fontId="60" fillId="6" borderId="14" xfId="0" applyNumberFormat="1" applyFont="1" applyFill="1" applyBorder="1" applyAlignment="1">
      <alignment/>
    </xf>
    <xf numFmtId="37" fontId="60" fillId="6" borderId="9" xfId="0" applyNumberFormat="1" applyFont="1" applyFill="1" applyBorder="1" applyAlignment="1">
      <alignment/>
    </xf>
    <xf numFmtId="37" fontId="60" fillId="8" borderId="0" xfId="0" applyNumberFormat="1" applyFont="1" applyFill="1" applyBorder="1" applyAlignment="1">
      <alignment horizontal="right"/>
    </xf>
    <xf numFmtId="37" fontId="60" fillId="6" borderId="9" xfId="0" applyNumberFormat="1" applyFont="1" applyFill="1" applyBorder="1" applyAlignment="1">
      <alignment horizontal="right"/>
    </xf>
    <xf numFmtId="37" fontId="60" fillId="6" borderId="2" xfId="0" applyNumberFormat="1" applyFont="1" applyFill="1" applyBorder="1" applyAlignment="1">
      <alignment horizontal="right"/>
    </xf>
    <xf numFmtId="37" fontId="60" fillId="6" borderId="11" xfId="0" applyNumberFormat="1" applyFont="1" applyFill="1" applyBorder="1" applyAlignment="1">
      <alignment horizontal="right"/>
    </xf>
    <xf numFmtId="0" fontId="72" fillId="0" borderId="0" xfId="0" applyFont="1" applyAlignment="1">
      <alignment/>
    </xf>
    <xf numFmtId="173" fontId="72" fillId="0" borderId="0" xfId="0" applyNumberFormat="1" applyFont="1" applyAlignment="1">
      <alignment/>
    </xf>
    <xf numFmtId="0" fontId="23" fillId="0" borderId="0" xfId="0" applyFont="1" applyAlignment="1">
      <alignment/>
    </xf>
    <xf numFmtId="173" fontId="23" fillId="0" borderId="0" xfId="0" applyNumberFormat="1" applyFont="1" applyAlignment="1">
      <alignment/>
    </xf>
    <xf numFmtId="0" fontId="60" fillId="0" borderId="0" xfId="0" applyFont="1" applyAlignment="1">
      <alignment horizontal="center"/>
    </xf>
    <xf numFmtId="173" fontId="16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173" fontId="8" fillId="4" borderId="0" xfId="16" applyNumberFormat="1" applyFont="1" applyFill="1" applyBorder="1" applyAlignment="1">
      <alignment/>
    </xf>
    <xf numFmtId="0" fontId="73" fillId="5" borderId="0" xfId="0" applyFont="1" applyFill="1" applyAlignment="1">
      <alignment/>
    </xf>
    <xf numFmtId="172" fontId="0" fillId="0" borderId="0" xfId="0" applyNumberFormat="1" applyAlignment="1">
      <alignment horizontal="center"/>
    </xf>
    <xf numFmtId="5" fontId="0" fillId="0" borderId="0" xfId="0" applyNumberFormat="1" applyFill="1" applyBorder="1" applyAlignment="1">
      <alignment horizontal="center"/>
    </xf>
    <xf numFmtId="37" fontId="8" fillId="10" borderId="0" xfId="0" applyNumberFormat="1" applyFont="1" applyFill="1" applyAlignment="1">
      <alignment/>
    </xf>
    <xf numFmtId="37" fontId="8" fillId="10" borderId="2" xfId="0" applyNumberFormat="1" applyFont="1" applyFill="1" applyBorder="1" applyAlignment="1">
      <alignment/>
    </xf>
    <xf numFmtId="0" fontId="46" fillId="0" borderId="2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center"/>
    </xf>
    <xf numFmtId="0" fontId="50" fillId="5" borderId="18" xfId="0" applyFont="1" applyFill="1" applyBorder="1" applyAlignment="1">
      <alignment horizontal="center"/>
    </xf>
    <xf numFmtId="0" fontId="50" fillId="5" borderId="19" xfId="0" applyFont="1" applyFill="1" applyBorder="1" applyAlignment="1">
      <alignment horizontal="center"/>
    </xf>
    <xf numFmtId="0" fontId="47" fillId="5" borderId="17" xfId="0" applyFont="1" applyFill="1" applyBorder="1" applyAlignment="1">
      <alignment horizontal="left"/>
    </xf>
    <xf numFmtId="0" fontId="47" fillId="5" borderId="18" xfId="0" applyFont="1" applyFill="1" applyBorder="1" applyAlignment="1">
      <alignment horizontal="left"/>
    </xf>
    <xf numFmtId="0" fontId="47" fillId="5" borderId="19" xfId="0" applyFont="1" applyFill="1" applyBorder="1" applyAlignment="1">
      <alignment horizontal="left"/>
    </xf>
    <xf numFmtId="0" fontId="50" fillId="5" borderId="9" xfId="0" applyFont="1" applyFill="1" applyBorder="1" applyAlignment="1">
      <alignment horizontal="center"/>
    </xf>
    <xf numFmtId="0" fontId="50" fillId="5" borderId="0" xfId="0" applyFont="1" applyFill="1" applyBorder="1" applyAlignment="1">
      <alignment horizontal="center"/>
    </xf>
    <xf numFmtId="0" fontId="50" fillId="5" borderId="10" xfId="0" applyFont="1" applyFill="1" applyBorder="1" applyAlignment="1">
      <alignment horizontal="center"/>
    </xf>
    <xf numFmtId="0" fontId="50" fillId="5" borderId="11" xfId="0" applyFont="1" applyFill="1" applyBorder="1" applyAlignment="1">
      <alignment horizontal="center"/>
    </xf>
    <xf numFmtId="0" fontId="50" fillId="5" borderId="2" xfId="0" applyFont="1" applyFill="1" applyBorder="1" applyAlignment="1">
      <alignment horizontal="center"/>
    </xf>
    <xf numFmtId="0" fontId="50" fillId="5" borderId="12" xfId="0" applyFont="1" applyFill="1" applyBorder="1" applyAlignment="1">
      <alignment horizontal="center"/>
    </xf>
    <xf numFmtId="43" fontId="0" fillId="0" borderId="20" xfId="23" applyBorder="1" applyAlignment="1">
      <alignment horizontal="center"/>
      <protection/>
    </xf>
    <xf numFmtId="43" fontId="0" fillId="0" borderId="29" xfId="23" applyBorder="1" applyAlignment="1">
      <alignment horizontal="center"/>
      <protection/>
    </xf>
    <xf numFmtId="43" fontId="21" fillId="0" borderId="39" xfId="23" applyFont="1" applyBorder="1" applyAlignment="1">
      <alignment horizontal="center"/>
      <protection/>
    </xf>
    <xf numFmtId="43" fontId="38" fillId="0" borderId="40" xfId="23" applyFont="1" applyBorder="1" applyAlignment="1">
      <alignment horizontal="center"/>
      <protection/>
    </xf>
    <xf numFmtId="43" fontId="38" fillId="0" borderId="41" xfId="23" applyFont="1" applyBorder="1" applyAlignment="1">
      <alignment horizontal="center"/>
      <protection/>
    </xf>
    <xf numFmtId="0" fontId="0" fillId="0" borderId="33" xfId="23" applyNumberFormat="1" applyBorder="1" applyAlignment="1">
      <alignment horizontal="center"/>
      <protection/>
    </xf>
    <xf numFmtId="0" fontId="0" fillId="0" borderId="2" xfId="23" applyNumberFormat="1" applyBorder="1" applyAlignment="1">
      <alignment horizontal="center"/>
      <protection/>
    </xf>
    <xf numFmtId="0" fontId="3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9" fillId="0" borderId="18" xfId="0" applyFont="1" applyBorder="1" applyAlignment="1">
      <alignment horizontal="left" wrapText="1"/>
    </xf>
    <xf numFmtId="0" fontId="69" fillId="0" borderId="19" xfId="0" applyFont="1" applyBorder="1" applyAlignment="1">
      <alignment horizontal="left" wrapText="1"/>
    </xf>
    <xf numFmtId="0" fontId="23" fillId="0" borderId="17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left" wrapText="1"/>
    </xf>
    <xf numFmtId="0" fontId="23" fillId="0" borderId="19" xfId="0" applyFont="1" applyBorder="1" applyAlignment="1">
      <alignment horizontal="left" wrapText="1"/>
    </xf>
    <xf numFmtId="0" fontId="41" fillId="0" borderId="18" xfId="0" applyFont="1" applyBorder="1" applyAlignment="1">
      <alignment horizontal="center" wrapText="1"/>
    </xf>
    <xf numFmtId="0" fontId="41" fillId="0" borderId="19" xfId="0" applyFont="1" applyBorder="1" applyAlignment="1">
      <alignment horizontal="center" wrapText="1"/>
    </xf>
    <xf numFmtId="0" fontId="31" fillId="0" borderId="2" xfId="0" applyFont="1" applyBorder="1" applyAlignment="1">
      <alignment horizontal="left" wrapText="1"/>
    </xf>
    <xf numFmtId="0" fontId="6" fillId="0" borderId="2" xfId="21" applyFill="1" applyBorder="1" applyAlignment="1">
      <alignment horizontal="left" wrapText="1"/>
    </xf>
    <xf numFmtId="0" fontId="21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46" fillId="0" borderId="0" xfId="0" applyFont="1" applyBorder="1" applyAlignment="1">
      <alignment horizontal="center"/>
    </xf>
    <xf numFmtId="37" fontId="50" fillId="5" borderId="17" xfId="0" applyNumberFormat="1" applyFont="1" applyFill="1" applyBorder="1" applyAlignment="1">
      <alignment horizontal="center"/>
    </xf>
    <xf numFmtId="37" fontId="50" fillId="5" borderId="19" xfId="0" applyNumberFormat="1" applyFont="1" applyFill="1" applyBorder="1" applyAlignment="1">
      <alignment horizontal="center"/>
    </xf>
    <xf numFmtId="0" fontId="46" fillId="5" borderId="20" xfId="0" applyFont="1" applyFill="1" applyBorder="1" applyAlignment="1">
      <alignment horizontal="center"/>
    </xf>
    <xf numFmtId="0" fontId="46" fillId="5" borderId="17" xfId="0" applyFont="1" applyFill="1" applyBorder="1" applyAlignment="1">
      <alignment horizontal="center"/>
    </xf>
    <xf numFmtId="0" fontId="46" fillId="5" borderId="19" xfId="0" applyFont="1" applyFill="1" applyBorder="1" applyAlignment="1">
      <alignment horizontal="center"/>
    </xf>
    <xf numFmtId="0" fontId="46" fillId="5" borderId="18" xfId="0" applyFont="1" applyFill="1" applyBorder="1" applyAlignment="1">
      <alignment horizontal="center"/>
    </xf>
    <xf numFmtId="0" fontId="50" fillId="5" borderId="17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1" fillId="0" borderId="2" xfId="0" applyFont="1" applyBorder="1" applyAlignment="1" quotePrefix="1">
      <alignment horizontal="center"/>
    </xf>
    <xf numFmtId="0" fontId="10" fillId="0" borderId="21" xfId="0" applyFont="1" applyBorder="1" applyAlignment="1">
      <alignment horizontal="center"/>
    </xf>
    <xf numFmtId="37" fontId="11" fillId="0" borderId="2" xfId="0" applyNumberFormat="1" applyFont="1" applyBorder="1" applyAlignment="1">
      <alignment horizontal="center"/>
    </xf>
    <xf numFmtId="0" fontId="11" fillId="0" borderId="33" xfId="0" applyFont="1" applyBorder="1" applyAlignment="1" quotePrefix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  <xf numFmtId="17" fontId="13" fillId="0" borderId="0" xfId="0" applyNumberFormat="1" applyFont="1" applyAlignment="1">
      <alignment horizontal="center"/>
    </xf>
    <xf numFmtId="37" fontId="11" fillId="0" borderId="0" xfId="0" applyNumberFormat="1" applyFont="1" applyFill="1" applyAlignment="1">
      <alignment/>
    </xf>
    <xf numFmtId="17" fontId="11" fillId="0" borderId="0" xfId="0" applyNumberFormat="1" applyFont="1" applyAlignment="1">
      <alignment horizontal="center"/>
    </xf>
    <xf numFmtId="37" fontId="11" fillId="0" borderId="0" xfId="0" applyNumberFormat="1" applyFont="1" applyBorder="1" applyAlignment="1">
      <alignment/>
    </xf>
    <xf numFmtId="37" fontId="11" fillId="0" borderId="0" xfId="0" applyNumberFormat="1" applyFont="1" applyAlignment="1">
      <alignment/>
    </xf>
  </cellXfs>
  <cellStyles count="15">
    <cellStyle name="Normal" xfId="0"/>
    <cellStyle name="cajun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IPS-565TRANS" xfId="22"/>
    <cellStyle name="Normal_Spreadsheet Risk Assessment_111108_bjm_final updated" xfId="23"/>
    <cellStyle name="ntec" xfId="24"/>
    <cellStyle name="Percent" xfId="25"/>
    <cellStyle name="PSChar" xfId="26"/>
    <cellStyle name="PSHeading" xfId="27"/>
    <cellStyle name="PSSpacer" xfId="28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3648075</xdr:colOff>
      <xdr:row>0</xdr:row>
      <xdr:rowOff>0</xdr:rowOff>
    </xdr:from>
    <xdr:to>
      <xdr:col>2</xdr:col>
      <xdr:colOff>600075</xdr:colOff>
      <xdr:row>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2343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28575</xdr:rowOff>
    </xdr:from>
    <xdr:to>
      <xdr:col>5</xdr:col>
      <xdr:colOff>571500</xdr:colOff>
      <xdr:row>14</xdr:row>
      <xdr:rowOff>104775</xdr:rowOff>
    </xdr:to>
    <xdr:grpSp>
      <xdr:nvGrpSpPr>
        <xdr:cNvPr id="2" name="Group 7"/>
        <xdr:cNvGrpSpPr>
          <a:grpSpLocks/>
        </xdr:cNvGrpSpPr>
      </xdr:nvGrpSpPr>
      <xdr:grpSpPr>
        <a:xfrm>
          <a:off x="6715125" y="28575"/>
          <a:ext cx="1781175" cy="2609850"/>
          <a:chOff x="708" y="44"/>
          <a:chExt cx="187" cy="231"/>
        </a:xfrm>
        <a:solidFill>
          <a:srgbClr val="FFFFFF"/>
        </a:solidFill>
      </xdr:grpSpPr>
      <xdr:pic macro="[0]!PrintIPS"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0" y="44"/>
            <a:ext cx="184" cy="184"/>
          </a:xfrm>
          <a:prstGeom prst="rect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</xdr:pic>
      <xdr:sp macro="[0]!PrintIPS">
        <xdr:nvSpPr>
          <xdr:cNvPr id="4" name="TextBox 6"/>
          <xdr:cNvSpPr txBox="1">
            <a:spLocks noChangeArrowheads="1"/>
          </xdr:cNvSpPr>
        </xdr:nvSpPr>
        <xdr:spPr>
          <a:xfrm>
            <a:off x="708" y="211"/>
            <a:ext cx="187" cy="64"/>
          </a:xfrm>
          <a:prstGeom prst="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Print
Interchange Power Statement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ile://C:\Temp\IPS%20-%20yyyy\Month%20yyyy%20Actual.xls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F27"/>
  <sheetViews>
    <sheetView workbookViewId="0" topLeftCell="A1">
      <selection activeCell="A1" sqref="A1:F1"/>
    </sheetView>
  </sheetViews>
  <sheetFormatPr defaultColWidth="9.140625" defaultRowHeight="12.75"/>
  <cols>
    <col min="1" max="1" width="4.421875" style="489" customWidth="1"/>
    <col min="2" max="2" width="28.7109375" style="494" customWidth="1"/>
    <col min="3" max="3" width="21.8515625" style="494" customWidth="1"/>
    <col min="4" max="5" width="9.140625" style="464" customWidth="1"/>
    <col min="6" max="6" width="9.140625" style="489" customWidth="1"/>
    <col min="7" max="16384" width="9.140625" style="464" customWidth="1"/>
  </cols>
  <sheetData>
    <row r="1" spans="1:6" ht="15.75">
      <c r="A1" s="984" t="s">
        <v>950</v>
      </c>
      <c r="B1" s="985"/>
      <c r="C1" s="985"/>
      <c r="D1" s="985"/>
      <c r="E1" s="985"/>
      <c r="F1" s="986"/>
    </row>
    <row r="2" spans="1:6" ht="12.75">
      <c r="A2" s="465" t="s">
        <v>951</v>
      </c>
      <c r="B2" s="466"/>
      <c r="C2" s="466"/>
      <c r="D2" s="467"/>
      <c r="E2" s="467"/>
      <c r="F2" s="468"/>
    </row>
    <row r="3" spans="1:6" ht="12.75">
      <c r="A3" s="469"/>
      <c r="B3" s="466"/>
      <c r="C3" s="466"/>
      <c r="D3" s="982" t="s">
        <v>952</v>
      </c>
      <c r="E3" s="982"/>
      <c r="F3" s="983"/>
    </row>
    <row r="4" spans="1:6" ht="32.25" customHeight="1">
      <c r="A4" s="470"/>
      <c r="B4" s="471" t="s">
        <v>953</v>
      </c>
      <c r="C4" s="471" t="s">
        <v>954</v>
      </c>
      <c r="D4" s="472" t="s">
        <v>955</v>
      </c>
      <c r="E4" s="472" t="s">
        <v>956</v>
      </c>
      <c r="F4" s="473" t="s">
        <v>957</v>
      </c>
    </row>
    <row r="5" spans="1:6" ht="63.75">
      <c r="A5" s="470">
        <v>1</v>
      </c>
      <c r="B5" s="471" t="s">
        <v>960</v>
      </c>
      <c r="C5" s="471" t="s">
        <v>961</v>
      </c>
      <c r="D5" s="474" t="s">
        <v>962</v>
      </c>
      <c r="E5" s="475">
        <f>IF(D5="Yes",1,0)</f>
        <v>0</v>
      </c>
      <c r="F5" s="476">
        <v>1</v>
      </c>
    </row>
    <row r="6" spans="1:6" ht="51">
      <c r="A6" s="470">
        <v>2</v>
      </c>
      <c r="B6" s="471" t="s">
        <v>963</v>
      </c>
      <c r="C6" s="471" t="s">
        <v>964</v>
      </c>
      <c r="D6" s="474" t="s">
        <v>962</v>
      </c>
      <c r="E6" s="475">
        <f>IF(D6="Yes",2,0)</f>
        <v>0</v>
      </c>
      <c r="F6" s="476">
        <v>2</v>
      </c>
    </row>
    <row r="7" spans="1:6" ht="25.5">
      <c r="A7" s="470">
        <v>3</v>
      </c>
      <c r="B7" s="471" t="s">
        <v>965</v>
      </c>
      <c r="C7" s="471" t="s">
        <v>961</v>
      </c>
      <c r="D7" s="474" t="s">
        <v>962</v>
      </c>
      <c r="E7" s="475">
        <f>IF(D7="Yes",1,0)</f>
        <v>0</v>
      </c>
      <c r="F7" s="476">
        <v>1</v>
      </c>
    </row>
    <row r="8" spans="1:6" ht="25.5">
      <c r="A8" s="470">
        <v>4</v>
      </c>
      <c r="B8" s="471" t="s">
        <v>966</v>
      </c>
      <c r="C8" s="471" t="s">
        <v>961</v>
      </c>
      <c r="D8" s="474" t="s">
        <v>967</v>
      </c>
      <c r="E8" s="475">
        <f>IF(D8="Yes",1,0)</f>
        <v>1</v>
      </c>
      <c r="F8" s="476">
        <v>1</v>
      </c>
    </row>
    <row r="9" spans="1:6" ht="25.5">
      <c r="A9" s="470">
        <v>5</v>
      </c>
      <c r="B9" s="471" t="s">
        <v>968</v>
      </c>
      <c r="C9" s="471" t="s">
        <v>961</v>
      </c>
      <c r="D9" s="474" t="s">
        <v>967</v>
      </c>
      <c r="E9" s="475">
        <f>IF(D9="Yes",1,0)</f>
        <v>1</v>
      </c>
      <c r="F9" s="476">
        <v>1</v>
      </c>
    </row>
    <row r="10" spans="1:6" ht="25.5">
      <c r="A10" s="470">
        <v>6</v>
      </c>
      <c r="B10" s="471" t="s">
        <v>976</v>
      </c>
      <c r="C10" s="471" t="s">
        <v>961</v>
      </c>
      <c r="D10" s="474" t="s">
        <v>962</v>
      </c>
      <c r="E10" s="475">
        <f>IF(D10="Yes",1,0)</f>
        <v>0</v>
      </c>
      <c r="F10" s="476">
        <v>1</v>
      </c>
    </row>
    <row r="11" spans="1:6" ht="38.25">
      <c r="A11" s="470">
        <v>7</v>
      </c>
      <c r="B11" s="471" t="s">
        <v>977</v>
      </c>
      <c r="C11" s="471" t="s">
        <v>964</v>
      </c>
      <c r="D11" s="474" t="s">
        <v>967</v>
      </c>
      <c r="E11" s="475">
        <f>IF(D11="Yes",2,0)</f>
        <v>2</v>
      </c>
      <c r="F11" s="476">
        <v>2</v>
      </c>
    </row>
    <row r="12" spans="1:6" ht="51">
      <c r="A12" s="470">
        <v>8</v>
      </c>
      <c r="B12" s="471" t="s">
        <v>978</v>
      </c>
      <c r="C12" s="471" t="s">
        <v>979</v>
      </c>
      <c r="D12" s="474" t="s">
        <v>967</v>
      </c>
      <c r="E12" s="475">
        <f>IF(D12="Yes",0,0)</f>
        <v>0</v>
      </c>
      <c r="F12" s="476">
        <v>1</v>
      </c>
    </row>
    <row r="13" spans="1:6" ht="51">
      <c r="A13" s="470">
        <v>9</v>
      </c>
      <c r="B13" s="471" t="s">
        <v>980</v>
      </c>
      <c r="C13" s="471" t="s">
        <v>981</v>
      </c>
      <c r="D13" s="474" t="s">
        <v>982</v>
      </c>
      <c r="E13" s="475">
        <f>IF(D13="Yes",1,0)</f>
        <v>0</v>
      </c>
      <c r="F13" s="476">
        <v>3</v>
      </c>
    </row>
    <row r="14" spans="1:6" ht="12.75">
      <c r="A14" s="469"/>
      <c r="B14" s="466"/>
      <c r="C14" s="466"/>
      <c r="D14" s="467"/>
      <c r="E14" s="467"/>
      <c r="F14" s="468"/>
    </row>
    <row r="15" spans="1:6" ht="12.75">
      <c r="A15" s="469"/>
      <c r="B15" s="477" t="s">
        <v>983</v>
      </c>
      <c r="C15" s="478"/>
      <c r="D15" s="479"/>
      <c r="E15" s="479">
        <f>+SUM(E5:E13)</f>
        <v>4</v>
      </c>
      <c r="F15" s="480">
        <v>13</v>
      </c>
    </row>
    <row r="16" spans="1:6" ht="12.75">
      <c r="A16" s="469"/>
      <c r="B16" s="481"/>
      <c r="C16" s="481"/>
      <c r="D16" s="482"/>
      <c r="E16" s="482"/>
      <c r="F16" s="483"/>
    </row>
    <row r="17" spans="1:6" ht="12.75">
      <c r="A17" s="469"/>
      <c r="B17" s="477" t="s">
        <v>984</v>
      </c>
      <c r="C17" s="478"/>
      <c r="D17" s="479" t="s">
        <v>985</v>
      </c>
      <c r="E17" s="479"/>
      <c r="F17" s="480"/>
    </row>
    <row r="18" spans="1:6" ht="12.75">
      <c r="A18" s="469"/>
      <c r="B18" s="466"/>
      <c r="C18" s="466"/>
      <c r="D18" s="467"/>
      <c r="E18" s="467"/>
      <c r="F18" s="468"/>
    </row>
    <row r="19" spans="1:6" ht="12.75">
      <c r="A19" s="987" t="s">
        <v>986</v>
      </c>
      <c r="B19" s="988"/>
      <c r="C19" s="988"/>
      <c r="D19" s="988"/>
      <c r="E19" s="467"/>
      <c r="F19" s="468"/>
    </row>
    <row r="20" spans="1:6" ht="12.75">
      <c r="A20" s="470"/>
      <c r="B20" s="471" t="s">
        <v>987</v>
      </c>
      <c r="C20" s="471" t="s">
        <v>988</v>
      </c>
      <c r="D20" s="475" t="s">
        <v>956</v>
      </c>
      <c r="E20" s="467"/>
      <c r="F20" s="468"/>
    </row>
    <row r="21" spans="1:6" ht="25.5">
      <c r="A21" s="470"/>
      <c r="B21" s="471" t="s">
        <v>989</v>
      </c>
      <c r="C21" s="471" t="s">
        <v>985</v>
      </c>
      <c r="D21" s="475" t="s">
        <v>990</v>
      </c>
      <c r="E21" s="467"/>
      <c r="F21" s="468"/>
    </row>
    <row r="22" spans="1:6" ht="26.25" thickBot="1">
      <c r="A22" s="484"/>
      <c r="B22" s="485" t="s">
        <v>991</v>
      </c>
      <c r="C22" s="485" t="s">
        <v>992</v>
      </c>
      <c r="D22" s="486" t="s">
        <v>993</v>
      </c>
      <c r="E22" s="487"/>
      <c r="F22" s="488"/>
    </row>
    <row r="25" spans="2:4" ht="23.25" customHeight="1">
      <c r="B25" s="490" t="s">
        <v>994</v>
      </c>
      <c r="C25" s="491"/>
      <c r="D25" s="492"/>
    </row>
    <row r="26" spans="2:5" ht="23.25" customHeight="1">
      <c r="B26" s="490" t="s">
        <v>995</v>
      </c>
      <c r="C26" s="491"/>
      <c r="D26" s="492"/>
      <c r="E26" s="467"/>
    </row>
    <row r="27" spans="2:4" ht="23.25" customHeight="1">
      <c r="B27" s="493" t="s">
        <v>996</v>
      </c>
      <c r="C27" s="491"/>
      <c r="D27" s="492"/>
    </row>
    <row r="28" ht="18" customHeight="1"/>
  </sheetData>
  <mergeCells count="3">
    <mergeCell ref="D3:F3"/>
    <mergeCell ref="A1:F1"/>
    <mergeCell ref="A19:D19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J42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3" customWidth="1"/>
    <col min="2" max="2" width="9.140625" style="3" customWidth="1"/>
    <col min="3" max="3" width="15.00390625" style="3" customWidth="1"/>
    <col min="4" max="4" width="5.7109375" style="3" customWidth="1"/>
    <col min="5" max="5" width="15.00390625" style="3" customWidth="1"/>
    <col min="6" max="6" width="5.7109375" style="3" customWidth="1"/>
    <col min="7" max="7" width="16.140625" style="3" customWidth="1"/>
    <col min="8" max="8" width="5.7109375" style="3" customWidth="1"/>
    <col min="9" max="9" width="15.7109375" style="3" customWidth="1"/>
    <col min="10" max="10" width="12.8515625" style="3" bestFit="1" customWidth="1"/>
    <col min="11" max="11" width="10.140625" style="3" bestFit="1" customWidth="1"/>
    <col min="12" max="16384" width="9.140625" style="3" customWidth="1"/>
  </cols>
  <sheetData>
    <row r="1" spans="1:9" ht="16.5">
      <c r="A1" s="28" t="s">
        <v>1451</v>
      </c>
      <c r="B1" s="20" t="str">
        <f>INPUT!C1</f>
        <v>June 2009</v>
      </c>
      <c r="I1" s="19" t="s">
        <v>1033</v>
      </c>
    </row>
    <row r="2" spans="1:9" ht="16.5">
      <c r="A2" s="28"/>
      <c r="B2" s="20"/>
      <c r="I2" s="19"/>
    </row>
    <row r="3" ht="16.5">
      <c r="E3" s="19" t="s">
        <v>1034</v>
      </c>
    </row>
    <row r="4" ht="16.5">
      <c r="E4" s="53" t="s">
        <v>1035</v>
      </c>
    </row>
    <row r="6" spans="3:7" ht="16.5">
      <c r="C6" s="19" t="s">
        <v>1457</v>
      </c>
      <c r="G6" s="54" t="s">
        <v>1512</v>
      </c>
    </row>
    <row r="7" spans="3:9" ht="16.5">
      <c r="C7" s="19" t="s">
        <v>1512</v>
      </c>
      <c r="E7" s="19" t="s">
        <v>1457</v>
      </c>
      <c r="G7" s="54" t="s">
        <v>1513</v>
      </c>
      <c r="I7" s="19" t="s">
        <v>1036</v>
      </c>
    </row>
    <row r="8" spans="3:9" ht="16.5">
      <c r="C8" s="19" t="s">
        <v>1513</v>
      </c>
      <c r="E8" s="19" t="s">
        <v>1514</v>
      </c>
      <c r="G8" s="54" t="s">
        <v>1037</v>
      </c>
      <c r="I8" s="25" t="s">
        <v>1498</v>
      </c>
    </row>
    <row r="9" spans="1:9" ht="16.5">
      <c r="A9" s="22" t="s">
        <v>1457</v>
      </c>
      <c r="C9" s="23" t="s">
        <v>1254</v>
      </c>
      <c r="E9" s="23" t="s">
        <v>1515</v>
      </c>
      <c r="G9" s="55" t="s">
        <v>1038</v>
      </c>
      <c r="I9" s="22" t="s">
        <v>1513</v>
      </c>
    </row>
    <row r="10" spans="3:9" ht="15">
      <c r="C10" s="56" t="s">
        <v>1504</v>
      </c>
      <c r="D10" s="57"/>
      <c r="E10" s="56" t="s">
        <v>1505</v>
      </c>
      <c r="F10" s="57"/>
      <c r="G10" s="56" t="s">
        <v>1506</v>
      </c>
      <c r="H10" s="57"/>
      <c r="I10" s="56" t="s">
        <v>1039</v>
      </c>
    </row>
    <row r="12" spans="1:9" ht="15">
      <c r="A12" s="3" t="s">
        <v>1239</v>
      </c>
      <c r="C12" s="18">
        <f>APPII!I21</f>
        <v>6321000</v>
      </c>
      <c r="E12" s="58">
        <f>INPUT!C5</f>
        <v>0.34458</v>
      </c>
      <c r="G12" s="18">
        <f>ROUND($C$17*E12,-2)</f>
        <v>9034900</v>
      </c>
      <c r="I12" s="17">
        <f>C12-G12</f>
        <v>-2713900</v>
      </c>
    </row>
    <row r="13" spans="1:9" ht="15">
      <c r="A13" s="3" t="s">
        <v>1240</v>
      </c>
      <c r="C13" s="18">
        <f>APPII!I28</f>
        <v>1453000</v>
      </c>
      <c r="E13" s="58">
        <f>INPUT!C6</f>
        <v>0.06943</v>
      </c>
      <c r="G13" s="18">
        <f>ROUND($C$17*E13,-2)-100</f>
        <v>1820400</v>
      </c>
      <c r="I13" s="17">
        <f>C13-G13</f>
        <v>-367400</v>
      </c>
    </row>
    <row r="14" spans="1:9" ht="15">
      <c r="A14" s="3" t="s">
        <v>1241</v>
      </c>
      <c r="C14" s="18">
        <f>APPII!I40</f>
        <v>5155000</v>
      </c>
      <c r="E14" s="58">
        <f>INPUT!C7</f>
        <v>0.17686</v>
      </c>
      <c r="G14" s="18">
        <f>ROUND($C$17*E14,-2)</f>
        <v>4637300</v>
      </c>
      <c r="I14" s="17">
        <f>C14-G14</f>
        <v>517700</v>
      </c>
    </row>
    <row r="15" spans="1:9" ht="15">
      <c r="A15" s="3" t="s">
        <v>1242</v>
      </c>
      <c r="C15" s="18">
        <f>APPII!I52</f>
        <v>8450000</v>
      </c>
      <c r="E15" s="58">
        <f>INPUT!C8</f>
        <v>0.22638</v>
      </c>
      <c r="G15" s="18">
        <f>ROUND($C$17*E15,-2)</f>
        <v>5935700</v>
      </c>
      <c r="I15" s="17">
        <f>C15-G15</f>
        <v>2514300</v>
      </c>
    </row>
    <row r="16" spans="1:9" ht="15">
      <c r="A16" s="3" t="s">
        <v>1243</v>
      </c>
      <c r="C16" s="26">
        <f>APPII!I64</f>
        <v>4841000</v>
      </c>
      <c r="E16" s="59">
        <f>INPUT!C9</f>
        <v>0.18275</v>
      </c>
      <c r="G16" s="26">
        <f>ROUND($C$17*E16,-2)</f>
        <v>4791700</v>
      </c>
      <c r="I16" s="60">
        <f>C16-G16</f>
        <v>49300</v>
      </c>
    </row>
    <row r="17" spans="1:9" ht="15">
      <c r="A17" s="3" t="s">
        <v>1348</v>
      </c>
      <c r="C17" s="18">
        <f>SUM(C12:C16)</f>
        <v>26220000</v>
      </c>
      <c r="E17" s="58">
        <f>SUM(E12:E16)</f>
        <v>1</v>
      </c>
      <c r="G17" s="18">
        <f>SUM(G12:G16)</f>
        <v>26220000</v>
      </c>
      <c r="I17" s="17" t="s">
        <v>1236</v>
      </c>
    </row>
    <row r="19" ht="16.5">
      <c r="E19" s="53" t="s">
        <v>1040</v>
      </c>
    </row>
    <row r="21" spans="3:9" ht="16.5">
      <c r="C21" s="19" t="s">
        <v>1036</v>
      </c>
      <c r="F21" s="19" t="s">
        <v>1232</v>
      </c>
      <c r="I21" s="54" t="s">
        <v>1237</v>
      </c>
    </row>
    <row r="22" spans="3:9" ht="16.5">
      <c r="C22" s="25" t="s">
        <v>1498</v>
      </c>
      <c r="F22" s="19" t="s">
        <v>1499</v>
      </c>
      <c r="I22" s="61" t="s">
        <v>1041</v>
      </c>
    </row>
    <row r="23" spans="1:9" ht="16.5">
      <c r="A23" s="22" t="s">
        <v>1457</v>
      </c>
      <c r="C23" s="22" t="s">
        <v>1513</v>
      </c>
      <c r="E23" s="21"/>
      <c r="F23" s="23" t="s">
        <v>1042</v>
      </c>
      <c r="G23" s="21"/>
      <c r="I23" s="55" t="s">
        <v>1281</v>
      </c>
    </row>
    <row r="24" spans="3:9" ht="15">
      <c r="C24" s="56" t="s">
        <v>1504</v>
      </c>
      <c r="F24" s="56" t="s">
        <v>1505</v>
      </c>
      <c r="I24" s="56" t="s">
        <v>1506</v>
      </c>
    </row>
    <row r="26" spans="1:10" ht="15">
      <c r="A26" s="3" t="s">
        <v>1239</v>
      </c>
      <c r="C26" s="18">
        <f>+I12</f>
        <v>-2713900</v>
      </c>
      <c r="E26" s="56" t="str">
        <f>IF(I12&lt;=0,"*****",APPIII!J27)</f>
        <v>*****</v>
      </c>
      <c r="F26" s="56" t="s">
        <v>1043</v>
      </c>
      <c r="G26" s="56" t="str">
        <f>IF(I12&lt;=0,"*****",APPV!H46)</f>
        <v>*****</v>
      </c>
      <c r="I26" s="17">
        <f>IF(I12&lt;=0,ROUND(C26*$E$33,0),ROUND(C26*(E26+G26),0))</f>
        <v>-33094019</v>
      </c>
      <c r="J26" s="519"/>
    </row>
    <row r="27" spans="1:10" ht="15">
      <c r="A27" s="3" t="s">
        <v>1240</v>
      </c>
      <c r="C27" s="18">
        <f>+I13</f>
        <v>-367400</v>
      </c>
      <c r="E27" s="56" t="str">
        <f>IF(I13&lt;=0,"*****",APPIII!J34)</f>
        <v>*****</v>
      </c>
      <c r="F27" s="56" t="s">
        <v>1043</v>
      </c>
      <c r="G27" s="56" t="str">
        <f>IF(I13&lt;=0,"*****",APPV!H47)</f>
        <v>*****</v>
      </c>
      <c r="I27" s="17">
        <f>IF(I13&lt;=0,ROUND(C27*$E$33,0),ROUND(C27*(E27+G27),0))</f>
        <v>-4480173</v>
      </c>
      <c r="J27" s="108"/>
    </row>
    <row r="28" spans="1:10" ht="15">
      <c r="A28" s="3" t="s">
        <v>1241</v>
      </c>
      <c r="C28" s="18">
        <f>+I14</f>
        <v>517700</v>
      </c>
      <c r="E28" s="56">
        <f>IF(I14&lt;=0,"*****",APPIII!J44)</f>
        <v>10.54</v>
      </c>
      <c r="F28" s="56" t="s">
        <v>1043</v>
      </c>
      <c r="G28" s="56">
        <f>IF(I14&lt;=0,"*****",APPV!H48)</f>
        <v>3.26</v>
      </c>
      <c r="I28" s="17">
        <f>IF(I14&lt;=0,ROUND(C28*$E$33,0),ROUND(C28*(E28+G28),0))</f>
        <v>7144260</v>
      </c>
      <c r="J28" s="108"/>
    </row>
    <row r="29" spans="1:9" ht="15">
      <c r="A29" s="3" t="s">
        <v>1242</v>
      </c>
      <c r="C29" s="18">
        <f>+I15</f>
        <v>2514300</v>
      </c>
      <c r="E29" s="56">
        <f>IF(I15&lt;=0,"*****",APPIII!J55)</f>
        <v>8.43</v>
      </c>
      <c r="F29" s="56" t="s">
        <v>1043</v>
      </c>
      <c r="G29" s="56">
        <f>IF(I15&lt;=0,"*****",APPV!H49)</f>
        <v>3.47</v>
      </c>
      <c r="I29" s="17">
        <f>IF(I15&lt;=0,ROUND(C29*$E$33,0),ROUND(C29*(E29+G29),0))</f>
        <v>29920170</v>
      </c>
    </row>
    <row r="30" spans="1:9" ht="15">
      <c r="A30" s="3" t="s">
        <v>1243</v>
      </c>
      <c r="C30" s="18">
        <f>+I16</f>
        <v>49300</v>
      </c>
      <c r="E30" s="56">
        <f>IF(I16&lt;=0,"*****",APPIII!J67)</f>
        <v>8.78</v>
      </c>
      <c r="F30" s="56" t="s">
        <v>1043</v>
      </c>
      <c r="G30" s="56">
        <f>IF(I16&lt;=0,"*****",APPV!H50)</f>
        <v>1.56</v>
      </c>
      <c r="I30" s="17">
        <f>IF(I16&lt;=0,ROUND(C30*$E$33,0),ROUND(C30*(E30+G30),0))</f>
        <v>509762</v>
      </c>
    </row>
    <row r="31" spans="1:3" ht="15">
      <c r="A31" s="3" t="s">
        <v>1236</v>
      </c>
      <c r="C31" s="18"/>
    </row>
    <row r="33" spans="1:9" ht="16.5">
      <c r="A33" s="28" t="s">
        <v>1044</v>
      </c>
      <c r="E33" s="519">
        <f>SUMIF(E26:E30,"&lt;100000",I26:I30)/SUMIF(E26:E30,"&lt;100000",C26:C30)</f>
        <v>12.19426605653458</v>
      </c>
      <c r="I33" s="24"/>
    </row>
    <row r="34" ht="15">
      <c r="A34" s="24" t="s">
        <v>1045</v>
      </c>
    </row>
    <row r="35" ht="15">
      <c r="A35" s="24"/>
    </row>
    <row r="37" ht="16.5">
      <c r="A37" s="28" t="s">
        <v>1046</v>
      </c>
    </row>
    <row r="38" spans="1:2" ht="15">
      <c r="A38" s="3" t="s">
        <v>1047</v>
      </c>
      <c r="B38" s="24"/>
    </row>
    <row r="39" ht="15">
      <c r="A39" s="24" t="s">
        <v>1048</v>
      </c>
    </row>
    <row r="40" ht="15">
      <c r="A40" s="24"/>
    </row>
    <row r="41" spans="1:2" ht="15">
      <c r="A41" s="3" t="s">
        <v>1049</v>
      </c>
      <c r="B41" s="24"/>
    </row>
    <row r="42" spans="1:2" ht="15">
      <c r="A42" s="3" t="s">
        <v>1050</v>
      </c>
      <c r="B42" s="24"/>
    </row>
  </sheetData>
  <printOptions horizontalCentered="1"/>
  <pageMargins left="0.75" right="0.25" top="1" bottom="1" header="0" footer="0"/>
  <pageSetup horizontalDpi="600" verticalDpi="600" orientation="portrait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59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3" customWidth="1"/>
    <col min="2" max="2" width="11.7109375" style="3" customWidth="1"/>
    <col min="3" max="3" width="5.7109375" style="3" customWidth="1"/>
    <col min="4" max="4" width="13.00390625" style="3" customWidth="1"/>
    <col min="5" max="5" width="3.7109375" style="3" customWidth="1"/>
    <col min="6" max="6" width="14.421875" style="3" customWidth="1"/>
    <col min="7" max="7" width="3.7109375" style="3" customWidth="1"/>
    <col min="8" max="8" width="17.7109375" style="3" customWidth="1"/>
    <col min="9" max="9" width="3.7109375" style="3" customWidth="1"/>
    <col min="10" max="10" width="16.421875" style="3" customWidth="1"/>
    <col min="11" max="16384" width="9.140625" style="3" customWidth="1"/>
  </cols>
  <sheetData>
    <row r="1" spans="1:10" ht="16.5">
      <c r="A1" s="19" t="s">
        <v>1451</v>
      </c>
      <c r="B1" s="20" t="str">
        <f>INPUT!C1</f>
        <v>June 2009</v>
      </c>
      <c r="J1" s="19" t="s">
        <v>1601</v>
      </c>
    </row>
    <row r="2" ht="16.5">
      <c r="F2" s="19" t="s">
        <v>1491</v>
      </c>
    </row>
    <row r="3" ht="16.5">
      <c r="F3" s="19" t="s">
        <v>1603</v>
      </c>
    </row>
    <row r="5" spans="4:10" ht="16.5">
      <c r="D5" s="21"/>
      <c r="E5" s="22" t="s">
        <v>1257</v>
      </c>
      <c r="F5" s="21"/>
      <c r="H5" s="21"/>
      <c r="I5" s="22" t="s">
        <v>1281</v>
      </c>
      <c r="J5" s="21"/>
    </row>
    <row r="6" spans="4:10" ht="16.5">
      <c r="D6" s="19" t="s">
        <v>1258</v>
      </c>
      <c r="F6" s="19" t="s">
        <v>1259</v>
      </c>
      <c r="H6" s="19" t="s">
        <v>1604</v>
      </c>
      <c r="J6" s="19" t="s">
        <v>1605</v>
      </c>
    </row>
    <row r="7" spans="4:10" ht="16.5">
      <c r="D7" s="19" t="s">
        <v>1246</v>
      </c>
      <c r="F7" s="19" t="s">
        <v>1247</v>
      </c>
      <c r="H7" s="19" t="s">
        <v>1500</v>
      </c>
      <c r="J7" s="19" t="s">
        <v>1501</v>
      </c>
    </row>
    <row r="8" spans="1:10" ht="16.5">
      <c r="A8" s="28" t="s">
        <v>1606</v>
      </c>
      <c r="D8" s="23" t="s">
        <v>1261</v>
      </c>
      <c r="F8" s="22" t="s">
        <v>1262</v>
      </c>
      <c r="H8" s="22" t="s">
        <v>1261</v>
      </c>
      <c r="J8" s="22" t="s">
        <v>1262</v>
      </c>
    </row>
    <row r="9" spans="1:10" ht="15">
      <c r="A9" s="3" t="s">
        <v>1607</v>
      </c>
      <c r="C9" s="3" t="s">
        <v>1239</v>
      </c>
      <c r="D9" s="18">
        <f>INPUT!J28</f>
        <v>694719</v>
      </c>
      <c r="E9" s="18"/>
      <c r="F9" s="18">
        <f>INPUT!L28</f>
        <v>732575</v>
      </c>
      <c r="G9" s="17"/>
      <c r="H9" s="18">
        <f>+PAGE6!C20</f>
        <v>24001386</v>
      </c>
      <c r="I9" s="18"/>
      <c r="J9" s="18">
        <f>+PAGE6!E20</f>
        <v>27301982</v>
      </c>
    </row>
    <row r="10" spans="1:10" ht="15">
      <c r="A10" s="3" t="s">
        <v>1608</v>
      </c>
      <c r="C10" s="3" t="s">
        <v>1240</v>
      </c>
      <c r="D10" s="18">
        <f>INPUT!J29</f>
        <v>142024</v>
      </c>
      <c r="E10" s="18"/>
      <c r="F10" s="18">
        <f>INPUT!L29</f>
        <v>87032</v>
      </c>
      <c r="G10" s="17"/>
      <c r="H10" s="18">
        <f>+PAGE6!C21</f>
        <v>4836079</v>
      </c>
      <c r="I10" s="18"/>
      <c r="J10" s="18">
        <f>+PAGE6!E21</f>
        <v>2756856</v>
      </c>
    </row>
    <row r="11" spans="1:10" ht="15">
      <c r="A11" s="3" t="s">
        <v>1609</v>
      </c>
      <c r="C11" s="3" t="s">
        <v>1241</v>
      </c>
      <c r="D11" s="18">
        <f>INPUT!J30</f>
        <v>356312</v>
      </c>
      <c r="E11" s="18"/>
      <c r="F11" s="18">
        <f>INPUT!L30</f>
        <v>316590</v>
      </c>
      <c r="G11" s="17"/>
      <c r="H11" s="18">
        <f>+PAGE6!C22</f>
        <v>12319012</v>
      </c>
      <c r="I11" s="18"/>
      <c r="J11" s="18">
        <f>+PAGE6!E22</f>
        <v>11616538</v>
      </c>
    </row>
    <row r="12" spans="1:10" ht="15">
      <c r="A12" s="3" t="s">
        <v>1610</v>
      </c>
      <c r="C12" s="3" t="s">
        <v>1242</v>
      </c>
      <c r="D12" s="18">
        <f>INPUT!J31</f>
        <v>453354</v>
      </c>
      <c r="E12" s="18"/>
      <c r="F12" s="18">
        <f>INPUT!L31</f>
        <v>521211</v>
      </c>
      <c r="G12" s="17"/>
      <c r="H12" s="18">
        <f>+PAGE6!C23</f>
        <v>15768280</v>
      </c>
      <c r="I12" s="18"/>
      <c r="J12" s="18">
        <f>+PAGE6!E23</f>
        <v>16110027</v>
      </c>
    </row>
    <row r="13" spans="1:10" ht="15">
      <c r="A13" s="3" t="s">
        <v>1611</v>
      </c>
      <c r="C13" s="3" t="s">
        <v>1243</v>
      </c>
      <c r="D13" s="26">
        <f>INPUT!J32</f>
        <v>367281</v>
      </c>
      <c r="E13" s="18"/>
      <c r="F13" s="26">
        <f>INPUT!L32</f>
        <v>356282</v>
      </c>
      <c r="G13" s="17"/>
      <c r="H13" s="26">
        <f>+PAGE6!C24</f>
        <v>12729274</v>
      </c>
      <c r="I13" s="18"/>
      <c r="J13" s="26">
        <f>+PAGE6!E24</f>
        <v>11868628</v>
      </c>
    </row>
    <row r="14" spans="1:10" ht="15">
      <c r="A14" s="3" t="s">
        <v>1612</v>
      </c>
      <c r="C14" s="3" t="s">
        <v>1613</v>
      </c>
      <c r="D14" s="18">
        <f>SUM(D9:D13)</f>
        <v>2013690</v>
      </c>
      <c r="E14" s="18"/>
      <c r="F14" s="18">
        <f>SUM(F9:F13)</f>
        <v>2013690</v>
      </c>
      <c r="G14" s="17"/>
      <c r="H14" s="18">
        <f>SUM(H9:H13)</f>
        <v>69654031</v>
      </c>
      <c r="I14" s="18"/>
      <c r="J14" s="18">
        <f>SUM(J9:J13)</f>
        <v>69654031</v>
      </c>
    </row>
    <row r="16" spans="1:10" ht="15">
      <c r="A16" s="3" t="s">
        <v>1614</v>
      </c>
      <c r="C16" s="3" t="s">
        <v>1239</v>
      </c>
      <c r="D16" s="18">
        <f>+PAGE7!I44*-1</f>
        <v>-396678</v>
      </c>
      <c r="E16" s="18"/>
      <c r="F16" s="18">
        <f>+PAGE7!I44*-1</f>
        <v>-396678</v>
      </c>
      <c r="G16" s="17"/>
      <c r="H16" s="18">
        <f>+PAGE7!K44*-1</f>
        <v>-15044260</v>
      </c>
      <c r="I16" s="17"/>
      <c r="J16" s="18">
        <f>+PAGE7!K44*-1</f>
        <v>-15044260</v>
      </c>
    </row>
    <row r="17" spans="1:10" ht="15">
      <c r="A17" s="3" t="s">
        <v>1615</v>
      </c>
      <c r="C17" s="3" t="s">
        <v>1240</v>
      </c>
      <c r="D17" s="18">
        <f>+PAGE7!I45*-1</f>
        <v>-48676</v>
      </c>
      <c r="E17" s="18"/>
      <c r="F17" s="18">
        <f>+PAGE7!I45*-1</f>
        <v>-48676</v>
      </c>
      <c r="G17" s="17"/>
      <c r="H17" s="18">
        <f>+PAGE7!K45*-1</f>
        <v>-1803907</v>
      </c>
      <c r="I17" s="17"/>
      <c r="J17" s="18">
        <f>+PAGE7!K45*-1</f>
        <v>-1803907</v>
      </c>
    </row>
    <row r="18" spans="1:10" ht="15">
      <c r="A18" s="3" t="s">
        <v>1616</v>
      </c>
      <c r="C18" s="3" t="s">
        <v>1241</v>
      </c>
      <c r="D18" s="18">
        <f>+PAGE7!I46*-1</f>
        <v>-150050</v>
      </c>
      <c r="E18" s="18"/>
      <c r="F18" s="18">
        <f>+PAGE7!I46*-1</f>
        <v>-150050</v>
      </c>
      <c r="G18" s="17"/>
      <c r="H18" s="18">
        <f>+PAGE7!K46*-1</f>
        <v>-5687835</v>
      </c>
      <c r="I18" s="17"/>
      <c r="J18" s="18">
        <f>+PAGE7!K46*-1</f>
        <v>-5687835</v>
      </c>
    </row>
    <row r="19" spans="1:10" ht="15">
      <c r="A19" s="3" t="s">
        <v>1618</v>
      </c>
      <c r="C19" s="3" t="s">
        <v>1242</v>
      </c>
      <c r="D19" s="18">
        <f>+PAGE7!I47*-1</f>
        <v>-230519</v>
      </c>
      <c r="E19" s="18"/>
      <c r="F19" s="18">
        <f>+PAGE7!I47*-1</f>
        <v>-230519</v>
      </c>
      <c r="G19" s="17"/>
      <c r="H19" s="18">
        <f>+PAGE7!K47*-1</f>
        <v>-8017869</v>
      </c>
      <c r="I19" s="17"/>
      <c r="J19" s="18">
        <f>+PAGE7!K47*-1</f>
        <v>-8017869</v>
      </c>
    </row>
    <row r="20" spans="1:10" ht="15">
      <c r="A20" s="3" t="s">
        <v>1619</v>
      </c>
      <c r="C20" s="3" t="s">
        <v>1243</v>
      </c>
      <c r="D20" s="26">
        <f>+PAGE7!I48*-1</f>
        <v>-160422</v>
      </c>
      <c r="E20" s="18"/>
      <c r="F20" s="26">
        <f>+PAGE7!I48*-1</f>
        <v>-160422</v>
      </c>
      <c r="G20" s="17"/>
      <c r="H20" s="26">
        <f>+PAGE7!K48*-1</f>
        <v>-5896473</v>
      </c>
      <c r="I20" s="17"/>
      <c r="J20" s="26">
        <f>+PAGE7!K48*-1</f>
        <v>-5896473</v>
      </c>
    </row>
    <row r="21" spans="1:10" ht="15">
      <c r="A21" s="24" t="s">
        <v>1620</v>
      </c>
      <c r="C21" s="3" t="s">
        <v>1613</v>
      </c>
      <c r="D21" s="18">
        <f>SUM(D16:D20)</f>
        <v>-986345</v>
      </c>
      <c r="E21" s="18"/>
      <c r="F21" s="18">
        <f>SUM(F16:F20)</f>
        <v>-986345</v>
      </c>
      <c r="G21" s="17"/>
      <c r="H21" s="18">
        <f>SUM(H16:H20)</f>
        <v>-36450344</v>
      </c>
      <c r="I21" s="17"/>
      <c r="J21" s="18">
        <f>SUM(J16:J20)</f>
        <v>-36450344</v>
      </c>
    </row>
    <row r="23" spans="1:10" ht="15">
      <c r="A23" s="3" t="s">
        <v>1621</v>
      </c>
      <c r="C23" s="3" t="s">
        <v>1239</v>
      </c>
      <c r="D23" s="62">
        <f>+D9+D16</f>
        <v>298041</v>
      </c>
      <c r="E23" s="62"/>
      <c r="F23" s="62">
        <f>+F9+F16</f>
        <v>335897</v>
      </c>
      <c r="G23" s="62"/>
      <c r="H23" s="62">
        <f>+H9+H16</f>
        <v>8957126</v>
      </c>
      <c r="I23" s="62"/>
      <c r="J23" s="62">
        <f>+J9+J16</f>
        <v>12257722</v>
      </c>
    </row>
    <row r="24" spans="1:10" ht="15">
      <c r="A24" s="3" t="s">
        <v>1622</v>
      </c>
      <c r="C24" s="3" t="s">
        <v>1240</v>
      </c>
      <c r="D24" s="62">
        <f aca="true" t="shared" si="0" ref="D24:J27">+D10+D17</f>
        <v>93348</v>
      </c>
      <c r="E24" s="62"/>
      <c r="F24" s="62">
        <f t="shared" si="0"/>
        <v>38356</v>
      </c>
      <c r="G24" s="62"/>
      <c r="H24" s="62">
        <f t="shared" si="0"/>
        <v>3032172</v>
      </c>
      <c r="I24" s="62"/>
      <c r="J24" s="62">
        <f t="shared" si="0"/>
        <v>952949</v>
      </c>
    </row>
    <row r="25" spans="1:10" ht="15">
      <c r="A25" s="3" t="s">
        <v>1233</v>
      </c>
      <c r="C25" s="3" t="s">
        <v>1241</v>
      </c>
      <c r="D25" s="62">
        <f t="shared" si="0"/>
        <v>206262</v>
      </c>
      <c r="E25" s="62"/>
      <c r="F25" s="62">
        <f t="shared" si="0"/>
        <v>166540</v>
      </c>
      <c r="G25" s="62"/>
      <c r="H25" s="62">
        <f t="shared" si="0"/>
        <v>6631177</v>
      </c>
      <c r="I25" s="62"/>
      <c r="J25" s="62">
        <f t="shared" si="0"/>
        <v>5928703</v>
      </c>
    </row>
    <row r="26" spans="3:10" ht="15">
      <c r="C26" s="3" t="s">
        <v>1242</v>
      </c>
      <c r="D26" s="62">
        <f t="shared" si="0"/>
        <v>222835</v>
      </c>
      <c r="E26" s="62"/>
      <c r="F26" s="62">
        <f t="shared" si="0"/>
        <v>290692</v>
      </c>
      <c r="G26" s="62"/>
      <c r="H26" s="62">
        <f t="shared" si="0"/>
        <v>7750411</v>
      </c>
      <c r="I26" s="62"/>
      <c r="J26" s="62">
        <f t="shared" si="0"/>
        <v>8092158</v>
      </c>
    </row>
    <row r="27" spans="3:10" ht="15">
      <c r="C27" s="3" t="s">
        <v>1243</v>
      </c>
      <c r="D27" s="63">
        <f t="shared" si="0"/>
        <v>206859</v>
      </c>
      <c r="E27" s="62"/>
      <c r="F27" s="63">
        <f t="shared" si="0"/>
        <v>195860</v>
      </c>
      <c r="G27" s="62"/>
      <c r="H27" s="63">
        <f t="shared" si="0"/>
        <v>6832801</v>
      </c>
      <c r="I27" s="62"/>
      <c r="J27" s="63">
        <f t="shared" si="0"/>
        <v>5972155</v>
      </c>
    </row>
    <row r="28" spans="3:10" ht="15">
      <c r="C28" s="3" t="s">
        <v>1613</v>
      </c>
      <c r="D28" s="62">
        <f>SUM(D23:D27)</f>
        <v>1027345</v>
      </c>
      <c r="E28" s="62"/>
      <c r="F28" s="62">
        <f>SUM(F23:F27)</f>
        <v>1027345</v>
      </c>
      <c r="G28" s="62"/>
      <c r="H28" s="62">
        <f>SUM(H23:H27)</f>
        <v>33203687</v>
      </c>
      <c r="I28" s="62"/>
      <c r="J28" s="62">
        <f>SUM(J23:J27)</f>
        <v>33203687</v>
      </c>
    </row>
    <row r="30" ht="16.5">
      <c r="A30" s="28" t="s">
        <v>1623</v>
      </c>
    </row>
    <row r="31" spans="1:10" ht="15">
      <c r="A31" s="3" t="s">
        <v>1512</v>
      </c>
      <c r="C31" s="3" t="s">
        <v>1239</v>
      </c>
      <c r="D31" s="18">
        <f>+PAGE8!F12</f>
        <v>811191</v>
      </c>
      <c r="E31" s="18"/>
      <c r="F31" s="18">
        <f>+PAGE8!F44</f>
        <v>0</v>
      </c>
      <c r="G31" s="18"/>
      <c r="H31" s="18">
        <f>+PAGE8!J12</f>
        <v>20726075</v>
      </c>
      <c r="I31" s="18"/>
      <c r="J31" s="18">
        <f>+PAGE8!J44</f>
        <v>0</v>
      </c>
    </row>
    <row r="32" spans="1:10" ht="15">
      <c r="A32" s="3" t="s">
        <v>1233</v>
      </c>
      <c r="C32" s="3" t="s">
        <v>1240</v>
      </c>
      <c r="D32" s="18">
        <f>+PAGE8!F18</f>
        <v>5567</v>
      </c>
      <c r="E32" s="18"/>
      <c r="F32" s="18">
        <f>+PAGE8!F45</f>
        <v>166664</v>
      </c>
      <c r="G32" s="18"/>
      <c r="H32" s="18">
        <f>+PAGE8!J18</f>
        <v>142505</v>
      </c>
      <c r="I32" s="18"/>
      <c r="J32" s="18">
        <f>+PAGE8!J45</f>
        <v>4323264</v>
      </c>
    </row>
    <row r="33" spans="1:10" ht="15">
      <c r="A33" s="3" t="s">
        <v>1624</v>
      </c>
      <c r="C33" s="3" t="s">
        <v>1241</v>
      </c>
      <c r="D33" s="18">
        <f>+PAGE8!F24</f>
        <v>14609</v>
      </c>
      <c r="E33" s="18"/>
      <c r="F33" s="18">
        <f>+PAGE8!F46</f>
        <v>358705</v>
      </c>
      <c r="G33" s="18"/>
      <c r="H33" s="18">
        <f>+PAGE8!J24</f>
        <v>388581</v>
      </c>
      <c r="I33" s="18"/>
      <c r="J33" s="18">
        <f>+PAGE8!J46</f>
        <v>7764886</v>
      </c>
    </row>
    <row r="34" spans="3:10" ht="15">
      <c r="C34" s="3" t="s">
        <v>1242</v>
      </c>
      <c r="D34" s="18">
        <f>+PAGE8!F30</f>
        <v>0</v>
      </c>
      <c r="E34" s="18"/>
      <c r="F34" s="18">
        <f>+PAGE8!F47</f>
        <v>1194350</v>
      </c>
      <c r="G34" s="18"/>
      <c r="H34" s="18">
        <f>+PAGE8!J30</f>
        <v>0</v>
      </c>
      <c r="I34" s="18"/>
      <c r="J34" s="18">
        <f>+PAGE8!J47</f>
        <v>31878395</v>
      </c>
    </row>
    <row r="35" spans="3:10" ht="15">
      <c r="C35" s="3" t="s">
        <v>1243</v>
      </c>
      <c r="D35" s="26">
        <f>+PAGE8!F36</f>
        <v>888352</v>
      </c>
      <c r="E35" s="18"/>
      <c r="F35" s="26">
        <f>+PAGE8!F48</f>
        <v>0</v>
      </c>
      <c r="G35" s="18"/>
      <c r="H35" s="26">
        <f>+PAGE8!J36</f>
        <v>22709384</v>
      </c>
      <c r="I35" s="18"/>
      <c r="J35" s="26">
        <f>+PAGE8!J48</f>
        <v>0</v>
      </c>
    </row>
    <row r="36" spans="3:10" ht="15">
      <c r="C36" s="3" t="s">
        <v>1613</v>
      </c>
      <c r="D36" s="18">
        <f>SUM(D31:D35)</f>
        <v>1719719</v>
      </c>
      <c r="E36" s="18"/>
      <c r="F36" s="18">
        <f>SUM(F31:F35)</f>
        <v>1719719</v>
      </c>
      <c r="G36" s="18"/>
      <c r="H36" s="18">
        <f>SUM(H31:H35)</f>
        <v>43966545</v>
      </c>
      <c r="I36" s="18"/>
      <c r="J36" s="18">
        <f>SUM(J31:J35)</f>
        <v>43966545</v>
      </c>
    </row>
    <row r="37" spans="4:10" ht="15">
      <c r="D37" s="18"/>
      <c r="E37" s="18"/>
      <c r="F37" s="18"/>
      <c r="G37" s="18"/>
      <c r="H37" s="18"/>
      <c r="I37" s="18"/>
      <c r="J37" s="18"/>
    </row>
    <row r="38" spans="1:10" ht="15">
      <c r="A38" s="3" t="s">
        <v>1625</v>
      </c>
      <c r="C38" s="3" t="s">
        <v>1239</v>
      </c>
      <c r="D38" s="18">
        <f>+'ECONOMY 151'!F12</f>
        <v>0</v>
      </c>
      <c r="E38" s="18"/>
      <c r="F38" s="18">
        <f>+'ECONOMY 151'!F44</f>
        <v>0</v>
      </c>
      <c r="G38" s="18"/>
      <c r="H38" s="18">
        <f>+PAGE9!J12</f>
        <v>0</v>
      </c>
      <c r="I38" s="18"/>
      <c r="J38" s="18">
        <f>+PAGE9!J44</f>
        <v>0</v>
      </c>
    </row>
    <row r="39" spans="1:10" ht="15">
      <c r="A39" s="3" t="s">
        <v>1233</v>
      </c>
      <c r="C39" s="3" t="s">
        <v>1240</v>
      </c>
      <c r="D39" s="18">
        <f>+'ECONOMY 151'!F18</f>
        <v>0</v>
      </c>
      <c r="E39" s="18"/>
      <c r="F39" s="18">
        <f>+'ECONOMY 151'!F45</f>
        <v>0</v>
      </c>
      <c r="G39" s="18"/>
      <c r="H39" s="18">
        <f>+PAGE9!J18</f>
        <v>0</v>
      </c>
      <c r="I39" s="18"/>
      <c r="J39" s="18">
        <f>+PAGE9!J45</f>
        <v>0</v>
      </c>
    </row>
    <row r="40" spans="1:10" ht="15">
      <c r="A40" s="3" t="s">
        <v>1626</v>
      </c>
      <c r="C40" s="3" t="s">
        <v>1241</v>
      </c>
      <c r="D40" s="18">
        <f>+'ECONOMY 151'!F24</f>
        <v>0</v>
      </c>
      <c r="E40" s="18"/>
      <c r="F40" s="18">
        <f>+'ECONOMY 151'!F46</f>
        <v>0</v>
      </c>
      <c r="G40" s="18"/>
      <c r="H40" s="18">
        <f>+PAGE9!J24</f>
        <v>0</v>
      </c>
      <c r="I40" s="18"/>
      <c r="J40" s="18">
        <f>+PAGE9!J46</f>
        <v>0</v>
      </c>
    </row>
    <row r="41" spans="3:10" ht="15">
      <c r="C41" s="3" t="s">
        <v>1242</v>
      </c>
      <c r="D41" s="18">
        <f>+'ECONOMY 151'!F30</f>
        <v>0</v>
      </c>
      <c r="E41" s="18"/>
      <c r="F41" s="18">
        <f>+'ECONOMY 151'!F47</f>
        <v>0</v>
      </c>
      <c r="G41" s="18"/>
      <c r="H41" s="18">
        <f>+PAGE9!J30</f>
        <v>0</v>
      </c>
      <c r="I41" s="18"/>
      <c r="J41" s="18">
        <f>+PAGE9!J47</f>
        <v>0</v>
      </c>
    </row>
    <row r="42" spans="3:10" ht="15">
      <c r="C42" s="3" t="s">
        <v>1243</v>
      </c>
      <c r="D42" s="26">
        <f>+'ECONOMY 151'!F36</f>
        <v>0</v>
      </c>
      <c r="E42" s="18"/>
      <c r="F42" s="26">
        <f>+'ECONOMY 151'!F48</f>
        <v>0</v>
      </c>
      <c r="G42" s="18"/>
      <c r="H42" s="26">
        <f>+PAGE9!J36</f>
        <v>0</v>
      </c>
      <c r="I42" s="18"/>
      <c r="J42" s="26">
        <f>+PAGE9!J48</f>
        <v>0</v>
      </c>
    </row>
    <row r="43" spans="3:10" ht="15">
      <c r="C43" s="3" t="s">
        <v>1613</v>
      </c>
      <c r="D43" s="18">
        <f>SUM(D38:D42)</f>
        <v>0</v>
      </c>
      <c r="E43" s="18"/>
      <c r="F43" s="18">
        <f>SUM(F38:F42)</f>
        <v>0</v>
      </c>
      <c r="G43" s="18"/>
      <c r="H43" s="18">
        <f>SUM(H38:H42)</f>
        <v>0</v>
      </c>
      <c r="I43" s="18"/>
      <c r="J43" s="18">
        <f>SUM(J38:J42)</f>
        <v>0</v>
      </c>
    </row>
    <row r="44" spans="4:10" ht="15">
      <c r="D44" s="18"/>
      <c r="E44" s="18"/>
      <c r="F44" s="18"/>
      <c r="G44" s="18"/>
      <c r="H44" s="18"/>
      <c r="I44" s="18"/>
      <c r="J44" s="18"/>
    </row>
    <row r="45" spans="1:10" ht="16.5">
      <c r="A45" s="28" t="s">
        <v>1627</v>
      </c>
      <c r="D45" s="18"/>
      <c r="E45" s="18"/>
      <c r="F45" s="18"/>
      <c r="G45" s="18"/>
      <c r="H45" s="18"/>
      <c r="I45" s="18"/>
      <c r="J45" s="18"/>
    </row>
    <row r="46" spans="1:10" ht="15">
      <c r="A46" s="24" t="s">
        <v>1628</v>
      </c>
      <c r="C46" s="3" t="s">
        <v>1239</v>
      </c>
      <c r="D46" s="18">
        <f>+D23+D31+D38+PAGE5!D16</f>
        <v>1109232</v>
      </c>
      <c r="E46" s="18"/>
      <c r="F46" s="18">
        <f>+F23+F31+F38+PAGE5!F16</f>
        <v>335943</v>
      </c>
      <c r="G46" s="18"/>
      <c r="H46" s="18">
        <f>+H23+H31+H38+PAGE5!H16</f>
        <v>29683201</v>
      </c>
      <c r="I46" s="18"/>
      <c r="J46" s="18">
        <f>+J23+J31+J38+PAGE5!J16</f>
        <v>12261444</v>
      </c>
    </row>
    <row r="47" spans="3:10" ht="15">
      <c r="C47" s="3" t="s">
        <v>1240</v>
      </c>
      <c r="D47" s="18">
        <f>+D24+D32+D39+PAGE5!D17</f>
        <v>98915</v>
      </c>
      <c r="E47" s="18"/>
      <c r="F47" s="18">
        <f>+F24+F32+F39+PAGE5!F17</f>
        <v>205025</v>
      </c>
      <c r="G47" s="18"/>
      <c r="H47" s="18">
        <f>+H24+H32+H39+PAGE5!H17</f>
        <v>3174677</v>
      </c>
      <c r="I47" s="18"/>
      <c r="J47" s="18">
        <f>+J24+J32+J39+PAGE5!J17</f>
        <v>5276758</v>
      </c>
    </row>
    <row r="48" spans="3:10" ht="15">
      <c r="C48" s="3" t="s">
        <v>1241</v>
      </c>
      <c r="D48" s="18">
        <f>+D25+D33+D40+PAGE5!D18</f>
        <v>220871</v>
      </c>
      <c r="E48" s="18"/>
      <c r="F48" s="18">
        <f>+F25+F33+F40+PAGE5!F18</f>
        <v>525264</v>
      </c>
      <c r="G48" s="18"/>
      <c r="H48" s="18">
        <f>+H25+H33+H40+PAGE5!H18</f>
        <v>7019758</v>
      </c>
      <c r="I48" s="18"/>
      <c r="J48" s="18">
        <f>+J25+J33+J40+PAGE5!J18</f>
        <v>13694976</v>
      </c>
    </row>
    <row r="49" spans="3:10" ht="15">
      <c r="C49" s="3" t="s">
        <v>1242</v>
      </c>
      <c r="D49" s="18">
        <f>+D26+D34+D41+PAGE5!D19</f>
        <v>222918</v>
      </c>
      <c r="E49" s="18"/>
      <c r="F49" s="18">
        <f>+F26+F34+F41+PAGE5!F19</f>
        <v>1485042</v>
      </c>
      <c r="G49" s="18"/>
      <c r="H49" s="18">
        <f>+H26+H34+H41+PAGE5!H19</f>
        <v>7757499</v>
      </c>
      <c r="I49" s="18"/>
      <c r="J49" s="18">
        <f>+J26+J34+J41+PAGE5!J19</f>
        <v>39970553</v>
      </c>
    </row>
    <row r="50" spans="3:10" ht="15">
      <c r="C50" s="3" t="s">
        <v>1243</v>
      </c>
      <c r="D50" s="26">
        <f>+D27+D35+D42+PAGE5!D20</f>
        <v>1095211</v>
      </c>
      <c r="E50" s="18"/>
      <c r="F50" s="26">
        <f>+F27+F35+F42+PAGE5!F20</f>
        <v>195873</v>
      </c>
      <c r="G50" s="18"/>
      <c r="H50" s="26">
        <f>+H27+H35+H42+PAGE5!H20</f>
        <v>29542185</v>
      </c>
      <c r="I50" s="18"/>
      <c r="J50" s="26">
        <f>+J27+J35+J42+PAGE5!J20</f>
        <v>5973589</v>
      </c>
    </row>
    <row r="51" spans="3:10" ht="15">
      <c r="C51" s="3" t="s">
        <v>1613</v>
      </c>
      <c r="D51" s="18">
        <f>SUM(D46:D50)</f>
        <v>2747147</v>
      </c>
      <c r="E51" s="18"/>
      <c r="F51" s="18">
        <f>SUM(F46:F50)</f>
        <v>2747147</v>
      </c>
      <c r="G51" s="18"/>
      <c r="H51" s="18">
        <f>SUM(H46:H50)</f>
        <v>77177320</v>
      </c>
      <c r="I51" s="18"/>
      <c r="J51" s="18">
        <f>SUM(J46:J50)</f>
        <v>77177320</v>
      </c>
    </row>
    <row r="53" ht="15">
      <c r="A53" s="3" t="s">
        <v>159</v>
      </c>
    </row>
    <row r="54" ht="15">
      <c r="A54" s="24" t="s">
        <v>160</v>
      </c>
    </row>
    <row r="55" ht="15">
      <c r="A55" s="24" t="s">
        <v>162</v>
      </c>
    </row>
    <row r="56" ht="15">
      <c r="A56" s="24" t="s">
        <v>163</v>
      </c>
    </row>
    <row r="57" ht="15">
      <c r="A57" s="24" t="s">
        <v>164</v>
      </c>
    </row>
    <row r="58" ht="15">
      <c r="A58" s="24" t="s">
        <v>167</v>
      </c>
    </row>
    <row r="59" ht="15">
      <c r="A59" s="24" t="s">
        <v>165</v>
      </c>
    </row>
  </sheetData>
  <printOptions horizontalCentered="1"/>
  <pageMargins left="0.25" right="0.25" top="0.25" bottom="0.25" header="0" footer="0"/>
  <pageSetup fitToHeight="1" fitToWidth="1" horizontalDpi="600" verticalDpi="600" orientation="portrait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K48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3" customWidth="1"/>
    <col min="2" max="2" width="9.140625" style="3" customWidth="1"/>
    <col min="3" max="3" width="5.7109375" style="3" customWidth="1"/>
    <col min="4" max="4" width="12.57421875" style="3" customWidth="1"/>
    <col min="5" max="5" width="5.7109375" style="3" customWidth="1"/>
    <col min="6" max="6" width="13.57421875" style="3" customWidth="1"/>
    <col min="7" max="7" width="3.7109375" style="3" customWidth="1"/>
    <col min="8" max="8" width="16.57421875" style="3" customWidth="1"/>
    <col min="9" max="9" width="5.7109375" style="3" customWidth="1"/>
    <col min="10" max="10" width="15.7109375" style="3" customWidth="1"/>
    <col min="11" max="11" width="5.7109375" style="3" customWidth="1"/>
    <col min="12" max="16384" width="9.140625" style="3" customWidth="1"/>
  </cols>
  <sheetData>
    <row r="1" spans="1:10" ht="16.5">
      <c r="A1" s="19" t="s">
        <v>1451</v>
      </c>
      <c r="B1" s="20" t="str">
        <f>INPUT!C1</f>
        <v>June 2009</v>
      </c>
      <c r="J1" s="19" t="s">
        <v>1629</v>
      </c>
    </row>
    <row r="2" spans="1:10" ht="16.5">
      <c r="A2" s="19"/>
      <c r="B2" s="20"/>
      <c r="J2" s="19"/>
    </row>
    <row r="4" ht="16.5">
      <c r="F4" s="19" t="s">
        <v>1491</v>
      </c>
    </row>
    <row r="5" ht="16.5">
      <c r="F5" s="19" t="s">
        <v>1630</v>
      </c>
    </row>
    <row r="6" ht="16.5">
      <c r="F6" s="19" t="s">
        <v>1668</v>
      </c>
    </row>
    <row r="7" ht="16.5">
      <c r="F7" s="19" t="s">
        <v>1669</v>
      </c>
    </row>
    <row r="8" ht="16.5">
      <c r="F8" s="19"/>
    </row>
    <row r="9" ht="16.5">
      <c r="F9" s="19"/>
    </row>
    <row r="10" spans="4:10" ht="16.5">
      <c r="D10" s="21"/>
      <c r="E10" s="22" t="s">
        <v>1257</v>
      </c>
      <c r="F10" s="21"/>
      <c r="H10" s="21"/>
      <c r="I10" s="22" t="s">
        <v>1281</v>
      </c>
      <c r="J10" s="21"/>
    </row>
    <row r="11" spans="4:10" ht="16.5">
      <c r="D11" s="19" t="s">
        <v>1258</v>
      </c>
      <c r="F11" s="19" t="s">
        <v>1259</v>
      </c>
      <c r="H11" s="19" t="s">
        <v>1235</v>
      </c>
      <c r="J11" s="19" t="s">
        <v>1237</v>
      </c>
    </row>
    <row r="12" spans="4:10" ht="16.5">
      <c r="D12" s="19" t="s">
        <v>1246</v>
      </c>
      <c r="F12" s="19" t="s">
        <v>1247</v>
      </c>
      <c r="H12" s="19" t="s">
        <v>1457</v>
      </c>
      <c r="J12" s="19" t="s">
        <v>1457</v>
      </c>
    </row>
    <row r="13" spans="1:10" ht="16.5">
      <c r="A13" s="28" t="s">
        <v>1670</v>
      </c>
      <c r="D13" s="22" t="s">
        <v>1236</v>
      </c>
      <c r="F13" s="22" t="s">
        <v>1262</v>
      </c>
      <c r="H13" s="22" t="s">
        <v>1500</v>
      </c>
      <c r="J13" s="22" t="s">
        <v>1501</v>
      </c>
    </row>
    <row r="14" ht="16.5">
      <c r="J14" s="64" t="s">
        <v>1262</v>
      </c>
    </row>
    <row r="15" spans="1:10" ht="16.5">
      <c r="A15" s="28"/>
      <c r="D15" s="64"/>
      <c r="F15" s="64"/>
      <c r="H15" s="64"/>
      <c r="J15" s="64"/>
    </row>
    <row r="16" spans="1:10" ht="15">
      <c r="A16" s="3" t="s">
        <v>1718</v>
      </c>
      <c r="C16" s="3" t="s">
        <v>1239</v>
      </c>
      <c r="D16" s="18">
        <f>INPUT!J38</f>
        <v>0</v>
      </c>
      <c r="E16" s="2"/>
      <c r="F16" s="18">
        <f>INPUT!L38</f>
        <v>46</v>
      </c>
      <c r="G16" s="2"/>
      <c r="H16" s="18">
        <f>INPUT!M38</f>
        <v>0</v>
      </c>
      <c r="I16" s="18"/>
      <c r="J16" s="18">
        <f>INPUT!O38</f>
        <v>3722</v>
      </c>
    </row>
    <row r="17" spans="1:10" ht="15">
      <c r="A17" s="3" t="s">
        <v>1719</v>
      </c>
      <c r="C17" s="3" t="s">
        <v>1240</v>
      </c>
      <c r="D17" s="18">
        <f>INPUT!J39</f>
        <v>0</v>
      </c>
      <c r="E17" s="2"/>
      <c r="F17" s="18">
        <f>INPUT!L39</f>
        <v>5</v>
      </c>
      <c r="G17" s="2"/>
      <c r="H17" s="18">
        <f>INPUT!M39</f>
        <v>0</v>
      </c>
      <c r="I17" s="18"/>
      <c r="J17" s="18">
        <f>INPUT!O39</f>
        <v>545</v>
      </c>
    </row>
    <row r="18" spans="1:10" ht="15">
      <c r="A18" s="3" t="s">
        <v>1720</v>
      </c>
      <c r="C18" s="3" t="s">
        <v>1241</v>
      </c>
      <c r="D18" s="18">
        <f>INPUT!J40</f>
        <v>0</v>
      </c>
      <c r="E18" s="2"/>
      <c r="F18" s="18">
        <f>INPUT!L40</f>
        <v>19</v>
      </c>
      <c r="G18" s="2"/>
      <c r="H18" s="18">
        <f>INPUT!M40</f>
        <v>0</v>
      </c>
      <c r="I18" s="18"/>
      <c r="J18" s="18">
        <f>INPUT!O40</f>
        <v>1387</v>
      </c>
    </row>
    <row r="19" spans="1:10" ht="15">
      <c r="A19" s="3" t="s">
        <v>1721</v>
      </c>
      <c r="C19" s="3" t="s">
        <v>1242</v>
      </c>
      <c r="D19" s="18">
        <f>INPUT!J41</f>
        <v>83</v>
      </c>
      <c r="E19" s="2"/>
      <c r="F19" s="18">
        <f>INPUT!L41</f>
        <v>0</v>
      </c>
      <c r="G19" s="2"/>
      <c r="H19" s="18">
        <f>INPUT!M41</f>
        <v>7088</v>
      </c>
      <c r="I19" s="18"/>
      <c r="J19" s="18">
        <f>INPUT!O41</f>
        <v>0</v>
      </c>
    </row>
    <row r="20" spans="1:10" ht="15">
      <c r="A20" s="3" t="s">
        <v>1722</v>
      </c>
      <c r="C20" s="3" t="s">
        <v>1243</v>
      </c>
      <c r="D20" s="26">
        <f>INPUT!J42</f>
        <v>0</v>
      </c>
      <c r="E20" s="2"/>
      <c r="F20" s="26">
        <f>INPUT!L42</f>
        <v>13</v>
      </c>
      <c r="G20" s="2"/>
      <c r="H20" s="26">
        <f>INPUT!M42</f>
        <v>0</v>
      </c>
      <c r="I20" s="18"/>
      <c r="J20" s="26">
        <f>INPUT!O42</f>
        <v>1434</v>
      </c>
    </row>
    <row r="21" spans="1:10" ht="15">
      <c r="A21" s="3" t="s">
        <v>1236</v>
      </c>
      <c r="C21" s="3" t="s">
        <v>1613</v>
      </c>
      <c r="D21" s="18">
        <f>SUM(D16:D20)</f>
        <v>83</v>
      </c>
      <c r="E21" s="2"/>
      <c r="F21" s="18">
        <f>SUM(F16:F20)</f>
        <v>83</v>
      </c>
      <c r="G21" s="2"/>
      <c r="H21" s="18">
        <f>SUM(H16:H20)</f>
        <v>7088</v>
      </c>
      <c r="I21" s="18"/>
      <c r="J21" s="18">
        <f>SUM(J16:J20)</f>
        <v>7088</v>
      </c>
    </row>
    <row r="23" spans="1:10" ht="15">
      <c r="A23" s="3" t="s">
        <v>1466</v>
      </c>
      <c r="C23" s="3" t="s">
        <v>1239</v>
      </c>
      <c r="D23" s="18">
        <f>INPUT!P38</f>
        <v>0</v>
      </c>
      <c r="E23" s="2"/>
      <c r="F23" s="18">
        <f>INPUT!R38</f>
        <v>30</v>
      </c>
      <c r="G23" s="2"/>
      <c r="H23" s="18">
        <f>+INPUT!S38</f>
        <v>0</v>
      </c>
      <c r="I23" s="18"/>
      <c r="J23" s="18">
        <f>+INPUT!U38</f>
        <v>2708</v>
      </c>
    </row>
    <row r="24" spans="1:10" ht="15">
      <c r="A24" s="3" t="s">
        <v>1467</v>
      </c>
      <c r="C24" s="3" t="s">
        <v>1240</v>
      </c>
      <c r="D24" s="18">
        <f>INPUT!P39</f>
        <v>0</v>
      </c>
      <c r="E24" s="2"/>
      <c r="F24" s="18">
        <f>INPUT!R39</f>
        <v>10</v>
      </c>
      <c r="G24" s="2"/>
      <c r="H24" s="18">
        <f>+INPUT!S39</f>
        <v>0</v>
      </c>
      <c r="I24" s="18"/>
      <c r="J24" s="18">
        <f>+INPUT!U39</f>
        <v>545</v>
      </c>
    </row>
    <row r="25" spans="1:10" ht="15">
      <c r="A25" s="3" t="s">
        <v>1355</v>
      </c>
      <c r="C25" s="3" t="s">
        <v>1241</v>
      </c>
      <c r="D25" s="18">
        <f>INPUT!P40</f>
        <v>0</v>
      </c>
      <c r="E25" s="2"/>
      <c r="F25" s="18">
        <f>INPUT!R40</f>
        <v>31</v>
      </c>
      <c r="G25" s="2"/>
      <c r="H25" s="18">
        <f>+INPUT!S40</f>
        <v>0</v>
      </c>
      <c r="I25" s="18"/>
      <c r="J25" s="18">
        <f>+INPUT!U40</f>
        <v>2472</v>
      </c>
    </row>
    <row r="26" spans="1:10" ht="15">
      <c r="A26" s="3" t="s">
        <v>1236</v>
      </c>
      <c r="C26" s="3" t="s">
        <v>1242</v>
      </c>
      <c r="D26" s="18">
        <f>INPUT!P41</f>
        <v>84</v>
      </c>
      <c r="E26" s="2"/>
      <c r="F26" s="18">
        <f>INPUT!R41</f>
        <v>0</v>
      </c>
      <c r="G26" s="2"/>
      <c r="H26" s="18">
        <f>+INPUT!S41</f>
        <v>7161</v>
      </c>
      <c r="I26" s="18"/>
      <c r="J26" s="18">
        <f>+INPUT!U41</f>
        <v>0</v>
      </c>
    </row>
    <row r="27" spans="1:10" ht="15">
      <c r="A27" s="3" t="s">
        <v>1236</v>
      </c>
      <c r="C27" s="3" t="s">
        <v>1243</v>
      </c>
      <c r="D27" s="26">
        <f>INPUT!P42</f>
        <v>0</v>
      </c>
      <c r="E27" s="2"/>
      <c r="F27" s="26">
        <f>INPUT!R42</f>
        <v>13</v>
      </c>
      <c r="G27" s="2"/>
      <c r="H27" s="26">
        <f>+INPUT!S42</f>
        <v>0</v>
      </c>
      <c r="I27" s="18"/>
      <c r="J27" s="26">
        <f>+INPUT!U42</f>
        <v>1436</v>
      </c>
    </row>
    <row r="28" spans="1:10" ht="15">
      <c r="A28" s="3" t="s">
        <v>1236</v>
      </c>
      <c r="C28" s="3" t="s">
        <v>1613</v>
      </c>
      <c r="D28" s="18">
        <f>SUM(D23:D27)</f>
        <v>84</v>
      </c>
      <c r="E28" s="2"/>
      <c r="F28" s="18">
        <f>SUM(F23:F27)</f>
        <v>84</v>
      </c>
      <c r="G28" s="2"/>
      <c r="H28" s="18">
        <f>SUM(H23:H27)</f>
        <v>7161</v>
      </c>
      <c r="I28" s="18"/>
      <c r="J28" s="18">
        <f>SUM(J23:J27)</f>
        <v>7161</v>
      </c>
    </row>
    <row r="29" spans="4:10" ht="15">
      <c r="D29" s="18"/>
      <c r="E29" s="2"/>
      <c r="F29" s="18"/>
      <c r="G29" s="2"/>
      <c r="H29" s="18"/>
      <c r="I29" s="18"/>
      <c r="J29" s="18"/>
    </row>
    <row r="30" spans="1:11" ht="15">
      <c r="A30" s="3" t="s">
        <v>1723</v>
      </c>
      <c r="C30" s="3" t="s">
        <v>1239</v>
      </c>
      <c r="D30" s="18">
        <f>+D16-D23</f>
        <v>0</v>
      </c>
      <c r="E30" s="2"/>
      <c r="F30" s="18">
        <f>+F16-F23</f>
        <v>16</v>
      </c>
      <c r="G30" s="2"/>
      <c r="H30" s="18">
        <f>+H16-H23</f>
        <v>0</v>
      </c>
      <c r="I30" s="18"/>
      <c r="J30" s="18">
        <f>+J16-J23</f>
        <v>1014</v>
      </c>
      <c r="K30" s="56"/>
    </row>
    <row r="31" spans="1:10" ht="15">
      <c r="A31" s="3" t="s">
        <v>1476</v>
      </c>
      <c r="C31" s="3" t="s">
        <v>1240</v>
      </c>
      <c r="D31" s="18">
        <f>+D17-D24</f>
        <v>0</v>
      </c>
      <c r="E31" s="2"/>
      <c r="F31" s="18">
        <f>+F17-F24</f>
        <v>-5</v>
      </c>
      <c r="G31" s="2"/>
      <c r="H31" s="18">
        <f>+H17-H24</f>
        <v>0</v>
      </c>
      <c r="I31" s="18"/>
      <c r="J31" s="18">
        <f>+J17-J24</f>
        <v>0</v>
      </c>
    </row>
    <row r="32" spans="1:11" ht="15">
      <c r="A32" s="3" t="s">
        <v>1477</v>
      </c>
      <c r="C32" s="3" t="s">
        <v>1241</v>
      </c>
      <c r="D32" s="18">
        <f>+D18-D25</f>
        <v>0</v>
      </c>
      <c r="E32" s="2"/>
      <c r="F32" s="18">
        <f>+F18-F25</f>
        <v>-12</v>
      </c>
      <c r="G32" s="2"/>
      <c r="H32" s="18">
        <f>+H18-H25</f>
        <v>0</v>
      </c>
      <c r="I32" s="18"/>
      <c r="J32" s="18">
        <f>+J18-J25</f>
        <v>-1085</v>
      </c>
      <c r="K32" s="56"/>
    </row>
    <row r="33" spans="1:10" ht="15">
      <c r="A33" s="3" t="s">
        <v>1236</v>
      </c>
      <c r="C33" s="3" t="s">
        <v>1242</v>
      </c>
      <c r="D33" s="18">
        <f>+D19-D26</f>
        <v>-1</v>
      </c>
      <c r="E33" s="2"/>
      <c r="F33" s="18">
        <f>+F19-F26</f>
        <v>0</v>
      </c>
      <c r="G33" s="2"/>
      <c r="H33" s="18">
        <f>+H19-H26</f>
        <v>-73</v>
      </c>
      <c r="I33" s="18"/>
      <c r="J33" s="18">
        <f>+J19-J26</f>
        <v>0</v>
      </c>
    </row>
    <row r="34" spans="1:11" ht="15">
      <c r="A34" s="3" t="s">
        <v>1236</v>
      </c>
      <c r="C34" s="3" t="s">
        <v>1243</v>
      </c>
      <c r="D34" s="26">
        <f>+D20-D27</f>
        <v>0</v>
      </c>
      <c r="E34" s="2"/>
      <c r="F34" s="26">
        <f>+F20-F27</f>
        <v>0</v>
      </c>
      <c r="G34" s="2"/>
      <c r="H34" s="26">
        <f>+H20-H27</f>
        <v>0</v>
      </c>
      <c r="I34" s="18"/>
      <c r="J34" s="26">
        <f>+J20-J27</f>
        <v>-2</v>
      </c>
      <c r="K34" s="56"/>
    </row>
    <row r="35" spans="1:10" ht="15">
      <c r="A35" s="3" t="s">
        <v>1236</v>
      </c>
      <c r="C35" s="3" t="s">
        <v>1613</v>
      </c>
      <c r="D35" s="18">
        <f>SUM(D30:D34)</f>
        <v>-1</v>
      </c>
      <c r="E35" s="2"/>
      <c r="F35" s="18">
        <f>SUM(F30:F34)</f>
        <v>-1</v>
      </c>
      <c r="G35" s="2"/>
      <c r="H35" s="18">
        <f>SUM(H30:H34)</f>
        <v>-73</v>
      </c>
      <c r="I35" s="18"/>
      <c r="J35" s="18">
        <f>SUM(J30:J34)</f>
        <v>-73</v>
      </c>
    </row>
    <row r="37" ht="16.5">
      <c r="A37" s="28"/>
    </row>
    <row r="39" ht="16.5">
      <c r="A39" s="28"/>
    </row>
    <row r="40" ht="15">
      <c r="A40" s="24"/>
    </row>
    <row r="47" ht="15">
      <c r="A47" s="24" t="s">
        <v>2194</v>
      </c>
    </row>
    <row r="48" ht="15">
      <c r="A48" s="429" t="s">
        <v>2193</v>
      </c>
    </row>
  </sheetData>
  <printOptions/>
  <pageMargins left="0.25" right="0.25" top="0.25" bottom="0.25" header="0" footer="0"/>
  <pageSetup fitToHeight="1" fitToWidth="1" horizontalDpi="600" verticalDpi="600" orientation="portrait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/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3" customWidth="1"/>
    <col min="2" max="2" width="2.7109375" style="3" customWidth="1"/>
    <col min="3" max="3" width="22.421875" style="3" customWidth="1"/>
    <col min="4" max="4" width="2.7109375" style="3" customWidth="1"/>
    <col min="5" max="5" width="24.8515625" style="3" customWidth="1"/>
    <col min="6" max="6" width="2.7109375" style="3" customWidth="1"/>
    <col min="7" max="7" width="20.421875" style="3" customWidth="1"/>
    <col min="8" max="8" width="2.7109375" style="3" customWidth="1"/>
    <col min="9" max="9" width="24.421875" style="3" customWidth="1"/>
    <col min="10" max="16384" width="9.140625" style="3" customWidth="1"/>
  </cols>
  <sheetData>
    <row r="1" spans="1:9" ht="16.5">
      <c r="A1" s="28" t="s">
        <v>1451</v>
      </c>
      <c r="B1" s="20" t="str">
        <f>INPUT!C1</f>
        <v>June 2009</v>
      </c>
      <c r="I1" s="19" t="s">
        <v>1724</v>
      </c>
    </row>
    <row r="5" ht="16.5">
      <c r="E5" s="19" t="s">
        <v>1725</v>
      </c>
    </row>
    <row r="6" ht="16.5">
      <c r="E6" s="19" t="s">
        <v>1726</v>
      </c>
    </row>
    <row r="7" ht="16.5">
      <c r="E7" s="19" t="s">
        <v>1727</v>
      </c>
    </row>
    <row r="10" ht="16.5">
      <c r="A10" s="65" t="s">
        <v>1728</v>
      </c>
    </row>
    <row r="11" ht="16.5">
      <c r="A11" s="66" t="s">
        <v>1729</v>
      </c>
    </row>
    <row r="12" ht="16.5">
      <c r="A12" s="66"/>
    </row>
    <row r="13" ht="16.5">
      <c r="A13" s="66"/>
    </row>
    <row r="14" ht="15">
      <c r="G14" s="67" t="s">
        <v>1730</v>
      </c>
    </row>
    <row r="15" spans="3:9" ht="16.5">
      <c r="C15" s="54" t="s">
        <v>1604</v>
      </c>
      <c r="E15" s="19" t="s">
        <v>1731</v>
      </c>
      <c r="G15" s="67" t="s">
        <v>1732</v>
      </c>
      <c r="I15" s="19" t="s">
        <v>1733</v>
      </c>
    </row>
    <row r="16" spans="3:9" ht="16.5">
      <c r="C16" s="61" t="s">
        <v>153</v>
      </c>
      <c r="E16" s="19" t="s">
        <v>1719</v>
      </c>
      <c r="G16" s="67" t="s">
        <v>1298</v>
      </c>
      <c r="I16" s="19" t="s">
        <v>1734</v>
      </c>
    </row>
    <row r="17" spans="3:9" ht="16.5">
      <c r="C17" s="55" t="s">
        <v>1453</v>
      </c>
      <c r="E17" s="23" t="s">
        <v>1453</v>
      </c>
      <c r="G17" s="68" t="s">
        <v>1453</v>
      </c>
      <c r="I17" s="23" t="s">
        <v>1453</v>
      </c>
    </row>
    <row r="18" spans="3:9" ht="15">
      <c r="C18" s="56" t="s">
        <v>1504</v>
      </c>
      <c r="D18" s="57"/>
      <c r="E18" s="56" t="s">
        <v>1505</v>
      </c>
      <c r="F18" s="57"/>
      <c r="G18" s="56" t="s">
        <v>1506</v>
      </c>
      <c r="H18" s="57"/>
      <c r="I18" s="56" t="s">
        <v>1735</v>
      </c>
    </row>
    <row r="20" spans="1:9" ht="15">
      <c r="A20" s="3" t="s">
        <v>1239</v>
      </c>
      <c r="C20" s="17">
        <f>ROUND($E$25*INPUT!C5,0)</f>
        <v>24001386</v>
      </c>
      <c r="D20" s="17"/>
      <c r="E20" s="18">
        <f>+PAGE11!I43</f>
        <v>27301982</v>
      </c>
      <c r="F20" s="17"/>
      <c r="G20" s="18">
        <f>INPUT!J49</f>
        <v>30624589</v>
      </c>
      <c r="H20" s="17"/>
      <c r="I20" s="17">
        <f>+G20-C20</f>
        <v>6623203</v>
      </c>
    </row>
    <row r="21" spans="1:9" ht="15">
      <c r="A21" s="3" t="s">
        <v>1240</v>
      </c>
      <c r="C21" s="17">
        <f>ROUND($E$25*INPUT!C6,0)</f>
        <v>4836079</v>
      </c>
      <c r="D21" s="17"/>
      <c r="E21" s="18">
        <f>+PAGE11!I44</f>
        <v>2756856</v>
      </c>
      <c r="F21" s="17"/>
      <c r="G21" s="18">
        <f>INPUT!J50</f>
        <v>6170611</v>
      </c>
      <c r="H21" s="17"/>
      <c r="I21" s="17">
        <f>+G21-C21</f>
        <v>1334532</v>
      </c>
    </row>
    <row r="22" spans="1:9" ht="15">
      <c r="A22" s="3" t="s">
        <v>1241</v>
      </c>
      <c r="C22" s="17">
        <f>ROUND($E$25*INPUT!C7,0)</f>
        <v>12319012</v>
      </c>
      <c r="D22" s="17"/>
      <c r="E22" s="18">
        <f>+PAGE11!I45</f>
        <v>11616538</v>
      </c>
      <c r="F22" s="17"/>
      <c r="G22" s="18">
        <f>INPUT!J51</f>
        <v>15718473</v>
      </c>
      <c r="H22" s="17"/>
      <c r="I22" s="17">
        <f>+G22-C22</f>
        <v>3399461</v>
      </c>
    </row>
    <row r="23" spans="1:9" ht="15">
      <c r="A23" s="3" t="s">
        <v>1242</v>
      </c>
      <c r="C23" s="17">
        <f>ROUND($E$25*INPUT!C8,0)</f>
        <v>15768280</v>
      </c>
      <c r="D23" s="17"/>
      <c r="E23" s="18">
        <f>+PAGE11!I46</f>
        <v>16110027</v>
      </c>
      <c r="F23" s="17"/>
      <c r="G23" s="18">
        <f>INPUT!J52</f>
        <v>20119476</v>
      </c>
      <c r="H23" s="17"/>
      <c r="I23" s="17">
        <f>+G23-C23</f>
        <v>4351196</v>
      </c>
    </row>
    <row r="24" spans="1:9" ht="15">
      <c r="A24" s="3" t="s">
        <v>1243</v>
      </c>
      <c r="C24" s="26">
        <f>ROUND($E$25*INPUT!C9,0)</f>
        <v>12729274</v>
      </c>
      <c r="D24" s="17"/>
      <c r="E24" s="26">
        <f>+PAGE11!I47</f>
        <v>11868628</v>
      </c>
      <c r="F24" s="17"/>
      <c r="G24" s="26">
        <f>INPUT!J53</f>
        <v>16241920</v>
      </c>
      <c r="H24" s="17"/>
      <c r="I24" s="27">
        <f>+G24-C24</f>
        <v>3512646</v>
      </c>
    </row>
    <row r="25" spans="1:9" ht="15">
      <c r="A25" s="3" t="s">
        <v>1348</v>
      </c>
      <c r="C25" s="17">
        <f>SUM(C20:C24)</f>
        <v>69654031</v>
      </c>
      <c r="D25" s="17"/>
      <c r="E25" s="18">
        <f>SUM(E20:E24)</f>
        <v>69654031</v>
      </c>
      <c r="F25" s="17"/>
      <c r="G25" s="18">
        <f>SUM(G20:G24)</f>
        <v>88875069</v>
      </c>
      <c r="H25" s="17"/>
      <c r="I25" s="17">
        <f>SUM(I20:I24)</f>
        <v>19221038</v>
      </c>
    </row>
    <row r="29" ht="15">
      <c r="C29" s="108"/>
    </row>
    <row r="30" spans="3:6" ht="16.5">
      <c r="C30" s="108"/>
      <c r="D30" s="19"/>
      <c r="E30" s="67" t="s">
        <v>1736</v>
      </c>
      <c r="F30" s="19"/>
    </row>
    <row r="31" spans="3:7" ht="16.5">
      <c r="C31" s="19" t="s">
        <v>1737</v>
      </c>
      <c r="D31" s="19"/>
      <c r="E31" s="67" t="s">
        <v>1738</v>
      </c>
      <c r="F31" s="19"/>
      <c r="G31" s="25" t="s">
        <v>1739</v>
      </c>
    </row>
    <row r="32" spans="3:7" ht="16.5">
      <c r="C32" s="19" t="s">
        <v>1740</v>
      </c>
      <c r="D32" s="19"/>
      <c r="E32" s="69" t="s">
        <v>1741</v>
      </c>
      <c r="F32" s="19"/>
      <c r="G32" s="19" t="s">
        <v>1457</v>
      </c>
    </row>
    <row r="33" spans="3:7" ht="16.5">
      <c r="C33" s="19" t="s">
        <v>1742</v>
      </c>
      <c r="D33" s="19"/>
      <c r="E33" s="67" t="s">
        <v>1743</v>
      </c>
      <c r="F33" s="19"/>
      <c r="G33" s="19" t="s">
        <v>1514</v>
      </c>
    </row>
    <row r="34" spans="3:7" ht="16.5">
      <c r="C34" s="23" t="s">
        <v>1453</v>
      </c>
      <c r="D34" s="19"/>
      <c r="E34" s="68" t="s">
        <v>1453</v>
      </c>
      <c r="F34" s="19"/>
      <c r="G34" s="22" t="s">
        <v>1744</v>
      </c>
    </row>
    <row r="35" spans="3:7" ht="15">
      <c r="C35" s="56" t="s">
        <v>1509</v>
      </c>
      <c r="D35" s="57"/>
      <c r="E35" s="56" t="s">
        <v>1745</v>
      </c>
      <c r="F35" s="57"/>
      <c r="G35" s="56" t="s">
        <v>1510</v>
      </c>
    </row>
    <row r="37" spans="1:7" ht="15">
      <c r="A37" s="3" t="s">
        <v>1239</v>
      </c>
      <c r="C37" s="18">
        <f>+INPUT!L49</f>
        <v>103595</v>
      </c>
      <c r="D37" s="17"/>
      <c r="E37" s="17">
        <f>+I20-C37</f>
        <v>6519608</v>
      </c>
      <c r="G37" s="58">
        <f>INPUT!C5</f>
        <v>0.34458</v>
      </c>
    </row>
    <row r="38" spans="1:7" ht="15">
      <c r="A38" s="3" t="s">
        <v>1240</v>
      </c>
      <c r="C38" s="18">
        <f>+INPUT!L50</f>
        <v>20874</v>
      </c>
      <c r="D38" s="17"/>
      <c r="E38" s="17">
        <f>+I21-C38</f>
        <v>1313658</v>
      </c>
      <c r="G38" s="58">
        <f>INPUT!C6</f>
        <v>0.06943</v>
      </c>
    </row>
    <row r="39" spans="1:7" ht="15">
      <c r="A39" s="3" t="s">
        <v>1241</v>
      </c>
      <c r="C39" s="18">
        <f>+INPUT!L51</f>
        <v>53171</v>
      </c>
      <c r="D39" s="17"/>
      <c r="E39" s="17">
        <f>+I22-C39</f>
        <v>3346290</v>
      </c>
      <c r="G39" s="58">
        <f>INPUT!C7</f>
        <v>0.17686</v>
      </c>
    </row>
    <row r="40" spans="1:7" ht="15">
      <c r="A40" s="3" t="s">
        <v>1242</v>
      </c>
      <c r="C40" s="18">
        <f>+INPUT!L52</f>
        <v>68059</v>
      </c>
      <c r="D40" s="17"/>
      <c r="E40" s="17">
        <f>+I23-C40</f>
        <v>4283137</v>
      </c>
      <c r="G40" s="58">
        <f>INPUT!C8</f>
        <v>0.22638</v>
      </c>
    </row>
    <row r="41" spans="1:7" ht="15">
      <c r="A41" s="3" t="s">
        <v>1243</v>
      </c>
      <c r="C41" s="26">
        <f>+INPUT!L53</f>
        <v>54942</v>
      </c>
      <c r="D41" s="17"/>
      <c r="E41" s="27">
        <f>+I24-C41</f>
        <v>3457704</v>
      </c>
      <c r="G41" s="59">
        <f>INPUT!C9</f>
        <v>0.18275</v>
      </c>
    </row>
    <row r="42" spans="1:7" ht="15">
      <c r="A42" s="3" t="s">
        <v>1348</v>
      </c>
      <c r="C42" s="18">
        <f>SUM(C37:C41)</f>
        <v>300641</v>
      </c>
      <c r="D42" s="17"/>
      <c r="E42" s="17">
        <f>SUM(E37:E41)</f>
        <v>18920397</v>
      </c>
      <c r="G42" s="58">
        <f>SUM(G37:G41)</f>
        <v>1</v>
      </c>
    </row>
    <row r="43" ht="15">
      <c r="I43" s="17"/>
    </row>
    <row r="44" ht="16.5">
      <c r="A44" s="28" t="s">
        <v>1354</v>
      </c>
    </row>
    <row r="46" ht="15">
      <c r="A46" s="24" t="s">
        <v>567</v>
      </c>
    </row>
    <row r="47" ht="15">
      <c r="A47" s="24" t="s">
        <v>540</v>
      </c>
    </row>
    <row r="48" ht="15">
      <c r="A48" s="428" t="s">
        <v>531</v>
      </c>
    </row>
    <row r="50" ht="15">
      <c r="A50" s="24" t="s">
        <v>541</v>
      </c>
    </row>
    <row r="55" ht="15">
      <c r="A55" s="24" t="s">
        <v>539</v>
      </c>
    </row>
    <row r="57" ht="15">
      <c r="A57" s="24"/>
    </row>
    <row r="58" ht="15">
      <c r="A58" s="24"/>
    </row>
    <row r="59" ht="15">
      <c r="A59" s="24"/>
    </row>
    <row r="60" ht="15">
      <c r="A60" s="24"/>
    </row>
  </sheetData>
  <printOptions horizontalCentered="1"/>
  <pageMargins left="0.25" right="0.25" top="0.25" bottom="0.25" header="0" footer="0"/>
  <pageSetup horizontalDpi="600" verticalDpi="600" orientation="portrait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U49"/>
  <sheetViews>
    <sheetView workbookViewId="0" topLeftCell="A1">
      <selection activeCell="A2" sqref="A2"/>
    </sheetView>
  </sheetViews>
  <sheetFormatPr defaultColWidth="9.140625" defaultRowHeight="12.75"/>
  <cols>
    <col min="1" max="1" width="16.28125" style="0" bestFit="1" customWidth="1"/>
    <col min="2" max="2" width="14.8515625" style="0" customWidth="1"/>
    <col min="3" max="3" width="2.28125" style="0" bestFit="1" customWidth="1"/>
    <col min="4" max="4" width="14.8515625" style="0" customWidth="1"/>
    <col min="5" max="5" width="2.421875" style="0" bestFit="1" customWidth="1"/>
    <col min="6" max="6" width="14.8515625" style="0" customWidth="1"/>
    <col min="7" max="7" width="1.7109375" style="0" customWidth="1"/>
    <col min="8" max="8" width="17.140625" style="0" bestFit="1" customWidth="1"/>
    <col min="9" max="9" width="2.28125" style="0" bestFit="1" customWidth="1"/>
    <col min="10" max="10" width="15.140625" style="0" bestFit="1" customWidth="1"/>
    <col min="11" max="11" width="2.28125" style="0" bestFit="1" customWidth="1"/>
    <col min="12" max="12" width="18.7109375" style="0" bestFit="1" customWidth="1"/>
    <col min="13" max="13" width="2.140625" style="0" customWidth="1"/>
    <col min="14" max="14" width="17.140625" style="0" customWidth="1"/>
    <col min="15" max="15" width="2.140625" style="0" customWidth="1"/>
    <col min="16" max="16" width="17.140625" style="0" customWidth="1"/>
    <col min="17" max="17" width="2.140625" style="0" customWidth="1"/>
    <col min="18" max="18" width="21.7109375" style="0" bestFit="1" customWidth="1"/>
    <col min="19" max="19" width="1.7109375" style="0" customWidth="1"/>
    <col min="20" max="20" width="29.28125" style="0" customWidth="1"/>
    <col min="21" max="21" width="3.57421875" style="0" customWidth="1"/>
    <col min="22" max="22" width="16.140625" style="0" bestFit="1" customWidth="1"/>
    <col min="23" max="23" width="17.7109375" style="0" bestFit="1" customWidth="1"/>
  </cols>
  <sheetData>
    <row r="1" spans="1:12" s="3" customFormat="1" ht="15">
      <c r="A1" s="140" t="s">
        <v>1451</v>
      </c>
      <c r="B1" s="1032" t="str">
        <f>INPUT!C1</f>
        <v>June 2009</v>
      </c>
      <c r="C1" s="52"/>
      <c r="D1" s="52"/>
      <c r="E1" s="52"/>
      <c r="F1" s="52"/>
      <c r="G1" s="52"/>
      <c r="H1" s="52"/>
      <c r="L1" s="67" t="s">
        <v>327</v>
      </c>
    </row>
    <row r="2" spans="1:18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6.5">
      <c r="A4" s="1015" t="s">
        <v>330</v>
      </c>
      <c r="B4" s="1015"/>
      <c r="C4" s="1015"/>
      <c r="D4" s="1015"/>
      <c r="E4" s="1015"/>
      <c r="F4" s="1015"/>
      <c r="G4" s="1015"/>
      <c r="H4" s="1015"/>
      <c r="I4" s="1015"/>
      <c r="J4" s="1015"/>
      <c r="K4" s="1015"/>
      <c r="L4" s="1015"/>
      <c r="M4" s="3"/>
      <c r="N4" s="3"/>
      <c r="O4" s="3"/>
      <c r="P4" s="3"/>
      <c r="Q4" s="3"/>
      <c r="R4" s="3"/>
    </row>
    <row r="5" spans="1:18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20" ht="16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T6" s="64"/>
    </row>
    <row r="7" spans="1:20" ht="16.5">
      <c r="A7" s="3"/>
      <c r="B7" s="1014" t="s">
        <v>1710</v>
      </c>
      <c r="C7" s="1014"/>
      <c r="D7" s="1014"/>
      <c r="E7" s="1014"/>
      <c r="F7" s="1014"/>
      <c r="G7" s="3"/>
      <c r="H7" s="83" t="s">
        <v>359</v>
      </c>
      <c r="M7" s="3"/>
      <c r="N7" s="3"/>
      <c r="O7" s="3"/>
      <c r="P7" s="3"/>
      <c r="Q7" s="3"/>
      <c r="T7" s="64"/>
    </row>
    <row r="8" spans="1:20" ht="15">
      <c r="A8" s="3"/>
      <c r="B8" s="3"/>
      <c r="C8" s="3"/>
      <c r="D8" s="3"/>
      <c r="E8" s="3"/>
      <c r="F8" s="3"/>
      <c r="G8" s="3"/>
      <c r="H8" s="3"/>
      <c r="M8" s="3"/>
      <c r="N8" s="3"/>
      <c r="O8" s="3"/>
      <c r="P8" s="3"/>
      <c r="Q8" s="3"/>
      <c r="T8" s="238"/>
    </row>
    <row r="9" spans="1:20" ht="16.5">
      <c r="A9" s="3" t="s">
        <v>331</v>
      </c>
      <c r="B9" s="389">
        <f>'APPVIII PG 7'!E31</f>
        <v>0.9824887606146891</v>
      </c>
      <c r="C9" s="57" t="s">
        <v>332</v>
      </c>
      <c r="D9" s="18">
        <f>'APPVIII PG 7'!E25</f>
        <v>12389</v>
      </c>
      <c r="E9" s="57" t="s">
        <v>326</v>
      </c>
      <c r="F9" s="146">
        <f>ROUND(B9*D9,0)</f>
        <v>12172</v>
      </c>
      <c r="H9" s="146">
        <f>F9</f>
        <v>12172</v>
      </c>
      <c r="M9" s="3"/>
      <c r="N9" s="3"/>
      <c r="O9" s="3"/>
      <c r="P9" s="3"/>
      <c r="Q9" s="3"/>
      <c r="T9" s="390"/>
    </row>
    <row r="10" spans="1:20" ht="15">
      <c r="A10" s="3"/>
      <c r="B10" s="3"/>
      <c r="C10" s="57"/>
      <c r="D10" s="3"/>
      <c r="E10" s="57"/>
      <c r="F10" s="147"/>
      <c r="H10" s="141"/>
      <c r="M10" s="3"/>
      <c r="N10" s="3"/>
      <c r="O10" s="3"/>
      <c r="P10" s="3"/>
      <c r="Q10" s="3"/>
      <c r="T10" s="238"/>
    </row>
    <row r="11" spans="1:20" ht="16.5">
      <c r="A11" s="3" t="s">
        <v>325</v>
      </c>
      <c r="B11" s="389">
        <f>'APPVIII PG 7'!E32</f>
        <v>0.01751123938531081</v>
      </c>
      <c r="C11" s="57" t="s">
        <v>332</v>
      </c>
      <c r="D11" s="18">
        <f>'APPVIII PG 7'!E25</f>
        <v>12389</v>
      </c>
      <c r="E11" s="57" t="s">
        <v>326</v>
      </c>
      <c r="F11" s="146">
        <f>ROUND(B11*D11,0)</f>
        <v>217</v>
      </c>
      <c r="H11" s="245">
        <f>F11</f>
        <v>217</v>
      </c>
      <c r="M11" s="3"/>
      <c r="N11" s="3"/>
      <c r="O11" s="3"/>
      <c r="P11" s="3"/>
      <c r="Q11" s="3"/>
      <c r="T11" s="390"/>
    </row>
    <row r="12" spans="1:20" ht="16.5">
      <c r="A12" s="3"/>
      <c r="B12" s="144"/>
      <c r="C12" s="57"/>
      <c r="D12" s="17"/>
      <c r="E12" s="57"/>
      <c r="F12" s="145"/>
      <c r="G12" s="3"/>
      <c r="H12" s="147">
        <f>SUM(H9:H11)</f>
        <v>12389</v>
      </c>
      <c r="M12" s="3"/>
      <c r="N12" s="3"/>
      <c r="O12" s="3"/>
      <c r="P12" s="3"/>
      <c r="Q12" s="3"/>
      <c r="T12" s="390"/>
    </row>
    <row r="13" spans="1:18" ht="16.5">
      <c r="A13" s="3"/>
      <c r="B13" s="3"/>
      <c r="C13" s="3"/>
      <c r="D13" s="3"/>
      <c r="E13" s="3"/>
      <c r="F13" s="3"/>
      <c r="G13" s="3"/>
      <c r="H13" s="144"/>
      <c r="I13" s="57"/>
      <c r="J13" s="17"/>
      <c r="K13" s="57"/>
      <c r="L13" s="145"/>
      <c r="M13" s="3"/>
      <c r="N13" s="3"/>
      <c r="O13" s="3"/>
      <c r="P13" s="3"/>
      <c r="Q13" s="3"/>
      <c r="R13" s="3"/>
    </row>
    <row r="14" spans="1:18" ht="15">
      <c r="A14" s="3"/>
      <c r="B14" s="3"/>
      <c r="C14" s="3"/>
      <c r="D14" s="3"/>
      <c r="E14" s="3"/>
      <c r="F14" s="3"/>
      <c r="G14" s="3"/>
      <c r="H14" s="144"/>
      <c r="I14" s="3"/>
      <c r="J14" s="17"/>
      <c r="K14" s="3"/>
      <c r="L14" s="141"/>
      <c r="M14" s="3"/>
      <c r="N14" s="3"/>
      <c r="O14" s="3"/>
      <c r="P14" s="3"/>
      <c r="Q14" s="3"/>
      <c r="R14" s="3"/>
    </row>
    <row r="15" spans="1:18" ht="15">
      <c r="A15" s="3"/>
      <c r="B15" s="60" t="s">
        <v>1711</v>
      </c>
      <c r="C15" s="3"/>
      <c r="D15" s="3"/>
      <c r="E15" s="3"/>
      <c r="G15" s="3"/>
      <c r="H15" s="144"/>
      <c r="I15" s="3"/>
      <c r="J15" s="147">
        <f>'APPVIII PG 7'!E25</f>
        <v>12389</v>
      </c>
      <c r="K15" s="3"/>
      <c r="L15" s="152"/>
      <c r="M15" s="24"/>
      <c r="N15" s="24"/>
      <c r="O15" s="24"/>
      <c r="P15" s="24"/>
      <c r="Q15" s="24"/>
      <c r="R15" s="3"/>
    </row>
    <row r="16" spans="1:18" ht="15">
      <c r="A16" s="3"/>
      <c r="B16" s="3" t="s">
        <v>2037</v>
      </c>
      <c r="C16" s="3"/>
      <c r="D16" s="3"/>
      <c r="E16" s="3"/>
      <c r="G16" s="3"/>
      <c r="H16" s="144"/>
      <c r="I16" s="3"/>
      <c r="J16" s="390">
        <f>H9</f>
        <v>12172</v>
      </c>
      <c r="K16" s="3"/>
      <c r="M16" s="24"/>
      <c r="N16" s="24"/>
      <c r="O16" s="24"/>
      <c r="P16" s="24"/>
      <c r="Q16" s="24"/>
      <c r="R16" s="3"/>
    </row>
    <row r="17" spans="1:18" ht="15">
      <c r="A17" s="3"/>
      <c r="B17" s="3" t="s">
        <v>1713</v>
      </c>
      <c r="C17" s="3"/>
      <c r="D17" s="3"/>
      <c r="E17" s="3"/>
      <c r="G17" s="3"/>
      <c r="H17" s="144"/>
      <c r="I17" s="3"/>
      <c r="J17" s="390">
        <f>'APPVIII PG 7'!G16+'APPVIII PG 7'!G20+'APPVIII PG 7'!G23</f>
        <v>217</v>
      </c>
      <c r="K17" s="3"/>
      <c r="M17" s="24"/>
      <c r="N17" s="24"/>
      <c r="O17" s="24"/>
      <c r="P17" s="24"/>
      <c r="Q17" s="24"/>
      <c r="R17" s="3"/>
    </row>
    <row r="18" spans="1:18" ht="15">
      <c r="A18" s="3"/>
      <c r="B18" s="3" t="s">
        <v>1712</v>
      </c>
      <c r="C18" s="3"/>
      <c r="D18" s="3"/>
      <c r="E18" s="3"/>
      <c r="G18" s="3"/>
      <c r="H18" s="144"/>
      <c r="I18" s="3"/>
      <c r="J18" s="246">
        <f>'APPVIII PG 7'!H16</f>
        <v>0</v>
      </c>
      <c r="K18" s="3"/>
      <c r="M18" s="24"/>
      <c r="N18" s="24"/>
      <c r="O18" s="24"/>
      <c r="P18" s="24"/>
      <c r="Q18" s="24"/>
      <c r="R18" s="3"/>
    </row>
    <row r="19" spans="1:18" ht="15">
      <c r="A19" s="3"/>
      <c r="B19" s="3"/>
      <c r="C19" s="3"/>
      <c r="D19" s="3"/>
      <c r="E19" s="3"/>
      <c r="G19" s="3"/>
      <c r="H19" s="144"/>
      <c r="I19" s="3"/>
      <c r="J19" s="390"/>
      <c r="K19" s="3"/>
      <c r="M19" s="24"/>
      <c r="N19" s="24"/>
      <c r="O19" s="24"/>
      <c r="P19" s="24"/>
      <c r="Q19" s="24"/>
      <c r="R19" s="3"/>
    </row>
    <row r="20" spans="1:18" ht="16.5">
      <c r="A20" s="3"/>
      <c r="B20" s="2" t="str">
        <f>"TOTAL DOLLAR TRANSFER FROM "&amp;(IF(J17&gt;0,"EASTERN AEP TO WESTERN AEP:","WESTERN AEP TO EASTERN AEP:"))</f>
        <v>TOTAL DOLLAR TRANSFER FROM EASTERN AEP TO WESTERN AEP:</v>
      </c>
      <c r="C20" s="3"/>
      <c r="E20" s="3"/>
      <c r="F20" s="3"/>
      <c r="G20" s="3"/>
      <c r="H20" s="3"/>
      <c r="I20" s="3"/>
      <c r="J20" s="147">
        <f>ABS(J17-J18)</f>
        <v>217</v>
      </c>
      <c r="K20" s="3"/>
      <c r="M20" s="3"/>
      <c r="N20" s="3"/>
      <c r="O20" s="3"/>
      <c r="P20" s="3"/>
      <c r="Q20" s="3"/>
      <c r="R20" s="28"/>
    </row>
    <row r="21" spans="1:18" s="241" customFormat="1" ht="14.25" customHeight="1">
      <c r="A21" s="318"/>
      <c r="B21" s="318"/>
      <c r="C21" s="318"/>
      <c r="D21" s="391"/>
      <c r="E21" s="318"/>
      <c r="F21" s="318"/>
      <c r="G21" s="318"/>
      <c r="H21" s="318"/>
      <c r="I21" s="318"/>
      <c r="J21" s="318"/>
      <c r="K21" s="318"/>
      <c r="L21" s="392"/>
      <c r="M21" s="2"/>
      <c r="N21" s="2"/>
      <c r="O21" s="2"/>
      <c r="P21" s="2"/>
      <c r="Q21" s="2"/>
      <c r="R21" s="2"/>
    </row>
    <row r="22" spans="1:18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147"/>
      <c r="M22" s="3"/>
      <c r="N22" s="3"/>
      <c r="O22" s="3"/>
      <c r="P22" s="3"/>
      <c r="Q22" s="3"/>
      <c r="R22" s="3"/>
    </row>
    <row r="23" spans="1:17" ht="16.5">
      <c r="A23" s="3"/>
      <c r="B23" s="28" t="s">
        <v>1671</v>
      </c>
      <c r="C23" s="2"/>
      <c r="D23" s="241"/>
      <c r="E23" s="2"/>
      <c r="F23" s="2"/>
      <c r="G23" s="2"/>
      <c r="H23" s="2"/>
      <c r="I23" s="2"/>
      <c r="J23" s="2"/>
      <c r="K23" s="2"/>
      <c r="L23" s="393" t="s">
        <v>1504</v>
      </c>
      <c r="M23" s="243"/>
      <c r="N23" s="243"/>
      <c r="O23" s="243"/>
      <c r="P23" s="243"/>
      <c r="Q23" s="243"/>
    </row>
    <row r="24" spans="1:21" ht="16.5">
      <c r="A24" s="3"/>
      <c r="B24" s="28"/>
      <c r="C24" s="2"/>
      <c r="D24" s="241"/>
      <c r="E24" s="2"/>
      <c r="F24" s="2"/>
      <c r="G24" s="2"/>
      <c r="H24" s="2"/>
      <c r="I24" s="2"/>
      <c r="J24" s="2"/>
      <c r="K24" s="2"/>
      <c r="L24" s="242"/>
      <c r="M24" s="243"/>
      <c r="N24" s="243"/>
      <c r="O24" s="243"/>
      <c r="P24" s="243"/>
      <c r="Q24" s="243"/>
      <c r="R24" s="3"/>
      <c r="U24" s="239"/>
    </row>
    <row r="25" spans="1:18" ht="16.5">
      <c r="A25" s="28" t="s">
        <v>1673</v>
      </c>
      <c r="B25" s="2"/>
      <c r="C25" s="2"/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21" ht="16.5">
      <c r="A26" s="28"/>
      <c r="B26" s="3"/>
      <c r="C26" s="3"/>
      <c r="D26" s="3"/>
      <c r="E26" s="3"/>
      <c r="F26" s="3"/>
      <c r="G26" s="3"/>
      <c r="H26" s="54" t="s">
        <v>1343</v>
      </c>
      <c r="J26" s="54" t="s">
        <v>74</v>
      </c>
      <c r="L26" s="1016" t="s">
        <v>1757</v>
      </c>
      <c r="M26" s="1016"/>
      <c r="N26" s="1016"/>
      <c r="O26" s="54"/>
      <c r="P26" s="54" t="s">
        <v>1469</v>
      </c>
      <c r="R26" s="15"/>
      <c r="S26" s="84"/>
      <c r="T26" s="64"/>
      <c r="U26" s="64"/>
    </row>
    <row r="27" spans="1:17" ht="16.5">
      <c r="A27" s="3"/>
      <c r="B27" s="19" t="s">
        <v>333</v>
      </c>
      <c r="C27" s="3"/>
      <c r="D27" s="19" t="s">
        <v>333</v>
      </c>
      <c r="E27" s="3"/>
      <c r="F27" s="19" t="s">
        <v>333</v>
      </c>
      <c r="H27" s="54" t="s">
        <v>334</v>
      </c>
      <c r="J27" s="54" t="s">
        <v>1467</v>
      </c>
      <c r="K27" s="54"/>
      <c r="L27" s="19" t="s">
        <v>333</v>
      </c>
      <c r="M27" s="54"/>
      <c r="N27" s="19" t="s">
        <v>333</v>
      </c>
      <c r="O27" s="54"/>
      <c r="P27" s="54" t="s">
        <v>1476</v>
      </c>
      <c r="Q27" s="64"/>
    </row>
    <row r="28" spans="1:17" ht="16.5">
      <c r="A28" s="3"/>
      <c r="B28" s="23" t="s">
        <v>1696</v>
      </c>
      <c r="C28" s="3"/>
      <c r="D28" s="22">
        <v>4210.043</v>
      </c>
      <c r="E28" s="3"/>
      <c r="F28" s="22">
        <v>4210.044</v>
      </c>
      <c r="H28" s="313" t="s">
        <v>335</v>
      </c>
      <c r="J28" s="313" t="s">
        <v>221</v>
      </c>
      <c r="K28" s="15"/>
      <c r="L28" s="22">
        <v>4470.118</v>
      </c>
      <c r="M28" s="15"/>
      <c r="N28" s="22">
        <v>4470.144</v>
      </c>
      <c r="O28" s="15"/>
      <c r="P28" s="313" t="s">
        <v>1477</v>
      </c>
      <c r="Q28" s="64"/>
    </row>
    <row r="29" spans="1:17" ht="15">
      <c r="A29" s="3" t="s">
        <v>1239</v>
      </c>
      <c r="B29" s="18">
        <f>'APPVIII PG 7'!C40</f>
        <v>-897</v>
      </c>
      <c r="C29" s="18"/>
      <c r="D29" s="18">
        <f>'APPVIII PG 7'!D40</f>
        <v>971</v>
      </c>
      <c r="E29" s="18"/>
      <c r="F29" s="18">
        <f>'APPVIII PG 7'!E40</f>
        <v>0</v>
      </c>
      <c r="G29" s="241"/>
      <c r="H29" s="18">
        <f>'APPVIII PG 7'!F40</f>
        <v>74</v>
      </c>
      <c r="I29" s="241"/>
      <c r="J29" s="8">
        <f>INPUT!R49</f>
        <v>587</v>
      </c>
      <c r="K29" s="238"/>
      <c r="L29" s="8">
        <v>0</v>
      </c>
      <c r="M29" s="154"/>
      <c r="N29" s="8">
        <f>'APPVIII PG 6'!M12</f>
        <v>0</v>
      </c>
      <c r="O29" s="238"/>
      <c r="P29" s="60">
        <f aca="true" t="shared" si="0" ref="P29:P34">H29-J29+L29+N29</f>
        <v>-513</v>
      </c>
      <c r="Q29" s="60"/>
    </row>
    <row r="30" spans="1:17" ht="16.5">
      <c r="A30" s="19" t="s">
        <v>1240</v>
      </c>
      <c r="B30" s="1033">
        <f>'APPVIII PG 7'!C41</f>
        <v>-180</v>
      </c>
      <c r="C30" s="18"/>
      <c r="D30" s="18">
        <f>'APPVIII PG 7'!D41</f>
        <v>196</v>
      </c>
      <c r="E30" s="18"/>
      <c r="F30" s="18">
        <f>'APPVIII PG 7'!E41</f>
        <v>0</v>
      </c>
      <c r="G30" s="241"/>
      <c r="H30" s="18">
        <f>'APPVIII PG 7'!F41</f>
        <v>16</v>
      </c>
      <c r="I30" s="241"/>
      <c r="J30" s="8">
        <f>INPUT!R50</f>
        <v>118</v>
      </c>
      <c r="K30" s="238"/>
      <c r="L30" s="8">
        <v>0</v>
      </c>
      <c r="M30" s="154"/>
      <c r="N30" s="8">
        <f>'APPVIII PG 6'!M13</f>
        <v>0</v>
      </c>
      <c r="O30" s="238"/>
      <c r="P30" s="60">
        <f t="shared" si="0"/>
        <v>-102</v>
      </c>
      <c r="Q30" s="60"/>
    </row>
    <row r="31" spans="1:17" ht="15">
      <c r="A31" s="3" t="s">
        <v>1241</v>
      </c>
      <c r="B31" s="18">
        <f>'APPVIII PG 7'!C42</f>
        <v>-460</v>
      </c>
      <c r="C31" s="18"/>
      <c r="D31" s="18">
        <f>'APPVIII PG 7'!D42</f>
        <v>499</v>
      </c>
      <c r="E31" s="18"/>
      <c r="F31" s="18">
        <f>'APPVIII PG 7'!E42</f>
        <v>0</v>
      </c>
      <c r="G31" s="241"/>
      <c r="H31" s="18">
        <f>'APPVIII PG 7'!F42</f>
        <v>39</v>
      </c>
      <c r="I31" s="241"/>
      <c r="J31" s="8">
        <f>INPUT!R51</f>
        <v>302</v>
      </c>
      <c r="K31" s="238"/>
      <c r="L31" s="8">
        <v>0</v>
      </c>
      <c r="M31" s="154"/>
      <c r="N31" s="8">
        <f>'APPVIII PG 6'!M14</f>
        <v>0</v>
      </c>
      <c r="O31" s="238"/>
      <c r="P31" s="60">
        <f t="shared" si="0"/>
        <v>-263</v>
      </c>
      <c r="Q31" s="60"/>
    </row>
    <row r="32" spans="1:17" ht="15">
      <c r="A32" s="3" t="s">
        <v>1242</v>
      </c>
      <c r="B32" s="18">
        <f>'APPVIII PG 7'!C43</f>
        <v>-589</v>
      </c>
      <c r="C32" s="18"/>
      <c r="D32" s="18">
        <f>'APPVIII PG 7'!D43</f>
        <v>638</v>
      </c>
      <c r="E32" s="18"/>
      <c r="F32" s="18">
        <f>'APPVIII PG 7'!E43</f>
        <v>0</v>
      </c>
      <c r="G32" s="241"/>
      <c r="H32" s="18">
        <f>'APPVIII PG 7'!F43</f>
        <v>49</v>
      </c>
      <c r="I32" s="241"/>
      <c r="J32" s="8">
        <f>INPUT!R52</f>
        <v>386</v>
      </c>
      <c r="K32" s="238"/>
      <c r="L32" s="8">
        <v>0</v>
      </c>
      <c r="M32" s="154"/>
      <c r="N32" s="8">
        <f>'APPVIII PG 6'!M15</f>
        <v>0</v>
      </c>
      <c r="O32" s="238"/>
      <c r="P32" s="60">
        <f t="shared" si="0"/>
        <v>-337</v>
      </c>
      <c r="Q32" s="60"/>
    </row>
    <row r="33" spans="1:17" ht="15">
      <c r="A33" s="3" t="s">
        <v>1243</v>
      </c>
      <c r="B33" s="26">
        <f>'APPVIII PG 7'!C44</f>
        <v>-476</v>
      </c>
      <c r="C33" s="18"/>
      <c r="D33" s="26">
        <f>'APPVIII PG 7'!D44</f>
        <v>515</v>
      </c>
      <c r="E33" s="18"/>
      <c r="F33" s="26">
        <f>'APPVIII PG 7'!E44</f>
        <v>0</v>
      </c>
      <c r="G33" s="241"/>
      <c r="H33" s="26">
        <f>'APPVIII PG 7'!F44</f>
        <v>39</v>
      </c>
      <c r="I33" s="241"/>
      <c r="J33" s="26">
        <f>INPUT!R53</f>
        <v>311</v>
      </c>
      <c r="K33" s="238"/>
      <c r="L33" s="8">
        <v>0</v>
      </c>
      <c r="M33" s="154"/>
      <c r="N33" s="8">
        <f>'APPVIII PG 6'!M16</f>
        <v>0</v>
      </c>
      <c r="O33" s="238"/>
      <c r="P33" s="60">
        <f t="shared" si="0"/>
        <v>-272</v>
      </c>
      <c r="Q33" s="60"/>
    </row>
    <row r="34" spans="1:17" ht="15">
      <c r="A34" s="3" t="s">
        <v>1348</v>
      </c>
      <c r="B34" s="17">
        <f>SUM(B29:B33)</f>
        <v>-2602</v>
      </c>
      <c r="C34" s="17"/>
      <c r="D34" s="17">
        <f>SUM(D29:D33)</f>
        <v>2819</v>
      </c>
      <c r="E34" s="3"/>
      <c r="F34" s="17">
        <f>SUM(F29:F33)</f>
        <v>0</v>
      </c>
      <c r="H34" s="17">
        <f>SUM(H29:H33)</f>
        <v>217</v>
      </c>
      <c r="J34" s="60">
        <f>SUM(J29:J33)</f>
        <v>1704</v>
      </c>
      <c r="K34" s="238"/>
      <c r="L34" s="416">
        <f>SUM(L29:L33)</f>
        <v>0</v>
      </c>
      <c r="M34" s="238"/>
      <c r="N34" s="416">
        <f>SUM(N29:N33)</f>
        <v>0</v>
      </c>
      <c r="O34" s="238"/>
      <c r="P34" s="416">
        <f t="shared" si="0"/>
        <v>-1487</v>
      </c>
      <c r="Q34" s="60"/>
    </row>
    <row r="35" spans="1:17" ht="15">
      <c r="A35" s="3"/>
      <c r="B35" s="17"/>
      <c r="C35" s="17"/>
      <c r="D35" s="17"/>
      <c r="E35" s="3"/>
      <c r="F35" s="17"/>
      <c r="H35" s="17"/>
      <c r="J35" s="60"/>
      <c r="K35" s="238"/>
      <c r="L35" s="238"/>
      <c r="M35" s="238"/>
      <c r="N35" s="238"/>
      <c r="O35" s="238"/>
      <c r="P35" s="60"/>
      <c r="Q35" s="60"/>
    </row>
    <row r="36" spans="1:17" ht="16.5">
      <c r="A36" s="28" t="s">
        <v>1672</v>
      </c>
      <c r="B36" s="17"/>
      <c r="C36" s="17"/>
      <c r="D36" s="17"/>
      <c r="E36" s="3"/>
      <c r="F36" s="17"/>
      <c r="H36" s="17"/>
      <c r="J36" s="60"/>
      <c r="K36" s="238"/>
      <c r="L36" s="238"/>
      <c r="M36" s="238"/>
      <c r="N36" s="238"/>
      <c r="O36" s="238"/>
      <c r="P36" s="60"/>
      <c r="Q36" s="60"/>
    </row>
    <row r="37" spans="1:21" ht="16.5">
      <c r="A37" s="3"/>
      <c r="B37" s="17"/>
      <c r="C37" s="17"/>
      <c r="D37" s="17"/>
      <c r="E37" s="3"/>
      <c r="F37" s="17"/>
      <c r="H37" s="54" t="s">
        <v>1343</v>
      </c>
      <c r="J37" s="54" t="s">
        <v>74</v>
      </c>
      <c r="K37" s="54"/>
      <c r="L37" s="1016" t="s">
        <v>1756</v>
      </c>
      <c r="M37" s="1016"/>
      <c r="N37" s="1016"/>
      <c r="O37" s="54"/>
      <c r="P37" s="54" t="s">
        <v>1469</v>
      </c>
      <c r="R37" s="60"/>
      <c r="S37" s="238"/>
      <c r="T37" s="60"/>
      <c r="U37" s="17"/>
    </row>
    <row r="38" spans="1:17" ht="16.5">
      <c r="A38" s="3"/>
      <c r="B38" s="19" t="s">
        <v>333</v>
      </c>
      <c r="C38" s="3"/>
      <c r="D38" s="19" t="s">
        <v>333</v>
      </c>
      <c r="E38" s="3"/>
      <c r="F38" s="19" t="s">
        <v>333</v>
      </c>
      <c r="H38" s="54" t="s">
        <v>334</v>
      </c>
      <c r="J38" s="54" t="s">
        <v>1467</v>
      </c>
      <c r="K38" s="54"/>
      <c r="L38" s="19" t="s">
        <v>333</v>
      </c>
      <c r="M38" s="54"/>
      <c r="N38" s="19" t="s">
        <v>333</v>
      </c>
      <c r="O38" s="54"/>
      <c r="P38" s="54" t="s">
        <v>1476</v>
      </c>
      <c r="Q38" s="64"/>
    </row>
    <row r="39" spans="1:17" ht="16.5">
      <c r="A39" s="3"/>
      <c r="B39" s="23" t="s">
        <v>1696</v>
      </c>
      <c r="C39" s="3"/>
      <c r="D39" s="22">
        <v>4210.043</v>
      </c>
      <c r="E39" s="3"/>
      <c r="F39" s="22">
        <v>4210.044</v>
      </c>
      <c r="H39" s="313" t="s">
        <v>335</v>
      </c>
      <c r="J39" s="313" t="s">
        <v>221</v>
      </c>
      <c r="K39" s="15"/>
      <c r="L39" s="22">
        <v>4470.118</v>
      </c>
      <c r="M39" s="15"/>
      <c r="N39" s="22">
        <v>4470.144</v>
      </c>
      <c r="O39" s="15"/>
      <c r="P39" s="313" t="s">
        <v>1477</v>
      </c>
      <c r="Q39" s="64"/>
    </row>
    <row r="40" spans="1:17" ht="15">
      <c r="A40" s="3" t="s">
        <v>1698</v>
      </c>
      <c r="B40" s="18">
        <f>'APPVIII PG 7'!C53</f>
        <v>1194</v>
      </c>
      <c r="C40" s="18"/>
      <c r="D40" s="18">
        <f>'APPVIII PG 7'!D53</f>
        <v>-1294</v>
      </c>
      <c r="E40" s="18"/>
      <c r="F40" s="18">
        <f>'APPVIII PG 7'!E53</f>
        <v>0</v>
      </c>
      <c r="G40" s="241"/>
      <c r="H40" s="18">
        <f>'APPVIII PG 7'!F53</f>
        <v>-100</v>
      </c>
      <c r="I40" s="241"/>
      <c r="J40" s="8">
        <f>INPUT!W49</f>
        <v>-782</v>
      </c>
      <c r="K40" s="238"/>
      <c r="L40" s="8">
        <v>0</v>
      </c>
      <c r="M40" s="154"/>
      <c r="N40" s="8">
        <f>'APPVIII PG 6'!T13</f>
        <v>0</v>
      </c>
      <c r="O40" s="238"/>
      <c r="P40" s="60">
        <f>H40-J40+L40+N40</f>
        <v>682</v>
      </c>
      <c r="Q40" s="60"/>
    </row>
    <row r="41" spans="1:17" ht="15">
      <c r="A41" s="3" t="s">
        <v>1699</v>
      </c>
      <c r="B41" s="18">
        <f>'APPVIII PG 7'!C54</f>
        <v>1408</v>
      </c>
      <c r="C41" s="18"/>
      <c r="D41" s="18">
        <f>'APPVIII PG 7'!D54</f>
        <v>-1525</v>
      </c>
      <c r="E41" s="18"/>
      <c r="F41" s="18">
        <f>'APPVIII PG 7'!E54</f>
        <v>0</v>
      </c>
      <c r="G41" s="241"/>
      <c r="H41" s="18">
        <f>'APPVIII PG 7'!F54</f>
        <v>-117</v>
      </c>
      <c r="I41" s="241"/>
      <c r="J41" s="8">
        <f>INPUT!W50</f>
        <v>-922</v>
      </c>
      <c r="K41" s="238"/>
      <c r="L41" s="8">
        <v>0</v>
      </c>
      <c r="M41" s="154"/>
      <c r="N41" s="8">
        <f>'APPVIII PG 6'!T12</f>
        <v>0</v>
      </c>
      <c r="O41" s="238"/>
      <c r="P41" s="60">
        <f>H41-J41+L41+N41</f>
        <v>805</v>
      </c>
      <c r="Q41" s="60"/>
    </row>
    <row r="42" spans="1:17" ht="15">
      <c r="A42" s="3" t="s">
        <v>1700</v>
      </c>
      <c r="B42" s="18">
        <f>'APPVIII PG 7'!C55</f>
        <v>0</v>
      </c>
      <c r="C42" s="18"/>
      <c r="D42" s="18">
        <f>'APPVIII PG 7'!D55</f>
        <v>0</v>
      </c>
      <c r="E42" s="18"/>
      <c r="F42" s="18">
        <f>'APPVIII PG 7'!E55</f>
        <v>0</v>
      </c>
      <c r="G42" s="241"/>
      <c r="H42" s="18">
        <f>'APPVIII PG 7'!F55</f>
        <v>0</v>
      </c>
      <c r="I42" s="241"/>
      <c r="J42" s="8">
        <f>INPUT!W51</f>
        <v>0</v>
      </c>
      <c r="K42" s="238"/>
      <c r="L42" s="8">
        <v>0</v>
      </c>
      <c r="M42" s="154"/>
      <c r="N42" s="8">
        <f>'APPVIII PG 6'!T15</f>
        <v>0</v>
      </c>
      <c r="O42" s="238"/>
      <c r="P42" s="60">
        <f>H42-J42+L42+N42</f>
        <v>0</v>
      </c>
      <c r="Q42" s="60"/>
    </row>
    <row r="43" spans="1:17" ht="15">
      <c r="A43" s="3" t="s">
        <v>1701</v>
      </c>
      <c r="B43" s="26">
        <f>'APPVIII PG 7'!C56</f>
        <v>0</v>
      </c>
      <c r="C43" s="18"/>
      <c r="D43" s="26">
        <f>'APPVIII PG 7'!D56</f>
        <v>0</v>
      </c>
      <c r="E43" s="18"/>
      <c r="F43" s="26">
        <f>'APPVIII PG 7'!E56</f>
        <v>0</v>
      </c>
      <c r="G43" s="241"/>
      <c r="H43" s="26">
        <f>'APPVIII PG 7'!F56</f>
        <v>0</v>
      </c>
      <c r="I43" s="241"/>
      <c r="J43" s="26">
        <f>INPUT!W52</f>
        <v>0</v>
      </c>
      <c r="K43" s="238"/>
      <c r="L43" s="8">
        <v>0</v>
      </c>
      <c r="M43" s="154"/>
      <c r="N43" s="8">
        <f>'APPVIII PG 6'!T14</f>
        <v>0</v>
      </c>
      <c r="O43" s="238"/>
      <c r="P43" s="60">
        <f>H43-J43+L43+N43</f>
        <v>0</v>
      </c>
      <c r="Q43" s="60"/>
    </row>
    <row r="44" spans="1:17" ht="15">
      <c r="A44" s="3" t="s">
        <v>1348</v>
      </c>
      <c r="B44" s="17">
        <f>SUM(B40:B43)</f>
        <v>2602</v>
      </c>
      <c r="C44" s="17"/>
      <c r="D44" s="17">
        <f>SUM(D40:D43)</f>
        <v>-2819</v>
      </c>
      <c r="E44" s="3"/>
      <c r="F44" s="17">
        <f>SUM(F40:F43)</f>
        <v>0</v>
      </c>
      <c r="H44" s="17">
        <f>SUM(H40:H43)</f>
        <v>-217</v>
      </c>
      <c r="J44" s="60">
        <f>SUM(J40:J43)</f>
        <v>-1704</v>
      </c>
      <c r="K44" s="238"/>
      <c r="L44" s="416">
        <f>SUM(L40:L43)</f>
        <v>0</v>
      </c>
      <c r="M44" s="238"/>
      <c r="N44" s="416">
        <f>SUM(N40:N43)</f>
        <v>0</v>
      </c>
      <c r="O44" s="238"/>
      <c r="P44" s="416">
        <f>H44-J44+L44+N44</f>
        <v>1487</v>
      </c>
      <c r="Q44" s="60"/>
    </row>
    <row r="45" spans="1:20" ht="15">
      <c r="A45" s="143"/>
      <c r="C45" s="142"/>
      <c r="D45" s="142"/>
      <c r="E45" s="142"/>
      <c r="F45" s="142"/>
      <c r="G45" s="142"/>
      <c r="H45" s="142"/>
      <c r="I45" s="142"/>
      <c r="J45" s="3"/>
      <c r="K45" s="3"/>
      <c r="T45" s="231"/>
    </row>
    <row r="46" spans="1:20" ht="15">
      <c r="A46" s="73" t="s">
        <v>1551</v>
      </c>
      <c r="B46" s="24" t="s">
        <v>1320</v>
      </c>
      <c r="C46" s="142"/>
      <c r="D46" s="142"/>
      <c r="E46" s="142"/>
      <c r="F46" s="142"/>
      <c r="G46" s="142"/>
      <c r="H46" s="142"/>
      <c r="I46" s="142"/>
      <c r="L46" s="241"/>
      <c r="M46" s="241"/>
      <c r="N46" s="241"/>
      <c r="O46" s="241"/>
      <c r="P46" s="241"/>
      <c r="Q46" s="241"/>
      <c r="R46" s="241"/>
      <c r="T46" s="231"/>
    </row>
    <row r="47" spans="1:20" s="241" customFormat="1" ht="15">
      <c r="A47" s="276"/>
      <c r="B47" s="243" t="s">
        <v>222</v>
      </c>
      <c r="C47" s="263"/>
      <c r="D47" s="263"/>
      <c r="E47" s="263"/>
      <c r="F47" s="263"/>
      <c r="G47" s="263"/>
      <c r="H47" s="263"/>
      <c r="I47" s="263"/>
      <c r="L47"/>
      <c r="M47"/>
      <c r="N47"/>
      <c r="O47"/>
      <c r="P47"/>
      <c r="Q47"/>
      <c r="R47"/>
      <c r="T47" s="394"/>
    </row>
    <row r="48" spans="2:20" ht="15">
      <c r="B48" s="243"/>
      <c r="C48" s="142"/>
      <c r="D48" s="142"/>
      <c r="E48" s="142"/>
      <c r="F48" s="142"/>
      <c r="G48" s="142"/>
      <c r="H48" s="142"/>
      <c r="I48" s="142"/>
      <c r="J48" s="142"/>
      <c r="T48" s="231"/>
    </row>
    <row r="49" ht="14.25">
      <c r="B49" s="263"/>
    </row>
  </sheetData>
  <mergeCells count="4">
    <mergeCell ref="B7:F7"/>
    <mergeCell ref="A4:L4"/>
    <mergeCell ref="L26:N26"/>
    <mergeCell ref="L37:N37"/>
  </mergeCells>
  <printOptions horizontalCentered="1" verticalCentered="1"/>
  <pageMargins left="0" right="0" top="0.75" bottom="0" header="0" footer="0"/>
  <pageSetup fitToHeight="1" fitToWidth="1" horizontalDpi="600" verticalDpi="600" orientation="landscape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K55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3" customWidth="1"/>
    <col min="2" max="2" width="5.7109375" style="3" customWidth="1"/>
    <col min="3" max="3" width="10.57421875" style="3" bestFit="1" customWidth="1"/>
    <col min="4" max="4" width="5.7109375" style="3" customWidth="1"/>
    <col min="5" max="5" width="11.7109375" style="3" bestFit="1" customWidth="1"/>
    <col min="6" max="6" width="5.7109375" style="3" customWidth="1"/>
    <col min="7" max="7" width="14.00390625" style="3" customWidth="1"/>
    <col min="8" max="8" width="5.7109375" style="3" customWidth="1"/>
    <col min="9" max="9" width="10.57421875" style="3" bestFit="1" customWidth="1"/>
    <col min="10" max="10" width="5.7109375" style="3" customWidth="1"/>
    <col min="11" max="11" width="12.7109375" style="3" bestFit="1" customWidth="1"/>
    <col min="12" max="16384" width="9.140625" style="3" customWidth="1"/>
  </cols>
  <sheetData>
    <row r="1" spans="1:11" ht="16.5">
      <c r="A1" s="28" t="s">
        <v>1451</v>
      </c>
      <c r="B1" s="20" t="str">
        <f>INPUT!C1</f>
        <v>June 2009</v>
      </c>
      <c r="K1" s="19" t="s">
        <v>1747</v>
      </c>
    </row>
    <row r="3" ht="16.5">
      <c r="F3" s="19" t="s">
        <v>1748</v>
      </c>
    </row>
    <row r="4" ht="16.5">
      <c r="F4" s="19" t="s">
        <v>1749</v>
      </c>
    </row>
    <row r="6" ht="16.5">
      <c r="A6" s="28" t="s">
        <v>1750</v>
      </c>
    </row>
    <row r="7" spans="5:11" ht="16.5">
      <c r="E7" s="19" t="s">
        <v>1751</v>
      </c>
      <c r="G7" s="19" t="s">
        <v>1752</v>
      </c>
      <c r="I7" s="21"/>
      <c r="J7" s="22" t="s">
        <v>1469</v>
      </c>
      <c r="K7" s="21"/>
    </row>
    <row r="8" spans="3:11" ht="16.5">
      <c r="C8" s="22" t="s">
        <v>1312</v>
      </c>
      <c r="E8" s="23" t="s">
        <v>1453</v>
      </c>
      <c r="G8" s="23" t="s">
        <v>1515</v>
      </c>
      <c r="I8" s="22" t="s">
        <v>1312</v>
      </c>
      <c r="K8" s="22" t="s">
        <v>1753</v>
      </c>
    </row>
    <row r="10" spans="1:11" ht="15">
      <c r="A10" s="3" t="s">
        <v>1239</v>
      </c>
      <c r="C10" s="18">
        <f>INPUT!J59</f>
        <v>366516</v>
      </c>
      <c r="E10" s="18">
        <f>+INPUT!L59+PAGE11!I19+PAGE11!I30</f>
        <v>11676561</v>
      </c>
      <c r="G10" s="58">
        <f>INPUT!C5</f>
        <v>0.34458</v>
      </c>
      <c r="I10" s="17">
        <f>ROUND(C10*G10,)</f>
        <v>126294</v>
      </c>
      <c r="K10" s="17">
        <f>ROUND(E10*G10,0)</f>
        <v>4023509</v>
      </c>
    </row>
    <row r="11" spans="1:11" ht="15">
      <c r="A11" s="3" t="s">
        <v>1240</v>
      </c>
      <c r="C11" s="18">
        <f>INPUT!J60</f>
        <v>32749</v>
      </c>
      <c r="E11" s="18">
        <f>+INPUT!L60+PAGE11!I20+PAGE11!I31</f>
        <v>849159</v>
      </c>
      <c r="G11" s="58">
        <f>INPUT!C6</f>
        <v>0.06943</v>
      </c>
      <c r="I11" s="17">
        <f>ROUND(C11*G11,)</f>
        <v>2274</v>
      </c>
      <c r="K11" s="17">
        <f>ROUND(E11*G11,0)</f>
        <v>58957</v>
      </c>
    </row>
    <row r="12" spans="1:11" ht="15">
      <c r="A12" s="3" t="s">
        <v>1241</v>
      </c>
      <c r="C12" s="18">
        <f>INPUT!J61</f>
        <v>101744</v>
      </c>
      <c r="E12" s="18">
        <f>+INPUT!L61+PAGE11!I21+PAGE11!I32</f>
        <v>3101154</v>
      </c>
      <c r="G12" s="58">
        <f>INPUT!C7</f>
        <v>0.17686</v>
      </c>
      <c r="I12" s="17">
        <f>ROUND(C12*G12,)</f>
        <v>17994</v>
      </c>
      <c r="K12" s="17">
        <f>ROUND(E12*G12,0)</f>
        <v>548470</v>
      </c>
    </row>
    <row r="13" spans="1:11" ht="15">
      <c r="A13" s="3" t="s">
        <v>1242</v>
      </c>
      <c r="C13" s="18">
        <f>INPUT!J62</f>
        <v>316580</v>
      </c>
      <c r="E13" s="18">
        <f>+INPUT!L62+PAGE11!I22+PAGE11!I33</f>
        <v>9110846</v>
      </c>
      <c r="G13" s="58">
        <f>INPUT!C8</f>
        <v>0.22638</v>
      </c>
      <c r="I13" s="17">
        <f>ROUND(C13*G13,)</f>
        <v>71667</v>
      </c>
      <c r="K13" s="17">
        <f>ROUND(E13*G13,0)</f>
        <v>2062513</v>
      </c>
    </row>
    <row r="14" spans="1:11" ht="15">
      <c r="A14" s="3" t="s">
        <v>1243</v>
      </c>
      <c r="C14" s="26">
        <f>INPUT!J63</f>
        <v>205799</v>
      </c>
      <c r="E14" s="26">
        <f>+INPUT!L63+PAGE11!I23+PAGE11!I34</f>
        <v>6392111</v>
      </c>
      <c r="G14" s="59">
        <f>INPUT!C9</f>
        <v>0.18275</v>
      </c>
      <c r="I14" s="27">
        <f>ROUND(C14*G14,)</f>
        <v>37610</v>
      </c>
      <c r="K14" s="27">
        <f>ROUND(E14*G14,0)</f>
        <v>1168158</v>
      </c>
    </row>
    <row r="15" spans="1:11" ht="15">
      <c r="A15" s="3" t="s">
        <v>1348</v>
      </c>
      <c r="C15" s="18">
        <f>SUM(C10:C14)</f>
        <v>1023388</v>
      </c>
      <c r="E15" s="18">
        <f>SUM(E10:E14)</f>
        <v>31129831</v>
      </c>
      <c r="G15" s="58">
        <f>SUM(G10:G14)</f>
        <v>1</v>
      </c>
      <c r="I15" s="17">
        <f>SUM(I10:I14)</f>
        <v>255839</v>
      </c>
      <c r="K15" s="17">
        <f>SUM(K10:K14)</f>
        <v>7861607</v>
      </c>
    </row>
    <row r="17" ht="16.5">
      <c r="A17" s="28" t="s">
        <v>1754</v>
      </c>
    </row>
    <row r="18" spans="5:11" ht="16.5">
      <c r="E18" s="19" t="s">
        <v>1755</v>
      </c>
      <c r="G18" s="19" t="s">
        <v>1752</v>
      </c>
      <c r="I18" s="21"/>
      <c r="J18" s="22" t="s">
        <v>1469</v>
      </c>
      <c r="K18" s="21"/>
    </row>
    <row r="19" spans="3:11" ht="16.5">
      <c r="C19" s="22" t="s">
        <v>1312</v>
      </c>
      <c r="E19" s="23" t="s">
        <v>1453</v>
      </c>
      <c r="G19" s="23" t="s">
        <v>1515</v>
      </c>
      <c r="I19" s="22" t="s">
        <v>1312</v>
      </c>
      <c r="K19" s="22" t="s">
        <v>1753</v>
      </c>
    </row>
    <row r="21" spans="1:11" ht="15">
      <c r="A21" s="3" t="s">
        <v>1239</v>
      </c>
      <c r="C21" s="18">
        <f>INPUT!M59</f>
        <v>145975</v>
      </c>
      <c r="D21" s="2"/>
      <c r="E21" s="18">
        <f>INPUT!O59</f>
        <v>7025526</v>
      </c>
      <c r="G21" s="58">
        <f>INPUT!C5</f>
        <v>0.34458</v>
      </c>
      <c r="I21" s="17">
        <f>ROUND(C21*G21,)</f>
        <v>50300</v>
      </c>
      <c r="K21" s="17">
        <f>ROUND(E21*G21,0)</f>
        <v>2420856</v>
      </c>
    </row>
    <row r="22" spans="1:11" ht="15">
      <c r="A22" s="3" t="s">
        <v>1240</v>
      </c>
      <c r="C22" s="18">
        <f>INPUT!M60</f>
        <v>8469</v>
      </c>
      <c r="D22" s="2"/>
      <c r="E22" s="18">
        <f>INPUT!O60</f>
        <v>174890</v>
      </c>
      <c r="G22" s="58">
        <f>INPUT!C6</f>
        <v>0.06943</v>
      </c>
      <c r="I22" s="17">
        <f>ROUND(C22*G22,)</f>
        <v>588</v>
      </c>
      <c r="K22" s="17">
        <f>ROUND(E22*G22,0)</f>
        <v>12143</v>
      </c>
    </row>
    <row r="23" spans="1:11" ht="15">
      <c r="A23" s="3" t="s">
        <v>1241</v>
      </c>
      <c r="C23" s="18">
        <f>INPUT!M61</f>
        <v>100578</v>
      </c>
      <c r="D23" s="2"/>
      <c r="E23" s="18">
        <f>INPUT!O61</f>
        <v>4101391</v>
      </c>
      <c r="G23" s="58">
        <f>INPUT!C7</f>
        <v>0.17686</v>
      </c>
      <c r="I23" s="17">
        <f>ROUND(C23*G23,)</f>
        <v>17788</v>
      </c>
      <c r="K23" s="17">
        <f>ROUND(E23*G23,0)</f>
        <v>725372</v>
      </c>
    </row>
    <row r="24" spans="1:11" ht="15">
      <c r="A24" s="3" t="s">
        <v>1242</v>
      </c>
      <c r="C24" s="18">
        <f>INPUT!M62</f>
        <v>59175</v>
      </c>
      <c r="D24" s="2"/>
      <c r="E24" s="18">
        <f>INPUT!O62</f>
        <v>1349273</v>
      </c>
      <c r="G24" s="58">
        <f>INPUT!C8</f>
        <v>0.22638</v>
      </c>
      <c r="I24" s="17">
        <f>ROUND(C24*G24,)</f>
        <v>13396</v>
      </c>
      <c r="K24" s="17">
        <f>ROUND(E24*G24,0)</f>
        <v>305448</v>
      </c>
    </row>
    <row r="25" spans="1:11" ht="15">
      <c r="A25" s="3" t="s">
        <v>1243</v>
      </c>
      <c r="C25" s="26">
        <f>INPUT!M63</f>
        <v>33859</v>
      </c>
      <c r="D25" s="2"/>
      <c r="E25" s="26">
        <f>INPUT!O63</f>
        <v>915512</v>
      </c>
      <c r="G25" s="59">
        <f>INPUT!C9</f>
        <v>0.18275</v>
      </c>
      <c r="I25" s="27">
        <f>ROUND(C25*G25,)</f>
        <v>6188</v>
      </c>
      <c r="K25" s="27">
        <f>ROUND(E25*G25,0)</f>
        <v>167310</v>
      </c>
    </row>
    <row r="26" spans="1:11" ht="15">
      <c r="A26" s="3" t="s">
        <v>1348</v>
      </c>
      <c r="C26" s="18">
        <f>SUM(C21:C25)</f>
        <v>348056</v>
      </c>
      <c r="D26" s="2"/>
      <c r="E26" s="18">
        <f>SUM(E21:E25)</f>
        <v>13566592</v>
      </c>
      <c r="G26" s="58">
        <f>SUM(G21:G25)</f>
        <v>1</v>
      </c>
      <c r="I26" s="17">
        <f>SUM(I21:I25)</f>
        <v>88260</v>
      </c>
      <c r="K26" s="17">
        <f>SUM(K21:K25)</f>
        <v>3631129</v>
      </c>
    </row>
    <row r="28" ht="16.5">
      <c r="A28" s="28" t="s">
        <v>1758</v>
      </c>
    </row>
    <row r="29" spans="9:11" ht="16.5">
      <c r="I29" s="21"/>
      <c r="J29" s="22" t="s">
        <v>1759</v>
      </c>
      <c r="K29" s="21"/>
    </row>
    <row r="30" spans="9:11" ht="16.5">
      <c r="I30" s="22" t="s">
        <v>1312</v>
      </c>
      <c r="K30" s="22" t="s">
        <v>1753</v>
      </c>
    </row>
    <row r="32" spans="1:11" ht="15">
      <c r="A32" s="3" t="s">
        <v>1239</v>
      </c>
      <c r="I32" s="18">
        <f>INPUT!P59-PAGE7!C21</f>
        <v>220084</v>
      </c>
      <c r="J32" s="2"/>
      <c r="K32" s="18">
        <f>INPUT!R59-PAGE7!E21</f>
        <v>8599895</v>
      </c>
    </row>
    <row r="33" spans="1:11" ht="15">
      <c r="A33" s="3" t="s">
        <v>1240</v>
      </c>
      <c r="I33" s="18">
        <f>INPUT!P60-PAGE7!C22</f>
        <v>45814</v>
      </c>
      <c r="J33" s="2"/>
      <c r="K33" s="18">
        <f>INPUT!R60-PAGE7!E22</f>
        <v>1732807</v>
      </c>
    </row>
    <row r="34" spans="1:11" ht="15">
      <c r="A34" s="3" t="s">
        <v>1241</v>
      </c>
      <c r="I34" s="18">
        <f>INPUT!P61-PAGE7!C23</f>
        <v>114268</v>
      </c>
      <c r="J34" s="2"/>
      <c r="K34" s="18">
        <f>INPUT!R61-PAGE7!E23</f>
        <v>4413993</v>
      </c>
    </row>
    <row r="35" spans="1:11" ht="15">
      <c r="A35" s="3" t="s">
        <v>1242</v>
      </c>
      <c r="I35" s="18">
        <f>INPUT!P62-PAGE7!C24</f>
        <v>145456</v>
      </c>
      <c r="J35" s="2"/>
      <c r="K35" s="18">
        <f>INPUT!R62-PAGE7!E24</f>
        <v>5649908</v>
      </c>
    </row>
    <row r="36" spans="1:11" ht="15">
      <c r="A36" s="3" t="s">
        <v>1243</v>
      </c>
      <c r="I36" s="26">
        <f>INPUT!P63-PAGE7!C25</f>
        <v>116624</v>
      </c>
      <c r="J36" s="2"/>
      <c r="K36" s="26">
        <f>INPUT!R63-PAGE7!E25</f>
        <v>4561005</v>
      </c>
    </row>
    <row r="37" spans="1:11" ht="15">
      <c r="A37" s="3" t="s">
        <v>1348</v>
      </c>
      <c r="I37" s="18">
        <f>SUM(I32:I36)</f>
        <v>642246</v>
      </c>
      <c r="J37" s="2"/>
      <c r="K37" s="18">
        <f>SUM(K32:K36)</f>
        <v>24957608</v>
      </c>
    </row>
    <row r="39" ht="16.5">
      <c r="A39" s="28" t="s">
        <v>1760</v>
      </c>
    </row>
    <row r="40" spans="1:10" ht="16.5">
      <c r="A40" s="28"/>
      <c r="J40" s="19" t="s">
        <v>1761</v>
      </c>
    </row>
    <row r="41" spans="9:11" ht="16.5">
      <c r="I41" s="21"/>
      <c r="J41" s="22" t="s">
        <v>1762</v>
      </c>
      <c r="K41" s="21"/>
    </row>
    <row r="42" spans="9:11" ht="16.5">
      <c r="I42" s="22" t="s">
        <v>1312</v>
      </c>
      <c r="K42" s="22" t="s">
        <v>1753</v>
      </c>
    </row>
    <row r="44" spans="1:11" ht="15">
      <c r="A44" s="3" t="s">
        <v>1239</v>
      </c>
      <c r="I44" s="17">
        <f>+I10+I21+I32</f>
        <v>396678</v>
      </c>
      <c r="K44" s="17">
        <f>+K10+K21+K32</f>
        <v>15044260</v>
      </c>
    </row>
    <row r="45" spans="1:11" ht="15">
      <c r="A45" s="3" t="s">
        <v>1240</v>
      </c>
      <c r="I45" s="17">
        <f>+I11+I22+I33</f>
        <v>48676</v>
      </c>
      <c r="K45" s="17">
        <f>+K11+K22+K33</f>
        <v>1803907</v>
      </c>
    </row>
    <row r="46" spans="1:11" ht="15">
      <c r="A46" s="3" t="s">
        <v>1241</v>
      </c>
      <c r="I46" s="17">
        <f>+I12+I23+I34</f>
        <v>150050</v>
      </c>
      <c r="K46" s="17">
        <f>+K12+K23+K34</f>
        <v>5687835</v>
      </c>
    </row>
    <row r="47" spans="1:11" ht="15">
      <c r="A47" s="3" t="s">
        <v>1242</v>
      </c>
      <c r="I47" s="17">
        <f>+I13+I24+I35</f>
        <v>230519</v>
      </c>
      <c r="K47" s="17">
        <f>+K13+K24+K35</f>
        <v>8017869</v>
      </c>
    </row>
    <row r="48" spans="1:11" ht="15">
      <c r="A48" s="3" t="s">
        <v>1243</v>
      </c>
      <c r="I48" s="27">
        <f>+I14+I25+I36</f>
        <v>160422</v>
      </c>
      <c r="K48" s="27">
        <f>+K14+K25+K36</f>
        <v>5896473</v>
      </c>
    </row>
    <row r="49" spans="1:11" ht="15">
      <c r="A49" s="3" t="s">
        <v>1348</v>
      </c>
      <c r="I49" s="17">
        <f>SUM(I44:I48)</f>
        <v>986345</v>
      </c>
      <c r="K49" s="17">
        <f>SUM(K44:K48)</f>
        <v>36450344</v>
      </c>
    </row>
    <row r="51" ht="16.5">
      <c r="A51" s="28" t="s">
        <v>1354</v>
      </c>
    </row>
    <row r="52" ht="15">
      <c r="A52" s="24" t="s">
        <v>1763</v>
      </c>
    </row>
    <row r="53" ht="15">
      <c r="A53" s="24" t="s">
        <v>1764</v>
      </c>
    </row>
    <row r="54" ht="15">
      <c r="A54" s="24" t="s">
        <v>1765</v>
      </c>
    </row>
    <row r="55" ht="15">
      <c r="A55" s="24" t="s">
        <v>1766</v>
      </c>
    </row>
  </sheetData>
  <printOptions horizontalCentered="1"/>
  <pageMargins left="0.5" right="0.25" top="0.25" bottom="0.25" header="0" footer="0"/>
  <pageSetup fitToHeight="1" fitToWidth="1" horizontalDpi="600" verticalDpi="600" orientation="portrait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Q55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14.28125" style="3" customWidth="1"/>
    <col min="3" max="3" width="9.140625" style="3" customWidth="1"/>
    <col min="4" max="4" width="14.140625" style="3" customWidth="1"/>
    <col min="5" max="5" width="9.140625" style="3" customWidth="1"/>
    <col min="6" max="6" width="10.8515625" style="3" bestFit="1" customWidth="1"/>
    <col min="7" max="7" width="9.140625" style="3" customWidth="1"/>
    <col min="8" max="8" width="9.28125" style="3" customWidth="1"/>
    <col min="9" max="9" width="9.140625" style="3" customWidth="1"/>
    <col min="10" max="10" width="12.00390625" style="3" customWidth="1"/>
    <col min="11" max="11" width="3.57421875" style="3" bestFit="1" customWidth="1"/>
    <col min="12" max="12" width="9.140625" style="3" customWidth="1"/>
    <col min="13" max="13" width="8.00390625" style="3" bestFit="1" customWidth="1"/>
    <col min="14" max="14" width="12.421875" style="3" bestFit="1" customWidth="1"/>
    <col min="15" max="15" width="1.7109375" style="3" customWidth="1"/>
    <col min="16" max="16" width="8.421875" style="3" bestFit="1" customWidth="1"/>
    <col min="17" max="17" width="10.140625" style="3" bestFit="1" customWidth="1"/>
    <col min="18" max="16384" width="9.140625" style="3" customWidth="1"/>
  </cols>
  <sheetData>
    <row r="1" spans="2:10" ht="16.5">
      <c r="B1" s="28" t="s">
        <v>1451</v>
      </c>
      <c r="C1" s="20" t="str">
        <f>INPUT!C1</f>
        <v>June 2009</v>
      </c>
      <c r="J1" s="19" t="s">
        <v>1767</v>
      </c>
    </row>
    <row r="3" ht="16.5">
      <c r="E3" s="19" t="s">
        <v>1768</v>
      </c>
    </row>
    <row r="4" spans="8:10" ht="16.5">
      <c r="H4" s="21"/>
      <c r="I4" s="22" t="s">
        <v>1769</v>
      </c>
      <c r="J4" s="21"/>
    </row>
    <row r="5" spans="2:10" ht="16.5">
      <c r="B5" s="19" t="s">
        <v>1770</v>
      </c>
      <c r="C5" s="19"/>
      <c r="D5" s="19" t="s">
        <v>1771</v>
      </c>
      <c r="E5" s="19"/>
      <c r="F5" s="19"/>
      <c r="G5" s="19"/>
      <c r="H5" s="19" t="s">
        <v>1236</v>
      </c>
      <c r="I5" s="19"/>
      <c r="J5" s="19" t="s">
        <v>1235</v>
      </c>
    </row>
    <row r="6" spans="2:10" ht="16.5">
      <c r="B6" s="22" t="s">
        <v>1457</v>
      </c>
      <c r="C6" s="19"/>
      <c r="D6" s="22" t="s">
        <v>1457</v>
      </c>
      <c r="E6" s="19"/>
      <c r="F6" s="22" t="s">
        <v>1312</v>
      </c>
      <c r="G6" s="19"/>
      <c r="H6" s="22" t="s">
        <v>1772</v>
      </c>
      <c r="I6" s="19"/>
      <c r="J6" s="23" t="s">
        <v>1453</v>
      </c>
    </row>
    <row r="8" spans="1:10" ht="15">
      <c r="A8" s="70" t="s">
        <v>1773</v>
      </c>
      <c r="B8" s="3" t="s">
        <v>1240</v>
      </c>
      <c r="D8" s="57" t="s">
        <v>1239</v>
      </c>
      <c r="F8" s="18">
        <f>INPUT!L68</f>
        <v>77884</v>
      </c>
      <c r="H8" s="75">
        <f>IF(F8=0,0,APPV!J31)</f>
        <v>25.94</v>
      </c>
      <c r="J8" s="18">
        <f>INPUT!M68</f>
        <v>2020311</v>
      </c>
    </row>
    <row r="9" spans="1:11" ht="15">
      <c r="A9" s="70" t="s">
        <v>1774</v>
      </c>
      <c r="B9" s="3" t="s">
        <v>1241</v>
      </c>
      <c r="D9" s="57" t="s">
        <v>1239</v>
      </c>
      <c r="F9" s="18">
        <f>INPUT!L69</f>
        <v>171874</v>
      </c>
      <c r="H9" s="75">
        <f>IF(F9=0,0,APPV!J32)</f>
        <v>21.646</v>
      </c>
      <c r="J9" s="18">
        <f>INPUT!M69</f>
        <v>3720556</v>
      </c>
      <c r="K9" s="24"/>
    </row>
    <row r="10" spans="1:10" ht="15">
      <c r="A10" s="70" t="s">
        <v>1775</v>
      </c>
      <c r="B10" s="3" t="s">
        <v>1242</v>
      </c>
      <c r="D10" s="57" t="s">
        <v>1239</v>
      </c>
      <c r="F10" s="18">
        <f>INPUT!L70</f>
        <v>561433</v>
      </c>
      <c r="H10" s="75">
        <f>IF(F10=0,0,APPV!J33)</f>
        <v>26.691</v>
      </c>
      <c r="J10" s="18">
        <f>INPUT!M70</f>
        <v>14985208</v>
      </c>
    </row>
    <row r="11" spans="1:10" ht="15">
      <c r="A11" s="70" t="s">
        <v>1776</v>
      </c>
      <c r="B11" s="3" t="s">
        <v>1243</v>
      </c>
      <c r="D11" s="57" t="s">
        <v>1239</v>
      </c>
      <c r="F11" s="26">
        <f>INPUT!L71</f>
        <v>0</v>
      </c>
      <c r="H11" s="80">
        <f>IF(F11=0,0,APPV!J34)</f>
        <v>0</v>
      </c>
      <c r="J11" s="26">
        <f>INPUT!M71</f>
        <v>0</v>
      </c>
    </row>
    <row r="12" spans="1:10" ht="15">
      <c r="A12" s="70" t="s">
        <v>1777</v>
      </c>
      <c r="B12" s="3" t="s">
        <v>1348</v>
      </c>
      <c r="D12" s="57" t="s">
        <v>1239</v>
      </c>
      <c r="F12" s="18">
        <f>SUM(F8:F11)</f>
        <v>811191</v>
      </c>
      <c r="H12" s="75">
        <f>IF(F12=0,0,J12/F12)</f>
        <v>25.55017868787992</v>
      </c>
      <c r="J12" s="18">
        <f>SUM(J8:J11)</f>
        <v>20726075</v>
      </c>
    </row>
    <row r="13" spans="1:10" ht="15">
      <c r="A13" s="73"/>
      <c r="D13" s="57"/>
      <c r="F13" s="17"/>
      <c r="H13" s="2"/>
      <c r="J13" s="17"/>
    </row>
    <row r="14" spans="1:10" ht="15">
      <c r="A14" s="70" t="s">
        <v>1778</v>
      </c>
      <c r="B14" s="3" t="s">
        <v>1239</v>
      </c>
      <c r="D14" s="57" t="s">
        <v>1240</v>
      </c>
      <c r="F14" s="18">
        <f>INPUT!L73</f>
        <v>0</v>
      </c>
      <c r="H14" s="75">
        <f>IF(F14=0,0,APPV!J30)</f>
        <v>0</v>
      </c>
      <c r="J14" s="18">
        <f>INPUT!M73</f>
        <v>0</v>
      </c>
    </row>
    <row r="15" spans="1:11" ht="15">
      <c r="A15" s="70" t="s">
        <v>1779</v>
      </c>
      <c r="B15" s="3" t="s">
        <v>1241</v>
      </c>
      <c r="D15" s="57" t="s">
        <v>1240</v>
      </c>
      <c r="F15" s="18">
        <f>INPUT!L74</f>
        <v>1206</v>
      </c>
      <c r="H15" s="75">
        <f>IF(F15=0,0,APPV!J32)</f>
        <v>21.646</v>
      </c>
      <c r="J15" s="18">
        <f>INPUT!M74</f>
        <v>26106</v>
      </c>
      <c r="K15" s="24"/>
    </row>
    <row r="16" spans="1:10" ht="15">
      <c r="A16" s="70" t="s">
        <v>1780</v>
      </c>
      <c r="B16" s="3" t="s">
        <v>1242</v>
      </c>
      <c r="D16" s="57" t="s">
        <v>1240</v>
      </c>
      <c r="F16" s="18">
        <f>INPUT!L75</f>
        <v>4361</v>
      </c>
      <c r="H16" s="75">
        <f>IF(F16=0,0,APPV!J33)</f>
        <v>26.691</v>
      </c>
      <c r="J16" s="18">
        <f>INPUT!M75</f>
        <v>116399</v>
      </c>
    </row>
    <row r="17" spans="1:10" ht="15">
      <c r="A17" s="70" t="s">
        <v>1781</v>
      </c>
      <c r="B17" s="3" t="s">
        <v>1243</v>
      </c>
      <c r="D17" s="57" t="s">
        <v>1240</v>
      </c>
      <c r="F17" s="26">
        <f>INPUT!L76</f>
        <v>0</v>
      </c>
      <c r="H17" s="80">
        <f>IF(F17=0,0,APPV!J34)</f>
        <v>0</v>
      </c>
      <c r="J17" s="26">
        <f>INPUT!M76</f>
        <v>0</v>
      </c>
    </row>
    <row r="18" spans="1:10" ht="15">
      <c r="A18" s="70" t="s">
        <v>1782</v>
      </c>
      <c r="B18" s="3" t="s">
        <v>1348</v>
      </c>
      <c r="D18" s="57" t="s">
        <v>1240</v>
      </c>
      <c r="F18" s="18">
        <f>SUM(F14:F17)</f>
        <v>5567</v>
      </c>
      <c r="H18" s="75">
        <f>IF(F18=0,0,J18/F18)</f>
        <v>25.598167774384766</v>
      </c>
      <c r="J18" s="18">
        <f>SUM(J14:J17)</f>
        <v>142505</v>
      </c>
    </row>
    <row r="19" spans="1:10" ht="15">
      <c r="A19" s="73"/>
      <c r="D19" s="57"/>
      <c r="F19" s="18"/>
      <c r="H19" s="2"/>
      <c r="J19" s="18"/>
    </row>
    <row r="20" spans="1:10" ht="15">
      <c r="A20" s="70" t="s">
        <v>1783</v>
      </c>
      <c r="B20" s="3" t="s">
        <v>1239</v>
      </c>
      <c r="D20" s="57" t="s">
        <v>1241</v>
      </c>
      <c r="F20" s="18">
        <f>INPUT!L78</f>
        <v>0</v>
      </c>
      <c r="H20" s="75">
        <f>IF(F20=0,0,APPV!J30)</f>
        <v>0</v>
      </c>
      <c r="J20" s="18">
        <f>INPUT!M78</f>
        <v>0</v>
      </c>
    </row>
    <row r="21" spans="1:10" ht="15">
      <c r="A21" s="70" t="s">
        <v>1784</v>
      </c>
      <c r="B21" s="3" t="s">
        <v>1240</v>
      </c>
      <c r="D21" s="57" t="s">
        <v>1241</v>
      </c>
      <c r="F21" s="18">
        <f>INPUT!L79</f>
        <v>1794</v>
      </c>
      <c r="H21" s="75">
        <f>IF(F21=0,0,APPV!J31)</f>
        <v>25.94</v>
      </c>
      <c r="J21" s="18">
        <f>INPUT!M79</f>
        <v>46536</v>
      </c>
    </row>
    <row r="22" spans="1:10" ht="15">
      <c r="A22" s="70" t="s">
        <v>1785</v>
      </c>
      <c r="B22" s="3" t="s">
        <v>1242</v>
      </c>
      <c r="D22" s="57" t="s">
        <v>1241</v>
      </c>
      <c r="F22" s="18">
        <f>INPUT!L80</f>
        <v>12815</v>
      </c>
      <c r="H22" s="75">
        <f>IF(F22=0,0,APPV!J33)</f>
        <v>26.691</v>
      </c>
      <c r="J22" s="18">
        <f>INPUT!M80</f>
        <v>342045</v>
      </c>
    </row>
    <row r="23" spans="1:10" ht="15">
      <c r="A23" s="70" t="s">
        <v>1786</v>
      </c>
      <c r="B23" s="3" t="s">
        <v>1243</v>
      </c>
      <c r="D23" s="57" t="s">
        <v>1241</v>
      </c>
      <c r="F23" s="26">
        <f>INPUT!L81</f>
        <v>0</v>
      </c>
      <c r="H23" s="80">
        <f>IF(F23=0,0,APPV!J34)</f>
        <v>0</v>
      </c>
      <c r="J23" s="18">
        <f>INPUT!M81</f>
        <v>0</v>
      </c>
    </row>
    <row r="24" spans="1:10" ht="15">
      <c r="A24" s="70" t="s">
        <v>1787</v>
      </c>
      <c r="B24" s="3" t="s">
        <v>1348</v>
      </c>
      <c r="D24" s="57" t="s">
        <v>1241</v>
      </c>
      <c r="F24" s="18">
        <f>SUM(F20:F23)</f>
        <v>14609</v>
      </c>
      <c r="H24" s="75">
        <f>IF(F24=0,0,J24/F24)</f>
        <v>26.598740502430008</v>
      </c>
      <c r="J24" s="18">
        <f>SUM(J20:J23)</f>
        <v>388581</v>
      </c>
    </row>
    <row r="25" spans="1:10" ht="15">
      <c r="A25" s="73"/>
      <c r="D25" s="57"/>
      <c r="F25" s="17"/>
      <c r="H25" s="2"/>
      <c r="J25" s="17"/>
    </row>
    <row r="26" spans="1:10" ht="15">
      <c r="A26" s="70" t="s">
        <v>1788</v>
      </c>
      <c r="B26" s="3" t="s">
        <v>1239</v>
      </c>
      <c r="D26" s="57" t="s">
        <v>1242</v>
      </c>
      <c r="F26" s="18">
        <f>INPUT!L83</f>
        <v>0</v>
      </c>
      <c r="H26" s="75">
        <f>IF(F26=0,0,APPV!J30)</f>
        <v>0</v>
      </c>
      <c r="J26" s="18">
        <f>INPUT!M83</f>
        <v>0</v>
      </c>
    </row>
    <row r="27" spans="1:10" ht="15">
      <c r="A27" s="70" t="s">
        <v>1789</v>
      </c>
      <c r="B27" s="3" t="s">
        <v>1240</v>
      </c>
      <c r="D27" s="57" t="s">
        <v>1242</v>
      </c>
      <c r="F27" s="18">
        <f>INPUT!L84</f>
        <v>0</v>
      </c>
      <c r="H27" s="75">
        <f>IF(F27=0,0,APPV!J31)</f>
        <v>0</v>
      </c>
      <c r="J27" s="18">
        <f>INPUT!M84</f>
        <v>0</v>
      </c>
    </row>
    <row r="28" spans="1:10" ht="15">
      <c r="A28" s="70" t="s">
        <v>1790</v>
      </c>
      <c r="B28" s="3" t="s">
        <v>1241</v>
      </c>
      <c r="D28" s="57" t="s">
        <v>1242</v>
      </c>
      <c r="F28" s="18">
        <f>INPUT!L85</f>
        <v>0</v>
      </c>
      <c r="H28" s="75">
        <f>IF(F28=0,0,APPV!J32)</f>
        <v>0</v>
      </c>
      <c r="J28" s="18">
        <f>INPUT!M85</f>
        <v>0</v>
      </c>
    </row>
    <row r="29" spans="1:10" ht="15">
      <c r="A29" s="70" t="s">
        <v>1791</v>
      </c>
      <c r="B29" s="3" t="s">
        <v>1243</v>
      </c>
      <c r="D29" s="57" t="s">
        <v>1242</v>
      </c>
      <c r="F29" s="26">
        <f>INPUT!L86</f>
        <v>0</v>
      </c>
      <c r="H29" s="80">
        <f>IF(F29=0,0,APPV!J34)</f>
        <v>0</v>
      </c>
      <c r="J29" s="26">
        <f>INPUT!M86</f>
        <v>0</v>
      </c>
    </row>
    <row r="30" spans="1:10" ht="15">
      <c r="A30" s="70" t="s">
        <v>1792</v>
      </c>
      <c r="B30" s="3" t="s">
        <v>1348</v>
      </c>
      <c r="D30" s="57" t="s">
        <v>1242</v>
      </c>
      <c r="F30" s="18">
        <f>SUM(F26:F29)</f>
        <v>0</v>
      </c>
      <c r="H30" s="75">
        <f>IF(F30=0,0,J30/F30)</f>
        <v>0</v>
      </c>
      <c r="J30" s="18">
        <f>SUM(J26:J29)</f>
        <v>0</v>
      </c>
    </row>
    <row r="31" spans="1:10" ht="15">
      <c r="A31" s="73"/>
      <c r="D31" s="57"/>
      <c r="F31" s="17"/>
      <c r="H31" s="2"/>
      <c r="J31" s="17"/>
    </row>
    <row r="32" spans="1:10" ht="15">
      <c r="A32" s="70" t="s">
        <v>1793</v>
      </c>
      <c r="B32" s="3" t="s">
        <v>1239</v>
      </c>
      <c r="D32" s="57" t="s">
        <v>1243</v>
      </c>
      <c r="F32" s="18">
        <f>INPUT!L88</f>
        <v>0</v>
      </c>
      <c r="H32" s="75">
        <f>IF(F32=0,0,APPV!J30)</f>
        <v>0</v>
      </c>
      <c r="J32" s="18">
        <f>INPUT!M88</f>
        <v>0</v>
      </c>
    </row>
    <row r="33" spans="1:10" ht="15">
      <c r="A33" s="70" t="s">
        <v>1794</v>
      </c>
      <c r="B33" s="3" t="s">
        <v>1240</v>
      </c>
      <c r="D33" s="57" t="s">
        <v>1243</v>
      </c>
      <c r="F33" s="18">
        <f>INPUT!L89</f>
        <v>86986</v>
      </c>
      <c r="H33" s="75">
        <f>IF(F33=0,0,APPV!J31)</f>
        <v>25.94</v>
      </c>
      <c r="J33" s="18">
        <f>INPUT!M89</f>
        <v>2256417</v>
      </c>
    </row>
    <row r="34" spans="1:11" ht="15">
      <c r="A34" s="70" t="s">
        <v>1799</v>
      </c>
      <c r="B34" s="3" t="s">
        <v>1241</v>
      </c>
      <c r="D34" s="57" t="s">
        <v>1243</v>
      </c>
      <c r="F34" s="18">
        <f>INPUT!L90</f>
        <v>185625</v>
      </c>
      <c r="H34" s="75">
        <f>IF(F34=0,0,APPV!J32)</f>
        <v>21.646</v>
      </c>
      <c r="J34" s="18">
        <f>INPUT!M90</f>
        <v>4018224</v>
      </c>
      <c r="K34" s="24"/>
    </row>
    <row r="35" spans="1:10" ht="15">
      <c r="A35" s="70" t="s">
        <v>1800</v>
      </c>
      <c r="B35" s="3" t="s">
        <v>1242</v>
      </c>
      <c r="D35" s="57" t="s">
        <v>1243</v>
      </c>
      <c r="F35" s="26">
        <f>INPUT!L91</f>
        <v>615741</v>
      </c>
      <c r="H35" s="80">
        <f>IF(F35=0,0,APPV!J33)</f>
        <v>26.691</v>
      </c>
      <c r="J35" s="26">
        <f>INPUT!M91</f>
        <v>16434743</v>
      </c>
    </row>
    <row r="36" spans="1:10" ht="15">
      <c r="A36" s="70" t="s">
        <v>1810</v>
      </c>
      <c r="B36" s="3" t="s">
        <v>1348</v>
      </c>
      <c r="D36" s="57" t="s">
        <v>1243</v>
      </c>
      <c r="F36" s="18">
        <f>SUM(F32:F35)</f>
        <v>888352</v>
      </c>
      <c r="H36" s="75">
        <f>IF(F36=0,0,J36/F36)</f>
        <v>25.56349735240085</v>
      </c>
      <c r="J36" s="18">
        <f>SUM(J32:J35)</f>
        <v>22709384</v>
      </c>
    </row>
    <row r="37" spans="1:10" ht="15">
      <c r="A37" s="70"/>
      <c r="D37" s="57"/>
      <c r="F37" s="17"/>
      <c r="H37" s="2"/>
      <c r="J37" s="17"/>
    </row>
    <row r="38" spans="1:10" ht="16.5">
      <c r="A38" s="70" t="s">
        <v>1811</v>
      </c>
      <c r="B38" s="28" t="s">
        <v>1812</v>
      </c>
      <c r="F38" s="17">
        <f>+F12+F18+F24+F30+F36</f>
        <v>1719719</v>
      </c>
      <c r="H38" s="75">
        <f>IF(F38=0,0,J38/F38)</f>
        <v>25.566121558231316</v>
      </c>
      <c r="J38" s="17">
        <f>+J12+J18+J24+J30+J36</f>
        <v>43966545</v>
      </c>
    </row>
    <row r="39" spans="1:6" ht="15">
      <c r="A39" s="73"/>
      <c r="F39" s="17"/>
    </row>
    <row r="40" spans="1:10" ht="16.5">
      <c r="A40" s="73"/>
      <c r="B40" s="19" t="s">
        <v>1348</v>
      </c>
      <c r="F40" s="17"/>
      <c r="H40" s="21"/>
      <c r="I40" s="22" t="s">
        <v>1813</v>
      </c>
      <c r="J40" s="21"/>
    </row>
    <row r="41" spans="1:17" ht="16.5">
      <c r="A41" s="73"/>
      <c r="B41" s="19" t="s">
        <v>1259</v>
      </c>
      <c r="F41" s="17"/>
      <c r="H41" s="19" t="s">
        <v>1236</v>
      </c>
      <c r="J41" s="19" t="s">
        <v>1237</v>
      </c>
      <c r="M41" s="19" t="s">
        <v>1772</v>
      </c>
      <c r="N41" s="19" t="s">
        <v>143</v>
      </c>
      <c r="O41" s="19"/>
      <c r="P41" s="19" t="s">
        <v>1772</v>
      </c>
      <c r="Q41" s="19" t="s">
        <v>143</v>
      </c>
    </row>
    <row r="42" spans="1:17" ht="16.5">
      <c r="A42" s="73"/>
      <c r="B42" s="22" t="s">
        <v>1814</v>
      </c>
      <c r="D42" s="22" t="s">
        <v>1815</v>
      </c>
      <c r="F42" s="79" t="s">
        <v>1312</v>
      </c>
      <c r="H42" s="22" t="s">
        <v>1772</v>
      </c>
      <c r="J42" s="23" t="s">
        <v>1453</v>
      </c>
      <c r="M42" s="22" t="s">
        <v>144</v>
      </c>
      <c r="N42" s="22" t="s">
        <v>144</v>
      </c>
      <c r="O42" s="19"/>
      <c r="P42" s="22" t="s">
        <v>145</v>
      </c>
      <c r="Q42" s="22" t="s">
        <v>145</v>
      </c>
    </row>
    <row r="43" spans="1:14" ht="16.5">
      <c r="A43" s="73"/>
      <c r="F43" s="17"/>
      <c r="N43" s="19"/>
    </row>
    <row r="44" spans="1:17" ht="15">
      <c r="A44" s="70" t="s">
        <v>1816</v>
      </c>
      <c r="B44" s="3" t="s">
        <v>1239</v>
      </c>
      <c r="D44" s="57" t="s">
        <v>1821</v>
      </c>
      <c r="F44" s="17">
        <f>+F14+F20+F26+F32</f>
        <v>0</v>
      </c>
      <c r="H44" s="75">
        <f>IF(F44=0,0,APPV!J30)</f>
        <v>0</v>
      </c>
      <c r="J44" s="17">
        <f>+J14+J20+J26+J32</f>
        <v>0</v>
      </c>
      <c r="M44" s="108">
        <f>IF(F44=0,0,J44/F44)</f>
        <v>0</v>
      </c>
      <c r="N44" s="293">
        <f>F44*H44</f>
        <v>0</v>
      </c>
      <c r="P44" s="76">
        <f>H44-M44</f>
        <v>0</v>
      </c>
      <c r="Q44" s="496">
        <f>J44-N44</f>
        <v>0</v>
      </c>
    </row>
    <row r="45" spans="1:17" ht="15">
      <c r="A45" s="70" t="s">
        <v>1822</v>
      </c>
      <c r="B45" s="3" t="s">
        <v>1240</v>
      </c>
      <c r="D45" s="57" t="s">
        <v>1823</v>
      </c>
      <c r="F45" s="17">
        <f>+F8+F21+F27+F33</f>
        <v>166664</v>
      </c>
      <c r="H45" s="75">
        <f>IF(F45=0,0,APPV!J31)</f>
        <v>25.94</v>
      </c>
      <c r="J45" s="17">
        <f>+J8+J21+J27+J33</f>
        <v>4323264</v>
      </c>
      <c r="M45" s="108">
        <f>IF(F45=0,0,J45/F45)</f>
        <v>25.939999039984638</v>
      </c>
      <c r="N45" s="293">
        <f>F45*H45</f>
        <v>4323264.16</v>
      </c>
      <c r="P45" s="76">
        <f>H45-M45</f>
        <v>9.600153632050024E-07</v>
      </c>
      <c r="Q45" s="496">
        <f>J45-N45</f>
        <v>-0.1600000001490116</v>
      </c>
    </row>
    <row r="46" spans="1:17" ht="15">
      <c r="A46" s="70" t="s">
        <v>1824</v>
      </c>
      <c r="B46" s="3" t="s">
        <v>1241</v>
      </c>
      <c r="D46" s="57" t="s">
        <v>1825</v>
      </c>
      <c r="F46" s="17">
        <f>+F9+F15+F28+F34</f>
        <v>358705</v>
      </c>
      <c r="H46" s="75">
        <f>IF(F46=0,0,APPV!J32)</f>
        <v>21.646</v>
      </c>
      <c r="J46" s="17">
        <f>+J9+J15+J28+J34</f>
        <v>7764886</v>
      </c>
      <c r="M46" s="108">
        <f>IF(F46=0,0,J46/F46)</f>
        <v>21.646996835840035</v>
      </c>
      <c r="N46" s="293">
        <f>F46*H46</f>
        <v>7764528.430000001</v>
      </c>
      <c r="P46" s="76">
        <f>H46-M46</f>
        <v>-0.0009968358400342936</v>
      </c>
      <c r="Q46" s="496">
        <f>J46-N46</f>
        <v>357.5699999993667</v>
      </c>
    </row>
    <row r="47" spans="1:17" ht="15">
      <c r="A47" s="70" t="s">
        <v>1826</v>
      </c>
      <c r="B47" s="3" t="s">
        <v>1242</v>
      </c>
      <c r="D47" s="57" t="s">
        <v>1827</v>
      </c>
      <c r="F47" s="17">
        <f>+F10+F16+F22+F35</f>
        <v>1194350</v>
      </c>
      <c r="H47" s="75">
        <f>IF(F47=0,0,APPV!J33)</f>
        <v>26.691</v>
      </c>
      <c r="J47" s="17">
        <f>+J10+J16+J22+J35</f>
        <v>31878395</v>
      </c>
      <c r="M47" s="108">
        <f>IF(F47=0,0,J47/F47)</f>
        <v>26.69099928831582</v>
      </c>
      <c r="N47" s="293">
        <f>F47*H47</f>
        <v>31878395.849999998</v>
      </c>
      <c r="P47" s="76">
        <f>H47-M47</f>
        <v>7.116841800325346E-07</v>
      </c>
      <c r="Q47" s="496">
        <f>J47-N47</f>
        <v>-0.8499999977648258</v>
      </c>
    </row>
    <row r="48" spans="1:17" ht="15">
      <c r="A48" s="70" t="s">
        <v>1828</v>
      </c>
      <c r="B48" s="3" t="s">
        <v>1243</v>
      </c>
      <c r="D48" s="57" t="s">
        <v>1829</v>
      </c>
      <c r="F48" s="27">
        <f>+F11+F17+F23+F29</f>
        <v>0</v>
      </c>
      <c r="H48" s="80">
        <f>IF(F48=0,0,APPV!J34)</f>
        <v>0</v>
      </c>
      <c r="J48" s="27">
        <f>+J11+J17+J23+J29</f>
        <v>0</v>
      </c>
      <c r="M48" s="108">
        <f>IF(F48=0,0,J48/F48)</f>
        <v>0</v>
      </c>
      <c r="N48" s="293">
        <f>F48*H48</f>
        <v>0</v>
      </c>
      <c r="P48" s="76">
        <f>H48-M48</f>
        <v>0</v>
      </c>
      <c r="Q48" s="496">
        <f>J48-N48</f>
        <v>0</v>
      </c>
    </row>
    <row r="49" spans="1:10" ht="15">
      <c r="A49" s="70"/>
      <c r="F49" s="17"/>
      <c r="J49" s="17"/>
    </row>
    <row r="50" spans="1:10" ht="16.5">
      <c r="A50" s="70" t="s">
        <v>1830</v>
      </c>
      <c r="B50" s="28" t="s">
        <v>1831</v>
      </c>
      <c r="F50" s="17">
        <f>SUM(F44:F49)</f>
        <v>1719719</v>
      </c>
      <c r="H50" s="75">
        <f>IF(F50=0,0,J50/F50)</f>
        <v>25.566121558231316</v>
      </c>
      <c r="J50" s="17">
        <f>SUM(J44:J49)</f>
        <v>43966545</v>
      </c>
    </row>
    <row r="51" spans="1:10" ht="16.5">
      <c r="A51" s="70"/>
      <c r="B51" s="28"/>
      <c r="F51" s="17"/>
      <c r="J51" s="17"/>
    </row>
    <row r="52" ht="15">
      <c r="A52" s="73"/>
    </row>
    <row r="53" ht="15">
      <c r="A53" s="3" t="s">
        <v>136</v>
      </c>
    </row>
    <row r="54" ht="15">
      <c r="A54" s="24" t="s">
        <v>152</v>
      </c>
    </row>
    <row r="55" ht="15">
      <c r="A55" s="24" t="s">
        <v>128</v>
      </c>
    </row>
  </sheetData>
  <printOptions horizontalCentered="1"/>
  <pageMargins left="0.25" right="0.25" top="0.25" bottom="0.25" header="0" footer="0"/>
  <pageSetup fitToHeight="1" fitToWidth="1" horizontalDpi="600" verticalDpi="600" orientation="portrait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Q5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14.28125" style="3" customWidth="1"/>
    <col min="3" max="3" width="9.140625" style="3" customWidth="1"/>
    <col min="4" max="4" width="14.140625" style="3" customWidth="1"/>
    <col min="5" max="5" width="9.140625" style="3" customWidth="1"/>
    <col min="6" max="6" width="10.8515625" style="3" bestFit="1" customWidth="1"/>
    <col min="7" max="7" width="9.140625" style="3" customWidth="1"/>
    <col min="8" max="8" width="9.28125" style="3" customWidth="1"/>
    <col min="9" max="9" width="9.140625" style="3" customWidth="1"/>
    <col min="10" max="10" width="12.00390625" style="3" bestFit="1" customWidth="1"/>
    <col min="11" max="12" width="9.140625" style="3" customWidth="1"/>
    <col min="13" max="13" width="8.00390625" style="3" bestFit="1" customWidth="1"/>
    <col min="14" max="14" width="12.7109375" style="3" bestFit="1" customWidth="1"/>
    <col min="15" max="15" width="1.7109375" style="3" customWidth="1"/>
    <col min="16" max="16" width="8.421875" style="3" bestFit="1" customWidth="1"/>
    <col min="17" max="17" width="10.140625" style="3" bestFit="1" customWidth="1"/>
    <col min="18" max="16384" width="9.140625" style="3" customWidth="1"/>
  </cols>
  <sheetData>
    <row r="1" spans="2:10" ht="16.5">
      <c r="B1" s="28" t="s">
        <v>1832</v>
      </c>
      <c r="G1" s="28" t="s">
        <v>1451</v>
      </c>
      <c r="I1" s="20" t="str">
        <f>+INPUT!C1</f>
        <v>June 2009</v>
      </c>
      <c r="J1" s="19"/>
    </row>
    <row r="2" ht="16.5">
      <c r="B2" s="28" t="s">
        <v>1833</v>
      </c>
    </row>
    <row r="3" ht="16.5">
      <c r="E3" s="19" t="s">
        <v>1236</v>
      </c>
    </row>
    <row r="4" spans="8:10" ht="16.5">
      <c r="H4" s="21"/>
      <c r="I4" s="22" t="s">
        <v>1769</v>
      </c>
      <c r="J4" s="21"/>
    </row>
    <row r="5" spans="2:10" ht="16.5">
      <c r="B5" s="19" t="s">
        <v>1770</v>
      </c>
      <c r="C5" s="19"/>
      <c r="D5" s="19" t="s">
        <v>1771</v>
      </c>
      <c r="E5" s="19"/>
      <c r="F5" s="19"/>
      <c r="G5" s="19"/>
      <c r="H5" s="19" t="s">
        <v>1236</v>
      </c>
      <c r="I5" s="19"/>
      <c r="J5" s="19" t="s">
        <v>1235</v>
      </c>
    </row>
    <row r="6" spans="2:10" ht="16.5">
      <c r="B6" s="22" t="s">
        <v>1457</v>
      </c>
      <c r="C6" s="19"/>
      <c r="D6" s="22" t="s">
        <v>1457</v>
      </c>
      <c r="E6" s="19"/>
      <c r="F6" s="22" t="s">
        <v>1312</v>
      </c>
      <c r="G6" s="19"/>
      <c r="H6" s="22" t="s">
        <v>1772</v>
      </c>
      <c r="I6" s="19"/>
      <c r="J6" s="23" t="s">
        <v>1453</v>
      </c>
    </row>
    <row r="8" spans="1:10" ht="15">
      <c r="A8" s="70" t="s">
        <v>1773</v>
      </c>
      <c r="B8" s="3" t="s">
        <v>1240</v>
      </c>
      <c r="D8" s="57" t="s">
        <v>1239</v>
      </c>
      <c r="F8" s="18">
        <f>INPUT!L68</f>
        <v>77884</v>
      </c>
      <c r="H8" s="71">
        <f>IF(F8=0,0,J8/F8)</f>
        <v>24.809999486415695</v>
      </c>
      <c r="J8" s="18">
        <f>+INPUT!O68</f>
        <v>1932302</v>
      </c>
    </row>
    <row r="9" spans="1:10" ht="15">
      <c r="A9" s="70" t="s">
        <v>1774</v>
      </c>
      <c r="B9" s="3" t="s">
        <v>1241</v>
      </c>
      <c r="D9" s="57" t="s">
        <v>1239</v>
      </c>
      <c r="F9" s="18">
        <f>INPUT!L69</f>
        <v>171874</v>
      </c>
      <c r="H9" s="71">
        <f aca="true" t="shared" si="0" ref="H9:H26">IF(F9=0,0,J9/F9)</f>
        <v>18.5410009658238</v>
      </c>
      <c r="J9" s="18">
        <f>+INPUT!O69</f>
        <v>3186716</v>
      </c>
    </row>
    <row r="10" spans="1:10" ht="15">
      <c r="A10" s="70" t="s">
        <v>1775</v>
      </c>
      <c r="B10" s="3" t="s">
        <v>1242</v>
      </c>
      <c r="D10" s="57" t="s">
        <v>1239</v>
      </c>
      <c r="F10" s="18">
        <f>INPUT!L70</f>
        <v>561433</v>
      </c>
      <c r="H10" s="71">
        <f t="shared" si="0"/>
        <v>24.553998429020027</v>
      </c>
      <c r="J10" s="18">
        <f>+INPUT!O70</f>
        <v>13785425</v>
      </c>
    </row>
    <row r="11" spans="1:10" ht="15">
      <c r="A11" s="70" t="s">
        <v>1776</v>
      </c>
      <c r="B11" s="3" t="s">
        <v>1243</v>
      </c>
      <c r="D11" s="57" t="s">
        <v>1239</v>
      </c>
      <c r="F11" s="26">
        <f>INPUT!L71</f>
        <v>0</v>
      </c>
      <c r="H11" s="72">
        <f t="shared" si="0"/>
        <v>0</v>
      </c>
      <c r="J11" s="26">
        <f>+INPUT!O71</f>
        <v>0</v>
      </c>
    </row>
    <row r="12" spans="1:10" ht="15">
      <c r="A12" s="70" t="s">
        <v>1777</v>
      </c>
      <c r="B12" s="3" t="s">
        <v>1348</v>
      </c>
      <c r="D12" s="57" t="s">
        <v>1239</v>
      </c>
      <c r="F12" s="18">
        <f>SUM(F8:F11)</f>
        <v>811191</v>
      </c>
      <c r="H12" s="71">
        <f t="shared" si="0"/>
        <v>23.30455219547554</v>
      </c>
      <c r="J12" s="18">
        <f>SUM(J8:J11)</f>
        <v>18904443</v>
      </c>
    </row>
    <row r="13" spans="1:10" ht="15">
      <c r="A13" s="73"/>
      <c r="D13" s="57"/>
      <c r="F13" s="17"/>
      <c r="H13" s="74"/>
      <c r="J13" s="17"/>
    </row>
    <row r="14" spans="1:10" ht="15">
      <c r="A14" s="70" t="s">
        <v>1778</v>
      </c>
      <c r="B14" s="3" t="s">
        <v>1239</v>
      </c>
      <c r="D14" s="57" t="s">
        <v>1240</v>
      </c>
      <c r="F14" s="18">
        <f>INPUT!L73</f>
        <v>0</v>
      </c>
      <c r="H14" s="71">
        <f t="shared" si="0"/>
        <v>0</v>
      </c>
      <c r="J14" s="18">
        <f>+INPUT!O73</f>
        <v>0</v>
      </c>
    </row>
    <row r="15" spans="1:10" ht="15">
      <c r="A15" s="70" t="s">
        <v>1779</v>
      </c>
      <c r="B15" s="3" t="s">
        <v>1241</v>
      </c>
      <c r="D15" s="57" t="s">
        <v>1240</v>
      </c>
      <c r="F15" s="18">
        <f>INPUT!L74</f>
        <v>1206</v>
      </c>
      <c r="H15" s="71">
        <f t="shared" si="0"/>
        <v>18.54063018242123</v>
      </c>
      <c r="J15" s="18">
        <f>+INPUT!O74</f>
        <v>22360</v>
      </c>
    </row>
    <row r="16" spans="1:10" ht="15">
      <c r="A16" s="70" t="s">
        <v>1780</v>
      </c>
      <c r="B16" s="3" t="s">
        <v>1242</v>
      </c>
      <c r="D16" s="57" t="s">
        <v>1240</v>
      </c>
      <c r="F16" s="18">
        <f>INPUT!L75</f>
        <v>4361</v>
      </c>
      <c r="H16" s="71">
        <f t="shared" si="0"/>
        <v>24.553772070626003</v>
      </c>
      <c r="J16" s="18">
        <f>+INPUT!O75</f>
        <v>107079</v>
      </c>
    </row>
    <row r="17" spans="1:10" ht="15">
      <c r="A17" s="70" t="s">
        <v>1781</v>
      </c>
      <c r="B17" s="3" t="s">
        <v>1243</v>
      </c>
      <c r="D17" s="57" t="s">
        <v>1240</v>
      </c>
      <c r="F17" s="26">
        <f>INPUT!L76</f>
        <v>0</v>
      </c>
      <c r="H17" s="72">
        <f t="shared" si="0"/>
        <v>0</v>
      </c>
      <c r="J17" s="26">
        <f>+INPUT!O76</f>
        <v>0</v>
      </c>
    </row>
    <row r="18" spans="1:10" ht="15">
      <c r="A18" s="70" t="s">
        <v>1782</v>
      </c>
      <c r="B18" s="3" t="s">
        <v>1348</v>
      </c>
      <c r="D18" s="57" t="s">
        <v>1240</v>
      </c>
      <c r="F18" s="18">
        <f>SUM(F14:F17)</f>
        <v>5567</v>
      </c>
      <c r="H18" s="71">
        <f t="shared" si="0"/>
        <v>23.251122687264235</v>
      </c>
      <c r="J18" s="18">
        <f>SUM(J14:J17)</f>
        <v>129439</v>
      </c>
    </row>
    <row r="19" spans="1:10" ht="15">
      <c r="A19" s="73"/>
      <c r="D19" s="57"/>
      <c r="F19" s="18"/>
      <c r="H19" s="75" t="s">
        <v>1236</v>
      </c>
      <c r="J19" s="18"/>
    </row>
    <row r="20" spans="1:10" ht="15">
      <c r="A20" s="70" t="s">
        <v>1783</v>
      </c>
      <c r="B20" s="3" t="s">
        <v>1239</v>
      </c>
      <c r="D20" s="57" t="s">
        <v>1241</v>
      </c>
      <c r="F20" s="18">
        <f>INPUT!L78</f>
        <v>0</v>
      </c>
      <c r="H20" s="71">
        <f t="shared" si="0"/>
        <v>0</v>
      </c>
      <c r="J20" s="18">
        <f>+INPUT!O78</f>
        <v>0</v>
      </c>
    </row>
    <row r="21" spans="1:10" ht="15">
      <c r="A21" s="70" t="s">
        <v>1784</v>
      </c>
      <c r="B21" s="3" t="s">
        <v>1240</v>
      </c>
      <c r="D21" s="57" t="s">
        <v>1241</v>
      </c>
      <c r="F21" s="18">
        <f>INPUT!L79</f>
        <v>1794</v>
      </c>
      <c r="H21" s="71">
        <f t="shared" si="0"/>
        <v>24.809921962095874</v>
      </c>
      <c r="J21" s="18">
        <f>+INPUT!O79</f>
        <v>44509</v>
      </c>
    </row>
    <row r="22" spans="1:10" ht="15">
      <c r="A22" s="70" t="s">
        <v>1785</v>
      </c>
      <c r="B22" s="3" t="s">
        <v>1242</v>
      </c>
      <c r="D22" s="57" t="s">
        <v>1241</v>
      </c>
      <c r="F22" s="18">
        <f>INPUT!L80</f>
        <v>12815</v>
      </c>
      <c r="H22" s="71">
        <f t="shared" si="0"/>
        <v>24.553960202887243</v>
      </c>
      <c r="J22" s="18">
        <f>+INPUT!O80</f>
        <v>314659</v>
      </c>
    </row>
    <row r="23" spans="1:10" ht="15">
      <c r="A23" s="70" t="s">
        <v>1786</v>
      </c>
      <c r="B23" s="3" t="s">
        <v>1243</v>
      </c>
      <c r="D23" s="57" t="s">
        <v>1241</v>
      </c>
      <c r="F23" s="26">
        <f>INPUT!L81</f>
        <v>0</v>
      </c>
      <c r="H23" s="72">
        <f t="shared" si="0"/>
        <v>0</v>
      </c>
      <c r="J23" s="26">
        <f>+INPUT!O81</f>
        <v>0</v>
      </c>
    </row>
    <row r="24" spans="1:10" ht="15">
      <c r="A24" s="70" t="s">
        <v>1787</v>
      </c>
      <c r="B24" s="3" t="s">
        <v>1348</v>
      </c>
      <c r="D24" s="57" t="s">
        <v>1241</v>
      </c>
      <c r="F24" s="18">
        <f>SUM(F20:F23)</f>
        <v>14609</v>
      </c>
      <c r="H24" s="71">
        <f t="shared" si="0"/>
        <v>24.5853925662263</v>
      </c>
      <c r="J24" s="18">
        <f>SUM(J20:J23)</f>
        <v>359168</v>
      </c>
    </row>
    <row r="25" spans="1:10" ht="15">
      <c r="A25" s="73"/>
      <c r="D25" s="57"/>
      <c r="F25" s="17"/>
      <c r="H25" s="75" t="s">
        <v>1236</v>
      </c>
      <c r="J25" s="17"/>
    </row>
    <row r="26" spans="1:10" ht="15">
      <c r="A26" s="70" t="s">
        <v>1788</v>
      </c>
      <c r="B26" s="3" t="s">
        <v>1239</v>
      </c>
      <c r="D26" s="57" t="s">
        <v>1242</v>
      </c>
      <c r="F26" s="18">
        <f>INPUT!L83</f>
        <v>0</v>
      </c>
      <c r="H26" s="71">
        <f t="shared" si="0"/>
        <v>0</v>
      </c>
      <c r="J26" s="18">
        <f>+INPUT!O83</f>
        <v>0</v>
      </c>
    </row>
    <row r="27" spans="1:10" ht="15">
      <c r="A27" s="70" t="s">
        <v>1789</v>
      </c>
      <c r="B27" s="3" t="s">
        <v>1240</v>
      </c>
      <c r="D27" s="57" t="s">
        <v>1242</v>
      </c>
      <c r="F27" s="18">
        <f>INPUT!L84</f>
        <v>0</v>
      </c>
      <c r="H27" s="71">
        <f aca="true" t="shared" si="1" ref="H27:H36">IF(F27=0,0,J27/F27)</f>
        <v>0</v>
      </c>
      <c r="J27" s="18">
        <f>+INPUT!O84</f>
        <v>0</v>
      </c>
    </row>
    <row r="28" spans="1:10" ht="15">
      <c r="A28" s="70" t="s">
        <v>1790</v>
      </c>
      <c r="B28" s="3" t="s">
        <v>1241</v>
      </c>
      <c r="D28" s="57" t="s">
        <v>1242</v>
      </c>
      <c r="F28" s="18">
        <f>INPUT!L85</f>
        <v>0</v>
      </c>
      <c r="H28" s="71">
        <f t="shared" si="1"/>
        <v>0</v>
      </c>
      <c r="J28" s="18">
        <f>+INPUT!O85</f>
        <v>0</v>
      </c>
    </row>
    <row r="29" spans="1:10" ht="15">
      <c r="A29" s="70" t="s">
        <v>1791</v>
      </c>
      <c r="B29" s="3" t="s">
        <v>1243</v>
      </c>
      <c r="D29" s="57" t="s">
        <v>1242</v>
      </c>
      <c r="F29" s="26">
        <f>INPUT!L86</f>
        <v>0</v>
      </c>
      <c r="H29" s="72">
        <f t="shared" si="1"/>
        <v>0</v>
      </c>
      <c r="J29" s="26">
        <f>+INPUT!O86</f>
        <v>0</v>
      </c>
    </row>
    <row r="30" spans="1:10" ht="15">
      <c r="A30" s="70" t="s">
        <v>1792</v>
      </c>
      <c r="B30" s="3" t="s">
        <v>1348</v>
      </c>
      <c r="D30" s="57" t="s">
        <v>1242</v>
      </c>
      <c r="F30" s="18">
        <f>SUM(F26:F29)</f>
        <v>0</v>
      </c>
      <c r="H30" s="71">
        <f t="shared" si="1"/>
        <v>0</v>
      </c>
      <c r="J30" s="18">
        <f>SUM(J26:J29)</f>
        <v>0</v>
      </c>
    </row>
    <row r="31" spans="1:10" ht="15">
      <c r="A31" s="73"/>
      <c r="D31" s="57"/>
      <c r="F31" s="17"/>
      <c r="H31" s="75" t="s">
        <v>1236</v>
      </c>
      <c r="J31" s="17"/>
    </row>
    <row r="32" spans="1:10" ht="15">
      <c r="A32" s="70" t="s">
        <v>1793</v>
      </c>
      <c r="B32" s="3" t="s">
        <v>1239</v>
      </c>
      <c r="D32" s="57" t="s">
        <v>1243</v>
      </c>
      <c r="F32" s="18">
        <f>INPUT!L88</f>
        <v>0</v>
      </c>
      <c r="H32" s="75">
        <f t="shared" si="1"/>
        <v>0</v>
      </c>
      <c r="J32" s="18">
        <f>+INPUT!O88</f>
        <v>0</v>
      </c>
    </row>
    <row r="33" spans="1:10" ht="15">
      <c r="A33" s="70" t="s">
        <v>1794</v>
      </c>
      <c r="B33" s="3" t="s">
        <v>1240</v>
      </c>
      <c r="D33" s="57" t="s">
        <v>1243</v>
      </c>
      <c r="F33" s="18">
        <f>INPUT!L89</f>
        <v>86986</v>
      </c>
      <c r="H33" s="71">
        <f t="shared" si="1"/>
        <v>24.80999241257214</v>
      </c>
      <c r="J33" s="18">
        <f>+INPUT!O89</f>
        <v>2158122</v>
      </c>
    </row>
    <row r="34" spans="1:10" ht="15">
      <c r="A34" s="70" t="s">
        <v>1799</v>
      </c>
      <c r="B34" s="3" t="s">
        <v>1241</v>
      </c>
      <c r="D34" s="57" t="s">
        <v>1243</v>
      </c>
      <c r="F34" s="18">
        <f>INPUT!L90</f>
        <v>185625</v>
      </c>
      <c r="H34" s="71">
        <f t="shared" si="1"/>
        <v>18.540999326599326</v>
      </c>
      <c r="J34" s="18">
        <f>+INPUT!O90</f>
        <v>3441673</v>
      </c>
    </row>
    <row r="35" spans="1:10" ht="15">
      <c r="A35" s="70" t="s">
        <v>1800</v>
      </c>
      <c r="B35" s="3" t="s">
        <v>1242</v>
      </c>
      <c r="D35" s="57" t="s">
        <v>1243</v>
      </c>
      <c r="F35" s="26">
        <f>INPUT!L91</f>
        <v>615741</v>
      </c>
      <c r="H35" s="72">
        <f t="shared" si="1"/>
        <v>24.553999165233435</v>
      </c>
      <c r="J35" s="26">
        <f>+INPUT!O91</f>
        <v>15118904</v>
      </c>
    </row>
    <row r="36" spans="1:10" ht="15">
      <c r="A36" s="70" t="s">
        <v>1810</v>
      </c>
      <c r="B36" s="3" t="s">
        <v>1348</v>
      </c>
      <c r="D36" s="57" t="s">
        <v>1243</v>
      </c>
      <c r="F36" s="18">
        <f>SUM(F32:F35)</f>
        <v>888352</v>
      </c>
      <c r="H36" s="71">
        <f t="shared" si="1"/>
        <v>23.32262323943662</v>
      </c>
      <c r="J36" s="18">
        <f>SUM(J32:J35)</f>
        <v>20718699</v>
      </c>
    </row>
    <row r="37" spans="1:10" ht="15">
      <c r="A37" s="70"/>
      <c r="D37" s="57"/>
      <c r="F37" s="17"/>
      <c r="H37" s="75" t="s">
        <v>1236</v>
      </c>
      <c r="J37" s="17"/>
    </row>
    <row r="38" spans="1:10" ht="16.5">
      <c r="A38" s="70" t="s">
        <v>1811</v>
      </c>
      <c r="B38" s="28" t="s">
        <v>1812</v>
      </c>
      <c r="F38" s="17">
        <f>+F12+F18+F24+F30+F36</f>
        <v>1719719</v>
      </c>
      <c r="H38" s="71">
        <f>IF(F38=0,0,J38/F38)</f>
        <v>23.324594890211714</v>
      </c>
      <c r="J38" s="17">
        <f>+J12+J18+J24+J30+J36</f>
        <v>40111749</v>
      </c>
    </row>
    <row r="39" spans="1:8" ht="15">
      <c r="A39" s="73"/>
      <c r="F39" s="17"/>
      <c r="H39" s="76"/>
    </row>
    <row r="40" spans="1:10" ht="16.5">
      <c r="A40" s="73"/>
      <c r="B40" s="19" t="s">
        <v>1348</v>
      </c>
      <c r="F40" s="17"/>
      <c r="H40" s="77"/>
      <c r="I40" s="22" t="s">
        <v>1813</v>
      </c>
      <c r="J40" s="21"/>
    </row>
    <row r="41" spans="1:17" ht="16.5">
      <c r="A41" s="73"/>
      <c r="B41" s="19" t="s">
        <v>1259</v>
      </c>
      <c r="F41" s="17"/>
      <c r="H41" s="78" t="s">
        <v>1236</v>
      </c>
      <c r="J41" s="19" t="s">
        <v>1237</v>
      </c>
      <c r="M41" s="19" t="s">
        <v>1772</v>
      </c>
      <c r="N41" s="19" t="s">
        <v>143</v>
      </c>
      <c r="O41" s="19"/>
      <c r="P41" s="19" t="s">
        <v>1772</v>
      </c>
      <c r="Q41" s="19" t="s">
        <v>143</v>
      </c>
    </row>
    <row r="42" spans="1:17" ht="16.5">
      <c r="A42" s="73"/>
      <c r="B42" s="22" t="s">
        <v>1814</v>
      </c>
      <c r="D42" s="22" t="s">
        <v>1815</v>
      </c>
      <c r="F42" s="79" t="s">
        <v>1312</v>
      </c>
      <c r="H42" s="22" t="s">
        <v>1772</v>
      </c>
      <c r="J42" s="23" t="s">
        <v>1453</v>
      </c>
      <c r="M42" s="22" t="s">
        <v>144</v>
      </c>
      <c r="N42" s="22" t="s">
        <v>144</v>
      </c>
      <c r="O42" s="19"/>
      <c r="P42" s="22" t="s">
        <v>145</v>
      </c>
      <c r="Q42" s="22" t="s">
        <v>145</v>
      </c>
    </row>
    <row r="43" spans="1:14" ht="16.5">
      <c r="A43" s="73"/>
      <c r="F43" s="17"/>
      <c r="H43" s="76"/>
      <c r="N43" s="19"/>
    </row>
    <row r="44" spans="1:17" ht="15">
      <c r="A44" s="70" t="s">
        <v>1816</v>
      </c>
      <c r="B44" s="3" t="s">
        <v>1239</v>
      </c>
      <c r="D44" s="57" t="s">
        <v>1821</v>
      </c>
      <c r="F44" s="17">
        <f>+F14+F20+F26+F32</f>
        <v>0</v>
      </c>
      <c r="H44" s="75">
        <f aca="true" t="shared" si="2" ref="H44:H50">IF(F44=0,0,J44/F44)</f>
        <v>0</v>
      </c>
      <c r="J44" s="18">
        <f>+J14+J20+J26+J32</f>
        <v>0</v>
      </c>
      <c r="M44" s="108">
        <f>IF(F44=0,0,J44/F44)</f>
        <v>0</v>
      </c>
      <c r="N44" s="293">
        <f>F44*H44</f>
        <v>0</v>
      </c>
      <c r="P44" s="76">
        <f>H44-M44</f>
        <v>0</v>
      </c>
      <c r="Q44" s="496">
        <f>J44-N44</f>
        <v>0</v>
      </c>
    </row>
    <row r="45" spans="1:17" ht="15">
      <c r="A45" s="70" t="s">
        <v>1822</v>
      </c>
      <c r="B45" s="3" t="s">
        <v>1240</v>
      </c>
      <c r="D45" s="57" t="s">
        <v>1823</v>
      </c>
      <c r="F45" s="17">
        <f>+F8+F21+F27+F33</f>
        <v>166664</v>
      </c>
      <c r="H45" s="71">
        <f t="shared" si="2"/>
        <v>24.809994959919358</v>
      </c>
      <c r="J45" s="17">
        <f>+J8+J21+J27+J33</f>
        <v>4134933</v>
      </c>
      <c r="M45" s="108">
        <f>IF(F45=0,0,J45/F45)</f>
        <v>24.809994959919358</v>
      </c>
      <c r="N45" s="293">
        <f>F45*H45</f>
        <v>4134933</v>
      </c>
      <c r="P45" s="76">
        <f>H45-M45</f>
        <v>0</v>
      </c>
      <c r="Q45" s="496">
        <f>J45-N45</f>
        <v>0</v>
      </c>
    </row>
    <row r="46" spans="1:17" ht="15">
      <c r="A46" s="70" t="s">
        <v>1824</v>
      </c>
      <c r="B46" s="3" t="s">
        <v>1241</v>
      </c>
      <c r="D46" s="57" t="s">
        <v>1825</v>
      </c>
      <c r="F46" s="17">
        <f>+F9+F15+F28+F34</f>
        <v>358705</v>
      </c>
      <c r="H46" s="71">
        <f t="shared" si="2"/>
        <v>18.540998870938516</v>
      </c>
      <c r="J46" s="17">
        <f>+J9+J15+J28+J34</f>
        <v>6650749</v>
      </c>
      <c r="M46" s="108">
        <f>IF(F46=0,0,J46/F46)</f>
        <v>18.540998870938516</v>
      </c>
      <c r="N46" s="293">
        <f>F46*H46</f>
        <v>6650749</v>
      </c>
      <c r="P46" s="76">
        <f>H46-M46</f>
        <v>0</v>
      </c>
      <c r="Q46" s="496">
        <f>J46-N46</f>
        <v>0</v>
      </c>
    </row>
    <row r="47" spans="1:17" ht="15">
      <c r="A47" s="70" t="s">
        <v>1826</v>
      </c>
      <c r="B47" s="3" t="s">
        <v>1242</v>
      </c>
      <c r="D47" s="57" t="s">
        <v>1827</v>
      </c>
      <c r="F47" s="17">
        <f>+F10+F16+F22+F35</f>
        <v>1194350</v>
      </c>
      <c r="H47" s="71">
        <f t="shared" si="2"/>
        <v>24.553997571901036</v>
      </c>
      <c r="J47" s="17">
        <f>+J10+J16+J22+J35</f>
        <v>29326067</v>
      </c>
      <c r="M47" s="108">
        <f>IF(F47=0,0,J47/F47)</f>
        <v>24.553997571901036</v>
      </c>
      <c r="N47" s="293">
        <f>F47*H47</f>
        <v>29326067.000000004</v>
      </c>
      <c r="P47" s="76">
        <f>H47-M47</f>
        <v>0</v>
      </c>
      <c r="Q47" s="496">
        <f>J47-N47</f>
        <v>0</v>
      </c>
    </row>
    <row r="48" spans="1:17" ht="15">
      <c r="A48" s="70" t="s">
        <v>1828</v>
      </c>
      <c r="B48" s="3" t="s">
        <v>1243</v>
      </c>
      <c r="D48" s="57" t="s">
        <v>1829</v>
      </c>
      <c r="F48" s="27">
        <f>+F11+F17+F23+F29</f>
        <v>0</v>
      </c>
      <c r="H48" s="72">
        <f t="shared" si="2"/>
        <v>0</v>
      </c>
      <c r="J48" s="27">
        <f>+J11+J17+J23+J29</f>
        <v>0</v>
      </c>
      <c r="M48" s="108">
        <f>IF(F48=0,0,J48/F48)</f>
        <v>0</v>
      </c>
      <c r="N48" s="293">
        <f>F48*H48</f>
        <v>0</v>
      </c>
      <c r="P48" s="76">
        <f>H48-M48</f>
        <v>0</v>
      </c>
      <c r="Q48" s="496">
        <f>J48-N48</f>
        <v>0</v>
      </c>
    </row>
    <row r="49" spans="1:10" ht="15">
      <c r="A49" s="70"/>
      <c r="F49" s="17"/>
      <c r="H49" s="71" t="s">
        <v>1236</v>
      </c>
      <c r="J49" s="17"/>
    </row>
    <row r="50" spans="1:10" ht="16.5">
      <c r="A50" s="70" t="s">
        <v>1830</v>
      </c>
      <c r="B50" s="28" t="s">
        <v>1831</v>
      </c>
      <c r="F50" s="17">
        <f>SUM(F44:F49)</f>
        <v>1719719</v>
      </c>
      <c r="H50" s="71">
        <f t="shared" si="2"/>
        <v>23.324594890211714</v>
      </c>
      <c r="J50" s="17">
        <f>SUM(J44:J49)</f>
        <v>40111749</v>
      </c>
    </row>
  </sheetData>
  <printOptions/>
  <pageMargins left="0.25" right="0.25" top="0.25" bottom="0.25" header="0" footer="0"/>
  <pageSetup fitToHeight="1" fitToWidth="1"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Q55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14.28125" style="3" customWidth="1"/>
    <col min="3" max="3" width="9.140625" style="3" customWidth="1"/>
    <col min="4" max="4" width="14.140625" style="3" customWidth="1"/>
    <col min="5" max="5" width="9.140625" style="3" customWidth="1"/>
    <col min="6" max="6" width="9.7109375" style="3" customWidth="1"/>
    <col min="7" max="7" width="9.140625" style="3" customWidth="1"/>
    <col min="8" max="8" width="9.28125" style="3" customWidth="1"/>
    <col min="9" max="9" width="9.140625" style="3" customWidth="1"/>
    <col min="10" max="10" width="10.421875" style="3" customWidth="1"/>
    <col min="11" max="12" width="9.140625" style="3" customWidth="1"/>
    <col min="13" max="13" width="8.00390625" style="3" bestFit="1" customWidth="1"/>
    <col min="14" max="14" width="10.140625" style="3" bestFit="1" customWidth="1"/>
    <col min="15" max="15" width="1.7109375" style="3" customWidth="1"/>
    <col min="16" max="16" width="8.421875" style="3" bestFit="1" customWidth="1"/>
    <col min="17" max="17" width="10.140625" style="3" bestFit="1" customWidth="1"/>
    <col min="18" max="16384" width="9.140625" style="3" customWidth="1"/>
  </cols>
  <sheetData>
    <row r="1" spans="2:10" ht="16.5">
      <c r="B1" s="28" t="s">
        <v>1451</v>
      </c>
      <c r="C1" s="20" t="str">
        <f>INPUT!C1</f>
        <v>June 2009</v>
      </c>
      <c r="J1" s="19" t="s">
        <v>1834</v>
      </c>
    </row>
    <row r="3" ht="16.5">
      <c r="E3" s="19" t="s">
        <v>1835</v>
      </c>
    </row>
    <row r="4" spans="8:10" ht="16.5">
      <c r="H4" s="21"/>
      <c r="I4" s="22" t="s">
        <v>1769</v>
      </c>
      <c r="J4" s="21"/>
    </row>
    <row r="5" spans="2:10" ht="16.5">
      <c r="B5" s="19" t="s">
        <v>1770</v>
      </c>
      <c r="C5" s="19"/>
      <c r="D5" s="19" t="s">
        <v>1771</v>
      </c>
      <c r="E5" s="19"/>
      <c r="F5" s="19"/>
      <c r="G5" s="19"/>
      <c r="H5" s="19" t="s">
        <v>1236</v>
      </c>
      <c r="I5" s="19"/>
      <c r="J5" s="19" t="s">
        <v>1235</v>
      </c>
    </row>
    <row r="6" spans="2:10" ht="16.5">
      <c r="B6" s="22" t="s">
        <v>1457</v>
      </c>
      <c r="C6" s="19"/>
      <c r="D6" s="22" t="s">
        <v>1457</v>
      </c>
      <c r="E6" s="19"/>
      <c r="F6" s="22" t="s">
        <v>1312</v>
      </c>
      <c r="G6" s="19"/>
      <c r="H6" s="22" t="s">
        <v>1772</v>
      </c>
      <c r="I6" s="19"/>
      <c r="J6" s="23" t="s">
        <v>1453</v>
      </c>
    </row>
    <row r="8" spans="1:10" ht="15">
      <c r="A8" s="70" t="s">
        <v>1773</v>
      </c>
      <c r="B8" s="3" t="s">
        <v>1240</v>
      </c>
      <c r="D8" s="57" t="s">
        <v>1239</v>
      </c>
      <c r="F8" s="18">
        <f>INPUT!R68</f>
        <v>0</v>
      </c>
      <c r="H8" s="71">
        <f>IF(F8=0,0,J8/F8)</f>
        <v>0</v>
      </c>
      <c r="J8" s="18">
        <f>INPUT!S68</f>
        <v>0</v>
      </c>
    </row>
    <row r="9" spans="1:10" ht="15">
      <c r="A9" s="70" t="s">
        <v>1774</v>
      </c>
      <c r="B9" s="3" t="s">
        <v>1241</v>
      </c>
      <c r="D9" s="57" t="s">
        <v>1239</v>
      </c>
      <c r="F9" s="18">
        <f>INPUT!R69</f>
        <v>0</v>
      </c>
      <c r="H9" s="71">
        <f>IF(F9=0,0,J9/F9)</f>
        <v>0</v>
      </c>
      <c r="J9" s="18">
        <f>INPUT!S69</f>
        <v>0</v>
      </c>
    </row>
    <row r="10" spans="1:10" ht="15">
      <c r="A10" s="70" t="s">
        <v>1775</v>
      </c>
      <c r="B10" s="3" t="s">
        <v>1242</v>
      </c>
      <c r="D10" s="57" t="s">
        <v>1239</v>
      </c>
      <c r="F10" s="8">
        <f>INPUT!R70</f>
        <v>0</v>
      </c>
      <c r="H10" s="71">
        <f>IF(F10=0,0,J10/F10)</f>
        <v>0</v>
      </c>
      <c r="J10" s="18">
        <f>INPUT!S70</f>
        <v>0</v>
      </c>
    </row>
    <row r="11" spans="1:10" ht="15">
      <c r="A11" s="70" t="s">
        <v>1776</v>
      </c>
      <c r="B11" s="3" t="s">
        <v>1243</v>
      </c>
      <c r="D11" s="57" t="s">
        <v>1239</v>
      </c>
      <c r="F11" s="26">
        <f>INPUT!R71</f>
        <v>0</v>
      </c>
      <c r="H11" s="72">
        <f>IF(F11=0,0,J11/F11)</f>
        <v>0</v>
      </c>
      <c r="J11" s="26">
        <f>INPUT!S71</f>
        <v>0</v>
      </c>
    </row>
    <row r="12" spans="1:10" ht="15">
      <c r="A12" s="70" t="s">
        <v>1777</v>
      </c>
      <c r="B12" s="3" t="s">
        <v>1348</v>
      </c>
      <c r="D12" s="57" t="s">
        <v>1239</v>
      </c>
      <c r="F12" s="18">
        <f>SUM(F8:F11)</f>
        <v>0</v>
      </c>
      <c r="H12" s="71">
        <f>IF(F12=0,0,J12/F12)</f>
        <v>0</v>
      </c>
      <c r="J12" s="18">
        <f>SUM(J8:J11)</f>
        <v>0</v>
      </c>
    </row>
    <row r="13" spans="1:10" ht="15">
      <c r="A13" s="73"/>
      <c r="D13" s="57"/>
      <c r="F13" s="17"/>
      <c r="H13" s="81"/>
      <c r="J13" s="18"/>
    </row>
    <row r="14" spans="1:10" ht="15">
      <c r="A14" s="70" t="s">
        <v>1778</v>
      </c>
      <c r="B14" s="3" t="s">
        <v>1239</v>
      </c>
      <c r="D14" s="57" t="s">
        <v>1240</v>
      </c>
      <c r="F14" s="17">
        <v>0</v>
      </c>
      <c r="H14" s="71">
        <f>IF(F14=0,0,J14/F14)</f>
        <v>0</v>
      </c>
      <c r="J14" s="17">
        <v>0</v>
      </c>
    </row>
    <row r="15" spans="1:10" ht="15">
      <c r="A15" s="70" t="s">
        <v>1779</v>
      </c>
      <c r="B15" s="3" t="s">
        <v>1241</v>
      </c>
      <c r="D15" s="57" t="s">
        <v>1240</v>
      </c>
      <c r="F15" s="17">
        <v>0</v>
      </c>
      <c r="H15" s="71">
        <f>IF(F15=0,0,J15/F15)</f>
        <v>0</v>
      </c>
      <c r="J15" s="17">
        <v>0</v>
      </c>
    </row>
    <row r="16" spans="1:10" ht="15">
      <c r="A16" s="70" t="s">
        <v>1780</v>
      </c>
      <c r="B16" s="3" t="s">
        <v>1242</v>
      </c>
      <c r="D16" s="57" t="s">
        <v>1240</v>
      </c>
      <c r="F16" s="17">
        <v>0</v>
      </c>
      <c r="H16" s="71">
        <f>IF(F16=0,0,J16/F16)</f>
        <v>0</v>
      </c>
      <c r="J16" s="17">
        <v>0</v>
      </c>
    </row>
    <row r="17" spans="1:10" ht="15">
      <c r="A17" s="70" t="s">
        <v>1781</v>
      </c>
      <c r="B17" s="3" t="s">
        <v>1243</v>
      </c>
      <c r="D17" s="57" t="s">
        <v>1240</v>
      </c>
      <c r="F17" s="27">
        <v>0</v>
      </c>
      <c r="H17" s="72">
        <f>IF(F17=0,0,J17/F17)</f>
        <v>0</v>
      </c>
      <c r="J17" s="27">
        <v>0</v>
      </c>
    </row>
    <row r="18" spans="1:10" ht="15">
      <c r="A18" s="70" t="s">
        <v>1782</v>
      </c>
      <c r="B18" s="3" t="s">
        <v>1348</v>
      </c>
      <c r="D18" s="57" t="s">
        <v>1240</v>
      </c>
      <c r="F18" s="17">
        <f>SUM(F14:F17)</f>
        <v>0</v>
      </c>
      <c r="H18" s="71">
        <f>IF(F18=0,0,J18/F18)</f>
        <v>0</v>
      </c>
      <c r="J18" s="17">
        <f>SUM(J14:J17)</f>
        <v>0</v>
      </c>
    </row>
    <row r="19" spans="1:10" ht="15">
      <c r="A19" s="73"/>
      <c r="D19" s="57"/>
      <c r="F19" s="17"/>
      <c r="H19" s="81"/>
      <c r="J19" s="17"/>
    </row>
    <row r="20" spans="1:10" ht="15">
      <c r="A20" s="70" t="s">
        <v>1783</v>
      </c>
      <c r="B20" s="3" t="s">
        <v>1239</v>
      </c>
      <c r="D20" s="57" t="s">
        <v>1241</v>
      </c>
      <c r="F20" s="17">
        <v>0</v>
      </c>
      <c r="H20" s="71">
        <f>IF(F20=0,0,J20/F20)</f>
        <v>0</v>
      </c>
      <c r="J20" s="17">
        <v>0</v>
      </c>
    </row>
    <row r="21" spans="1:10" ht="15">
      <c r="A21" s="70" t="s">
        <v>1784</v>
      </c>
      <c r="B21" s="3" t="s">
        <v>1240</v>
      </c>
      <c r="D21" s="57" t="s">
        <v>1241</v>
      </c>
      <c r="F21" s="17">
        <v>0</v>
      </c>
      <c r="H21" s="71">
        <f>IF(F21=0,0,J21/F21)</f>
        <v>0</v>
      </c>
      <c r="J21" s="17">
        <v>0</v>
      </c>
    </row>
    <row r="22" spans="1:10" ht="15">
      <c r="A22" s="70" t="s">
        <v>1785</v>
      </c>
      <c r="B22" s="3" t="s">
        <v>1242</v>
      </c>
      <c r="D22" s="57" t="s">
        <v>1241</v>
      </c>
      <c r="F22" s="17">
        <v>0</v>
      </c>
      <c r="H22" s="71">
        <f>IF(F22=0,0,J22/F22)</f>
        <v>0</v>
      </c>
      <c r="J22" s="17">
        <v>0</v>
      </c>
    </row>
    <row r="23" spans="1:10" ht="15">
      <c r="A23" s="70" t="s">
        <v>1786</v>
      </c>
      <c r="B23" s="3" t="s">
        <v>1243</v>
      </c>
      <c r="D23" s="57" t="s">
        <v>1241</v>
      </c>
      <c r="F23" s="27">
        <v>0</v>
      </c>
      <c r="H23" s="72">
        <f>IF(F23=0,0,J23/F23)</f>
        <v>0</v>
      </c>
      <c r="J23" s="27">
        <v>0</v>
      </c>
    </row>
    <row r="24" spans="1:10" ht="15">
      <c r="A24" s="70" t="s">
        <v>1787</v>
      </c>
      <c r="B24" s="3" t="s">
        <v>1348</v>
      </c>
      <c r="D24" s="57" t="s">
        <v>1241</v>
      </c>
      <c r="F24" s="17">
        <f>SUM(F20:F23)</f>
        <v>0</v>
      </c>
      <c r="H24" s="71">
        <f>IF(F24=0,0,J24/F24)</f>
        <v>0</v>
      </c>
      <c r="J24" s="17">
        <f>SUM(J20:J23)</f>
        <v>0</v>
      </c>
    </row>
    <row r="25" spans="1:10" ht="15">
      <c r="A25" s="73"/>
      <c r="D25" s="57"/>
      <c r="F25" s="17"/>
      <c r="H25" s="81"/>
      <c r="J25" s="17"/>
    </row>
    <row r="26" spans="1:10" ht="15">
      <c r="A26" s="70" t="s">
        <v>1788</v>
      </c>
      <c r="B26" s="3" t="s">
        <v>1239</v>
      </c>
      <c r="D26" s="57" t="s">
        <v>1242</v>
      </c>
      <c r="F26" s="17">
        <v>0</v>
      </c>
      <c r="H26" s="71">
        <f>IF(F26=0,0,J26/F26)</f>
        <v>0</v>
      </c>
      <c r="J26" s="17">
        <v>0</v>
      </c>
    </row>
    <row r="27" spans="1:10" ht="15">
      <c r="A27" s="70" t="s">
        <v>1789</v>
      </c>
      <c r="B27" s="3" t="s">
        <v>1240</v>
      </c>
      <c r="D27" s="57" t="s">
        <v>1242</v>
      </c>
      <c r="F27" s="17">
        <v>0</v>
      </c>
      <c r="H27" s="71">
        <f>IF(F27=0,0,J27/F27)</f>
        <v>0</v>
      </c>
      <c r="J27" s="17">
        <v>0</v>
      </c>
    </row>
    <row r="28" spans="1:10" ht="15">
      <c r="A28" s="70" t="s">
        <v>1790</v>
      </c>
      <c r="B28" s="3" t="s">
        <v>1241</v>
      </c>
      <c r="D28" s="57" t="s">
        <v>1242</v>
      </c>
      <c r="F28" s="17">
        <v>0</v>
      </c>
      <c r="H28" s="71">
        <f>IF(F28=0,0,J28/F28)</f>
        <v>0</v>
      </c>
      <c r="J28" s="17">
        <v>0</v>
      </c>
    </row>
    <row r="29" spans="1:10" ht="15">
      <c r="A29" s="70" t="s">
        <v>1791</v>
      </c>
      <c r="B29" s="3" t="s">
        <v>1243</v>
      </c>
      <c r="D29" s="57" t="s">
        <v>1242</v>
      </c>
      <c r="F29" s="27">
        <v>0</v>
      </c>
      <c r="H29" s="72">
        <f>IF(F29=0,0,J29/F29)</f>
        <v>0</v>
      </c>
      <c r="J29" s="27">
        <v>0</v>
      </c>
    </row>
    <row r="30" spans="1:10" ht="15">
      <c r="A30" s="70" t="s">
        <v>1792</v>
      </c>
      <c r="B30" s="3" t="s">
        <v>1348</v>
      </c>
      <c r="D30" s="57" t="s">
        <v>1242</v>
      </c>
      <c r="F30" s="17">
        <f>SUM(F26:F29)</f>
        <v>0</v>
      </c>
      <c r="H30" s="71">
        <f>IF(F30=0,0,J30/F30)</f>
        <v>0</v>
      </c>
      <c r="J30" s="17">
        <f>SUM(J26:J29)</f>
        <v>0</v>
      </c>
    </row>
    <row r="31" spans="1:10" ht="15">
      <c r="A31" s="73"/>
      <c r="D31" s="57"/>
      <c r="F31" s="17"/>
      <c r="H31" s="81"/>
      <c r="J31" s="17"/>
    </row>
    <row r="32" spans="1:10" ht="15">
      <c r="A32" s="70" t="s">
        <v>1793</v>
      </c>
      <c r="B32" s="3" t="s">
        <v>1239</v>
      </c>
      <c r="D32" s="57" t="s">
        <v>1243</v>
      </c>
      <c r="F32" s="17">
        <v>0</v>
      </c>
      <c r="H32" s="71">
        <f>IF(F32=0,0,J32/F32)</f>
        <v>0</v>
      </c>
      <c r="J32" s="17">
        <v>0</v>
      </c>
    </row>
    <row r="33" spans="1:10" ht="15">
      <c r="A33" s="70" t="s">
        <v>1794</v>
      </c>
      <c r="B33" s="3" t="s">
        <v>1240</v>
      </c>
      <c r="D33" s="57" t="s">
        <v>1243</v>
      </c>
      <c r="F33" s="17">
        <v>0</v>
      </c>
      <c r="H33" s="71">
        <f>IF(F33=0,0,J33/F33)</f>
        <v>0</v>
      </c>
      <c r="J33" s="17">
        <v>0</v>
      </c>
    </row>
    <row r="34" spans="1:10" ht="15">
      <c r="A34" s="70" t="s">
        <v>1799</v>
      </c>
      <c r="B34" s="3" t="s">
        <v>1241</v>
      </c>
      <c r="D34" s="57" t="s">
        <v>1243</v>
      </c>
      <c r="F34" s="17">
        <v>0</v>
      </c>
      <c r="H34" s="71">
        <f>IF(F34=0,0,J34/F34)</f>
        <v>0</v>
      </c>
      <c r="J34" s="17">
        <v>0</v>
      </c>
    </row>
    <row r="35" spans="1:10" ht="15">
      <c r="A35" s="70" t="s">
        <v>1800</v>
      </c>
      <c r="B35" s="3" t="s">
        <v>1242</v>
      </c>
      <c r="D35" s="57" t="s">
        <v>1243</v>
      </c>
      <c r="F35" s="27">
        <v>0</v>
      </c>
      <c r="H35" s="72">
        <f>IF(F35=0,0,J35/F35)</f>
        <v>0</v>
      </c>
      <c r="J35" s="27">
        <v>0</v>
      </c>
    </row>
    <row r="36" spans="1:10" ht="15">
      <c r="A36" s="70" t="s">
        <v>1810</v>
      </c>
      <c r="B36" s="3" t="s">
        <v>1348</v>
      </c>
      <c r="D36" s="57" t="s">
        <v>1243</v>
      </c>
      <c r="F36" s="17">
        <f>SUM(F32:F35)</f>
        <v>0</v>
      </c>
      <c r="H36" s="71">
        <f>IF(F36=0,0,J36/F36)</f>
        <v>0</v>
      </c>
      <c r="J36" s="17">
        <f>SUM(J32:J35)</f>
        <v>0</v>
      </c>
    </row>
    <row r="37" spans="1:10" ht="15">
      <c r="A37" s="70"/>
      <c r="D37" s="57"/>
      <c r="F37" s="17"/>
      <c r="H37" s="81"/>
      <c r="J37" s="17"/>
    </row>
    <row r="38" spans="1:10" ht="16.5">
      <c r="A38" s="70" t="s">
        <v>1811</v>
      </c>
      <c r="B38" s="28" t="s">
        <v>1812</v>
      </c>
      <c r="F38" s="17">
        <f>+F12+F18+F24+F30+F36</f>
        <v>0</v>
      </c>
      <c r="H38" s="71">
        <f>IF(F38=0,0,J38/F38)</f>
        <v>0</v>
      </c>
      <c r="J38" s="17">
        <f>+J12+J18+J24+J30+J36</f>
        <v>0</v>
      </c>
    </row>
    <row r="39" spans="1:6" ht="15">
      <c r="A39" s="73"/>
      <c r="F39" s="17"/>
    </row>
    <row r="40" spans="1:10" ht="16.5">
      <c r="A40" s="73"/>
      <c r="B40" s="19" t="s">
        <v>1348</v>
      </c>
      <c r="F40" s="17"/>
      <c r="H40" s="21"/>
      <c r="I40" s="22" t="s">
        <v>1813</v>
      </c>
      <c r="J40" s="21"/>
    </row>
    <row r="41" spans="1:17" ht="16.5">
      <c r="A41" s="73"/>
      <c r="B41" s="19" t="s">
        <v>1259</v>
      </c>
      <c r="F41" s="17"/>
      <c r="H41" s="19" t="s">
        <v>1236</v>
      </c>
      <c r="J41" s="19" t="s">
        <v>1237</v>
      </c>
      <c r="M41" s="19" t="s">
        <v>1772</v>
      </c>
      <c r="N41" s="19" t="s">
        <v>143</v>
      </c>
      <c r="O41" s="19"/>
      <c r="P41" s="19" t="s">
        <v>1772</v>
      </c>
      <c r="Q41" s="19" t="s">
        <v>143</v>
      </c>
    </row>
    <row r="42" spans="1:17" ht="16.5">
      <c r="A42" s="73"/>
      <c r="B42" s="22" t="s">
        <v>1814</v>
      </c>
      <c r="D42" s="22" t="s">
        <v>1815</v>
      </c>
      <c r="F42" s="79" t="s">
        <v>1312</v>
      </c>
      <c r="H42" s="22" t="s">
        <v>1772</v>
      </c>
      <c r="J42" s="23" t="s">
        <v>1453</v>
      </c>
      <c r="M42" s="22" t="s">
        <v>144</v>
      </c>
      <c r="N42" s="22" t="s">
        <v>144</v>
      </c>
      <c r="O42" s="19"/>
      <c r="P42" s="22" t="s">
        <v>145</v>
      </c>
      <c r="Q42" s="22" t="s">
        <v>145</v>
      </c>
    </row>
    <row r="43" spans="1:14" ht="16.5">
      <c r="A43" s="73"/>
      <c r="F43" s="17"/>
      <c r="N43" s="19"/>
    </row>
    <row r="44" spans="1:17" ht="15">
      <c r="A44" s="70" t="s">
        <v>1816</v>
      </c>
      <c r="B44" s="3" t="s">
        <v>1239</v>
      </c>
      <c r="D44" s="57" t="s">
        <v>1821</v>
      </c>
      <c r="F44" s="17">
        <f>+F14+F20+F26+F32</f>
        <v>0</v>
      </c>
      <c r="H44" s="71">
        <f>IF(F44=0,0,J44/F44)</f>
        <v>0</v>
      </c>
      <c r="J44" s="17">
        <f>+J14+J20+J26+J32</f>
        <v>0</v>
      </c>
      <c r="M44" s="108">
        <f>IF(F44=0,0,J44/F44)</f>
        <v>0</v>
      </c>
      <c r="N44" s="293">
        <f>F44*H44</f>
        <v>0</v>
      </c>
      <c r="P44" s="76">
        <f>H44-M44</f>
        <v>0</v>
      </c>
      <c r="Q44" s="496">
        <f>J44-N44</f>
        <v>0</v>
      </c>
    </row>
    <row r="45" spans="1:17" ht="15">
      <c r="A45" s="70" t="s">
        <v>1822</v>
      </c>
      <c r="B45" s="3" t="s">
        <v>1240</v>
      </c>
      <c r="D45" s="57" t="s">
        <v>1823</v>
      </c>
      <c r="F45" s="17">
        <f>+F8+F21+F27+F33</f>
        <v>0</v>
      </c>
      <c r="H45" s="71">
        <f>IF(F45=0,0,J45/F45)</f>
        <v>0</v>
      </c>
      <c r="J45" s="17">
        <f>+J8+J21+J27+J33</f>
        <v>0</v>
      </c>
      <c r="M45" s="108">
        <f>IF(F45=0,0,J45/F45)</f>
        <v>0</v>
      </c>
      <c r="N45" s="293">
        <f>F45*H45</f>
        <v>0</v>
      </c>
      <c r="P45" s="76">
        <f>H45-M45</f>
        <v>0</v>
      </c>
      <c r="Q45" s="496">
        <f>J45-N45</f>
        <v>0</v>
      </c>
    </row>
    <row r="46" spans="1:17" ht="15">
      <c r="A46" s="70" t="s">
        <v>1824</v>
      </c>
      <c r="B46" s="3" t="s">
        <v>1241</v>
      </c>
      <c r="D46" s="57" t="s">
        <v>1825</v>
      </c>
      <c r="F46" s="17">
        <f>+F9+F15+F28+F34</f>
        <v>0</v>
      </c>
      <c r="H46" s="71">
        <f>IF(F46=0,0,J46/F46)</f>
        <v>0</v>
      </c>
      <c r="J46" s="17">
        <f>+J9+J15+J28+J34</f>
        <v>0</v>
      </c>
      <c r="M46" s="108">
        <f>IF(F46=0,0,J46/F46)</f>
        <v>0</v>
      </c>
      <c r="N46" s="293">
        <f>F46*H46</f>
        <v>0</v>
      </c>
      <c r="P46" s="76">
        <f>H46-M46</f>
        <v>0</v>
      </c>
      <c r="Q46" s="496">
        <f>J46-N46</f>
        <v>0</v>
      </c>
    </row>
    <row r="47" spans="1:17" ht="15">
      <c r="A47" s="70" t="s">
        <v>1826</v>
      </c>
      <c r="B47" s="3" t="s">
        <v>1242</v>
      </c>
      <c r="D47" s="57" t="s">
        <v>1827</v>
      </c>
      <c r="F47" s="17">
        <f>+F10+F16+F22+F35</f>
        <v>0</v>
      </c>
      <c r="H47" s="71">
        <f>IF(F47=0,0,J47/F47)</f>
        <v>0</v>
      </c>
      <c r="J47" s="17">
        <f>+J10+J16+J22+J35</f>
        <v>0</v>
      </c>
      <c r="M47" s="108">
        <f>IF(F47=0,0,J47/F47)</f>
        <v>0</v>
      </c>
      <c r="N47" s="293">
        <f>F47*H47</f>
        <v>0</v>
      </c>
      <c r="P47" s="76">
        <f>H47-M47</f>
        <v>0</v>
      </c>
      <c r="Q47" s="496">
        <f>J47-N47</f>
        <v>0</v>
      </c>
    </row>
    <row r="48" spans="1:17" ht="15">
      <c r="A48" s="70" t="s">
        <v>1828</v>
      </c>
      <c r="B48" s="3" t="s">
        <v>1243</v>
      </c>
      <c r="D48" s="57" t="s">
        <v>1829</v>
      </c>
      <c r="F48" s="27">
        <f>+F11+F17+F23+F29</f>
        <v>0</v>
      </c>
      <c r="H48" s="72">
        <f>IF(F48=0,0,J48/F48)</f>
        <v>0</v>
      </c>
      <c r="J48" s="27">
        <f>+J11+J17+J23+J29</f>
        <v>0</v>
      </c>
      <c r="M48" s="108">
        <f>IF(F48=0,0,J48/F48)</f>
        <v>0</v>
      </c>
      <c r="N48" s="293">
        <f>F48*H48</f>
        <v>0</v>
      </c>
      <c r="P48" s="76">
        <f>H48-M48</f>
        <v>0</v>
      </c>
      <c r="Q48" s="496">
        <f>J48-N48</f>
        <v>0</v>
      </c>
    </row>
    <row r="49" spans="1:10" ht="15">
      <c r="A49" s="70"/>
      <c r="F49" s="17"/>
      <c r="H49" s="71" t="s">
        <v>1236</v>
      </c>
      <c r="J49" s="17"/>
    </row>
    <row r="50" spans="1:10" ht="16.5">
      <c r="A50" s="70" t="s">
        <v>1830</v>
      </c>
      <c r="B50" s="28" t="s">
        <v>1831</v>
      </c>
      <c r="F50" s="17">
        <f>SUM(F44:F49)</f>
        <v>0</v>
      </c>
      <c r="H50" s="71">
        <f>IF(F50=0,0,J50/F50)</f>
        <v>0</v>
      </c>
      <c r="J50" s="17">
        <f>SUM(J44:J49)</f>
        <v>0</v>
      </c>
    </row>
    <row r="51" spans="1:10" ht="16.5">
      <c r="A51" s="70"/>
      <c r="B51" s="28"/>
      <c r="F51" s="17"/>
      <c r="J51" s="17"/>
    </row>
    <row r="52" ht="15">
      <c r="A52" s="73"/>
    </row>
    <row r="53" ht="15">
      <c r="A53" s="3" t="s">
        <v>126</v>
      </c>
    </row>
    <row r="54" ht="15">
      <c r="A54" s="24" t="s">
        <v>127</v>
      </c>
    </row>
    <row r="55" ht="15">
      <c r="A55" s="24" t="s">
        <v>113</v>
      </c>
    </row>
  </sheetData>
  <printOptions horizontalCentered="1"/>
  <pageMargins left="0.25" right="0.25" top="0.25" bottom="0.25" header="0" footer="0"/>
  <pageSetup fitToHeight="1" fitToWidth="1" horizontalDpi="600" verticalDpi="600" orientation="portrait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Q5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14.28125" style="3" customWidth="1"/>
    <col min="3" max="3" width="9.140625" style="3" customWidth="1"/>
    <col min="4" max="4" width="14.140625" style="3" customWidth="1"/>
    <col min="5" max="5" width="9.140625" style="3" customWidth="1"/>
    <col min="6" max="6" width="9.7109375" style="3" customWidth="1"/>
    <col min="7" max="7" width="9.140625" style="3" customWidth="1"/>
    <col min="8" max="8" width="9.28125" style="3" customWidth="1"/>
    <col min="9" max="9" width="9.140625" style="3" customWidth="1"/>
    <col min="10" max="10" width="10.421875" style="3" customWidth="1"/>
    <col min="11" max="12" width="9.140625" style="3" customWidth="1"/>
    <col min="13" max="13" width="8.00390625" style="3" bestFit="1" customWidth="1"/>
    <col min="14" max="14" width="10.140625" style="3" bestFit="1" customWidth="1"/>
    <col min="15" max="15" width="1.7109375" style="3" customWidth="1"/>
    <col min="16" max="16" width="8.421875" style="3" bestFit="1" customWidth="1"/>
    <col min="17" max="17" width="10.140625" style="3" bestFit="1" customWidth="1"/>
    <col min="18" max="16384" width="9.140625" style="3" customWidth="1"/>
  </cols>
  <sheetData>
    <row r="1" spans="2:10" ht="16.5">
      <c r="B1" s="28" t="s">
        <v>1832</v>
      </c>
      <c r="G1" s="28" t="s">
        <v>1451</v>
      </c>
      <c r="H1" s="20"/>
      <c r="I1" s="20" t="str">
        <f>INPUT!C1</f>
        <v>June 2009</v>
      </c>
      <c r="J1" s="19"/>
    </row>
    <row r="2" ht="16.5">
      <c r="B2" s="28" t="s">
        <v>1950</v>
      </c>
    </row>
    <row r="3" ht="16.5">
      <c r="E3" s="19"/>
    </row>
    <row r="4" spans="8:10" ht="16.5">
      <c r="H4" s="21"/>
      <c r="I4" s="22" t="s">
        <v>1769</v>
      </c>
      <c r="J4" s="21"/>
    </row>
    <row r="5" spans="2:10" ht="16.5">
      <c r="B5" s="19" t="s">
        <v>1770</v>
      </c>
      <c r="C5" s="19"/>
      <c r="D5" s="19" t="s">
        <v>1771</v>
      </c>
      <c r="E5" s="19"/>
      <c r="F5" s="19"/>
      <c r="G5" s="19"/>
      <c r="H5" s="19" t="s">
        <v>1236</v>
      </c>
      <c r="I5" s="19"/>
      <c r="J5" s="19" t="s">
        <v>1235</v>
      </c>
    </row>
    <row r="6" spans="2:10" ht="16.5">
      <c r="B6" s="22" t="s">
        <v>1457</v>
      </c>
      <c r="C6" s="19"/>
      <c r="D6" s="22" t="s">
        <v>1457</v>
      </c>
      <c r="E6" s="19"/>
      <c r="F6" s="22" t="s">
        <v>1312</v>
      </c>
      <c r="G6" s="19"/>
      <c r="H6" s="22" t="s">
        <v>1772</v>
      </c>
      <c r="I6" s="19"/>
      <c r="J6" s="23" t="s">
        <v>1453</v>
      </c>
    </row>
    <row r="8" spans="1:10" ht="15">
      <c r="A8" s="70" t="s">
        <v>1773</v>
      </c>
      <c r="B8" s="3" t="s">
        <v>1240</v>
      </c>
      <c r="D8" s="57" t="s">
        <v>1239</v>
      </c>
      <c r="F8" s="18">
        <f>INPUT!R68</f>
        <v>0</v>
      </c>
      <c r="H8" s="71">
        <f>IF(F8=0,0,J8/F8)</f>
        <v>0</v>
      </c>
      <c r="J8" s="18">
        <f>+INPUT!U68</f>
        <v>0</v>
      </c>
    </row>
    <row r="9" spans="1:10" ht="15">
      <c r="A9" s="70" t="s">
        <v>1774</v>
      </c>
      <c r="B9" s="3" t="s">
        <v>1241</v>
      </c>
      <c r="D9" s="57" t="s">
        <v>1239</v>
      </c>
      <c r="F9" s="18">
        <f>INPUT!R69</f>
        <v>0</v>
      </c>
      <c r="H9" s="71">
        <f>IF(F9=0,0,J9/F9)</f>
        <v>0</v>
      </c>
      <c r="J9" s="18">
        <f>+INPUT!U69</f>
        <v>0</v>
      </c>
    </row>
    <row r="10" spans="1:10" ht="15">
      <c r="A10" s="70" t="s">
        <v>1775</v>
      </c>
      <c r="B10" s="3" t="s">
        <v>1242</v>
      </c>
      <c r="D10" s="57" t="s">
        <v>1239</v>
      </c>
      <c r="F10" s="8">
        <f>INPUT!R70</f>
        <v>0</v>
      </c>
      <c r="H10" s="71">
        <f>IF(F10=0,0,J10/F10)</f>
        <v>0</v>
      </c>
      <c r="J10" s="18">
        <f>+INPUT!U70</f>
        <v>0</v>
      </c>
    </row>
    <row r="11" spans="1:10" ht="15">
      <c r="A11" s="70" t="s">
        <v>1776</v>
      </c>
      <c r="B11" s="3" t="s">
        <v>1243</v>
      </c>
      <c r="D11" s="57" t="s">
        <v>1239</v>
      </c>
      <c r="F11" s="26">
        <f>INPUT!R71</f>
        <v>0</v>
      </c>
      <c r="H11" s="72">
        <f>IF(F11=0,0,J11/F11)</f>
        <v>0</v>
      </c>
      <c r="J11" s="26">
        <f>+INPUT!U71</f>
        <v>0</v>
      </c>
    </row>
    <row r="12" spans="1:10" ht="15">
      <c r="A12" s="70" t="s">
        <v>1777</v>
      </c>
      <c r="B12" s="3" t="s">
        <v>1348</v>
      </c>
      <c r="D12" s="57" t="s">
        <v>1239</v>
      </c>
      <c r="F12" s="18">
        <f>SUM(F8:F11)</f>
        <v>0</v>
      </c>
      <c r="H12" s="71">
        <f>IF(F12=0,0,J12/F12)</f>
        <v>0</v>
      </c>
      <c r="J12" s="18">
        <f>SUM(J8:J11)</f>
        <v>0</v>
      </c>
    </row>
    <row r="13" spans="1:10" ht="15">
      <c r="A13" s="73"/>
      <c r="D13" s="57"/>
      <c r="F13" s="17"/>
      <c r="H13" s="81"/>
      <c r="J13" s="18"/>
    </row>
    <row r="14" spans="1:10" ht="15">
      <c r="A14" s="70" t="s">
        <v>1778</v>
      </c>
      <c r="B14" s="3" t="s">
        <v>1239</v>
      </c>
      <c r="D14" s="57" t="s">
        <v>1240</v>
      </c>
      <c r="F14" s="17">
        <v>0</v>
      </c>
      <c r="H14" s="71">
        <f>IF(F14=0,0,J14/F14)</f>
        <v>0</v>
      </c>
      <c r="J14" s="17">
        <v>0</v>
      </c>
    </row>
    <row r="15" spans="1:10" ht="15">
      <c r="A15" s="70" t="s">
        <v>1779</v>
      </c>
      <c r="B15" s="3" t="s">
        <v>1241</v>
      </c>
      <c r="D15" s="57" t="s">
        <v>1240</v>
      </c>
      <c r="F15" s="17">
        <v>0</v>
      </c>
      <c r="H15" s="71">
        <f>IF(F15=0,0,J15/F15)</f>
        <v>0</v>
      </c>
      <c r="J15" s="17">
        <v>0</v>
      </c>
    </row>
    <row r="16" spans="1:10" ht="15">
      <c r="A16" s="70" t="s">
        <v>1780</v>
      </c>
      <c r="B16" s="3" t="s">
        <v>1242</v>
      </c>
      <c r="D16" s="57" t="s">
        <v>1240</v>
      </c>
      <c r="F16" s="17">
        <v>0</v>
      </c>
      <c r="H16" s="71">
        <f>IF(F16=0,0,J16/F16)</f>
        <v>0</v>
      </c>
      <c r="J16" s="17">
        <v>0</v>
      </c>
    </row>
    <row r="17" spans="1:10" ht="15">
      <c r="A17" s="70" t="s">
        <v>1781</v>
      </c>
      <c r="B17" s="3" t="s">
        <v>1243</v>
      </c>
      <c r="D17" s="57" t="s">
        <v>1240</v>
      </c>
      <c r="F17" s="27">
        <v>0</v>
      </c>
      <c r="H17" s="72">
        <f>IF(F17=0,0,J17/F17)</f>
        <v>0</v>
      </c>
      <c r="J17" s="27">
        <v>0</v>
      </c>
    </row>
    <row r="18" spans="1:10" ht="15">
      <c r="A18" s="70" t="s">
        <v>1782</v>
      </c>
      <c r="B18" s="3" t="s">
        <v>1348</v>
      </c>
      <c r="D18" s="57" t="s">
        <v>1240</v>
      </c>
      <c r="F18" s="17">
        <f>SUM(F14:F17)</f>
        <v>0</v>
      </c>
      <c r="H18" s="71">
        <f>IF(F18=0,0,J18/F18)</f>
        <v>0</v>
      </c>
      <c r="J18" s="17">
        <f>SUM(J14:J17)</f>
        <v>0</v>
      </c>
    </row>
    <row r="19" spans="1:10" ht="15">
      <c r="A19" s="73"/>
      <c r="D19" s="57"/>
      <c r="F19" s="17"/>
      <c r="H19" s="81"/>
      <c r="J19" s="17"/>
    </row>
    <row r="20" spans="1:10" ht="15">
      <c r="A20" s="70" t="s">
        <v>1783</v>
      </c>
      <c r="B20" s="3" t="s">
        <v>1239</v>
      </c>
      <c r="D20" s="57" t="s">
        <v>1241</v>
      </c>
      <c r="F20" s="17">
        <v>0</v>
      </c>
      <c r="H20" s="71">
        <f>IF(F20=0,0,J20/F20)</f>
        <v>0</v>
      </c>
      <c r="J20" s="17">
        <v>0</v>
      </c>
    </row>
    <row r="21" spans="1:10" ht="15">
      <c r="A21" s="70" t="s">
        <v>1784</v>
      </c>
      <c r="B21" s="3" t="s">
        <v>1240</v>
      </c>
      <c r="D21" s="57" t="s">
        <v>1241</v>
      </c>
      <c r="F21" s="17">
        <v>0</v>
      </c>
      <c r="H21" s="71">
        <f>IF(F21=0,0,J21/F21)</f>
        <v>0</v>
      </c>
      <c r="J21" s="17">
        <v>0</v>
      </c>
    </row>
    <row r="22" spans="1:10" ht="15">
      <c r="A22" s="70" t="s">
        <v>1785</v>
      </c>
      <c r="B22" s="3" t="s">
        <v>1242</v>
      </c>
      <c r="D22" s="57" t="s">
        <v>1241</v>
      </c>
      <c r="F22" s="17">
        <v>0</v>
      </c>
      <c r="H22" s="71">
        <f>IF(F22=0,0,J22/F22)</f>
        <v>0</v>
      </c>
      <c r="J22" s="17">
        <v>0</v>
      </c>
    </row>
    <row r="23" spans="1:10" ht="15">
      <c r="A23" s="70" t="s">
        <v>1786</v>
      </c>
      <c r="B23" s="3" t="s">
        <v>1243</v>
      </c>
      <c r="D23" s="57" t="s">
        <v>1241</v>
      </c>
      <c r="F23" s="27">
        <v>0</v>
      </c>
      <c r="H23" s="72">
        <f>IF(F23=0,0,J23/F23)</f>
        <v>0</v>
      </c>
      <c r="J23" s="27">
        <v>0</v>
      </c>
    </row>
    <row r="24" spans="1:10" ht="15">
      <c r="A24" s="70" t="s">
        <v>1787</v>
      </c>
      <c r="B24" s="3" t="s">
        <v>1348</v>
      </c>
      <c r="D24" s="57" t="s">
        <v>1241</v>
      </c>
      <c r="F24" s="17">
        <f>SUM(F20:F23)</f>
        <v>0</v>
      </c>
      <c r="H24" s="71">
        <f>IF(F24=0,0,J24/F24)</f>
        <v>0</v>
      </c>
      <c r="J24" s="17">
        <f>SUM(J20:J23)</f>
        <v>0</v>
      </c>
    </row>
    <row r="25" spans="1:10" ht="15">
      <c r="A25" s="73"/>
      <c r="D25" s="57"/>
      <c r="F25" s="17"/>
      <c r="H25" s="81"/>
      <c r="J25" s="17"/>
    </row>
    <row r="26" spans="1:10" ht="15">
      <c r="A26" s="70" t="s">
        <v>1788</v>
      </c>
      <c r="B26" s="3" t="s">
        <v>1239</v>
      </c>
      <c r="D26" s="57" t="s">
        <v>1242</v>
      </c>
      <c r="F26" s="17">
        <v>0</v>
      </c>
      <c r="H26" s="71">
        <f>IF(F26=0,0,J26/F26)</f>
        <v>0</v>
      </c>
      <c r="J26" s="17">
        <v>0</v>
      </c>
    </row>
    <row r="27" spans="1:10" ht="15">
      <c r="A27" s="70" t="s">
        <v>1789</v>
      </c>
      <c r="B27" s="3" t="s">
        <v>1240</v>
      </c>
      <c r="D27" s="57" t="s">
        <v>1242</v>
      </c>
      <c r="F27" s="17">
        <v>0</v>
      </c>
      <c r="H27" s="71">
        <f>IF(F27=0,0,J27/F27)</f>
        <v>0</v>
      </c>
      <c r="J27" s="17">
        <v>0</v>
      </c>
    </row>
    <row r="28" spans="1:10" ht="15">
      <c r="A28" s="70" t="s">
        <v>1790</v>
      </c>
      <c r="B28" s="3" t="s">
        <v>1241</v>
      </c>
      <c r="D28" s="57" t="s">
        <v>1242</v>
      </c>
      <c r="F28" s="17">
        <v>0</v>
      </c>
      <c r="H28" s="71">
        <f>IF(F28=0,0,J28/F28)</f>
        <v>0</v>
      </c>
      <c r="J28" s="17">
        <v>0</v>
      </c>
    </row>
    <row r="29" spans="1:10" ht="15">
      <c r="A29" s="70" t="s">
        <v>1791</v>
      </c>
      <c r="B29" s="3" t="s">
        <v>1243</v>
      </c>
      <c r="D29" s="57" t="s">
        <v>1242</v>
      </c>
      <c r="F29" s="27">
        <v>0</v>
      </c>
      <c r="H29" s="72">
        <f>IF(F29=0,0,J29/F29)</f>
        <v>0</v>
      </c>
      <c r="J29" s="27">
        <v>0</v>
      </c>
    </row>
    <row r="30" spans="1:10" ht="15">
      <c r="A30" s="70" t="s">
        <v>1792</v>
      </c>
      <c r="B30" s="3" t="s">
        <v>1348</v>
      </c>
      <c r="D30" s="57" t="s">
        <v>1242</v>
      </c>
      <c r="F30" s="17">
        <f>SUM(F26:F29)</f>
        <v>0</v>
      </c>
      <c r="H30" s="71">
        <f>IF(F30=0,0,J30/F30)</f>
        <v>0</v>
      </c>
      <c r="J30" s="17">
        <f>SUM(J26:J29)</f>
        <v>0</v>
      </c>
    </row>
    <row r="31" spans="1:10" ht="15">
      <c r="A31" s="73"/>
      <c r="D31" s="57"/>
      <c r="F31" s="17"/>
      <c r="H31" s="81"/>
      <c r="J31" s="17"/>
    </row>
    <row r="32" spans="1:10" ht="15">
      <c r="A32" s="70" t="s">
        <v>1793</v>
      </c>
      <c r="B32" s="3" t="s">
        <v>1239</v>
      </c>
      <c r="D32" s="57" t="s">
        <v>1243</v>
      </c>
      <c r="F32" s="17">
        <v>0</v>
      </c>
      <c r="H32" s="71">
        <f>IF(F32=0,0,J32/F32)</f>
        <v>0</v>
      </c>
      <c r="J32" s="17">
        <v>0</v>
      </c>
    </row>
    <row r="33" spans="1:10" ht="15">
      <c r="A33" s="70" t="s">
        <v>1794</v>
      </c>
      <c r="B33" s="3" t="s">
        <v>1240</v>
      </c>
      <c r="D33" s="57" t="s">
        <v>1243</v>
      </c>
      <c r="F33" s="17">
        <v>0</v>
      </c>
      <c r="H33" s="71">
        <f>IF(F33=0,0,J33/F33)</f>
        <v>0</v>
      </c>
      <c r="J33" s="17">
        <v>0</v>
      </c>
    </row>
    <row r="34" spans="1:10" ht="15">
      <c r="A34" s="70" t="s">
        <v>1799</v>
      </c>
      <c r="B34" s="3" t="s">
        <v>1241</v>
      </c>
      <c r="D34" s="57" t="s">
        <v>1243</v>
      </c>
      <c r="F34" s="17">
        <v>0</v>
      </c>
      <c r="H34" s="71">
        <f>IF(F34=0,0,J34/F34)</f>
        <v>0</v>
      </c>
      <c r="J34" s="17">
        <v>0</v>
      </c>
    </row>
    <row r="35" spans="1:10" ht="15">
      <c r="A35" s="70" t="s">
        <v>1800</v>
      </c>
      <c r="B35" s="3" t="s">
        <v>1242</v>
      </c>
      <c r="D35" s="57" t="s">
        <v>1243</v>
      </c>
      <c r="F35" s="27">
        <v>0</v>
      </c>
      <c r="H35" s="72">
        <f>IF(F35=0,0,J35/F35)</f>
        <v>0</v>
      </c>
      <c r="J35" s="27">
        <v>0</v>
      </c>
    </row>
    <row r="36" spans="1:10" ht="15">
      <c r="A36" s="70" t="s">
        <v>1810</v>
      </c>
      <c r="B36" s="3" t="s">
        <v>1348</v>
      </c>
      <c r="D36" s="57" t="s">
        <v>1243</v>
      </c>
      <c r="F36" s="17">
        <f>SUM(F32:F35)</f>
        <v>0</v>
      </c>
      <c r="H36" s="71">
        <f>IF(F36=0,0,J36/F36)</f>
        <v>0</v>
      </c>
      <c r="J36" s="17">
        <f>SUM(J32:J35)</f>
        <v>0</v>
      </c>
    </row>
    <row r="37" spans="1:10" ht="15">
      <c r="A37" s="70"/>
      <c r="D37" s="57"/>
      <c r="F37" s="17"/>
      <c r="H37" s="81"/>
      <c r="J37" s="17"/>
    </row>
    <row r="38" spans="1:10" ht="16.5">
      <c r="A38" s="70" t="s">
        <v>1811</v>
      </c>
      <c r="B38" s="28" t="s">
        <v>1812</v>
      </c>
      <c r="F38" s="17">
        <f>+F12+F18+F24+F30+F36</f>
        <v>0</v>
      </c>
      <c r="H38" s="71">
        <f>IF(F38=0,0,J38/F38)</f>
        <v>0</v>
      </c>
      <c r="J38" s="17">
        <f>+J12+J18+J24+J30+J36</f>
        <v>0</v>
      </c>
    </row>
    <row r="39" spans="1:6" ht="15">
      <c r="A39" s="73"/>
      <c r="F39" s="17"/>
    </row>
    <row r="40" spans="1:10" ht="16.5">
      <c r="A40" s="73"/>
      <c r="B40" s="19" t="s">
        <v>1348</v>
      </c>
      <c r="F40" s="17"/>
      <c r="H40" s="21"/>
      <c r="I40" s="22" t="s">
        <v>1813</v>
      </c>
      <c r="J40" s="21"/>
    </row>
    <row r="41" spans="1:17" ht="16.5">
      <c r="A41" s="73"/>
      <c r="B41" s="19" t="s">
        <v>1259</v>
      </c>
      <c r="F41" s="17"/>
      <c r="H41" s="19" t="s">
        <v>1236</v>
      </c>
      <c r="J41" s="19" t="s">
        <v>1237</v>
      </c>
      <c r="M41" s="19" t="s">
        <v>1772</v>
      </c>
      <c r="N41" s="19" t="s">
        <v>143</v>
      </c>
      <c r="O41" s="19"/>
      <c r="P41" s="19" t="s">
        <v>1772</v>
      </c>
      <c r="Q41" s="19" t="s">
        <v>143</v>
      </c>
    </row>
    <row r="42" spans="1:17" ht="16.5">
      <c r="A42" s="73"/>
      <c r="B42" s="22" t="s">
        <v>1814</v>
      </c>
      <c r="D42" s="22" t="s">
        <v>1815</v>
      </c>
      <c r="F42" s="79" t="s">
        <v>1312</v>
      </c>
      <c r="H42" s="22" t="s">
        <v>1772</v>
      </c>
      <c r="J42" s="23" t="s">
        <v>1453</v>
      </c>
      <c r="M42" s="22" t="s">
        <v>144</v>
      </c>
      <c r="N42" s="22" t="s">
        <v>144</v>
      </c>
      <c r="O42" s="19"/>
      <c r="P42" s="22" t="s">
        <v>145</v>
      </c>
      <c r="Q42" s="22" t="s">
        <v>145</v>
      </c>
    </row>
    <row r="43" spans="1:14" ht="16.5">
      <c r="A43" s="73"/>
      <c r="F43" s="17"/>
      <c r="N43" s="19"/>
    </row>
    <row r="44" spans="1:17" ht="15">
      <c r="A44" s="70" t="s">
        <v>1816</v>
      </c>
      <c r="B44" s="3" t="s">
        <v>1239</v>
      </c>
      <c r="D44" s="57" t="s">
        <v>1821</v>
      </c>
      <c r="F44" s="17">
        <f>+F14+F20+F26+F32</f>
        <v>0</v>
      </c>
      <c r="H44" s="71">
        <f aca="true" t="shared" si="0" ref="H44:H50">IF(F44=0,0,J44/F44)</f>
        <v>0</v>
      </c>
      <c r="J44" s="17">
        <f>+J14+J20+J26+J32</f>
        <v>0</v>
      </c>
      <c r="M44" s="108">
        <f>IF(F44=0,0,J44/F44)</f>
        <v>0</v>
      </c>
      <c r="N44" s="293">
        <f>F44*H44</f>
        <v>0</v>
      </c>
      <c r="P44" s="76">
        <f>H44-M44</f>
        <v>0</v>
      </c>
      <c r="Q44" s="496">
        <f>J44-N44</f>
        <v>0</v>
      </c>
    </row>
    <row r="45" spans="1:17" ht="15">
      <c r="A45" s="70" t="s">
        <v>1822</v>
      </c>
      <c r="B45" s="3" t="s">
        <v>1240</v>
      </c>
      <c r="D45" s="57" t="s">
        <v>1823</v>
      </c>
      <c r="F45" s="17">
        <f>+F8+F21+F27+F33</f>
        <v>0</v>
      </c>
      <c r="H45" s="71">
        <f t="shared" si="0"/>
        <v>0</v>
      </c>
      <c r="J45" s="17">
        <f>+J8+J21+J27+J33</f>
        <v>0</v>
      </c>
      <c r="M45" s="108">
        <f>IF(F45=0,0,J45/F45)</f>
        <v>0</v>
      </c>
      <c r="N45" s="293">
        <f>F45*H45</f>
        <v>0</v>
      </c>
      <c r="P45" s="76">
        <f>H45-M45</f>
        <v>0</v>
      </c>
      <c r="Q45" s="496">
        <f>J45-N45</f>
        <v>0</v>
      </c>
    </row>
    <row r="46" spans="1:17" ht="15">
      <c r="A46" s="70" t="s">
        <v>1824</v>
      </c>
      <c r="B46" s="3" t="s">
        <v>1241</v>
      </c>
      <c r="D46" s="57" t="s">
        <v>1825</v>
      </c>
      <c r="F46" s="17">
        <f>+F9+F15+F28+F34</f>
        <v>0</v>
      </c>
      <c r="H46" s="71">
        <f t="shared" si="0"/>
        <v>0</v>
      </c>
      <c r="J46" s="17">
        <f>+J9+J15+J28+J34</f>
        <v>0</v>
      </c>
      <c r="M46" s="108">
        <f>IF(F46=0,0,J46/F46)</f>
        <v>0</v>
      </c>
      <c r="N46" s="293">
        <f>F46*H46</f>
        <v>0</v>
      </c>
      <c r="P46" s="76">
        <f>H46-M46</f>
        <v>0</v>
      </c>
      <c r="Q46" s="496">
        <f>J46-N46</f>
        <v>0</v>
      </c>
    </row>
    <row r="47" spans="1:17" ht="15">
      <c r="A47" s="70" t="s">
        <v>1826</v>
      </c>
      <c r="B47" s="3" t="s">
        <v>1242</v>
      </c>
      <c r="D47" s="57" t="s">
        <v>1827</v>
      </c>
      <c r="F47" s="17">
        <f>+F10+F16+F22+F35</f>
        <v>0</v>
      </c>
      <c r="H47" s="71">
        <f t="shared" si="0"/>
        <v>0</v>
      </c>
      <c r="J47" s="17">
        <f>+J10+J16+J22+J35</f>
        <v>0</v>
      </c>
      <c r="M47" s="108">
        <f>IF(F47=0,0,J47/F47)</f>
        <v>0</v>
      </c>
      <c r="N47" s="293">
        <f>F47*H47</f>
        <v>0</v>
      </c>
      <c r="P47" s="76">
        <f>H47-M47</f>
        <v>0</v>
      </c>
      <c r="Q47" s="496">
        <f>J47-N47</f>
        <v>0</v>
      </c>
    </row>
    <row r="48" spans="1:17" ht="15">
      <c r="A48" s="70" t="s">
        <v>1828</v>
      </c>
      <c r="B48" s="3" t="s">
        <v>1243</v>
      </c>
      <c r="D48" s="57" t="s">
        <v>1829</v>
      </c>
      <c r="F48" s="27">
        <f>+F11+F17+F23+F29</f>
        <v>0</v>
      </c>
      <c r="H48" s="72">
        <f t="shared" si="0"/>
        <v>0</v>
      </c>
      <c r="J48" s="27">
        <f>+J11+J17+J23+J29</f>
        <v>0</v>
      </c>
      <c r="M48" s="108">
        <f>IF(F48=0,0,J48/F48)</f>
        <v>0</v>
      </c>
      <c r="N48" s="293">
        <f>F48*H48</f>
        <v>0</v>
      </c>
      <c r="P48" s="76">
        <f>H48-M48</f>
        <v>0</v>
      </c>
      <c r="Q48" s="496">
        <f>J48-N48</f>
        <v>0</v>
      </c>
    </row>
    <row r="49" spans="1:10" ht="15">
      <c r="A49" s="70"/>
      <c r="F49" s="17"/>
      <c r="H49" s="71" t="s">
        <v>1236</v>
      </c>
      <c r="J49" s="17"/>
    </row>
    <row r="50" spans="1:10" ht="16.5">
      <c r="A50" s="70" t="s">
        <v>1830</v>
      </c>
      <c r="B50" s="28" t="s">
        <v>1831</v>
      </c>
      <c r="F50" s="17">
        <f>SUM(F44:F49)</f>
        <v>0</v>
      </c>
      <c r="H50" s="71">
        <f t="shared" si="0"/>
        <v>0</v>
      </c>
      <c r="J50" s="17">
        <f>SUM(J44:J49)</f>
        <v>0</v>
      </c>
    </row>
  </sheetData>
  <printOptions/>
  <pageMargins left="0.25" right="0.25" top="0.25" bottom="0.25" header="0" footer="0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3"/>
  <dimension ref="A1:F29"/>
  <sheetViews>
    <sheetView workbookViewId="0" topLeftCell="A1">
      <selection activeCell="A1" sqref="A1:F1"/>
    </sheetView>
  </sheetViews>
  <sheetFormatPr defaultColWidth="9.140625" defaultRowHeight="12.75"/>
  <cols>
    <col min="1" max="1" width="2.57421875" style="874" customWidth="1"/>
    <col min="2" max="2" width="31.140625" style="874" customWidth="1"/>
    <col min="3" max="3" width="19.57421875" style="874" customWidth="1"/>
    <col min="4" max="4" width="10.421875" style="874" customWidth="1"/>
    <col min="5" max="5" width="7.8515625" style="874" customWidth="1"/>
    <col min="6" max="6" width="10.8515625" style="874" customWidth="1"/>
    <col min="7" max="16384" width="9.00390625" style="874" customWidth="1"/>
  </cols>
  <sheetData>
    <row r="1" spans="1:6" ht="12.75">
      <c r="A1" s="990" t="s">
        <v>950</v>
      </c>
      <c r="B1" s="990"/>
      <c r="C1" s="990"/>
      <c r="D1" s="990"/>
      <c r="E1" s="990"/>
      <c r="F1" s="990"/>
    </row>
    <row r="2" spans="1:6" ht="12">
      <c r="A2" s="875"/>
      <c r="B2" s="876"/>
      <c r="C2" s="877"/>
      <c r="D2" s="878"/>
      <c r="E2" s="879"/>
      <c r="F2" s="880"/>
    </row>
    <row r="3" spans="1:6" ht="12">
      <c r="A3" s="881"/>
      <c r="B3" s="882"/>
      <c r="C3" s="883"/>
      <c r="D3" s="989" t="s">
        <v>952</v>
      </c>
      <c r="E3" s="989"/>
      <c r="F3" s="989"/>
    </row>
    <row r="4" spans="1:6" s="887" customFormat="1" ht="24">
      <c r="A4" s="884"/>
      <c r="B4" s="885" t="s">
        <v>953</v>
      </c>
      <c r="C4" s="885" t="s">
        <v>954</v>
      </c>
      <c r="D4" s="886" t="s">
        <v>955</v>
      </c>
      <c r="E4" s="886" t="s">
        <v>956</v>
      </c>
      <c r="F4" s="886" t="s">
        <v>957</v>
      </c>
    </row>
    <row r="5" spans="1:6" s="887" customFormat="1" ht="48">
      <c r="A5" s="884">
        <v>1</v>
      </c>
      <c r="B5" s="884" t="s">
        <v>550</v>
      </c>
      <c r="C5" s="884" t="s">
        <v>961</v>
      </c>
      <c r="D5" s="884" t="s">
        <v>962</v>
      </c>
      <c r="E5" s="888">
        <v>0</v>
      </c>
      <c r="F5" s="888">
        <v>1</v>
      </c>
    </row>
    <row r="6" spans="1:6" s="887" customFormat="1" ht="36">
      <c r="A6" s="884">
        <v>2</v>
      </c>
      <c r="B6" s="884" t="s">
        <v>551</v>
      </c>
      <c r="C6" s="884" t="s">
        <v>964</v>
      </c>
      <c r="D6" s="884" t="s">
        <v>967</v>
      </c>
      <c r="E6" s="888">
        <v>2</v>
      </c>
      <c r="F6" s="888">
        <v>2</v>
      </c>
    </row>
    <row r="7" spans="1:6" s="887" customFormat="1" ht="24">
      <c r="A7" s="884">
        <v>3</v>
      </c>
      <c r="B7" s="884" t="s">
        <v>965</v>
      </c>
      <c r="C7" s="884" t="s">
        <v>961</v>
      </c>
      <c r="D7" s="884" t="s">
        <v>967</v>
      </c>
      <c r="E7" s="888">
        <v>1</v>
      </c>
      <c r="F7" s="888">
        <v>1</v>
      </c>
    </row>
    <row r="8" spans="1:6" s="887" customFormat="1" ht="36" customHeight="1">
      <c r="A8" s="884">
        <v>4</v>
      </c>
      <c r="B8" s="884" t="s">
        <v>966</v>
      </c>
      <c r="C8" s="884" t="s">
        <v>552</v>
      </c>
      <c r="D8" s="884" t="s">
        <v>967</v>
      </c>
      <c r="E8" s="888">
        <v>1</v>
      </c>
      <c r="F8" s="888">
        <v>2</v>
      </c>
    </row>
    <row r="9" spans="1:6" s="887" customFormat="1" ht="24">
      <c r="A9" s="884">
        <v>5</v>
      </c>
      <c r="B9" s="884" t="s">
        <v>968</v>
      </c>
      <c r="C9" s="884" t="s">
        <v>961</v>
      </c>
      <c r="D9" s="884" t="s">
        <v>967</v>
      </c>
      <c r="E9" s="888">
        <v>1</v>
      </c>
      <c r="F9" s="888">
        <v>1</v>
      </c>
    </row>
    <row r="10" spans="1:6" s="887" customFormat="1" ht="24">
      <c r="A10" s="884">
        <v>6</v>
      </c>
      <c r="B10" s="884" t="s">
        <v>976</v>
      </c>
      <c r="C10" s="884" t="s">
        <v>961</v>
      </c>
      <c r="D10" s="884" t="s">
        <v>962</v>
      </c>
      <c r="E10" s="888">
        <v>0</v>
      </c>
      <c r="F10" s="888">
        <v>1</v>
      </c>
    </row>
    <row r="11" spans="1:6" s="887" customFormat="1" ht="36">
      <c r="A11" s="884">
        <v>7</v>
      </c>
      <c r="B11" s="889" t="s">
        <v>977</v>
      </c>
      <c r="C11" s="884" t="s">
        <v>964</v>
      </c>
      <c r="D11" s="884" t="s">
        <v>967</v>
      </c>
      <c r="E11" s="888">
        <v>2</v>
      </c>
      <c r="F11" s="888">
        <v>2</v>
      </c>
    </row>
    <row r="12" spans="1:6" s="887" customFormat="1" ht="36">
      <c r="A12" s="884">
        <v>8</v>
      </c>
      <c r="B12" s="884" t="s">
        <v>978</v>
      </c>
      <c r="C12" s="884" t="s">
        <v>553</v>
      </c>
      <c r="D12" s="884" t="s">
        <v>967</v>
      </c>
      <c r="E12" s="888">
        <v>0</v>
      </c>
      <c r="F12" s="888">
        <v>1</v>
      </c>
    </row>
    <row r="13" spans="1:6" s="887" customFormat="1" ht="48">
      <c r="A13" s="884">
        <v>9</v>
      </c>
      <c r="B13" s="884" t="s">
        <v>980</v>
      </c>
      <c r="C13" s="884" t="s">
        <v>981</v>
      </c>
      <c r="D13" s="884" t="s">
        <v>982</v>
      </c>
      <c r="E13" s="888">
        <v>0</v>
      </c>
      <c r="F13" s="888">
        <v>3</v>
      </c>
    </row>
    <row r="14" spans="1:6" s="887" customFormat="1" ht="12">
      <c r="A14" s="890"/>
      <c r="B14" s="891" t="s">
        <v>983</v>
      </c>
      <c r="C14" s="892"/>
      <c r="D14" s="891"/>
      <c r="E14" s="893">
        <v>7</v>
      </c>
      <c r="F14" s="893">
        <f>SUM(F5:F13)</f>
        <v>14</v>
      </c>
    </row>
    <row r="15" spans="1:6" s="887" customFormat="1" ht="24">
      <c r="A15" s="894"/>
      <c r="B15" s="895" t="s">
        <v>554</v>
      </c>
      <c r="C15" s="892" t="s">
        <v>555</v>
      </c>
      <c r="D15" s="895"/>
      <c r="E15" s="895"/>
      <c r="F15" s="896"/>
    </row>
    <row r="16" spans="1:6" s="887" customFormat="1" ht="14.25" customHeight="1">
      <c r="A16" s="897"/>
      <c r="B16" s="898" t="s">
        <v>556</v>
      </c>
      <c r="C16" s="891" t="s">
        <v>557</v>
      </c>
      <c r="D16" s="998" t="s">
        <v>558</v>
      </c>
      <c r="E16" s="998"/>
      <c r="F16" s="999"/>
    </row>
    <row r="17" s="887" customFormat="1" ht="12"/>
    <row r="18" s="887" customFormat="1" ht="12"/>
    <row r="19" spans="1:6" s="887" customFormat="1" ht="12" customHeight="1">
      <c r="A19" s="899"/>
      <c r="B19" s="996" t="s">
        <v>559</v>
      </c>
      <c r="C19" s="996"/>
      <c r="D19" s="996"/>
      <c r="E19" s="996"/>
      <c r="F19" s="997"/>
    </row>
    <row r="20" spans="1:6" s="887" customFormat="1" ht="69" customHeight="1">
      <c r="A20" s="899"/>
      <c r="B20" s="993"/>
      <c r="C20" s="994"/>
      <c r="D20" s="994"/>
      <c r="E20" s="994"/>
      <c r="F20" s="995"/>
    </row>
    <row r="21" s="887" customFormat="1" ht="12"/>
    <row r="22" s="887" customFormat="1" ht="12"/>
    <row r="23" spans="2:5" s="887" customFormat="1" ht="24" customHeight="1">
      <c r="B23" s="900" t="s">
        <v>560</v>
      </c>
      <c r="C23" s="1000" t="s">
        <v>561</v>
      </c>
      <c r="D23" s="1000"/>
      <c r="E23" s="1000"/>
    </row>
    <row r="24" spans="2:6" s="887" customFormat="1" ht="36.75" customHeight="1">
      <c r="B24" s="900" t="s">
        <v>562</v>
      </c>
      <c r="C24" s="1001" t="s">
        <v>563</v>
      </c>
      <c r="D24" s="1001"/>
      <c r="E24" s="1001"/>
      <c r="F24" s="1001"/>
    </row>
    <row r="25" spans="2:5" s="887" customFormat="1" ht="12">
      <c r="B25" s="900" t="s">
        <v>995</v>
      </c>
      <c r="C25" s="901" t="s">
        <v>564</v>
      </c>
      <c r="D25" s="902"/>
      <c r="E25" s="903"/>
    </row>
    <row r="26" spans="2:4" s="887" customFormat="1" ht="12">
      <c r="B26" s="904" t="s">
        <v>996</v>
      </c>
      <c r="C26" s="905" t="s">
        <v>565</v>
      </c>
      <c r="D26" s="906"/>
    </row>
    <row r="27" s="887" customFormat="1" ht="12"/>
    <row r="28" s="887" customFormat="1" ht="12"/>
    <row r="29" spans="1:6" s="887" customFormat="1" ht="26.25" customHeight="1">
      <c r="A29" s="899"/>
      <c r="B29" s="991" t="s">
        <v>566</v>
      </c>
      <c r="C29" s="991"/>
      <c r="D29" s="991"/>
      <c r="E29" s="991"/>
      <c r="F29" s="992"/>
    </row>
    <row r="30" s="887" customFormat="1" ht="12"/>
    <row r="31" s="887" customFormat="1" ht="12"/>
    <row r="32" s="887" customFormat="1" ht="12"/>
    <row r="33" s="887" customFormat="1" ht="12"/>
    <row r="34" s="887" customFormat="1" ht="12"/>
    <row r="35" s="887" customFormat="1" ht="12"/>
    <row r="36" s="887" customFormat="1" ht="12"/>
    <row r="37" s="887" customFormat="1" ht="12"/>
    <row r="38" s="887" customFormat="1" ht="12"/>
    <row r="39" s="887" customFormat="1" ht="12"/>
    <row r="40" s="887" customFormat="1" ht="12"/>
    <row r="41" s="887" customFormat="1" ht="12"/>
    <row r="42" s="887" customFormat="1" ht="12"/>
    <row r="43" s="887" customFormat="1" ht="12"/>
    <row r="44" s="887" customFormat="1" ht="12"/>
    <row r="45" s="887" customFormat="1" ht="12"/>
    <row r="46" s="887" customFormat="1" ht="12"/>
    <row r="47" s="887" customFormat="1" ht="12"/>
    <row r="48" s="887" customFormat="1" ht="12"/>
    <row r="49" s="887" customFormat="1" ht="12"/>
    <row r="50" s="887" customFormat="1" ht="12"/>
    <row r="51" s="887" customFormat="1" ht="12"/>
    <row r="52" s="887" customFormat="1" ht="12"/>
    <row r="53" s="887" customFormat="1" ht="12"/>
    <row r="54" s="887" customFormat="1" ht="12"/>
    <row r="55" s="887" customFormat="1" ht="12"/>
  </sheetData>
  <mergeCells count="8">
    <mergeCell ref="D3:F3"/>
    <mergeCell ref="A1:F1"/>
    <mergeCell ref="B29:F29"/>
    <mergeCell ref="B20:F20"/>
    <mergeCell ref="B19:F19"/>
    <mergeCell ref="D16:F16"/>
    <mergeCell ref="C23:E23"/>
    <mergeCell ref="C24:F24"/>
  </mergeCells>
  <hyperlinks>
    <hyperlink ref="C24" r:id="rId1" display="\\adwhslcel01\settlements\!Settlements Directory\Pool\Critical Spreadsheets\EAST\Interchange Power Statement\IPS - yyyy\Month yyyy Actual.xls"/>
  </hyperlinks>
  <printOptions/>
  <pageMargins left="0.5" right="0.5" top="0.5" bottom="0.5" header="0.5" footer="0.5"/>
  <pageSetup horizontalDpi="1200" verticalDpi="120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4"/>
  <dimension ref="A1:M121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3" customWidth="1"/>
    <col min="2" max="2" width="15.8515625" style="3" customWidth="1"/>
    <col min="3" max="3" width="1.7109375" style="3" customWidth="1"/>
    <col min="4" max="4" width="16.00390625" style="3" customWidth="1"/>
    <col min="5" max="5" width="1.7109375" style="3" customWidth="1"/>
    <col min="6" max="6" width="14.8515625" style="3" customWidth="1"/>
    <col min="7" max="7" width="1.7109375" style="3" customWidth="1"/>
    <col min="8" max="8" width="12.00390625" style="3" customWidth="1"/>
    <col min="9" max="9" width="1.7109375" style="3" customWidth="1"/>
    <col min="10" max="10" width="13.421875" style="3" customWidth="1"/>
    <col min="11" max="11" width="1.7109375" style="3" customWidth="1"/>
    <col min="12" max="12" width="14.00390625" style="3" customWidth="1"/>
    <col min="13" max="13" width="1.7109375" style="3" customWidth="1"/>
    <col min="14" max="16384" width="9.140625" style="3" customWidth="1"/>
  </cols>
  <sheetData>
    <row r="1" spans="1:12" ht="15">
      <c r="A1" s="35" t="s">
        <v>1236</v>
      </c>
      <c r="B1" s="31" t="str">
        <f>+INPUT!C1</f>
        <v>June 2009</v>
      </c>
      <c r="C1" s="29"/>
      <c r="D1" s="29"/>
      <c r="E1" s="29"/>
      <c r="F1" s="29"/>
      <c r="G1" s="29"/>
      <c r="H1" s="29"/>
      <c r="I1" s="29"/>
      <c r="J1" s="29"/>
      <c r="K1" s="29"/>
      <c r="L1" s="30" t="s">
        <v>2154</v>
      </c>
    </row>
    <row r="2" spans="1:12" ht="15">
      <c r="A2" s="35"/>
      <c r="B2" s="29"/>
      <c r="C2" s="29"/>
      <c r="D2" s="29"/>
      <c r="E2" s="29"/>
      <c r="G2" s="30" t="s">
        <v>1997</v>
      </c>
      <c r="H2" s="29"/>
      <c r="I2" s="29"/>
      <c r="J2" s="29"/>
      <c r="K2" s="29"/>
      <c r="L2" s="29"/>
    </row>
    <row r="3" spans="1:12" ht="15">
      <c r="A3" s="35"/>
      <c r="B3" s="29"/>
      <c r="C3" s="29"/>
      <c r="D3" s="29"/>
      <c r="E3" s="29"/>
      <c r="G3" s="30" t="s">
        <v>1998</v>
      </c>
      <c r="H3" s="29"/>
      <c r="I3" s="29"/>
      <c r="J3" s="29"/>
      <c r="K3" s="29"/>
      <c r="L3" s="29"/>
    </row>
    <row r="4" spans="1:12" ht="15">
      <c r="A4" s="35"/>
      <c r="B4" s="29"/>
      <c r="C4" s="29"/>
      <c r="D4" s="29"/>
      <c r="E4" s="29"/>
      <c r="G4" s="85" t="s">
        <v>1999</v>
      </c>
      <c r="H4" s="29"/>
      <c r="I4" s="29"/>
      <c r="J4" s="29"/>
      <c r="K4" s="29"/>
      <c r="L4" s="29"/>
    </row>
    <row r="5" spans="1:12" ht="15">
      <c r="A5" s="29"/>
      <c r="B5" s="29"/>
      <c r="C5" s="29"/>
      <c r="D5" s="30" t="s">
        <v>1366</v>
      </c>
      <c r="E5" s="29"/>
      <c r="F5" s="29"/>
      <c r="G5" s="29"/>
      <c r="H5" s="29"/>
      <c r="I5" s="29"/>
      <c r="J5" s="29"/>
      <c r="K5" s="29"/>
      <c r="L5" s="29"/>
    </row>
    <row r="6" spans="1:12" ht="15">
      <c r="A6" s="29"/>
      <c r="B6" s="29"/>
      <c r="C6" s="29"/>
      <c r="D6" s="30" t="s">
        <v>2000</v>
      </c>
      <c r="E6" s="29"/>
      <c r="F6" s="29"/>
      <c r="G6" s="29"/>
      <c r="H6" s="29"/>
      <c r="I6" s="29"/>
      <c r="J6" s="29"/>
      <c r="K6" s="29"/>
      <c r="L6" s="29"/>
    </row>
    <row r="7" spans="1:12" ht="15">
      <c r="A7" s="29"/>
      <c r="B7" s="29"/>
      <c r="C7" s="29"/>
      <c r="D7" s="30" t="s">
        <v>2001</v>
      </c>
      <c r="E7" s="29"/>
      <c r="F7" s="29"/>
      <c r="G7" s="29"/>
      <c r="H7" s="30" t="s">
        <v>2002</v>
      </c>
      <c r="I7" s="29"/>
      <c r="J7" s="30" t="s">
        <v>1967</v>
      </c>
      <c r="K7" s="29"/>
      <c r="L7" s="30" t="s">
        <v>1968</v>
      </c>
    </row>
    <row r="8" spans="1:12" ht="15">
      <c r="A8" s="29"/>
      <c r="B8" s="29"/>
      <c r="C8" s="29"/>
      <c r="D8" s="30" t="s">
        <v>2004</v>
      </c>
      <c r="E8" s="29"/>
      <c r="F8" s="30" t="s">
        <v>1348</v>
      </c>
      <c r="G8" s="29"/>
      <c r="H8" s="30" t="s">
        <v>1294</v>
      </c>
      <c r="I8" s="29"/>
      <c r="J8" s="30" t="s">
        <v>2003</v>
      </c>
      <c r="K8" s="29"/>
      <c r="L8" s="30" t="s">
        <v>1365</v>
      </c>
    </row>
    <row r="9" spans="1:12" ht="15">
      <c r="A9" s="29"/>
      <c r="B9" s="29"/>
      <c r="C9" s="29"/>
      <c r="D9" s="30" t="s">
        <v>277</v>
      </c>
      <c r="E9" s="29"/>
      <c r="F9" s="30" t="s">
        <v>1366</v>
      </c>
      <c r="G9" s="29"/>
      <c r="H9" s="30" t="s">
        <v>2005</v>
      </c>
      <c r="I9" s="29"/>
      <c r="J9" s="30" t="s">
        <v>1365</v>
      </c>
      <c r="K9" s="29"/>
      <c r="L9" s="30" t="s">
        <v>2006</v>
      </c>
    </row>
    <row r="10" spans="1:12" ht="15">
      <c r="A10" s="29"/>
      <c r="B10" s="29"/>
      <c r="C10" s="29"/>
      <c r="D10" s="36" t="s">
        <v>2007</v>
      </c>
      <c r="E10" s="29"/>
      <c r="F10" s="36" t="s">
        <v>2007</v>
      </c>
      <c r="G10" s="29"/>
      <c r="H10" s="34" t="s">
        <v>2008</v>
      </c>
      <c r="I10" s="29"/>
      <c r="J10" s="34" t="s">
        <v>278</v>
      </c>
      <c r="K10" s="29"/>
      <c r="L10" s="34" t="s">
        <v>1732</v>
      </c>
    </row>
    <row r="11" spans="1:12" ht="15">
      <c r="A11" s="29"/>
      <c r="B11" s="29"/>
      <c r="C11" s="29"/>
      <c r="D11" s="38" t="s">
        <v>1504</v>
      </c>
      <c r="E11" s="29"/>
      <c r="F11" s="38" t="s">
        <v>1505</v>
      </c>
      <c r="G11" s="32"/>
      <c r="H11" s="38" t="s">
        <v>2009</v>
      </c>
      <c r="I11" s="32"/>
      <c r="J11" s="38" t="s">
        <v>1507</v>
      </c>
      <c r="K11" s="32"/>
      <c r="L11" s="38" t="s">
        <v>1979</v>
      </c>
    </row>
    <row r="12" spans="1:12" ht="1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ht="15">
      <c r="A13" s="29" t="s">
        <v>1239</v>
      </c>
      <c r="B13" s="29" t="s">
        <v>225</v>
      </c>
      <c r="C13" s="29"/>
      <c r="D13" s="39">
        <f>+INPUT!L110</f>
        <v>20500</v>
      </c>
      <c r="E13" s="29"/>
      <c r="F13" s="39">
        <f>+INPUT!M110</f>
        <v>326877</v>
      </c>
      <c r="G13" s="29"/>
      <c r="H13" s="87">
        <f>IF(D13&lt;=0,0,D13/F13)</f>
        <v>0.06271472143956289</v>
      </c>
      <c r="I13" s="29"/>
      <c r="J13" s="39">
        <f>+INPUT!O110</f>
        <v>1956</v>
      </c>
      <c r="K13" s="86"/>
      <c r="L13" s="88">
        <f>ROUND(H13*J13,4)</f>
        <v>122.67</v>
      </c>
    </row>
    <row r="14" spans="1:12" ht="15">
      <c r="A14" s="29"/>
      <c r="B14" s="29" t="s">
        <v>226</v>
      </c>
      <c r="C14" s="29"/>
      <c r="D14" s="39">
        <f>+INPUT!L111</f>
        <v>19622</v>
      </c>
      <c r="E14" s="29"/>
      <c r="F14" s="39">
        <f>+INPUT!M111</f>
        <v>369951</v>
      </c>
      <c r="G14" s="29"/>
      <c r="H14" s="87">
        <f aca="true" t="shared" si="0" ref="H14:H36">IF(D14&lt;=0,0,D14/F14)</f>
        <v>0.05303945657668178</v>
      </c>
      <c r="I14" s="29"/>
      <c r="J14" s="39">
        <f>+INPUT!O111</f>
        <v>2211</v>
      </c>
      <c r="K14" s="29"/>
      <c r="L14" s="88">
        <f aca="true" t="shared" si="1" ref="L14:L35">ROUND(H14*J14,4)</f>
        <v>117.2702</v>
      </c>
    </row>
    <row r="15" spans="1:12" ht="15">
      <c r="A15" s="29"/>
      <c r="B15" s="29" t="s">
        <v>229</v>
      </c>
      <c r="C15" s="29"/>
      <c r="D15" s="39">
        <f>+INPUT!L112</f>
        <v>18588</v>
      </c>
      <c r="E15" s="29"/>
      <c r="F15" s="41">
        <f>+INPUT!M112</f>
        <v>185986.74691347184</v>
      </c>
      <c r="G15" s="29"/>
      <c r="H15" s="87">
        <f t="shared" si="0"/>
        <v>0.09994260509673762</v>
      </c>
      <c r="I15" s="29"/>
      <c r="J15" s="39">
        <f>+INPUT!O112</f>
        <v>176</v>
      </c>
      <c r="K15" s="86"/>
      <c r="L15" s="88">
        <f t="shared" si="1"/>
        <v>17.5899</v>
      </c>
    </row>
    <row r="16" spans="1:12" ht="15">
      <c r="A16" s="29"/>
      <c r="B16" s="29" t="s">
        <v>2045</v>
      </c>
      <c r="C16" s="29"/>
      <c r="D16" s="39">
        <f>+INPUT!L113</f>
        <v>147</v>
      </c>
      <c r="E16" s="29"/>
      <c r="F16" s="41">
        <f>+INPUT!M113</f>
        <v>263</v>
      </c>
      <c r="G16" s="29"/>
      <c r="H16" s="87">
        <f aca="true" t="shared" si="2" ref="H16:H21">IF(D16&lt;=0,0,D16/F16)</f>
        <v>0.55893536121673</v>
      </c>
      <c r="I16" s="29"/>
      <c r="J16" s="39">
        <f>+INPUT!O113</f>
        <v>0</v>
      </c>
      <c r="K16" s="86"/>
      <c r="L16" s="88">
        <f aca="true" t="shared" si="3" ref="L16:L21">ROUND(H16*J16,4)</f>
        <v>0</v>
      </c>
    </row>
    <row r="17" spans="1:12" ht="15">
      <c r="A17" s="29"/>
      <c r="B17" s="29" t="s">
        <v>2046</v>
      </c>
      <c r="C17" s="29"/>
      <c r="D17" s="39">
        <f>+INPUT!L114</f>
        <v>148</v>
      </c>
      <c r="E17" s="29"/>
      <c r="F17" s="41">
        <f>+INPUT!M114</f>
        <v>265</v>
      </c>
      <c r="G17" s="29"/>
      <c r="H17" s="87">
        <f t="shared" si="2"/>
        <v>0.5584905660377358</v>
      </c>
      <c r="I17" s="29"/>
      <c r="J17" s="39">
        <f>+INPUT!O114</f>
        <v>0</v>
      </c>
      <c r="K17" s="86"/>
      <c r="L17" s="88">
        <f t="shared" si="3"/>
        <v>0</v>
      </c>
    </row>
    <row r="18" spans="1:12" ht="15">
      <c r="A18" s="29"/>
      <c r="B18" s="29" t="s">
        <v>2047</v>
      </c>
      <c r="C18" s="29"/>
      <c r="D18" s="39">
        <f>+INPUT!L115</f>
        <v>149</v>
      </c>
      <c r="E18" s="29"/>
      <c r="F18" s="41">
        <f>+INPUT!M115</f>
        <v>265</v>
      </c>
      <c r="G18" s="29"/>
      <c r="H18" s="87">
        <f t="shared" si="2"/>
        <v>0.5622641509433962</v>
      </c>
      <c r="I18" s="29"/>
      <c r="J18" s="39">
        <f>+INPUT!O115</f>
        <v>0</v>
      </c>
      <c r="K18" s="86"/>
      <c r="L18" s="88">
        <f t="shared" si="3"/>
        <v>0</v>
      </c>
    </row>
    <row r="19" spans="1:12" ht="15">
      <c r="A19" s="29"/>
      <c r="B19" s="29" t="s">
        <v>2048</v>
      </c>
      <c r="C19" s="29"/>
      <c r="D19" s="39">
        <f>+INPUT!L116</f>
        <v>173</v>
      </c>
      <c r="E19" s="29"/>
      <c r="F19" s="41">
        <f>+INPUT!M116</f>
        <v>310</v>
      </c>
      <c r="G19" s="29"/>
      <c r="H19" s="87">
        <f t="shared" si="2"/>
        <v>0.5580645161290323</v>
      </c>
      <c r="I19" s="29"/>
      <c r="J19" s="39">
        <f>+INPUT!O116</f>
        <v>0</v>
      </c>
      <c r="K19" s="86"/>
      <c r="L19" s="88">
        <f t="shared" si="3"/>
        <v>0</v>
      </c>
    </row>
    <row r="20" spans="1:12" ht="15">
      <c r="A20" s="29"/>
      <c r="B20" s="29" t="s">
        <v>2049</v>
      </c>
      <c r="C20" s="29"/>
      <c r="D20" s="39">
        <f>+INPUT!L117</f>
        <v>171</v>
      </c>
      <c r="E20" s="29"/>
      <c r="F20" s="41">
        <f>+INPUT!M117</f>
        <v>307</v>
      </c>
      <c r="G20" s="29"/>
      <c r="H20" s="87">
        <f t="shared" si="2"/>
        <v>0.5570032573289903</v>
      </c>
      <c r="I20" s="29"/>
      <c r="J20" s="39">
        <f>+INPUT!O117</f>
        <v>0</v>
      </c>
      <c r="K20" s="86"/>
      <c r="L20" s="88">
        <f t="shared" si="3"/>
        <v>0</v>
      </c>
    </row>
    <row r="21" spans="1:12" ht="15">
      <c r="A21" s="29"/>
      <c r="B21" s="29" t="s">
        <v>2050</v>
      </c>
      <c r="C21" s="29"/>
      <c r="D21" s="39">
        <f>+INPUT!L118</f>
        <v>186</v>
      </c>
      <c r="E21" s="29"/>
      <c r="F21" s="41">
        <f>+INPUT!M118</f>
        <v>323</v>
      </c>
      <c r="G21" s="29"/>
      <c r="H21" s="87">
        <f t="shared" si="2"/>
        <v>0.5758513931888545</v>
      </c>
      <c r="I21" s="29"/>
      <c r="J21" s="39">
        <f>+INPUT!O118</f>
        <v>0</v>
      </c>
      <c r="K21" s="86"/>
      <c r="L21" s="88">
        <f t="shared" si="3"/>
        <v>0</v>
      </c>
    </row>
    <row r="22" spans="1:12" ht="15">
      <c r="A22" s="29"/>
      <c r="B22" s="29" t="s">
        <v>244</v>
      </c>
      <c r="C22" s="29"/>
      <c r="D22" s="39">
        <f>+INPUT!L119</f>
        <v>12492</v>
      </c>
      <c r="E22" s="29"/>
      <c r="F22" s="39">
        <f>+INPUT!M119</f>
        <v>24637</v>
      </c>
      <c r="G22" s="29"/>
      <c r="H22" s="87">
        <f t="shared" si="0"/>
        <v>0.5070422535211268</v>
      </c>
      <c r="I22" s="29"/>
      <c r="J22" s="39">
        <f>+INPUT!O119</f>
        <v>110</v>
      </c>
      <c r="K22" s="86"/>
      <c r="L22" s="88">
        <f t="shared" si="1"/>
        <v>55.7746</v>
      </c>
    </row>
    <row r="23" spans="1:12" ht="15">
      <c r="A23" s="29"/>
      <c r="B23" s="29" t="s">
        <v>245</v>
      </c>
      <c r="C23" s="29"/>
      <c r="D23" s="39">
        <f>+INPUT!L120</f>
        <v>1375</v>
      </c>
      <c r="E23" s="29"/>
      <c r="F23" s="39">
        <f>+INPUT!M120</f>
        <v>3939</v>
      </c>
      <c r="G23" s="29"/>
      <c r="H23" s="87">
        <f t="shared" si="0"/>
        <v>0.34907336887534907</v>
      </c>
      <c r="I23" s="29"/>
      <c r="J23" s="39">
        <f>+INPUT!O120</f>
        <v>18</v>
      </c>
      <c r="K23" s="29"/>
      <c r="L23" s="88">
        <f t="shared" si="1"/>
        <v>6.2833</v>
      </c>
    </row>
    <row r="24" spans="1:12" ht="15">
      <c r="A24" s="29"/>
      <c r="B24" s="29" t="s">
        <v>246</v>
      </c>
      <c r="C24" s="29"/>
      <c r="D24" s="39">
        <f>+INPUT!L121</f>
        <v>26091</v>
      </c>
      <c r="E24" s="29"/>
      <c r="F24" s="39">
        <f>+INPUT!M121</f>
        <v>82761</v>
      </c>
      <c r="G24" s="29"/>
      <c r="H24" s="87">
        <f t="shared" si="0"/>
        <v>0.3152571863558923</v>
      </c>
      <c r="I24" s="29"/>
      <c r="J24" s="39">
        <f>+INPUT!O121</f>
        <v>369</v>
      </c>
      <c r="K24" s="29"/>
      <c r="L24" s="88">
        <f t="shared" si="1"/>
        <v>116.3299</v>
      </c>
    </row>
    <row r="25" spans="1:12" ht="15">
      <c r="A25" s="29"/>
      <c r="B25" s="29" t="s">
        <v>249</v>
      </c>
      <c r="C25" s="29"/>
      <c r="D25" s="39">
        <f>+INPUT!L122</f>
        <v>3703</v>
      </c>
      <c r="E25" s="29"/>
      <c r="F25" s="39">
        <f>+INPUT!M122</f>
        <v>7914</v>
      </c>
      <c r="G25" s="29"/>
      <c r="H25" s="87">
        <f t="shared" si="0"/>
        <v>0.4679049785190801</v>
      </c>
      <c r="I25" s="29"/>
      <c r="J25" s="39">
        <f>+INPUT!O122</f>
        <v>44</v>
      </c>
      <c r="K25" s="29"/>
      <c r="L25" s="88">
        <f t="shared" si="1"/>
        <v>20.5878</v>
      </c>
    </row>
    <row r="26" spans="1:12" ht="15">
      <c r="A26" s="29"/>
      <c r="B26" s="29" t="s">
        <v>250</v>
      </c>
      <c r="C26" s="29"/>
      <c r="D26" s="39">
        <f>+INPUT!L123</f>
        <v>0</v>
      </c>
      <c r="E26" s="29"/>
      <c r="F26" s="39">
        <f>+INPUT!M123</f>
        <v>0</v>
      </c>
      <c r="G26" s="29"/>
      <c r="H26" s="87">
        <f t="shared" si="0"/>
        <v>0</v>
      </c>
      <c r="I26" s="29"/>
      <c r="J26" s="39">
        <f>+INPUT!O123</f>
        <v>40</v>
      </c>
      <c r="K26" s="29"/>
      <c r="L26" s="88">
        <f t="shared" si="1"/>
        <v>0</v>
      </c>
    </row>
    <row r="27" spans="1:12" ht="15">
      <c r="A27" s="29"/>
      <c r="B27" s="29" t="s">
        <v>251</v>
      </c>
      <c r="C27" s="29"/>
      <c r="D27" s="39">
        <f>+INPUT!L124</f>
        <v>36368</v>
      </c>
      <c r="E27" s="29"/>
      <c r="F27" s="39">
        <f>+INPUT!M124</f>
        <v>62992</v>
      </c>
      <c r="G27" s="29"/>
      <c r="H27" s="87">
        <f t="shared" si="0"/>
        <v>0.5773431546863094</v>
      </c>
      <c r="I27" s="29"/>
      <c r="J27" s="39">
        <f>+INPUT!O124</f>
        <v>453</v>
      </c>
      <c r="K27" s="29"/>
      <c r="L27" s="88">
        <f t="shared" si="1"/>
        <v>261.5364</v>
      </c>
    </row>
    <row r="28" spans="1:12" ht="15">
      <c r="A28" s="29"/>
      <c r="B28" s="29" t="s">
        <v>247</v>
      </c>
      <c r="C28" s="29"/>
      <c r="D28" s="39">
        <f>+INPUT!L125</f>
        <v>14009</v>
      </c>
      <c r="E28" s="29"/>
      <c r="F28" s="39">
        <f>+INPUT!M125</f>
        <v>37946</v>
      </c>
      <c r="G28" s="29"/>
      <c r="H28" s="87">
        <f t="shared" si="0"/>
        <v>0.36918252253201916</v>
      </c>
      <c r="I28" s="29"/>
      <c r="J28" s="39">
        <f>+INPUT!O125</f>
        <v>218</v>
      </c>
      <c r="K28" s="86"/>
      <c r="L28" s="88">
        <f t="shared" si="1"/>
        <v>80.4818</v>
      </c>
    </row>
    <row r="29" spans="1:12" ht="15">
      <c r="A29" s="29"/>
      <c r="B29" s="29" t="s">
        <v>248</v>
      </c>
      <c r="C29" s="29"/>
      <c r="D29" s="39">
        <f>+INPUT!L126</f>
        <v>33604</v>
      </c>
      <c r="E29" s="29"/>
      <c r="F29" s="39">
        <f>+INPUT!M126</f>
        <v>88626</v>
      </c>
      <c r="G29" s="29"/>
      <c r="H29" s="87">
        <f>IF(D29&lt;=0,0,D29/F29)</f>
        <v>0.3791663845824025</v>
      </c>
      <c r="I29" s="29"/>
      <c r="J29" s="39">
        <f>+INPUT!O126</f>
        <v>617</v>
      </c>
      <c r="K29" s="86"/>
      <c r="L29" s="88">
        <f>ROUND(H29*J29,4)</f>
        <v>233.9457</v>
      </c>
    </row>
    <row r="30" spans="1:12" ht="15">
      <c r="A30" s="29"/>
      <c r="B30" s="29" t="s">
        <v>243</v>
      </c>
      <c r="C30" s="29"/>
      <c r="D30" s="39">
        <f>+INPUT!L127</f>
        <v>137204</v>
      </c>
      <c r="E30" s="29"/>
      <c r="F30" s="39">
        <f>+INPUT!M127</f>
        <v>755835</v>
      </c>
      <c r="G30" s="29"/>
      <c r="H30" s="87">
        <f>IF(D30&lt;=0,0,D30/F30)</f>
        <v>0.1815263913420257</v>
      </c>
      <c r="I30" s="29"/>
      <c r="J30" s="39">
        <f>+INPUT!O127</f>
        <v>287</v>
      </c>
      <c r="K30" s="86"/>
      <c r="L30" s="88">
        <f>ROUND(H30*J30,4)</f>
        <v>52.0981</v>
      </c>
    </row>
    <row r="31" spans="1:12" ht="15">
      <c r="A31" s="29"/>
      <c r="B31" s="29" t="s">
        <v>230</v>
      </c>
      <c r="C31" s="29"/>
      <c r="D31" s="39">
        <f>+INPUT!L128</f>
        <v>5319</v>
      </c>
      <c r="E31" s="29"/>
      <c r="F31" s="39">
        <f>+INPUT!M128</f>
        <v>24799</v>
      </c>
      <c r="G31" s="29"/>
      <c r="H31" s="87">
        <f>IF(D31&lt;=0,0,D31/F31)</f>
        <v>0.2144844550183475</v>
      </c>
      <c r="I31" s="29"/>
      <c r="J31" s="39">
        <f>+INPUT!O128</f>
        <v>198</v>
      </c>
      <c r="K31" s="86"/>
      <c r="L31" s="88">
        <f>ROUND(H31*J31,4)</f>
        <v>42.4679</v>
      </c>
    </row>
    <row r="32" spans="1:13" ht="16.5" hidden="1">
      <c r="A32" s="29"/>
      <c r="B32" s="132" t="s">
        <v>231</v>
      </c>
      <c r="C32" s="132"/>
      <c r="D32" s="133">
        <f>+INPUT!L129</f>
        <v>0</v>
      </c>
      <c r="E32" s="132"/>
      <c r="F32" s="133">
        <f>+INPUT!M129</f>
        <v>0</v>
      </c>
      <c r="G32" s="132"/>
      <c r="H32" s="134">
        <f t="shared" si="0"/>
        <v>0</v>
      </c>
      <c r="I32" s="132"/>
      <c r="J32" s="133">
        <f>+INPUT!O129</f>
        <v>0</v>
      </c>
      <c r="K32" s="135"/>
      <c r="L32" s="136">
        <f t="shared" si="1"/>
        <v>0</v>
      </c>
      <c r="M32" s="28" t="s">
        <v>324</v>
      </c>
    </row>
    <row r="33" spans="1:12" ht="15">
      <c r="A33" s="29"/>
      <c r="B33" s="29" t="s">
        <v>232</v>
      </c>
      <c r="C33" s="29"/>
      <c r="D33" s="44">
        <f>+INPUT!L130</f>
        <v>11896</v>
      </c>
      <c r="E33" s="29"/>
      <c r="F33" s="44">
        <f>+INPUT!M130</f>
        <v>35765</v>
      </c>
      <c r="G33" s="29"/>
      <c r="H33" s="89">
        <f t="shared" si="0"/>
        <v>0.3326156857262687</v>
      </c>
      <c r="I33" s="29"/>
      <c r="J33" s="44">
        <f>+INPUT!O130</f>
        <v>241</v>
      </c>
      <c r="K33" s="86"/>
      <c r="L33" s="90">
        <f t="shared" si="1"/>
        <v>80.1604</v>
      </c>
    </row>
    <row r="34" spans="1:13" ht="16.5" hidden="1">
      <c r="A34" s="29"/>
      <c r="B34" s="132" t="s">
        <v>233</v>
      </c>
      <c r="C34" s="132"/>
      <c r="D34" s="133">
        <f>+INPUT!L131</f>
        <v>0</v>
      </c>
      <c r="E34" s="132"/>
      <c r="F34" s="133">
        <f>+INPUT!M131</f>
        <v>0</v>
      </c>
      <c r="G34" s="132"/>
      <c r="H34" s="134">
        <f t="shared" si="0"/>
        <v>0</v>
      </c>
      <c r="I34" s="132"/>
      <c r="J34" s="133">
        <f>+INPUT!O131</f>
        <v>0</v>
      </c>
      <c r="K34" s="135"/>
      <c r="L34" s="136">
        <f t="shared" si="1"/>
        <v>0</v>
      </c>
      <c r="M34" s="28" t="s">
        <v>324</v>
      </c>
    </row>
    <row r="35" spans="1:13" ht="16.5" hidden="1">
      <c r="A35" s="29"/>
      <c r="B35" s="132" t="s">
        <v>234</v>
      </c>
      <c r="C35" s="132"/>
      <c r="D35" s="137">
        <f>+INPUT!L132</f>
        <v>0</v>
      </c>
      <c r="E35" s="132"/>
      <c r="F35" s="137">
        <f>+INPUT!M132</f>
        <v>0</v>
      </c>
      <c r="G35" s="132"/>
      <c r="H35" s="138">
        <f t="shared" si="0"/>
        <v>0</v>
      </c>
      <c r="I35" s="132"/>
      <c r="J35" s="137">
        <f>+INPUT!O132</f>
        <v>0</v>
      </c>
      <c r="K35" s="132"/>
      <c r="L35" s="139">
        <f t="shared" si="1"/>
        <v>0</v>
      </c>
      <c r="M35" s="28" t="s">
        <v>324</v>
      </c>
    </row>
    <row r="36" spans="1:12" ht="15">
      <c r="A36" s="29"/>
      <c r="B36" s="29" t="s">
        <v>1348</v>
      </c>
      <c r="C36" s="29"/>
      <c r="D36" s="39">
        <f>SUM(D13:D35)</f>
        <v>341745</v>
      </c>
      <c r="E36" s="29"/>
      <c r="F36" s="39">
        <f>SUM(F13:F35)</f>
        <v>2009761.7469134717</v>
      </c>
      <c r="G36" s="29"/>
      <c r="H36" s="87">
        <f t="shared" si="0"/>
        <v>0.17004254386115225</v>
      </c>
      <c r="I36" s="29"/>
      <c r="J36" s="41">
        <f>SUM(J13:J35)</f>
        <v>6938</v>
      </c>
      <c r="K36" s="29"/>
      <c r="L36" s="88">
        <f>SUM(L13:L35)</f>
        <v>1207.1960000000001</v>
      </c>
    </row>
    <row r="37" spans="1:12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ht="15">
      <c r="A38" s="29" t="s">
        <v>1240</v>
      </c>
      <c r="B38" s="29" t="s">
        <v>235</v>
      </c>
      <c r="C38" s="29"/>
      <c r="D38" s="39">
        <f>+INPUT!L133</f>
        <v>9261</v>
      </c>
      <c r="E38" s="29"/>
      <c r="F38" s="39">
        <f>+INPUT!M133</f>
        <v>84097</v>
      </c>
      <c r="G38" s="29"/>
      <c r="H38" s="87">
        <f>IF(D38&lt;=0,0,D38/F38)</f>
        <v>0.11012283434605277</v>
      </c>
      <c r="I38" s="29"/>
      <c r="J38" s="39">
        <f>+INPUT!O133</f>
        <v>573</v>
      </c>
      <c r="K38" s="29"/>
      <c r="L38" s="88">
        <f>ROUND(H38*J38,4)</f>
        <v>63.1004</v>
      </c>
    </row>
    <row r="39" spans="1:12" ht="15">
      <c r="A39" s="29"/>
      <c r="B39" s="29" t="s">
        <v>236</v>
      </c>
      <c r="C39" s="29"/>
      <c r="D39" s="39">
        <f>+INPUT!L134</f>
        <v>23488</v>
      </c>
      <c r="E39" s="29"/>
      <c r="F39" s="39">
        <f>+INPUT!M134</f>
        <v>417830</v>
      </c>
      <c r="G39" s="29"/>
      <c r="H39" s="87">
        <f>IF(D39&lt;=0,0,D39/F39)</f>
        <v>0.056214249814517864</v>
      </c>
      <c r="I39" s="29"/>
      <c r="J39" s="39">
        <f>+INPUT!O134</f>
        <v>2790</v>
      </c>
      <c r="K39" s="29"/>
      <c r="L39" s="88">
        <f>ROUND(H39*J39,4)</f>
        <v>156.8378</v>
      </c>
    </row>
    <row r="40" spans="1:12" ht="15">
      <c r="A40" s="29"/>
      <c r="B40" s="29" t="s">
        <v>2143</v>
      </c>
      <c r="C40" s="29"/>
      <c r="D40" s="39">
        <f>+INPUT!L135</f>
        <v>3884</v>
      </c>
      <c r="E40" s="29"/>
      <c r="F40" s="41">
        <f>+INPUT!M135</f>
        <v>125455</v>
      </c>
      <c r="G40" s="29"/>
      <c r="H40" s="87">
        <f>IF(D40&lt;=0,0,D40/F40)</f>
        <v>0.030959308118448846</v>
      </c>
      <c r="I40" s="29"/>
      <c r="J40" s="39">
        <f>+INPUT!O135</f>
        <v>373</v>
      </c>
      <c r="K40" s="29"/>
      <c r="L40" s="88">
        <f>ROUND(H40*J40,4)</f>
        <v>11.5478</v>
      </c>
    </row>
    <row r="41" spans="1:12" ht="15">
      <c r="A41" s="29"/>
      <c r="B41" s="29" t="s">
        <v>2144</v>
      </c>
      <c r="C41" s="29"/>
      <c r="D41" s="44">
        <f>+INPUT!L136</f>
        <v>4585</v>
      </c>
      <c r="E41" s="29"/>
      <c r="F41" s="42">
        <f>+INPUT!M136</f>
        <v>122142</v>
      </c>
      <c r="G41" s="29"/>
      <c r="H41" s="89">
        <f>IF(D41&lt;=0,0,D41/F41)</f>
        <v>0.03753827512239852</v>
      </c>
      <c r="I41" s="29"/>
      <c r="J41" s="44">
        <f>+INPUT!O136</f>
        <v>363</v>
      </c>
      <c r="K41" s="29"/>
      <c r="L41" s="90">
        <f>ROUND(H41*J41,4)</f>
        <v>13.6264</v>
      </c>
    </row>
    <row r="42" spans="1:12" ht="15">
      <c r="A42" s="29"/>
      <c r="B42" s="29" t="s">
        <v>1348</v>
      </c>
      <c r="C42" s="29"/>
      <c r="D42" s="39">
        <f>SUM(D38:D41)</f>
        <v>41218</v>
      </c>
      <c r="E42" s="29"/>
      <c r="F42" s="39">
        <f>SUM(F38:F41)</f>
        <v>749524</v>
      </c>
      <c r="G42" s="29"/>
      <c r="H42" s="87">
        <f>IF(D42&lt;=0,0,D42/F42)</f>
        <v>0.05499223507185894</v>
      </c>
      <c r="I42" s="29"/>
      <c r="J42" s="41">
        <f>SUM(J38:J41)</f>
        <v>4099</v>
      </c>
      <c r="K42" s="29"/>
      <c r="L42" s="115">
        <f>SUM(L38:L41)</f>
        <v>245.11239999999998</v>
      </c>
    </row>
    <row r="43" spans="1:12" ht="15">
      <c r="A43" s="29"/>
      <c r="B43" s="29"/>
      <c r="C43" s="29"/>
      <c r="D43" s="39"/>
      <c r="E43" s="29"/>
      <c r="F43" s="39"/>
      <c r="G43" s="29"/>
      <c r="H43" s="87"/>
      <c r="I43" s="29"/>
      <c r="J43" s="39"/>
      <c r="K43" s="29"/>
      <c r="L43" s="88"/>
    </row>
    <row r="44" spans="1:12" ht="15">
      <c r="A44" s="29" t="s">
        <v>1241</v>
      </c>
      <c r="B44" s="29" t="s">
        <v>2148</v>
      </c>
      <c r="C44" s="29"/>
      <c r="D44" s="39">
        <f>+INPUT!L137</f>
        <v>12929</v>
      </c>
      <c r="E44" s="29"/>
      <c r="F44" s="39">
        <f>+INPUT!M137</f>
        <v>418061</v>
      </c>
      <c r="G44" s="29"/>
      <c r="H44" s="87">
        <f aca="true" t="shared" si="4" ref="H44:H52">IF(D44&lt;=0,0,D44/F44)</f>
        <v>0.030926108869279843</v>
      </c>
      <c r="I44" s="29"/>
      <c r="J44" s="39">
        <f>+INPUT!O137</f>
        <v>1242</v>
      </c>
      <c r="K44" s="29"/>
      <c r="L44" s="88">
        <f aca="true" t="shared" si="5" ref="L44:L51">ROUND(H44*J44,4)</f>
        <v>38.4102</v>
      </c>
    </row>
    <row r="45" spans="1:12" ht="15">
      <c r="A45" s="29"/>
      <c r="B45" s="29" t="s">
        <v>2143</v>
      </c>
      <c r="C45" s="29"/>
      <c r="D45" s="39">
        <f>+INPUT!L138</f>
        <v>9044</v>
      </c>
      <c r="E45" s="29"/>
      <c r="F45" s="39">
        <f>+INPUT!M138</f>
        <v>292640</v>
      </c>
      <c r="G45" s="29"/>
      <c r="H45" s="87">
        <f t="shared" si="4"/>
        <v>0.03090486604702023</v>
      </c>
      <c r="I45" s="29"/>
      <c r="J45" s="39">
        <f>+INPUT!O138</f>
        <v>870</v>
      </c>
      <c r="K45" s="29"/>
      <c r="L45" s="88">
        <f t="shared" si="5"/>
        <v>26.8872</v>
      </c>
    </row>
    <row r="46" spans="1:12" ht="15">
      <c r="A46" s="29"/>
      <c r="B46" s="29" t="s">
        <v>237</v>
      </c>
      <c r="C46" s="29"/>
      <c r="D46" s="39">
        <f>+INPUT!L139</f>
        <v>8847</v>
      </c>
      <c r="E46" s="29"/>
      <c r="F46" s="39">
        <f>+INPUT!M139</f>
        <v>236061</v>
      </c>
      <c r="G46" s="29"/>
      <c r="H46" s="87">
        <f t="shared" si="4"/>
        <v>0.037477601128521866</v>
      </c>
      <c r="I46" s="29"/>
      <c r="J46" s="41">
        <f>+INPUT!O139</f>
        <v>701</v>
      </c>
      <c r="K46" s="29"/>
      <c r="L46" s="88">
        <f t="shared" si="5"/>
        <v>26.2718</v>
      </c>
    </row>
    <row r="47" spans="1:12" ht="15">
      <c r="A47" s="29"/>
      <c r="B47" s="29" t="s">
        <v>2144</v>
      </c>
      <c r="C47" s="29"/>
      <c r="D47" s="39">
        <f>+INPUT!L140</f>
        <v>10695</v>
      </c>
      <c r="E47" s="29"/>
      <c r="F47" s="39">
        <f>+INPUT!M140</f>
        <v>284824</v>
      </c>
      <c r="G47" s="29"/>
      <c r="H47" s="87">
        <f t="shared" si="4"/>
        <v>0.03754950425525939</v>
      </c>
      <c r="I47" s="29"/>
      <c r="J47" s="41">
        <f>+INPUT!O140</f>
        <v>845</v>
      </c>
      <c r="K47" s="29"/>
      <c r="L47" s="88">
        <f t="shared" si="5"/>
        <v>31.7293</v>
      </c>
    </row>
    <row r="48" spans="1:12" ht="15">
      <c r="A48" s="29"/>
      <c r="B48" s="29" t="s">
        <v>238</v>
      </c>
      <c r="C48" s="29"/>
      <c r="D48" s="39">
        <f>+INPUT!L141</f>
        <v>8307</v>
      </c>
      <c r="E48" s="29"/>
      <c r="F48" s="39">
        <f>+INPUT!M141</f>
        <v>15365</v>
      </c>
      <c r="G48" s="29"/>
      <c r="H48" s="87">
        <f t="shared" si="4"/>
        <v>0.5406443215099251</v>
      </c>
      <c r="I48" s="29"/>
      <c r="J48" s="39">
        <f>+INPUT!O141</f>
        <v>84</v>
      </c>
      <c r="K48" s="29"/>
      <c r="L48" s="88">
        <f t="shared" si="5"/>
        <v>45.4141</v>
      </c>
    </row>
    <row r="49" spans="1:12" ht="15">
      <c r="A49" s="29"/>
      <c r="B49" s="29" t="s">
        <v>239</v>
      </c>
      <c r="C49" s="29"/>
      <c r="D49" s="39">
        <f>+INPUT!L142</f>
        <v>11412</v>
      </c>
      <c r="E49" s="29"/>
      <c r="F49" s="39">
        <f>+INPUT!M142</f>
        <v>23032</v>
      </c>
      <c r="G49" s="29"/>
      <c r="H49" s="87">
        <f t="shared" si="4"/>
        <v>0.495484543244182</v>
      </c>
      <c r="I49" s="29"/>
      <c r="J49" s="39">
        <f>+INPUT!O142</f>
        <v>127</v>
      </c>
      <c r="K49" s="29"/>
      <c r="L49" s="88">
        <f t="shared" si="5"/>
        <v>62.9265</v>
      </c>
    </row>
    <row r="50" spans="1:12" ht="15">
      <c r="A50" s="29"/>
      <c r="B50" s="29" t="s">
        <v>240</v>
      </c>
      <c r="C50" s="29"/>
      <c r="D50" s="39">
        <f>+INPUT!L143</f>
        <v>22730</v>
      </c>
      <c r="E50" s="29"/>
      <c r="F50" s="39">
        <f>+INPUT!M143</f>
        <v>69611</v>
      </c>
      <c r="G50" s="29"/>
      <c r="H50" s="87">
        <f t="shared" si="4"/>
        <v>0.32652885319848873</v>
      </c>
      <c r="I50" s="29"/>
      <c r="J50" s="39">
        <f>+INPUT!O143</f>
        <v>394</v>
      </c>
      <c r="K50" s="29"/>
      <c r="L50" s="88">
        <f t="shared" si="5"/>
        <v>128.6524</v>
      </c>
    </row>
    <row r="51" spans="1:12" ht="15">
      <c r="A51" s="29"/>
      <c r="B51" s="29" t="s">
        <v>2010</v>
      </c>
      <c r="C51" s="29"/>
      <c r="D51" s="44">
        <f>+INPUT!L144</f>
        <v>37519</v>
      </c>
      <c r="E51" s="29"/>
      <c r="F51" s="44">
        <f>+INPUT!M144</f>
        <v>213276</v>
      </c>
      <c r="G51" s="29"/>
      <c r="H51" s="89">
        <f t="shared" si="4"/>
        <v>0.1759175903524072</v>
      </c>
      <c r="I51" s="29"/>
      <c r="J51" s="44">
        <f>+INPUT!O144</f>
        <v>1339</v>
      </c>
      <c r="K51" s="29"/>
      <c r="L51" s="90">
        <f t="shared" si="5"/>
        <v>235.5537</v>
      </c>
    </row>
    <row r="52" spans="1:12" ht="15">
      <c r="A52" s="29"/>
      <c r="B52" s="29" t="s">
        <v>1348</v>
      </c>
      <c r="C52" s="29"/>
      <c r="D52" s="39">
        <f>SUM(D44:D51)</f>
        <v>121483</v>
      </c>
      <c r="E52" s="29"/>
      <c r="F52" s="39">
        <f>SUM(F44:F51)</f>
        <v>1552870</v>
      </c>
      <c r="G52" s="29"/>
      <c r="H52" s="87">
        <f t="shared" si="4"/>
        <v>0.07823127499404328</v>
      </c>
      <c r="I52" s="29"/>
      <c r="J52" s="39">
        <f>SUM(J44:J51)</f>
        <v>5602</v>
      </c>
      <c r="K52" s="29"/>
      <c r="L52" s="115">
        <f>SUM(L44:L51)</f>
        <v>595.8452</v>
      </c>
    </row>
    <row r="53" spans="1:12" ht="15">
      <c r="A53" s="29"/>
      <c r="B53" s="29"/>
      <c r="C53" s="29"/>
      <c r="D53" s="39"/>
      <c r="E53" s="29"/>
      <c r="F53" s="39"/>
      <c r="G53" s="29"/>
      <c r="H53" s="87"/>
      <c r="I53" s="29"/>
      <c r="J53" s="39"/>
      <c r="K53" s="29"/>
      <c r="L53" s="39"/>
    </row>
    <row r="54" spans="1:12" ht="15">
      <c r="A54" s="29" t="s">
        <v>1451</v>
      </c>
      <c r="B54" s="31" t="str">
        <f>+INPUT!C1</f>
        <v>June 2009</v>
      </c>
      <c r="C54" s="29"/>
      <c r="D54" s="29"/>
      <c r="E54" s="29"/>
      <c r="F54" s="29"/>
      <c r="G54" s="29"/>
      <c r="H54" s="29"/>
      <c r="I54" s="29"/>
      <c r="J54" s="29"/>
      <c r="K54" s="29"/>
      <c r="L54" s="30" t="s">
        <v>2155</v>
      </c>
    </row>
    <row r="55" spans="1:12" ht="15">
      <c r="A55" s="35"/>
      <c r="B55" s="29"/>
      <c r="C55" s="29"/>
      <c r="D55" s="29"/>
      <c r="E55" s="29"/>
      <c r="G55" s="30" t="s">
        <v>1997</v>
      </c>
      <c r="H55" s="29"/>
      <c r="I55" s="29"/>
      <c r="J55" s="29"/>
      <c r="K55" s="29"/>
      <c r="L55" s="29"/>
    </row>
    <row r="56" spans="1:12" ht="15">
      <c r="A56" s="35"/>
      <c r="B56" s="29"/>
      <c r="C56" s="29"/>
      <c r="D56" s="29"/>
      <c r="E56" s="29"/>
      <c r="G56" s="30" t="s">
        <v>1998</v>
      </c>
      <c r="H56" s="29"/>
      <c r="I56" s="29"/>
      <c r="J56" s="29"/>
      <c r="K56" s="29"/>
      <c r="L56" s="29"/>
    </row>
    <row r="57" spans="1:12" ht="15">
      <c r="A57" s="35"/>
      <c r="B57" s="29"/>
      <c r="C57" s="29"/>
      <c r="D57" s="29"/>
      <c r="E57" s="29"/>
      <c r="G57" s="85" t="s">
        <v>1999</v>
      </c>
      <c r="H57" s="29"/>
      <c r="I57" s="29"/>
      <c r="J57" s="29"/>
      <c r="K57" s="29"/>
      <c r="L57" s="29"/>
    </row>
    <row r="58" spans="1:12" ht="15">
      <c r="A58" s="29"/>
      <c r="B58" s="29"/>
      <c r="C58" s="29"/>
      <c r="D58" s="30" t="s">
        <v>1366</v>
      </c>
      <c r="E58" s="29"/>
      <c r="F58" s="29"/>
      <c r="G58" s="29"/>
      <c r="H58" s="29"/>
      <c r="I58" s="29"/>
      <c r="J58" s="29"/>
      <c r="K58" s="29"/>
      <c r="L58" s="29"/>
    </row>
    <row r="59" spans="1:12" ht="15">
      <c r="A59" s="29"/>
      <c r="B59" s="29"/>
      <c r="C59" s="29"/>
      <c r="D59" s="30" t="s">
        <v>2000</v>
      </c>
      <c r="E59" s="29"/>
      <c r="F59" s="29"/>
      <c r="G59" s="29"/>
      <c r="H59" s="29"/>
      <c r="I59" s="29"/>
      <c r="J59" s="29"/>
      <c r="K59" s="29"/>
      <c r="L59" s="29"/>
    </row>
    <row r="60" spans="1:12" ht="15">
      <c r="A60" s="29"/>
      <c r="B60" s="29"/>
      <c r="C60" s="29"/>
      <c r="D60" s="30" t="s">
        <v>2001</v>
      </c>
      <c r="E60" s="29"/>
      <c r="F60" s="29"/>
      <c r="G60" s="29"/>
      <c r="H60" s="30" t="s">
        <v>2002</v>
      </c>
      <c r="I60" s="29"/>
      <c r="J60" s="30" t="s">
        <v>1967</v>
      </c>
      <c r="K60" s="29"/>
      <c r="L60" s="30" t="s">
        <v>1968</v>
      </c>
    </row>
    <row r="61" spans="1:12" ht="15">
      <c r="A61" s="29"/>
      <c r="B61" s="29"/>
      <c r="C61" s="29"/>
      <c r="D61" s="30" t="s">
        <v>2004</v>
      </c>
      <c r="E61" s="29"/>
      <c r="F61" s="30" t="s">
        <v>1348</v>
      </c>
      <c r="G61" s="29"/>
      <c r="H61" s="30" t="s">
        <v>1294</v>
      </c>
      <c r="I61" s="29"/>
      <c r="J61" s="30" t="s">
        <v>2003</v>
      </c>
      <c r="K61" s="29"/>
      <c r="L61" s="30" t="s">
        <v>1365</v>
      </c>
    </row>
    <row r="62" spans="1:12" ht="15">
      <c r="A62" s="29"/>
      <c r="B62" s="29"/>
      <c r="C62" s="29"/>
      <c r="D62" s="30" t="s">
        <v>277</v>
      </c>
      <c r="E62" s="29"/>
      <c r="F62" s="30" t="s">
        <v>1366</v>
      </c>
      <c r="G62" s="29"/>
      <c r="H62" s="30" t="s">
        <v>2005</v>
      </c>
      <c r="I62" s="29"/>
      <c r="J62" s="30" t="s">
        <v>1365</v>
      </c>
      <c r="K62" s="29"/>
      <c r="L62" s="30" t="s">
        <v>2006</v>
      </c>
    </row>
    <row r="63" spans="1:12" ht="15">
      <c r="A63" s="29"/>
      <c r="B63" s="29"/>
      <c r="C63" s="29"/>
      <c r="D63" s="36" t="s">
        <v>2007</v>
      </c>
      <c r="E63" s="29"/>
      <c r="F63" s="36" t="s">
        <v>2007</v>
      </c>
      <c r="G63" s="29"/>
      <c r="H63" s="34" t="s">
        <v>2008</v>
      </c>
      <c r="I63" s="29"/>
      <c r="J63" s="34" t="s">
        <v>278</v>
      </c>
      <c r="K63" s="29"/>
      <c r="L63" s="34" t="s">
        <v>1732</v>
      </c>
    </row>
    <row r="64" spans="1:12" ht="15">
      <c r="A64" s="29"/>
      <c r="B64" s="29"/>
      <c r="C64" s="29"/>
      <c r="D64" s="38" t="s">
        <v>1504</v>
      </c>
      <c r="E64" s="29"/>
      <c r="F64" s="38" t="s">
        <v>1505</v>
      </c>
      <c r="G64" s="32"/>
      <c r="H64" s="38" t="s">
        <v>2009</v>
      </c>
      <c r="I64" s="32"/>
      <c r="J64" s="38" t="s">
        <v>1507</v>
      </c>
      <c r="K64" s="32"/>
      <c r="L64" s="38" t="s">
        <v>1979</v>
      </c>
    </row>
    <row r="65" spans="1:12" ht="1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</row>
    <row r="66" spans="1:12" ht="15">
      <c r="A66" s="29" t="s">
        <v>1242</v>
      </c>
      <c r="B66" s="29" t="s">
        <v>229</v>
      </c>
      <c r="C66" s="29"/>
      <c r="D66" s="39">
        <f>+INPUT!L145</f>
        <v>38353</v>
      </c>
      <c r="E66" s="29"/>
      <c r="F66" s="39">
        <f>+INPUT!M145</f>
        <v>383750.25308652816</v>
      </c>
      <c r="G66" s="29"/>
      <c r="H66" s="87">
        <f>IF(D66&lt;=0,0,D66/F66)</f>
        <v>0.09994260509673762</v>
      </c>
      <c r="I66" s="29"/>
      <c r="J66" s="39">
        <f>+INPUT!O145</f>
        <v>353</v>
      </c>
      <c r="K66" s="86"/>
      <c r="L66" s="88">
        <f>ROUND(H66*J66,4)</f>
        <v>35.2797</v>
      </c>
    </row>
    <row r="67" spans="1:12" ht="15">
      <c r="A67" s="29"/>
      <c r="B67" s="29" t="s">
        <v>2011</v>
      </c>
      <c r="C67" s="29"/>
      <c r="D67" s="39">
        <f>+INPUT!L146</f>
        <v>19188</v>
      </c>
      <c r="E67" s="29"/>
      <c r="F67" s="39">
        <f>+INPUT!M146</f>
        <v>277431</v>
      </c>
      <c r="G67" s="29"/>
      <c r="H67" s="87">
        <f aca="true" t="shared" si="6" ref="H67:H89">IF(D67&lt;=0,0,D67/F67)</f>
        <v>0.06916314326805584</v>
      </c>
      <c r="I67" s="29"/>
      <c r="J67" s="39">
        <f>+INPUT!O146</f>
        <v>144</v>
      </c>
      <c r="K67" s="86"/>
      <c r="L67" s="88">
        <f aca="true" t="shared" si="7" ref="L67:L89">ROUND(H67*J67,4)</f>
        <v>9.9595</v>
      </c>
    </row>
    <row r="68" spans="1:12" ht="15">
      <c r="A68" s="29"/>
      <c r="B68" s="29" t="s">
        <v>2012</v>
      </c>
      <c r="C68" s="29"/>
      <c r="D68" s="39">
        <f>+INPUT!L147</f>
        <v>21934</v>
      </c>
      <c r="E68" s="29"/>
      <c r="F68" s="39">
        <f>+INPUT!M147</f>
        <v>21934</v>
      </c>
      <c r="G68" s="29"/>
      <c r="H68" s="87">
        <f t="shared" si="6"/>
        <v>1</v>
      </c>
      <c r="I68" s="29"/>
      <c r="J68" s="41">
        <f>+INPUT!O147</f>
        <v>10.662159176278227</v>
      </c>
      <c r="K68" s="29"/>
      <c r="L68" s="88">
        <f t="shared" si="7"/>
        <v>10.6622</v>
      </c>
    </row>
    <row r="69" spans="1:12" ht="15">
      <c r="A69" s="29"/>
      <c r="B69" s="29" t="s">
        <v>283</v>
      </c>
      <c r="C69" s="29"/>
      <c r="D69" s="39">
        <f>+INPUT!L148</f>
        <v>34546</v>
      </c>
      <c r="E69" s="29"/>
      <c r="F69" s="39">
        <f>+INPUT!M148</f>
        <v>34546</v>
      </c>
      <c r="G69" s="29"/>
      <c r="H69" s="87">
        <f>IF(D69&lt;=0,0,D69/F69)</f>
        <v>1</v>
      </c>
      <c r="I69" s="29"/>
      <c r="J69" s="41">
        <f>+INPUT!O148</f>
        <v>239.081730359022</v>
      </c>
      <c r="K69" s="29"/>
      <c r="L69" s="88">
        <f>ROUND(H69*J69,4)</f>
        <v>239.0817</v>
      </c>
    </row>
    <row r="70" spans="1:12" ht="15">
      <c r="A70" s="29"/>
      <c r="B70" s="29" t="s">
        <v>2013</v>
      </c>
      <c r="C70" s="29"/>
      <c r="D70" s="39">
        <f>+INPUT!L149</f>
        <v>42407</v>
      </c>
      <c r="E70" s="29"/>
      <c r="F70" s="39">
        <f>+INPUT!M149</f>
        <v>764586</v>
      </c>
      <c r="G70" s="29"/>
      <c r="H70" s="87">
        <f t="shared" si="6"/>
        <v>0.05546400274135284</v>
      </c>
      <c r="I70" s="29"/>
      <c r="J70" s="39">
        <f>+INPUT!O149</f>
        <v>1134</v>
      </c>
      <c r="K70" s="86"/>
      <c r="L70" s="88">
        <f t="shared" si="7"/>
        <v>62.8962</v>
      </c>
    </row>
    <row r="71" spans="1:12" ht="15">
      <c r="A71" s="29"/>
      <c r="B71" s="29" t="s">
        <v>2014</v>
      </c>
      <c r="C71" s="29"/>
      <c r="D71" s="39">
        <f>+INPUT!L150</f>
        <v>36827</v>
      </c>
      <c r="E71" s="29"/>
      <c r="F71" s="39">
        <f>+INPUT!M150</f>
        <v>812981</v>
      </c>
      <c r="G71" s="29"/>
      <c r="H71" s="87">
        <f t="shared" si="6"/>
        <v>0.04529872161834041</v>
      </c>
      <c r="I71" s="29"/>
      <c r="J71" s="39">
        <f>+INPUT!O150</f>
        <v>1072</v>
      </c>
      <c r="K71" s="86"/>
      <c r="L71" s="88">
        <f t="shared" si="7"/>
        <v>48.5602</v>
      </c>
    </row>
    <row r="72" spans="1:12" ht="15">
      <c r="A72" s="29"/>
      <c r="B72" s="29" t="s">
        <v>2015</v>
      </c>
      <c r="C72" s="29"/>
      <c r="D72" s="39">
        <f>+INPUT!L151</f>
        <v>8440</v>
      </c>
      <c r="E72" s="29"/>
      <c r="F72" s="39">
        <f>+INPUT!M151</f>
        <v>68104</v>
      </c>
      <c r="G72" s="29"/>
      <c r="H72" s="87">
        <f t="shared" si="6"/>
        <v>0.12392810994948902</v>
      </c>
      <c r="I72" s="29"/>
      <c r="J72" s="39">
        <f>+INPUT!O151</f>
        <v>725</v>
      </c>
      <c r="K72" s="29"/>
      <c r="L72" s="88">
        <f t="shared" si="7"/>
        <v>89.8479</v>
      </c>
    </row>
    <row r="73" spans="1:12" ht="15">
      <c r="A73" s="29"/>
      <c r="B73" s="29" t="s">
        <v>2016</v>
      </c>
      <c r="C73" s="29"/>
      <c r="D73" s="39">
        <f>+INPUT!L152</f>
        <v>5333</v>
      </c>
      <c r="E73" s="29"/>
      <c r="F73" s="39">
        <f>+INPUT!M152</f>
        <v>40407</v>
      </c>
      <c r="G73" s="29"/>
      <c r="H73" s="87">
        <f t="shared" si="6"/>
        <v>0.1319820823124706</v>
      </c>
      <c r="I73" s="29"/>
      <c r="J73" s="39">
        <f>+INPUT!O152</f>
        <v>418</v>
      </c>
      <c r="K73" s="29"/>
      <c r="L73" s="88">
        <f t="shared" si="7"/>
        <v>55.1685</v>
      </c>
    </row>
    <row r="74" spans="1:12" ht="15">
      <c r="A74" s="29"/>
      <c r="B74" s="29" t="s">
        <v>2017</v>
      </c>
      <c r="C74" s="29"/>
      <c r="D74" s="39">
        <f>+INPUT!L153</f>
        <v>4039</v>
      </c>
      <c r="E74" s="29"/>
      <c r="F74" s="39">
        <f>+INPUT!M153</f>
        <v>53143</v>
      </c>
      <c r="G74" s="29"/>
      <c r="H74" s="87">
        <f t="shared" si="6"/>
        <v>0.07600248386429069</v>
      </c>
      <c r="I74" s="29"/>
      <c r="J74" s="39">
        <f>+INPUT!O153</f>
        <v>564</v>
      </c>
      <c r="K74" s="29"/>
      <c r="L74" s="88">
        <f t="shared" si="7"/>
        <v>42.8654</v>
      </c>
    </row>
    <row r="75" spans="1:12" ht="15">
      <c r="A75" s="29"/>
      <c r="B75" s="29" t="s">
        <v>2018</v>
      </c>
      <c r="C75" s="29"/>
      <c r="D75" s="39">
        <f>+INPUT!L154</f>
        <v>37515</v>
      </c>
      <c r="E75" s="29"/>
      <c r="F75" s="39">
        <f>+INPUT!M154</f>
        <v>450045</v>
      </c>
      <c r="G75" s="29"/>
      <c r="H75" s="87">
        <f t="shared" si="6"/>
        <v>0.08335833083358331</v>
      </c>
      <c r="I75" s="29"/>
      <c r="J75" s="39">
        <f>+INPUT!O154</f>
        <v>233</v>
      </c>
      <c r="K75" s="29"/>
      <c r="L75" s="88">
        <f t="shared" si="7"/>
        <v>19.4225</v>
      </c>
    </row>
    <row r="76" spans="1:12" ht="15">
      <c r="A76" s="29"/>
      <c r="B76" s="29" t="s">
        <v>2019</v>
      </c>
      <c r="C76" s="29"/>
      <c r="D76" s="39">
        <f>+INPUT!L155</f>
        <v>18303</v>
      </c>
      <c r="E76" s="29"/>
      <c r="F76" s="39">
        <f>+INPUT!M155</f>
        <v>284909</v>
      </c>
      <c r="G76" s="29"/>
      <c r="H76" s="87">
        <f t="shared" si="6"/>
        <v>0.06424156485053122</v>
      </c>
      <c r="I76" s="29"/>
      <c r="J76" s="39">
        <f>+INPUT!O155</f>
        <v>126</v>
      </c>
      <c r="K76" s="29"/>
      <c r="L76" s="88">
        <f t="shared" si="7"/>
        <v>8.0944</v>
      </c>
    </row>
    <row r="77" spans="1:12" ht="15">
      <c r="A77" s="29"/>
      <c r="B77" s="29" t="s">
        <v>2020</v>
      </c>
      <c r="C77" s="29"/>
      <c r="D77" s="39">
        <f>+INPUT!L156</f>
        <v>14757</v>
      </c>
      <c r="E77" s="29"/>
      <c r="F77" s="39">
        <f>+INPUT!M156</f>
        <v>75423</v>
      </c>
      <c r="G77" s="29"/>
      <c r="H77" s="87">
        <f t="shared" si="6"/>
        <v>0.19565649735491827</v>
      </c>
      <c r="I77" s="29"/>
      <c r="J77" s="39">
        <f>+INPUT!O156</f>
        <v>1638</v>
      </c>
      <c r="K77" s="86"/>
      <c r="L77" s="88">
        <f t="shared" si="7"/>
        <v>320.4853</v>
      </c>
    </row>
    <row r="78" spans="1:12" ht="15">
      <c r="A78" s="29"/>
      <c r="B78" s="29" t="s">
        <v>2021</v>
      </c>
      <c r="C78" s="29"/>
      <c r="D78" s="39">
        <f>+INPUT!L157</f>
        <v>0</v>
      </c>
      <c r="E78" s="29"/>
      <c r="F78" s="39">
        <f>+INPUT!M157</f>
        <v>0</v>
      </c>
      <c r="G78" s="29"/>
      <c r="H78" s="87">
        <f t="shared" si="6"/>
        <v>0</v>
      </c>
      <c r="I78" s="29"/>
      <c r="J78" s="39">
        <f>+INPUT!O157</f>
        <v>0</v>
      </c>
      <c r="K78" s="86"/>
      <c r="L78" s="88">
        <f t="shared" si="7"/>
        <v>0</v>
      </c>
    </row>
    <row r="79" spans="1:12" ht="15">
      <c r="A79" s="29"/>
      <c r="B79" s="29" t="s">
        <v>2022</v>
      </c>
      <c r="C79" s="29"/>
      <c r="D79" s="39">
        <f>+INPUT!L158</f>
        <v>4992</v>
      </c>
      <c r="E79" s="29"/>
      <c r="F79" s="39">
        <f>+INPUT!M158</f>
        <v>34831</v>
      </c>
      <c r="G79" s="29"/>
      <c r="H79" s="87">
        <f t="shared" si="6"/>
        <v>0.14332060520800435</v>
      </c>
      <c r="I79" s="29"/>
      <c r="J79" s="39">
        <f>+INPUT!O158</f>
        <v>697</v>
      </c>
      <c r="K79" s="86"/>
      <c r="L79" s="88">
        <f t="shared" si="7"/>
        <v>99.8945</v>
      </c>
    </row>
    <row r="80" spans="1:12" ht="15">
      <c r="A80" s="29"/>
      <c r="B80" s="29" t="s">
        <v>2023</v>
      </c>
      <c r="C80" s="29"/>
      <c r="D80" s="39">
        <f>+INPUT!L159</f>
        <v>2158</v>
      </c>
      <c r="E80" s="29"/>
      <c r="F80" s="39">
        <f>+INPUT!M159</f>
        <v>17747</v>
      </c>
      <c r="G80" s="29"/>
      <c r="H80" s="87">
        <f t="shared" si="6"/>
        <v>0.1215980165661802</v>
      </c>
      <c r="I80" s="29"/>
      <c r="J80" s="39">
        <f>+INPUT!O159</f>
        <v>344</v>
      </c>
      <c r="K80" s="86"/>
      <c r="L80" s="88">
        <f t="shared" si="7"/>
        <v>41.8297</v>
      </c>
    </row>
    <row r="81" spans="1:12" ht="15">
      <c r="A81" s="29"/>
      <c r="B81" s="29" t="s">
        <v>2024</v>
      </c>
      <c r="C81" s="29"/>
      <c r="D81" s="39">
        <f>+INPUT!L160</f>
        <v>6141</v>
      </c>
      <c r="E81" s="45"/>
      <c r="F81" s="39">
        <f>+INPUT!M160</f>
        <v>256109</v>
      </c>
      <c r="G81" s="45"/>
      <c r="H81" s="129">
        <f t="shared" si="6"/>
        <v>0.023978071836600823</v>
      </c>
      <c r="I81" s="45"/>
      <c r="J81" s="39">
        <f>+INPUT!O160</f>
        <v>2170</v>
      </c>
      <c r="K81" s="45"/>
      <c r="L81" s="130">
        <f t="shared" si="7"/>
        <v>52.0324</v>
      </c>
    </row>
    <row r="82" spans="1:13" ht="16.5" hidden="1">
      <c r="A82" s="29"/>
      <c r="B82" s="51" t="s">
        <v>230</v>
      </c>
      <c r="C82" s="51"/>
      <c r="D82" s="41">
        <f>+INPUT!L161</f>
        <v>0</v>
      </c>
      <c r="E82" s="51"/>
      <c r="F82" s="41">
        <f>+INPUT!M161</f>
        <v>0</v>
      </c>
      <c r="G82" s="51"/>
      <c r="H82" s="166">
        <f>IF(D82&lt;=0,0,D82/F82)</f>
        <v>0</v>
      </c>
      <c r="I82" s="51"/>
      <c r="J82" s="41">
        <f>+INPUT!O161</f>
        <v>0</v>
      </c>
      <c r="K82" s="167"/>
      <c r="L82" s="168">
        <f>ROUND(H82*J82,4)</f>
        <v>0</v>
      </c>
      <c r="M82" s="28" t="s">
        <v>324</v>
      </c>
    </row>
    <row r="83" spans="1:12" ht="15">
      <c r="A83" s="29"/>
      <c r="B83" s="51" t="s">
        <v>231</v>
      </c>
      <c r="C83" s="51"/>
      <c r="D83" s="41">
        <f>+INPUT!L162</f>
        <v>10534</v>
      </c>
      <c r="E83" s="51"/>
      <c r="F83" s="41">
        <f>+INPUT!M162</f>
        <v>21379</v>
      </c>
      <c r="G83" s="51"/>
      <c r="H83" s="166">
        <f>IF(D83&lt;=0,0,D83/F83)</f>
        <v>0.49272650732026757</v>
      </c>
      <c r="I83" s="51"/>
      <c r="J83" s="41">
        <f>+INPUT!O162</f>
        <v>148</v>
      </c>
      <c r="K83" s="167"/>
      <c r="L83" s="168">
        <f>ROUND(H83*J83,4)</f>
        <v>72.9235</v>
      </c>
    </row>
    <row r="84" spans="1:13" ht="16.5" hidden="1">
      <c r="A84" s="29"/>
      <c r="B84" s="51" t="s">
        <v>232</v>
      </c>
      <c r="C84" s="51"/>
      <c r="D84" s="41">
        <f>+INPUT!L163</f>
        <v>0</v>
      </c>
      <c r="E84" s="51"/>
      <c r="F84" s="41">
        <f>+INPUT!M163</f>
        <v>0</v>
      </c>
      <c r="G84" s="51"/>
      <c r="H84" s="166">
        <f>IF(D84&lt;=0,0,D84/F84)</f>
        <v>0</v>
      </c>
      <c r="I84" s="51"/>
      <c r="J84" s="41">
        <f>+INPUT!O163</f>
        <v>0</v>
      </c>
      <c r="K84" s="167"/>
      <c r="L84" s="168">
        <f>ROUND(H84*J84,4)</f>
        <v>0</v>
      </c>
      <c r="M84" s="28" t="s">
        <v>324</v>
      </c>
    </row>
    <row r="85" spans="1:12" ht="15">
      <c r="A85" s="29"/>
      <c r="B85" s="29" t="s">
        <v>233</v>
      </c>
      <c r="C85" s="29"/>
      <c r="D85" s="39">
        <f>+INPUT!L164</f>
        <v>6175</v>
      </c>
      <c r="E85" s="29"/>
      <c r="F85" s="39">
        <f>+INPUT!M164</f>
        <v>18746</v>
      </c>
      <c r="G85" s="29"/>
      <c r="H85" s="87">
        <f>IF(D85&lt;=0,0,D85/F85)</f>
        <v>0.32940360610263525</v>
      </c>
      <c r="I85" s="29"/>
      <c r="J85" s="39">
        <f>+INPUT!O164</f>
        <v>131</v>
      </c>
      <c r="K85" s="86"/>
      <c r="L85" s="88">
        <f>ROUND(H85*J85,4)</f>
        <v>43.1519</v>
      </c>
    </row>
    <row r="86" spans="1:12" ht="15">
      <c r="A86" s="29"/>
      <c r="B86" s="29" t="s">
        <v>234</v>
      </c>
      <c r="C86" s="29"/>
      <c r="D86" s="44">
        <f>+INPUT!L165</f>
        <v>4938</v>
      </c>
      <c r="E86" s="29"/>
      <c r="F86" s="44">
        <f>+INPUT!M165</f>
        <v>25622</v>
      </c>
      <c r="G86" s="29"/>
      <c r="H86" s="89">
        <f>IF(D86&lt;=0,0,D86/F86)</f>
        <v>0.19272500195144798</v>
      </c>
      <c r="I86" s="29"/>
      <c r="J86" s="44">
        <f>+INPUT!O165</f>
        <v>182</v>
      </c>
      <c r="K86" s="29"/>
      <c r="L86" s="90">
        <f>ROUND(H86*J86,4)</f>
        <v>35.076</v>
      </c>
    </row>
    <row r="87" spans="1:12" ht="15">
      <c r="A87" s="29"/>
      <c r="B87" s="29" t="s">
        <v>1348</v>
      </c>
      <c r="C87" s="29"/>
      <c r="D87" s="39">
        <f>SUM(D66:D86)</f>
        <v>316580</v>
      </c>
      <c r="E87" s="29"/>
      <c r="F87" s="39">
        <f>SUM(F66:F86)</f>
        <v>3641693.2530865283</v>
      </c>
      <c r="G87" s="29"/>
      <c r="H87" s="87">
        <f t="shared" si="6"/>
        <v>0.08693208845409527</v>
      </c>
      <c r="I87" s="29"/>
      <c r="J87" s="39">
        <f>SUM(J66:J86)</f>
        <v>10328.7438895353</v>
      </c>
      <c r="K87" s="29"/>
      <c r="L87" s="115">
        <f>SUM(L66:L86)</f>
        <v>1287.2315</v>
      </c>
    </row>
    <row r="88" spans="1:12" ht="1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</row>
    <row r="89" spans="1:12" ht="15">
      <c r="A89" s="29" t="s">
        <v>1243</v>
      </c>
      <c r="B89" s="29" t="s">
        <v>2025</v>
      </c>
      <c r="C89" s="29"/>
      <c r="D89" s="39">
        <f>+INPUT!L166</f>
        <v>250</v>
      </c>
      <c r="E89" s="29"/>
      <c r="F89" s="39">
        <f>+INPUT!M166</f>
        <v>13358</v>
      </c>
      <c r="G89" s="29"/>
      <c r="H89" s="87">
        <f t="shared" si="6"/>
        <v>0.018715376553376253</v>
      </c>
      <c r="I89" s="29"/>
      <c r="J89" s="39">
        <f>+INPUT!O166</f>
        <v>110</v>
      </c>
      <c r="K89" s="29"/>
      <c r="L89" s="88">
        <f t="shared" si="7"/>
        <v>2.0587</v>
      </c>
    </row>
    <row r="90" spans="1:12" ht="15">
      <c r="A90" s="29"/>
      <c r="B90" s="29" t="s">
        <v>2026</v>
      </c>
      <c r="C90" s="29"/>
      <c r="D90" s="39">
        <f>+INPUT!L167</f>
        <v>0</v>
      </c>
      <c r="E90" s="29"/>
      <c r="F90" s="39">
        <f>+INPUT!M167</f>
        <v>0</v>
      </c>
      <c r="G90" s="29"/>
      <c r="H90" s="87">
        <f aca="true" t="shared" si="8" ref="H90:H108">IF(D90&lt;=0,0,D90/F90)</f>
        <v>0</v>
      </c>
      <c r="I90" s="29"/>
      <c r="J90" s="39">
        <f>+INPUT!O167</f>
        <v>0</v>
      </c>
      <c r="K90" s="86"/>
      <c r="L90" s="88">
        <f aca="true" t="shared" si="9" ref="L90:L108">ROUND(H90*J90,4)</f>
        <v>0</v>
      </c>
    </row>
    <row r="91" spans="1:12" ht="15">
      <c r="A91" s="29"/>
      <c r="B91" s="29" t="s">
        <v>2027</v>
      </c>
      <c r="C91" s="29"/>
      <c r="D91" s="39">
        <f>+INPUT!L168</f>
        <v>0</v>
      </c>
      <c r="E91" s="29"/>
      <c r="F91" s="39">
        <f>+INPUT!M168</f>
        <v>0</v>
      </c>
      <c r="G91" s="29"/>
      <c r="H91" s="87">
        <f t="shared" si="8"/>
        <v>0</v>
      </c>
      <c r="I91" s="29"/>
      <c r="J91" s="39">
        <f>+INPUT!O168</f>
        <v>0</v>
      </c>
      <c r="K91" s="29"/>
      <c r="L91" s="88">
        <f t="shared" si="9"/>
        <v>0</v>
      </c>
    </row>
    <row r="92" spans="1:12" ht="15">
      <c r="A92" s="29"/>
      <c r="B92" s="29" t="s">
        <v>2028</v>
      </c>
      <c r="C92" s="29"/>
      <c r="D92" s="39">
        <f>+INPUT!L169</f>
        <v>18818</v>
      </c>
      <c r="E92" s="29"/>
      <c r="F92" s="39">
        <f>+INPUT!M169</f>
        <v>52535</v>
      </c>
      <c r="G92" s="29"/>
      <c r="H92" s="87">
        <f t="shared" si="8"/>
        <v>0.3581992957076235</v>
      </c>
      <c r="I92" s="29"/>
      <c r="J92" s="39">
        <f>+INPUT!O169</f>
        <v>1264</v>
      </c>
      <c r="K92" s="86"/>
      <c r="L92" s="88">
        <f t="shared" si="9"/>
        <v>452.7639</v>
      </c>
    </row>
    <row r="93" spans="1:12" ht="15">
      <c r="A93" s="29"/>
      <c r="B93" s="29" t="s">
        <v>2029</v>
      </c>
      <c r="C93" s="29"/>
      <c r="D93" s="39">
        <f>+INPUT!L170</f>
        <v>639</v>
      </c>
      <c r="E93" s="29"/>
      <c r="F93" s="39">
        <f>+INPUT!M170</f>
        <v>48263</v>
      </c>
      <c r="G93" s="29"/>
      <c r="H93" s="87">
        <f t="shared" si="8"/>
        <v>0.013239956074011147</v>
      </c>
      <c r="I93" s="29"/>
      <c r="J93" s="39">
        <f>+INPUT!O170</f>
        <v>49</v>
      </c>
      <c r="K93" s="29"/>
      <c r="L93" s="88">
        <f t="shared" si="9"/>
        <v>0.6488</v>
      </c>
    </row>
    <row r="94" spans="1:12" ht="15">
      <c r="A94" s="29"/>
      <c r="B94" s="29" t="s">
        <v>241</v>
      </c>
      <c r="C94" s="29"/>
      <c r="D94" s="39">
        <f>+INPUT!L171</f>
        <v>56174</v>
      </c>
      <c r="E94" s="29"/>
      <c r="F94" s="39">
        <f>+INPUT!M171</f>
        <v>214887</v>
      </c>
      <c r="G94" s="29"/>
      <c r="H94" s="87">
        <f>IF(D94&lt;=0,0,D94/F94)</f>
        <v>0.2614118117894521</v>
      </c>
      <c r="I94" s="29"/>
      <c r="J94" s="39">
        <f>+INPUT!O171</f>
        <v>328</v>
      </c>
      <c r="K94" s="86"/>
      <c r="L94" s="88">
        <f>ROUND(H94*J94,4)</f>
        <v>85.7431</v>
      </c>
    </row>
    <row r="95" spans="1:12" ht="15">
      <c r="A95" s="29"/>
      <c r="B95" s="29" t="s">
        <v>242</v>
      </c>
      <c r="C95" s="29"/>
      <c r="D95" s="39">
        <f>+INPUT!L172</f>
        <v>72444</v>
      </c>
      <c r="E95" s="29"/>
      <c r="F95" s="39">
        <f>+INPUT!M172</f>
        <v>183362</v>
      </c>
      <c r="G95" s="29"/>
      <c r="H95" s="87">
        <f>IF(D95&lt;=0,0,D95/F95)</f>
        <v>0.3950873136200521</v>
      </c>
      <c r="I95" s="29"/>
      <c r="J95" s="39">
        <f>+INPUT!O172</f>
        <v>258</v>
      </c>
      <c r="K95" s="29"/>
      <c r="L95" s="88">
        <f>ROUND(H95*J95,4)</f>
        <v>101.9325</v>
      </c>
    </row>
    <row r="96" spans="1:12" ht="15">
      <c r="A96" s="29"/>
      <c r="B96" s="29" t="s">
        <v>1641</v>
      </c>
      <c r="C96" s="29"/>
      <c r="D96" s="39">
        <f>+INPUT!L173</f>
        <v>234</v>
      </c>
      <c r="E96" s="29"/>
      <c r="F96" s="39">
        <f>+INPUT!M173</f>
        <v>474</v>
      </c>
      <c r="G96" s="29"/>
      <c r="H96" s="87">
        <f aca="true" t="shared" si="10" ref="H96:H101">IF(D96&lt;=0,0,D96/F96)</f>
        <v>0.4936708860759494</v>
      </c>
      <c r="I96" s="29"/>
      <c r="J96" s="39">
        <f>+INPUT!O173</f>
        <v>0</v>
      </c>
      <c r="K96" s="29"/>
      <c r="L96" s="88">
        <f aca="true" t="shared" si="11" ref="L96:L101">ROUND(H96*J96,4)</f>
        <v>0</v>
      </c>
    </row>
    <row r="97" spans="1:12" ht="15">
      <c r="A97" s="29"/>
      <c r="B97" s="29" t="s">
        <v>1642</v>
      </c>
      <c r="C97" s="29"/>
      <c r="D97" s="39">
        <f>+INPUT!L174</f>
        <v>238</v>
      </c>
      <c r="E97" s="29"/>
      <c r="F97" s="39">
        <f>+INPUT!M174</f>
        <v>479</v>
      </c>
      <c r="G97" s="29"/>
      <c r="H97" s="87">
        <f t="shared" si="10"/>
        <v>0.4968684759916493</v>
      </c>
      <c r="I97" s="29"/>
      <c r="J97" s="39">
        <f>+INPUT!O174</f>
        <v>0</v>
      </c>
      <c r="K97" s="29"/>
      <c r="L97" s="88">
        <f t="shared" si="11"/>
        <v>0</v>
      </c>
    </row>
    <row r="98" spans="1:12" ht="15">
      <c r="A98" s="29"/>
      <c r="B98" s="29" t="s">
        <v>1643</v>
      </c>
      <c r="C98" s="29"/>
      <c r="D98" s="39">
        <f>+INPUT!L175</f>
        <v>244</v>
      </c>
      <c r="E98" s="29"/>
      <c r="F98" s="39">
        <f>+INPUT!M175</f>
        <v>501</v>
      </c>
      <c r="G98" s="29"/>
      <c r="H98" s="87">
        <f t="shared" si="10"/>
        <v>0.4870259481037924</v>
      </c>
      <c r="I98" s="29"/>
      <c r="J98" s="39">
        <f>+INPUT!O175</f>
        <v>0</v>
      </c>
      <c r="K98" s="29"/>
      <c r="L98" s="88">
        <f t="shared" si="11"/>
        <v>0</v>
      </c>
    </row>
    <row r="99" spans="1:12" ht="15">
      <c r="A99" s="29"/>
      <c r="B99" s="29" t="s">
        <v>1644</v>
      </c>
      <c r="C99" s="29"/>
      <c r="D99" s="39">
        <f>+INPUT!L176</f>
        <v>244</v>
      </c>
      <c r="E99" s="29"/>
      <c r="F99" s="39">
        <f>+INPUT!M176</f>
        <v>501</v>
      </c>
      <c r="G99" s="29"/>
      <c r="H99" s="87">
        <f t="shared" si="10"/>
        <v>0.4870259481037924</v>
      </c>
      <c r="I99" s="29"/>
      <c r="J99" s="39">
        <f>+INPUT!O176</f>
        <v>0</v>
      </c>
      <c r="K99" s="29"/>
      <c r="L99" s="88">
        <f t="shared" si="11"/>
        <v>0</v>
      </c>
    </row>
    <row r="100" spans="1:12" ht="15">
      <c r="A100" s="29"/>
      <c r="B100" s="29" t="s">
        <v>1645</v>
      </c>
      <c r="C100" s="29"/>
      <c r="D100" s="39">
        <f>+INPUT!L177</f>
        <v>277</v>
      </c>
      <c r="E100" s="29"/>
      <c r="F100" s="39">
        <f>+INPUT!M177</f>
        <v>277</v>
      </c>
      <c r="G100" s="29"/>
      <c r="H100" s="87">
        <f t="shared" si="10"/>
        <v>1</v>
      </c>
      <c r="I100" s="29"/>
      <c r="J100" s="39">
        <f>+INPUT!O177</f>
        <v>0</v>
      </c>
      <c r="K100" s="29"/>
      <c r="L100" s="88">
        <f t="shared" si="11"/>
        <v>0</v>
      </c>
    </row>
    <row r="101" spans="1:12" ht="15">
      <c r="A101" s="29"/>
      <c r="B101" s="29" t="s">
        <v>1646</v>
      </c>
      <c r="C101" s="29"/>
      <c r="D101" s="39">
        <f>+INPUT!L178</f>
        <v>244</v>
      </c>
      <c r="E101" s="29"/>
      <c r="F101" s="39">
        <f>+INPUT!M178</f>
        <v>502</v>
      </c>
      <c r="G101" s="29"/>
      <c r="H101" s="87">
        <f t="shared" si="10"/>
        <v>0.4860557768924303</v>
      </c>
      <c r="I101" s="29"/>
      <c r="J101" s="39">
        <f>+INPUT!O178</f>
        <v>0</v>
      </c>
      <c r="K101" s="29"/>
      <c r="L101" s="88">
        <f t="shared" si="11"/>
        <v>0</v>
      </c>
    </row>
    <row r="102" spans="1:12" ht="15">
      <c r="A102" s="29"/>
      <c r="B102" s="29" t="s">
        <v>1960</v>
      </c>
      <c r="C102" s="29"/>
      <c r="D102" s="39">
        <f>+INPUT!L179</f>
        <v>8078</v>
      </c>
      <c r="E102" s="29"/>
      <c r="F102" s="39">
        <f>+INPUT!M179</f>
        <v>18217</v>
      </c>
      <c r="G102" s="29"/>
      <c r="H102" s="87">
        <f>IF(D102&lt;=0,0,D102/F102)</f>
        <v>0.4434319591590273</v>
      </c>
      <c r="I102" s="29"/>
      <c r="J102" s="39">
        <f>+INPUT!O179</f>
        <v>0</v>
      </c>
      <c r="K102" s="29"/>
      <c r="L102" s="88">
        <f>ROUND(H102*J102,4)</f>
        <v>0</v>
      </c>
    </row>
    <row r="103" spans="1:12" ht="15">
      <c r="A103" s="29"/>
      <c r="B103" s="29" t="s">
        <v>1961</v>
      </c>
      <c r="C103" s="29"/>
      <c r="D103" s="39">
        <f>+INPUT!L180</f>
        <v>6037</v>
      </c>
      <c r="E103" s="29"/>
      <c r="F103" s="39">
        <f>+INPUT!M180</f>
        <v>14314</v>
      </c>
      <c r="G103" s="29"/>
      <c r="H103" s="87">
        <f>IF(D103&lt;=0,0,D103/F103)</f>
        <v>0.42175492524800895</v>
      </c>
      <c r="I103" s="29"/>
      <c r="J103" s="39">
        <f>+INPUT!O180</f>
        <v>0</v>
      </c>
      <c r="K103" s="29"/>
      <c r="L103" s="88">
        <f>ROUND(H103*J103,4)</f>
        <v>0</v>
      </c>
    </row>
    <row r="104" spans="1:12" ht="15">
      <c r="A104" s="29"/>
      <c r="B104" s="29" t="s">
        <v>2030</v>
      </c>
      <c r="C104" s="29"/>
      <c r="D104" s="39">
        <f>+INPUT!L181</f>
        <v>9603</v>
      </c>
      <c r="E104" s="29"/>
      <c r="F104" s="39">
        <f>+INPUT!M181</f>
        <v>13866</v>
      </c>
      <c r="G104" s="29"/>
      <c r="H104" s="87">
        <f t="shared" si="8"/>
        <v>0.692557334487235</v>
      </c>
      <c r="I104" s="29"/>
      <c r="J104" s="39">
        <f>+INPUT!O181</f>
        <v>261</v>
      </c>
      <c r="K104" s="86"/>
      <c r="L104" s="88">
        <f t="shared" si="9"/>
        <v>180.7575</v>
      </c>
    </row>
    <row r="105" spans="1:12" ht="15">
      <c r="A105" s="29"/>
      <c r="B105" s="29" t="s">
        <v>2031</v>
      </c>
      <c r="C105" s="29"/>
      <c r="D105" s="39">
        <f>+INPUT!L182</f>
        <v>12872</v>
      </c>
      <c r="E105" s="29"/>
      <c r="F105" s="39">
        <f>+INPUT!M182</f>
        <v>89911</v>
      </c>
      <c r="G105" s="29"/>
      <c r="H105" s="87">
        <f t="shared" si="8"/>
        <v>0.14316379530869416</v>
      </c>
      <c r="I105" s="29"/>
      <c r="J105" s="39">
        <f>+INPUT!O182</f>
        <v>12</v>
      </c>
      <c r="K105" s="29"/>
      <c r="L105" s="88">
        <f t="shared" si="9"/>
        <v>1.718</v>
      </c>
    </row>
    <row r="106" spans="1:12" ht="15">
      <c r="A106" s="29"/>
      <c r="B106" s="29" t="s">
        <v>2032</v>
      </c>
      <c r="C106" s="29"/>
      <c r="D106" s="39">
        <f>+INPUT!L183</f>
        <v>5182</v>
      </c>
      <c r="E106" s="29"/>
      <c r="F106" s="39">
        <f>+INPUT!M183</f>
        <v>66265</v>
      </c>
      <c r="G106" s="29"/>
      <c r="H106" s="87">
        <f t="shared" si="8"/>
        <v>0.07820116200105637</v>
      </c>
      <c r="I106" s="29"/>
      <c r="J106" s="39">
        <f>+INPUT!O183</f>
        <v>531</v>
      </c>
      <c r="K106" s="29"/>
      <c r="L106" s="88">
        <f t="shared" si="9"/>
        <v>41.5248</v>
      </c>
    </row>
    <row r="107" spans="1:12" ht="15">
      <c r="A107" s="29"/>
      <c r="B107" s="29" t="s">
        <v>2033</v>
      </c>
      <c r="C107" s="29"/>
      <c r="D107" s="39">
        <f>+INPUT!L184</f>
        <v>3460</v>
      </c>
      <c r="E107" s="29"/>
      <c r="F107" s="39">
        <f>+INPUT!M184</f>
        <v>80104</v>
      </c>
      <c r="G107" s="29"/>
      <c r="H107" s="87">
        <f t="shared" si="8"/>
        <v>0.04319384799760312</v>
      </c>
      <c r="I107" s="29"/>
      <c r="J107" s="39">
        <f>+INPUT!O184</f>
        <v>973</v>
      </c>
      <c r="K107" s="29"/>
      <c r="L107" s="88">
        <f t="shared" si="9"/>
        <v>42.0276</v>
      </c>
    </row>
    <row r="108" spans="1:12" ht="15">
      <c r="A108" s="29"/>
      <c r="B108" s="29" t="s">
        <v>2034</v>
      </c>
      <c r="C108" s="29"/>
      <c r="D108" s="39">
        <f>+INPUT!L185</f>
        <v>5430</v>
      </c>
      <c r="E108" s="45"/>
      <c r="F108" s="39">
        <f>+INPUT!M185</f>
        <v>65214</v>
      </c>
      <c r="G108" s="45"/>
      <c r="H108" s="129">
        <f t="shared" si="8"/>
        <v>0.08326432974514675</v>
      </c>
      <c r="I108" s="45"/>
      <c r="J108" s="39">
        <f>+INPUT!O185</f>
        <v>564</v>
      </c>
      <c r="K108" s="45"/>
      <c r="L108" s="130">
        <f t="shared" si="9"/>
        <v>46.9611</v>
      </c>
    </row>
    <row r="109" spans="1:12" ht="15">
      <c r="A109" s="29"/>
      <c r="B109" s="29" t="s">
        <v>689</v>
      </c>
      <c r="C109" s="29"/>
      <c r="D109" s="39">
        <f>+INPUT!L186</f>
        <v>12538</v>
      </c>
      <c r="E109" s="45"/>
      <c r="F109" s="39">
        <f>+INPUT!M186</f>
        <v>42114</v>
      </c>
      <c r="G109" s="45"/>
      <c r="H109" s="129">
        <f>IF(D109&lt;=0,0,D109/F109)</f>
        <v>0.29771572398727264</v>
      </c>
      <c r="I109" s="45"/>
      <c r="J109" s="39">
        <f>+INPUT!O186</f>
        <v>0</v>
      </c>
      <c r="K109" s="45"/>
      <c r="L109" s="130">
        <f>ROUND(H109*J109,4)</f>
        <v>0</v>
      </c>
    </row>
    <row r="110" spans="1:12" ht="15">
      <c r="A110" s="29"/>
      <c r="B110" s="29" t="s">
        <v>280</v>
      </c>
      <c r="C110" s="29"/>
      <c r="D110" s="44">
        <f>+INPUT!L187</f>
        <v>6908</v>
      </c>
      <c r="E110" s="29"/>
      <c r="F110" s="44">
        <f>+INPUT!M187</f>
        <v>231829</v>
      </c>
      <c r="G110" s="29"/>
      <c r="H110" s="89">
        <f>IF(D110&lt;=0,0,D110/F110)</f>
        <v>0.02979782512110219</v>
      </c>
      <c r="I110" s="29"/>
      <c r="J110" s="44">
        <f>+INPUT!O187</f>
        <v>510</v>
      </c>
      <c r="K110" s="29"/>
      <c r="L110" s="90">
        <f>ROUND(H110*J110,4)</f>
        <v>15.1969</v>
      </c>
    </row>
    <row r="111" spans="1:12" ht="15">
      <c r="A111" s="29"/>
      <c r="B111" s="29" t="s">
        <v>1348</v>
      </c>
      <c r="C111" s="29"/>
      <c r="D111" s="39">
        <f>SUM(D89:D110)</f>
        <v>219914</v>
      </c>
      <c r="E111" s="29"/>
      <c r="F111" s="39">
        <f>SUM(F89:F110)</f>
        <v>1136973</v>
      </c>
      <c r="G111" s="29"/>
      <c r="H111" s="87">
        <f>IF(D111&lt;=0,0,D111/F111)</f>
        <v>0.19342060013738233</v>
      </c>
      <c r="I111" s="29"/>
      <c r="J111" s="41">
        <f>SUM(J89:J110)</f>
        <v>4860</v>
      </c>
      <c r="K111" s="29"/>
      <c r="L111" s="88">
        <f>SUM(L89:L110)</f>
        <v>971.3328999999999</v>
      </c>
    </row>
    <row r="112" spans="1:12" ht="15">
      <c r="A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</row>
    <row r="113" spans="1:12" ht="15">
      <c r="A113" s="3" t="s">
        <v>1354</v>
      </c>
      <c r="B113" s="3" t="s">
        <v>2035</v>
      </c>
      <c r="C113" s="29"/>
      <c r="D113" s="29"/>
      <c r="E113" s="29"/>
      <c r="F113" s="29"/>
      <c r="G113" s="29"/>
      <c r="H113" s="29"/>
      <c r="I113" s="29"/>
      <c r="J113" s="29"/>
      <c r="K113" s="29"/>
      <c r="L113" s="29"/>
    </row>
    <row r="114" spans="2:12" ht="15">
      <c r="B114" s="3" t="s">
        <v>362</v>
      </c>
      <c r="C114" s="29"/>
      <c r="D114" s="29"/>
      <c r="E114" s="29"/>
      <c r="F114" s="29"/>
      <c r="G114" s="29"/>
      <c r="H114" s="29"/>
      <c r="I114" s="29"/>
      <c r="J114" s="29"/>
      <c r="K114" s="29"/>
      <c r="L114" s="29"/>
    </row>
    <row r="115" spans="2:12" ht="15">
      <c r="B115" s="24"/>
      <c r="C115" s="29"/>
      <c r="D115" s="29"/>
      <c r="E115" s="29"/>
      <c r="F115" s="29"/>
      <c r="G115" s="29"/>
      <c r="H115" s="29"/>
      <c r="I115" s="29"/>
      <c r="J115" s="29"/>
      <c r="K115" s="29"/>
      <c r="L115" s="29"/>
    </row>
    <row r="121" spans="4:6" ht="15">
      <c r="D121" s="17"/>
      <c r="F121" s="17"/>
    </row>
  </sheetData>
  <printOptions horizontalCentered="1" verticalCentered="1"/>
  <pageMargins left="0.25" right="0.25" top="0.24" bottom="0.25" header="0.18" footer="0.25"/>
  <pageSetup fitToHeight="2" horizontalDpi="600" verticalDpi="600" orientation="portrait" scale="88" r:id="rId1"/>
  <rowBreaks count="1" manualBreakCount="1">
    <brk id="53" max="1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M60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3" customWidth="1"/>
    <col min="2" max="3" width="9.140625" style="3" customWidth="1"/>
    <col min="4" max="4" width="10.7109375" style="3" customWidth="1"/>
    <col min="5" max="5" width="16.00390625" style="3" bestFit="1" customWidth="1"/>
    <col min="6" max="6" width="2.7109375" style="3" customWidth="1"/>
    <col min="7" max="7" width="14.57421875" style="3" bestFit="1" customWidth="1"/>
    <col min="8" max="8" width="9.140625" style="3" customWidth="1"/>
    <col min="9" max="9" width="22.140625" style="3" bestFit="1" customWidth="1"/>
    <col min="10" max="10" width="10.421875" style="3" bestFit="1" customWidth="1"/>
    <col min="11" max="11" width="9.140625" style="3" customWidth="1"/>
    <col min="12" max="13" width="12.421875" style="3" bestFit="1" customWidth="1"/>
    <col min="14" max="16384" width="9.140625" style="3" customWidth="1"/>
  </cols>
  <sheetData>
    <row r="1" spans="1:10" ht="16.5">
      <c r="A1" s="28" t="s">
        <v>1451</v>
      </c>
      <c r="B1" s="20" t="str">
        <f>INPUT!C1</f>
        <v>June 2009</v>
      </c>
      <c r="J1" s="28" t="s">
        <v>1955</v>
      </c>
    </row>
    <row r="4" ht="16.5">
      <c r="F4" s="19" t="s">
        <v>1491</v>
      </c>
    </row>
    <row r="5" ht="16.5">
      <c r="F5" s="19" t="s">
        <v>1603</v>
      </c>
    </row>
    <row r="6" ht="16.5">
      <c r="F6" s="19" t="s">
        <v>2036</v>
      </c>
    </row>
    <row r="7" ht="16.5">
      <c r="F7" s="19" t="s">
        <v>2052</v>
      </c>
    </row>
    <row r="8" ht="16.5">
      <c r="F8" s="53" t="s">
        <v>2053</v>
      </c>
    </row>
    <row r="13" spans="5:9" ht="16.5">
      <c r="E13" s="21"/>
      <c r="F13" s="22" t="s">
        <v>1400</v>
      </c>
      <c r="G13" s="21"/>
      <c r="I13" s="22" t="s">
        <v>2054</v>
      </c>
    </row>
    <row r="14" spans="5:9" ht="16.5">
      <c r="E14" s="84"/>
      <c r="F14" s="64"/>
      <c r="G14" s="84"/>
      <c r="I14" s="64"/>
    </row>
    <row r="15" spans="1:9" ht="16.5">
      <c r="A15" s="28" t="s">
        <v>2055</v>
      </c>
      <c r="E15" s="19" t="s">
        <v>1969</v>
      </c>
      <c r="G15" s="19" t="s">
        <v>1969</v>
      </c>
      <c r="I15" s="19" t="s">
        <v>1281</v>
      </c>
    </row>
    <row r="16" spans="5:9" ht="16.5">
      <c r="E16" s="91" t="s">
        <v>1262</v>
      </c>
      <c r="G16" s="91" t="s">
        <v>2056</v>
      </c>
      <c r="I16" s="53" t="s">
        <v>1970</v>
      </c>
    </row>
    <row r="17" spans="5:9" ht="15">
      <c r="E17" s="56" t="s">
        <v>1504</v>
      </c>
      <c r="G17" s="56" t="s">
        <v>1505</v>
      </c>
      <c r="I17" s="56" t="s">
        <v>2057</v>
      </c>
    </row>
    <row r="19" spans="3:9" ht="15">
      <c r="C19" s="3" t="s">
        <v>1239</v>
      </c>
      <c r="E19" s="17">
        <f>+INPUT!J199</f>
        <v>75463</v>
      </c>
      <c r="F19" s="17"/>
      <c r="G19" s="17">
        <f>ROUND(INPUT!C16*PAGE10!L36,0)</f>
        <v>34127</v>
      </c>
      <c r="H19" s="17"/>
      <c r="I19" s="17">
        <f>+G19-E19</f>
        <v>-41336</v>
      </c>
    </row>
    <row r="20" spans="3:9" ht="15">
      <c r="C20" s="3" t="s">
        <v>1240</v>
      </c>
      <c r="E20" s="17">
        <f>+INPUT!J200</f>
        <v>16925</v>
      </c>
      <c r="F20" s="17"/>
      <c r="G20" s="17">
        <f>ROUND(INPUT!C17*PAGE10!L42,0)</f>
        <v>6368</v>
      </c>
      <c r="H20" s="17"/>
      <c r="I20" s="17">
        <f>+G20-E20</f>
        <v>-10557</v>
      </c>
    </row>
    <row r="21" spans="3:9" ht="15">
      <c r="C21" s="3" t="s">
        <v>1241</v>
      </c>
      <c r="E21" s="17">
        <f>+INPUT!J201</f>
        <v>35381</v>
      </c>
      <c r="F21" s="17"/>
      <c r="G21" s="17">
        <f>ROUND(INPUT!C18*PAGE10!L52,0)</f>
        <v>22082</v>
      </c>
      <c r="H21" s="17"/>
      <c r="I21" s="17">
        <f>+G21-E21</f>
        <v>-13299</v>
      </c>
    </row>
    <row r="22" spans="3:9" ht="15">
      <c r="C22" s="3" t="s">
        <v>1242</v>
      </c>
      <c r="E22" s="17">
        <f>+INPUT!J202</f>
        <v>78041</v>
      </c>
      <c r="F22" s="17"/>
      <c r="G22" s="17">
        <f>ROUND(INPUT!C19*PAGE10!L87,0)</f>
        <v>40548</v>
      </c>
      <c r="H22" s="17"/>
      <c r="I22" s="17">
        <f>+G22-E22</f>
        <v>-37493</v>
      </c>
    </row>
    <row r="23" spans="3:13" ht="15">
      <c r="C23" s="3" t="s">
        <v>1243</v>
      </c>
      <c r="E23" s="27">
        <f>+INPUT!J203</f>
        <v>55557</v>
      </c>
      <c r="F23" s="17"/>
      <c r="G23" s="27">
        <f>ROUND(INPUT!C20*PAGE10!L111,0)</f>
        <v>112121</v>
      </c>
      <c r="H23" s="17"/>
      <c r="I23" s="27">
        <f>+G23-E23</f>
        <v>56564</v>
      </c>
      <c r="L23" s="2"/>
      <c r="M23" s="2"/>
    </row>
    <row r="24" spans="3:13" ht="15">
      <c r="C24" s="3" t="s">
        <v>1613</v>
      </c>
      <c r="E24" s="17">
        <f>SUM(E19:E23)</f>
        <v>261367</v>
      </c>
      <c r="F24" s="17"/>
      <c r="G24" s="17">
        <f>SUM(G19:G23)</f>
        <v>215246</v>
      </c>
      <c r="H24" s="17"/>
      <c r="I24" s="17">
        <f>SUM(I19:I23)</f>
        <v>-46121</v>
      </c>
      <c r="K24" s="17">
        <f>E24-G24</f>
        <v>46121</v>
      </c>
      <c r="L24" s="2">
        <f>72675.46-46121</f>
        <v>26554.460000000006</v>
      </c>
      <c r="M24" s="2"/>
    </row>
    <row r="25" spans="12:13" ht="15">
      <c r="L25" s="2"/>
      <c r="M25" s="2"/>
    </row>
    <row r="26" spans="1:9" ht="16.5">
      <c r="A26" s="28"/>
      <c r="E26" s="19" t="s">
        <v>1972</v>
      </c>
      <c r="G26" s="19" t="s">
        <v>1972</v>
      </c>
      <c r="I26" s="19" t="s">
        <v>1281</v>
      </c>
    </row>
    <row r="27" spans="5:9" ht="16.5">
      <c r="E27" s="91" t="s">
        <v>1262</v>
      </c>
      <c r="G27" s="91" t="s">
        <v>2056</v>
      </c>
      <c r="I27" s="53" t="s">
        <v>1973</v>
      </c>
    </row>
    <row r="28" spans="5:9" ht="15">
      <c r="E28" s="56" t="s">
        <v>1507</v>
      </c>
      <c r="G28" s="56" t="s">
        <v>1509</v>
      </c>
      <c r="I28" s="56" t="s">
        <v>1976</v>
      </c>
    </row>
    <row r="30" spans="3:9" ht="15">
      <c r="C30" s="3" t="s">
        <v>1239</v>
      </c>
      <c r="E30" s="17">
        <f>INPUT!L199</f>
        <v>334176</v>
      </c>
      <c r="F30" s="17"/>
      <c r="G30" s="17">
        <f>INPUT!O199</f>
        <v>3701</v>
      </c>
      <c r="H30" s="17"/>
      <c r="I30" s="17">
        <f>+G30-E30</f>
        <v>-330475</v>
      </c>
    </row>
    <row r="31" spans="3:9" ht="15">
      <c r="C31" s="3" t="s">
        <v>1240</v>
      </c>
      <c r="E31" s="17">
        <f>INPUT!L200</f>
        <v>46198</v>
      </c>
      <c r="F31" s="17"/>
      <c r="G31" s="17">
        <f>INPUT!O200</f>
        <v>978</v>
      </c>
      <c r="H31" s="17"/>
      <c r="I31" s="17">
        <f>+G31-E31</f>
        <v>-45220</v>
      </c>
    </row>
    <row r="32" spans="3:9" ht="15">
      <c r="C32" s="3" t="s">
        <v>1241</v>
      </c>
      <c r="E32" s="17">
        <f>INPUT!L201</f>
        <v>166703</v>
      </c>
      <c r="F32" s="17"/>
      <c r="G32" s="17">
        <f>INPUT!O201</f>
        <v>104256</v>
      </c>
      <c r="H32" s="17"/>
      <c r="I32" s="17">
        <f>+G32-E32</f>
        <v>-62447</v>
      </c>
    </row>
    <row r="33" spans="3:9" ht="15">
      <c r="C33" s="3" t="s">
        <v>1242</v>
      </c>
      <c r="E33" s="17">
        <f>INPUT!L202</f>
        <v>237441</v>
      </c>
      <c r="F33" s="17"/>
      <c r="G33" s="17">
        <f>INPUT!O202</f>
        <v>5244</v>
      </c>
      <c r="H33" s="17"/>
      <c r="I33" s="17">
        <f>+G33-E33</f>
        <v>-232197</v>
      </c>
    </row>
    <row r="34" spans="3:13" ht="15">
      <c r="C34" s="3" t="s">
        <v>1243</v>
      </c>
      <c r="E34" s="27">
        <f>INPUT!L203</f>
        <v>446912</v>
      </c>
      <c r="F34" s="17"/>
      <c r="G34" s="27">
        <f>INPUT!O203</f>
        <v>107491</v>
      </c>
      <c r="H34" s="17"/>
      <c r="I34" s="27">
        <f>+G34-E34</f>
        <v>-339421</v>
      </c>
      <c r="L34" s="2"/>
      <c r="M34" s="2"/>
    </row>
    <row r="35" spans="3:13" ht="15">
      <c r="C35" s="3" t="s">
        <v>1613</v>
      </c>
      <c r="E35" s="17">
        <f>SUM(E30:E34)</f>
        <v>1231430</v>
      </c>
      <c r="F35" s="17"/>
      <c r="G35" s="17">
        <f>SUM(G30:G34)</f>
        <v>221670</v>
      </c>
      <c r="H35" s="17"/>
      <c r="I35" s="17">
        <f>SUM(I30:I34)</f>
        <v>-1009760</v>
      </c>
      <c r="L35" s="2"/>
      <c r="M35" s="2"/>
    </row>
    <row r="36" spans="12:13" ht="15">
      <c r="L36" s="2"/>
      <c r="M36" s="2"/>
    </row>
    <row r="37" spans="12:13" ht="15">
      <c r="L37" s="2"/>
      <c r="M37" s="18"/>
    </row>
    <row r="38" spans="5:9" ht="16.5">
      <c r="E38" s="19" t="s">
        <v>2058</v>
      </c>
      <c r="G38" s="19"/>
      <c r="I38" s="19" t="s">
        <v>2058</v>
      </c>
    </row>
    <row r="39" spans="5:9" ht="16.5">
      <c r="E39" s="19" t="s">
        <v>2005</v>
      </c>
      <c r="G39" s="19"/>
      <c r="I39" s="19" t="s">
        <v>2005</v>
      </c>
    </row>
    <row r="40" spans="5:9" ht="16.5">
      <c r="E40" s="91" t="s">
        <v>2059</v>
      </c>
      <c r="G40" s="53"/>
      <c r="I40" s="91" t="s">
        <v>2056</v>
      </c>
    </row>
    <row r="41" spans="5:9" ht="15">
      <c r="E41" s="56" t="s">
        <v>1510</v>
      </c>
      <c r="G41" s="56"/>
      <c r="I41" s="56" t="s">
        <v>1977</v>
      </c>
    </row>
    <row r="43" spans="3:9" ht="15">
      <c r="C43" s="3" t="s">
        <v>1239</v>
      </c>
      <c r="E43" s="967">
        <f>+INPUT!M199</f>
        <v>27673793</v>
      </c>
      <c r="G43" s="17"/>
      <c r="I43" s="17">
        <f>+E43+I19+I30</f>
        <v>27301982</v>
      </c>
    </row>
    <row r="44" spans="3:9" ht="15">
      <c r="C44" s="3" t="s">
        <v>1240</v>
      </c>
      <c r="E44" s="967">
        <f>+INPUT!M200</f>
        <v>2812633</v>
      </c>
      <c r="G44" s="17"/>
      <c r="I44" s="17">
        <f>+E44+I20+I31</f>
        <v>2756856</v>
      </c>
    </row>
    <row r="45" spans="3:9" ht="15">
      <c r="C45" s="3" t="s">
        <v>1241</v>
      </c>
      <c r="E45" s="967">
        <f>+INPUT!M201</f>
        <v>11692284</v>
      </c>
      <c r="G45" s="17"/>
      <c r="I45" s="17">
        <f>+E45+I21+I32</f>
        <v>11616538</v>
      </c>
    </row>
    <row r="46" spans="3:9" ht="15">
      <c r="C46" s="3" t="s">
        <v>1242</v>
      </c>
      <c r="E46" s="967">
        <f>+INPUT!M202</f>
        <v>16379717</v>
      </c>
      <c r="G46" s="17"/>
      <c r="I46" s="17">
        <f>+E46+I22+I33</f>
        <v>16110027</v>
      </c>
    </row>
    <row r="47" spans="3:9" ht="15">
      <c r="C47" s="3" t="s">
        <v>1243</v>
      </c>
      <c r="E47" s="968">
        <f>+INPUT!M203</f>
        <v>12151485</v>
      </c>
      <c r="G47" s="60"/>
      <c r="I47" s="27">
        <f>+E47+I23+I34</f>
        <v>11868628</v>
      </c>
    </row>
    <row r="48" spans="3:9" ht="15">
      <c r="C48" s="3" t="s">
        <v>1613</v>
      </c>
      <c r="E48" s="17">
        <f>SUM(E43:E47)</f>
        <v>70709912</v>
      </c>
      <c r="G48" s="17"/>
      <c r="I48" s="17">
        <f>SUM(I43:I47)</f>
        <v>69654031</v>
      </c>
    </row>
    <row r="51" ht="15">
      <c r="I51" s="17"/>
    </row>
    <row r="52" spans="5:9" ht="15">
      <c r="E52" s="280" t="s">
        <v>1967</v>
      </c>
      <c r="G52" s="280" t="s">
        <v>1966</v>
      </c>
      <c r="I52" s="17"/>
    </row>
    <row r="53" spans="1:9" ht="15">
      <c r="A53" s="3" t="s">
        <v>1354</v>
      </c>
      <c r="B53" s="24" t="s">
        <v>2061</v>
      </c>
      <c r="E53" s="92">
        <f>+INPUT!C12</f>
        <v>67.6</v>
      </c>
      <c r="G53" s="286">
        <f>INPUT!C13</f>
        <v>1390.11</v>
      </c>
      <c r="I53" s="17"/>
    </row>
    <row r="54" spans="2:9" ht="15">
      <c r="B54" s="24" t="s">
        <v>188</v>
      </c>
      <c r="E54" s="92">
        <f>+INPUT!C16</f>
        <v>28.27</v>
      </c>
      <c r="G54" s="92">
        <f>INPUT!D16</f>
        <v>15.26</v>
      </c>
      <c r="I54" s="17"/>
    </row>
    <row r="55" spans="2:9" ht="15">
      <c r="B55" s="3" t="s">
        <v>186</v>
      </c>
      <c r="E55" s="92">
        <f>+INPUT!C17</f>
        <v>25.98</v>
      </c>
      <c r="G55" s="92">
        <f>INPUT!D17</f>
        <v>29.21</v>
      </c>
      <c r="I55" s="17"/>
    </row>
    <row r="56" spans="2:7" ht="15">
      <c r="B56" s="3" t="s">
        <v>187</v>
      </c>
      <c r="E56" s="92">
        <f>+INPUT!C18</f>
        <v>37.06</v>
      </c>
      <c r="G56" s="92">
        <f>INPUT!D18</f>
        <v>867.4300000000001</v>
      </c>
    </row>
    <row r="57" spans="2:7" ht="15">
      <c r="B57" s="3" t="s">
        <v>2062</v>
      </c>
      <c r="E57" s="92">
        <f>+INPUT!C19</f>
        <v>31.5</v>
      </c>
      <c r="G57" s="92">
        <f>INPUT!D19</f>
        <v>30.75</v>
      </c>
    </row>
    <row r="58" spans="2:7" ht="15">
      <c r="B58" s="3" t="s">
        <v>2063</v>
      </c>
      <c r="E58" s="92">
        <f>+INPUT!C20</f>
        <v>115.43</v>
      </c>
      <c r="G58" s="92">
        <f>INPUT!D20</f>
        <v>336.83</v>
      </c>
    </row>
    <row r="59" spans="5:7" ht="15">
      <c r="E59" s="92"/>
      <c r="G59" s="92"/>
    </row>
    <row r="60" ht="15">
      <c r="B60" s="24" t="s">
        <v>1971</v>
      </c>
    </row>
  </sheetData>
  <printOptions/>
  <pageMargins left="0.25" right="0.25" top="0.25" bottom="0.25" header="0" footer="0"/>
  <pageSetup fitToHeight="1" fitToWidth="1" horizontalDpi="600" verticalDpi="600" orientation="portrait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I41"/>
  <sheetViews>
    <sheetView workbookViewId="0" topLeftCell="A1">
      <selection activeCell="A1" sqref="A1"/>
    </sheetView>
  </sheetViews>
  <sheetFormatPr defaultColWidth="9.140625" defaultRowHeight="12.75"/>
  <cols>
    <col min="1" max="1" width="100.7109375" style="0" customWidth="1"/>
  </cols>
  <sheetData>
    <row r="1" spans="1:2" ht="19.5">
      <c r="A1" s="506" t="s">
        <v>1894</v>
      </c>
      <c r="B1" s="514"/>
    </row>
    <row r="2" spans="1:2" ht="19.5">
      <c r="A2" s="515"/>
      <c r="B2" s="514"/>
    </row>
    <row r="3" spans="1:2" ht="19.5">
      <c r="A3" s="506" t="s">
        <v>1895</v>
      </c>
      <c r="B3" s="514"/>
    </row>
    <row r="4" spans="1:2" ht="19.5">
      <c r="A4" s="515" t="s">
        <v>1896</v>
      </c>
      <c r="B4" s="514"/>
    </row>
    <row r="5" spans="1:2" ht="19.5">
      <c r="A5" s="506" t="s">
        <v>1897</v>
      </c>
      <c r="B5" s="514"/>
    </row>
    <row r="6" spans="1:2" ht="19.5">
      <c r="A6" s="515"/>
      <c r="B6" s="514"/>
    </row>
    <row r="7" spans="1:2" ht="19.5">
      <c r="A7" s="516" t="s">
        <v>1931</v>
      </c>
      <c r="B7" s="515" t="s">
        <v>1932</v>
      </c>
    </row>
    <row r="8" spans="1:2" ht="19.5">
      <c r="A8" s="517" t="s">
        <v>1898</v>
      </c>
      <c r="B8" s="515"/>
    </row>
    <row r="9" spans="1:2" ht="19.5">
      <c r="A9" s="517" t="s">
        <v>1899</v>
      </c>
      <c r="B9" s="515"/>
    </row>
    <row r="10" spans="1:2" ht="19.5">
      <c r="A10" s="517" t="s">
        <v>1900</v>
      </c>
      <c r="B10" s="515"/>
    </row>
    <row r="11" spans="1:2" ht="19.5">
      <c r="A11" s="517"/>
      <c r="B11" s="515"/>
    </row>
    <row r="12" spans="1:2" ht="19.5">
      <c r="A12" s="516" t="s">
        <v>1933</v>
      </c>
      <c r="B12" s="515" t="s">
        <v>1934</v>
      </c>
    </row>
    <row r="13" spans="1:2" ht="19.5">
      <c r="A13" s="517" t="s">
        <v>1901</v>
      </c>
      <c r="B13" s="515"/>
    </row>
    <row r="14" spans="1:2" ht="19.5">
      <c r="A14" s="517"/>
      <c r="B14" s="515"/>
    </row>
    <row r="15" spans="1:2" ht="19.5">
      <c r="A15" s="516" t="s">
        <v>1903</v>
      </c>
      <c r="B15" s="515"/>
    </row>
    <row r="16" spans="1:2" ht="19.5">
      <c r="A16" s="516" t="s">
        <v>1935</v>
      </c>
      <c r="B16" s="515" t="s">
        <v>1936</v>
      </c>
    </row>
    <row r="17" spans="1:2" ht="19.5">
      <c r="A17" s="517" t="s">
        <v>1904</v>
      </c>
      <c r="B17" s="515"/>
    </row>
    <row r="18" spans="1:2" ht="19.5">
      <c r="A18" s="517" t="s">
        <v>1905</v>
      </c>
      <c r="B18" s="515"/>
    </row>
    <row r="19" spans="1:2" ht="19.5">
      <c r="A19" s="517" t="s">
        <v>1906</v>
      </c>
      <c r="B19" s="515"/>
    </row>
    <row r="20" spans="1:2" ht="19.5">
      <c r="A20" s="517" t="s">
        <v>1907</v>
      </c>
      <c r="B20" s="515"/>
    </row>
    <row r="21" spans="1:2" ht="19.5">
      <c r="A21" s="517"/>
      <c r="B21" s="515"/>
    </row>
    <row r="22" spans="1:2" ht="19.5">
      <c r="A22" s="516" t="s">
        <v>1937</v>
      </c>
      <c r="B22" s="515" t="s">
        <v>1938</v>
      </c>
    </row>
    <row r="23" spans="1:2" ht="19.5">
      <c r="A23" s="517" t="s">
        <v>1908</v>
      </c>
      <c r="B23" s="515"/>
    </row>
    <row r="24" spans="1:2" ht="19.5">
      <c r="A24" s="517" t="s">
        <v>1909</v>
      </c>
      <c r="B24" s="515"/>
    </row>
    <row r="25" spans="1:2" ht="19.5">
      <c r="A25" s="517" t="s">
        <v>1910</v>
      </c>
      <c r="B25" s="515"/>
    </row>
    <row r="26" spans="1:2" ht="19.5">
      <c r="A26" s="517" t="s">
        <v>1922</v>
      </c>
      <c r="B26" s="515"/>
    </row>
    <row r="27" spans="1:2" ht="19.5">
      <c r="A27" s="517"/>
      <c r="B27" s="515"/>
    </row>
    <row r="28" spans="1:2" ht="19.5">
      <c r="A28" s="516" t="s">
        <v>1923</v>
      </c>
      <c r="B28" s="515" t="s">
        <v>1924</v>
      </c>
    </row>
    <row r="29" spans="1:2" ht="19.5">
      <c r="A29" s="516" t="s">
        <v>1345</v>
      </c>
      <c r="B29" s="515"/>
    </row>
    <row r="30" spans="1:2" ht="19.5">
      <c r="A30" s="517" t="s">
        <v>1925</v>
      </c>
      <c r="B30" s="515"/>
    </row>
    <row r="31" spans="1:2" ht="19.5">
      <c r="A31" s="517" t="s">
        <v>1926</v>
      </c>
      <c r="B31" s="515"/>
    </row>
    <row r="32" spans="1:2" ht="19.5">
      <c r="A32" s="517"/>
      <c r="B32" s="515"/>
    </row>
    <row r="33" spans="1:2" ht="19.5" customHeight="1">
      <c r="A33" s="516" t="s">
        <v>1942</v>
      </c>
      <c r="B33" s="515"/>
    </row>
    <row r="34" spans="1:2" ht="19.5" customHeight="1">
      <c r="A34" s="516" t="s">
        <v>1943</v>
      </c>
      <c r="B34" s="515" t="s">
        <v>1939</v>
      </c>
    </row>
    <row r="35" spans="1:2" ht="19.5" customHeight="1">
      <c r="A35" s="516"/>
      <c r="B35" s="515"/>
    </row>
    <row r="36" spans="1:2" ht="19.5">
      <c r="A36" s="516" t="s">
        <v>1944</v>
      </c>
      <c r="B36" s="515"/>
    </row>
    <row r="37" spans="1:9" ht="19.5">
      <c r="A37" s="516" t="s">
        <v>1945</v>
      </c>
      <c r="B37" s="515" t="s">
        <v>1941</v>
      </c>
      <c r="I37" s="4" t="s">
        <v>1940</v>
      </c>
    </row>
    <row r="38" spans="1:2" ht="19.5">
      <c r="A38" s="517"/>
      <c r="B38" s="515"/>
    </row>
    <row r="39" spans="1:2" ht="19.5">
      <c r="A39" s="516" t="s">
        <v>1927</v>
      </c>
      <c r="B39" s="515" t="s">
        <v>1928</v>
      </c>
    </row>
    <row r="40" spans="1:2" ht="19.5">
      <c r="A40" s="516"/>
      <c r="B40" s="515"/>
    </row>
    <row r="41" spans="1:2" ht="19.5">
      <c r="A41" s="516" t="s">
        <v>1929</v>
      </c>
      <c r="B41" s="515" t="s">
        <v>1930</v>
      </c>
    </row>
  </sheetData>
  <printOptions/>
  <pageMargins left="0.75" right="0.75" top="1" bottom="1" header="0.5" footer="0.5"/>
  <pageSetup fitToHeight="1" fitToWidth="1" horizontalDpi="600" verticalDpi="600" orientation="portrait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B3:V6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6.7109375" style="3" customWidth="1"/>
    <col min="3" max="3" width="8.7109375" style="3" customWidth="1"/>
    <col min="4" max="4" width="6.7109375" style="3" customWidth="1"/>
    <col min="5" max="5" width="10.00390625" style="3" customWidth="1"/>
    <col min="6" max="7" width="6.7109375" style="3" customWidth="1"/>
    <col min="8" max="8" width="9.00390625" style="3" customWidth="1"/>
    <col min="9" max="9" width="6.7109375" style="3" customWidth="1"/>
    <col min="10" max="10" width="8.57421875" style="3" customWidth="1"/>
    <col min="11" max="11" width="9.00390625" style="3" customWidth="1"/>
    <col min="12" max="13" width="6.7109375" style="3" customWidth="1"/>
    <col min="14" max="14" width="10.421875" style="3" customWidth="1"/>
    <col min="15" max="16" width="6.7109375" style="3" customWidth="1"/>
    <col min="17" max="17" width="10.140625" style="3" customWidth="1"/>
    <col min="18" max="18" width="6.7109375" style="3" customWidth="1"/>
    <col min="19" max="19" width="12.7109375" style="3" customWidth="1"/>
    <col min="20" max="20" width="14.00390625" style="3" hidden="1" customWidth="1"/>
    <col min="21" max="21" width="10.00390625" style="3" customWidth="1"/>
    <col min="22" max="16384" width="9.140625" style="3" customWidth="1"/>
  </cols>
  <sheetData>
    <row r="3" ht="16.5">
      <c r="G3" s="518"/>
    </row>
    <row r="4" ht="16.5">
      <c r="Q4" s="19" t="s">
        <v>1401</v>
      </c>
    </row>
    <row r="6" ht="16.5">
      <c r="J6" s="19" t="s">
        <v>1402</v>
      </c>
    </row>
    <row r="7" ht="16.5">
      <c r="J7" s="19" t="s">
        <v>1403</v>
      </c>
    </row>
    <row r="8" ht="16.5">
      <c r="J8" s="28"/>
    </row>
    <row r="9" ht="16.5">
      <c r="J9" s="19" t="s">
        <v>32</v>
      </c>
    </row>
    <row r="10" ht="16.5">
      <c r="J10" s="28"/>
    </row>
    <row r="11" ht="16.5">
      <c r="J11" s="19" t="s">
        <v>94</v>
      </c>
    </row>
    <row r="12" ht="16.5">
      <c r="J12" s="266" t="s">
        <v>1817</v>
      </c>
    </row>
    <row r="13" ht="16.5">
      <c r="J13" s="266"/>
    </row>
    <row r="15" spans="3:19" ht="16.5">
      <c r="C15" s="81"/>
      <c r="D15" s="53"/>
      <c r="E15" s="53" t="s">
        <v>1404</v>
      </c>
      <c r="F15" s="53"/>
      <c r="H15" s="53" t="s">
        <v>1405</v>
      </c>
      <c r="J15" s="53"/>
      <c r="K15" s="53" t="s">
        <v>1406</v>
      </c>
      <c r="N15" s="53" t="s">
        <v>1407</v>
      </c>
      <c r="Q15" s="53" t="s">
        <v>1408</v>
      </c>
      <c r="S15" s="16"/>
    </row>
    <row r="16" ht="15">
      <c r="S16" s="16"/>
    </row>
    <row r="17" spans="4:20" ht="15">
      <c r="D17" s="58"/>
      <c r="E17" s="58">
        <v>0.34458</v>
      </c>
      <c r="F17" s="58"/>
      <c r="H17" s="58">
        <v>0.06943</v>
      </c>
      <c r="J17" s="58"/>
      <c r="K17" s="58">
        <v>0.17686</v>
      </c>
      <c r="N17" s="58">
        <v>0.22638</v>
      </c>
      <c r="Q17" s="58">
        <v>0.18275</v>
      </c>
      <c r="S17" s="430"/>
      <c r="T17" s="430">
        <f>E17+H17+K17+N17+Q17</f>
        <v>1</v>
      </c>
    </row>
    <row r="18" spans="4:19" ht="15">
      <c r="D18" s="58"/>
      <c r="E18" s="58"/>
      <c r="F18" s="58"/>
      <c r="H18" s="58"/>
      <c r="J18" s="58"/>
      <c r="K18" s="58"/>
      <c r="N18" s="58"/>
      <c r="Q18" s="58"/>
      <c r="S18" s="16"/>
    </row>
    <row r="19" ht="15">
      <c r="S19" s="16"/>
    </row>
    <row r="20" spans="10:19" ht="16.5">
      <c r="J20" s="19" t="s">
        <v>95</v>
      </c>
      <c r="S20" s="16" t="s">
        <v>1236</v>
      </c>
    </row>
    <row r="21" spans="10:19" ht="16.5">
      <c r="J21" s="19" t="s">
        <v>1422</v>
      </c>
      <c r="S21" s="16"/>
    </row>
    <row r="22" spans="10:19" ht="16.5">
      <c r="J22" s="19" t="s">
        <v>1423</v>
      </c>
      <c r="S22" s="16"/>
    </row>
    <row r="23" ht="15">
      <c r="S23" s="16"/>
    </row>
    <row r="24" ht="15">
      <c r="S24" s="16"/>
    </row>
    <row r="25" spans="2:19" ht="16.5">
      <c r="B25" s="1017"/>
      <c r="C25" s="1018"/>
      <c r="D25" s="267"/>
      <c r="E25" s="267" t="s">
        <v>1404</v>
      </c>
      <c r="F25" s="267"/>
      <c r="G25" s="267"/>
      <c r="H25" s="267" t="s">
        <v>1405</v>
      </c>
      <c r="I25" s="267"/>
      <c r="J25" s="267"/>
      <c r="K25" s="267" t="s">
        <v>1406</v>
      </c>
      <c r="L25" s="267"/>
      <c r="M25" s="1017" t="s">
        <v>1407</v>
      </c>
      <c r="N25" s="1019"/>
      <c r="O25" s="1018"/>
      <c r="P25" s="267"/>
      <c r="Q25" s="267" t="s">
        <v>1408</v>
      </c>
      <c r="R25" s="267"/>
      <c r="S25" s="16"/>
    </row>
    <row r="26" spans="2:21" ht="16.5">
      <c r="B26" s="267" t="s">
        <v>134</v>
      </c>
      <c r="C26" s="267" t="s">
        <v>1348</v>
      </c>
      <c r="D26" s="267" t="s">
        <v>1424</v>
      </c>
      <c r="E26" s="267" t="s">
        <v>1425</v>
      </c>
      <c r="F26" s="267" t="s">
        <v>1426</v>
      </c>
      <c r="G26" s="267" t="s">
        <v>1424</v>
      </c>
      <c r="H26" s="267" t="s">
        <v>1425</v>
      </c>
      <c r="I26" s="267" t="s">
        <v>1426</v>
      </c>
      <c r="J26" s="267" t="s">
        <v>1424</v>
      </c>
      <c r="K26" s="267" t="s">
        <v>1425</v>
      </c>
      <c r="L26" s="267" t="s">
        <v>1426</v>
      </c>
      <c r="M26" s="267" t="s">
        <v>1424</v>
      </c>
      <c r="N26" s="267" t="s">
        <v>1425</v>
      </c>
      <c r="O26" s="267" t="s">
        <v>1426</v>
      </c>
      <c r="P26" s="267" t="s">
        <v>1424</v>
      </c>
      <c r="Q26" s="267" t="s">
        <v>1425</v>
      </c>
      <c r="R26" s="267" t="s">
        <v>1426</v>
      </c>
      <c r="S26" s="430" t="s">
        <v>1236</v>
      </c>
      <c r="T26" s="430"/>
      <c r="U26" s="430"/>
    </row>
    <row r="27" spans="2:21" ht="15">
      <c r="B27" s="268" t="s">
        <v>481</v>
      </c>
      <c r="C27" s="269">
        <v>16376</v>
      </c>
      <c r="D27" s="268" t="s">
        <v>482</v>
      </c>
      <c r="E27" s="268" t="s">
        <v>624</v>
      </c>
      <c r="F27" s="269">
        <v>4662</v>
      </c>
      <c r="G27" s="268" t="s">
        <v>294</v>
      </c>
      <c r="H27" s="268" t="s">
        <v>623</v>
      </c>
      <c r="I27" s="269">
        <v>1000</v>
      </c>
      <c r="J27" s="268" t="s">
        <v>679</v>
      </c>
      <c r="K27" s="268" t="s">
        <v>622</v>
      </c>
      <c r="L27" s="269">
        <v>3400</v>
      </c>
      <c r="M27" s="268" t="s">
        <v>482</v>
      </c>
      <c r="N27" s="268" t="s">
        <v>625</v>
      </c>
      <c r="O27" s="269">
        <v>3957</v>
      </c>
      <c r="P27" s="268" t="s">
        <v>679</v>
      </c>
      <c r="Q27" s="268" t="s">
        <v>622</v>
      </c>
      <c r="R27" s="269">
        <v>3357</v>
      </c>
      <c r="S27" s="430" t="s">
        <v>1236</v>
      </c>
      <c r="T27" s="430"/>
      <c r="U27" s="430"/>
    </row>
    <row r="28" spans="2:21" s="73" customFormat="1" ht="15">
      <c r="B28" s="268" t="s">
        <v>1802</v>
      </c>
      <c r="C28" s="269">
        <v>16952</v>
      </c>
      <c r="D28" s="268" t="s">
        <v>1429</v>
      </c>
      <c r="E28" s="268" t="s">
        <v>378</v>
      </c>
      <c r="F28" s="269">
        <v>5314</v>
      </c>
      <c r="G28" s="268" t="s">
        <v>1429</v>
      </c>
      <c r="H28" s="268" t="s">
        <v>378</v>
      </c>
      <c r="I28" s="269">
        <v>1141</v>
      </c>
      <c r="J28" s="268" t="s">
        <v>378</v>
      </c>
      <c r="K28" s="268" t="s">
        <v>309</v>
      </c>
      <c r="L28" s="269">
        <v>3181</v>
      </c>
      <c r="M28" s="268" t="s">
        <v>378</v>
      </c>
      <c r="N28" s="268" t="s">
        <v>1429</v>
      </c>
      <c r="O28" s="269">
        <v>4156</v>
      </c>
      <c r="P28" s="268" t="s">
        <v>679</v>
      </c>
      <c r="Q28" s="268" t="s">
        <v>622</v>
      </c>
      <c r="R28" s="269">
        <v>3160</v>
      </c>
      <c r="S28" s="430" t="s">
        <v>1236</v>
      </c>
      <c r="T28" s="430"/>
      <c r="U28" s="430"/>
    </row>
    <row r="29" spans="2:21" s="73" customFormat="1" ht="15">
      <c r="B29" s="268" t="s">
        <v>1559</v>
      </c>
      <c r="C29" s="269">
        <v>20564</v>
      </c>
      <c r="D29" s="268" t="s">
        <v>959</v>
      </c>
      <c r="E29" s="268" t="s">
        <v>1429</v>
      </c>
      <c r="F29" s="269">
        <v>7381</v>
      </c>
      <c r="G29" s="268" t="s">
        <v>959</v>
      </c>
      <c r="H29" s="268" t="s">
        <v>1429</v>
      </c>
      <c r="I29" s="269">
        <v>1556</v>
      </c>
      <c r="J29" s="268" t="s">
        <v>380</v>
      </c>
      <c r="K29" s="268" t="s">
        <v>1428</v>
      </c>
      <c r="L29" s="269">
        <v>3397</v>
      </c>
      <c r="M29" s="268" t="s">
        <v>380</v>
      </c>
      <c r="N29" s="268" t="s">
        <v>407</v>
      </c>
      <c r="O29" s="269">
        <v>4670</v>
      </c>
      <c r="P29" s="268" t="s">
        <v>380</v>
      </c>
      <c r="Q29" s="268" t="s">
        <v>407</v>
      </c>
      <c r="R29" s="269">
        <v>3560</v>
      </c>
      <c r="S29" s="430" t="s">
        <v>1236</v>
      </c>
      <c r="T29" s="430"/>
      <c r="U29" s="430"/>
    </row>
    <row r="30" spans="2:21" ht="15">
      <c r="B30" s="268" t="s">
        <v>969</v>
      </c>
      <c r="C30" s="269">
        <v>21624</v>
      </c>
      <c r="D30" s="268" t="s">
        <v>970</v>
      </c>
      <c r="E30" s="268" t="s">
        <v>1429</v>
      </c>
      <c r="F30" s="269">
        <v>7941</v>
      </c>
      <c r="G30" s="268" t="s">
        <v>970</v>
      </c>
      <c r="H30" s="268" t="s">
        <v>1429</v>
      </c>
      <c r="I30" s="269">
        <v>1585</v>
      </c>
      <c r="J30" s="268" t="s">
        <v>383</v>
      </c>
      <c r="K30" s="268" t="s">
        <v>1428</v>
      </c>
      <c r="L30" s="269">
        <v>3556</v>
      </c>
      <c r="M30" s="268" t="s">
        <v>383</v>
      </c>
      <c r="N30" s="268" t="s">
        <v>289</v>
      </c>
      <c r="O30" s="269">
        <v>4832</v>
      </c>
      <c r="P30" s="268" t="s">
        <v>970</v>
      </c>
      <c r="Q30" s="268" t="s">
        <v>1429</v>
      </c>
      <c r="R30" s="269">
        <v>3710</v>
      </c>
      <c r="S30" s="430" t="s">
        <v>1236</v>
      </c>
      <c r="T30" s="430"/>
      <c r="U30" s="430"/>
    </row>
    <row r="31" spans="2:22" ht="15">
      <c r="B31" s="268" t="s">
        <v>886</v>
      </c>
      <c r="C31" s="269">
        <v>22616</v>
      </c>
      <c r="D31" s="268" t="s">
        <v>622</v>
      </c>
      <c r="E31" s="268" t="s">
        <v>1429</v>
      </c>
      <c r="F31" s="269">
        <v>8308</v>
      </c>
      <c r="G31" s="268" t="s">
        <v>622</v>
      </c>
      <c r="H31" s="268" t="s">
        <v>1428</v>
      </c>
      <c r="I31" s="269">
        <v>1674</v>
      </c>
      <c r="J31" s="268" t="s">
        <v>623</v>
      </c>
      <c r="K31" s="268" t="s">
        <v>2124</v>
      </c>
      <c r="L31" s="269">
        <v>3728</v>
      </c>
      <c r="M31" s="268" t="s">
        <v>407</v>
      </c>
      <c r="N31" s="268" t="s">
        <v>309</v>
      </c>
      <c r="O31" s="269">
        <v>4972</v>
      </c>
      <c r="P31" s="268" t="s">
        <v>623</v>
      </c>
      <c r="Q31" s="268" t="s">
        <v>407</v>
      </c>
      <c r="R31" s="269">
        <v>3934</v>
      </c>
      <c r="S31" s="430" t="s">
        <v>1236</v>
      </c>
      <c r="T31" s="430"/>
      <c r="U31" s="430"/>
      <c r="V31" s="3" t="s">
        <v>1236</v>
      </c>
    </row>
    <row r="32" spans="2:21" ht="15">
      <c r="B32" s="268" t="s">
        <v>1521</v>
      </c>
      <c r="C32" s="269">
        <v>20929</v>
      </c>
      <c r="D32" s="268" t="s">
        <v>294</v>
      </c>
      <c r="E32" s="268" t="s">
        <v>1428</v>
      </c>
      <c r="F32" s="269">
        <v>7423</v>
      </c>
      <c r="G32" s="268" t="s">
        <v>294</v>
      </c>
      <c r="H32" s="268" t="s">
        <v>1428</v>
      </c>
      <c r="I32" s="269">
        <v>1527</v>
      </c>
      <c r="J32" s="268" t="s">
        <v>289</v>
      </c>
      <c r="K32" s="268" t="s">
        <v>2124</v>
      </c>
      <c r="L32" s="269">
        <v>3608</v>
      </c>
      <c r="M32" s="268" t="s">
        <v>294</v>
      </c>
      <c r="N32" s="268" t="s">
        <v>161</v>
      </c>
      <c r="O32" s="269">
        <v>4691</v>
      </c>
      <c r="P32" s="268" t="s">
        <v>294</v>
      </c>
      <c r="Q32" s="268" t="s">
        <v>2124</v>
      </c>
      <c r="R32" s="269">
        <v>3680</v>
      </c>
      <c r="S32" s="430" t="s">
        <v>1236</v>
      </c>
      <c r="T32" s="430"/>
      <c r="U32" s="430"/>
    </row>
    <row r="33" spans="2:21" ht="15">
      <c r="B33" s="268" t="s">
        <v>1589</v>
      </c>
      <c r="C33" s="269">
        <v>19327</v>
      </c>
      <c r="D33" s="268" t="s">
        <v>2124</v>
      </c>
      <c r="E33" s="268" t="s">
        <v>1429</v>
      </c>
      <c r="F33" s="269">
        <v>6939</v>
      </c>
      <c r="G33" s="268" t="s">
        <v>294</v>
      </c>
      <c r="H33" s="268" t="s">
        <v>1428</v>
      </c>
      <c r="I33" s="269">
        <v>1392</v>
      </c>
      <c r="J33" s="268" t="s">
        <v>93</v>
      </c>
      <c r="K33" s="268" t="s">
        <v>2124</v>
      </c>
      <c r="L33" s="269">
        <v>3272</v>
      </c>
      <c r="M33" s="268" t="s">
        <v>2124</v>
      </c>
      <c r="N33" s="268" t="s">
        <v>407</v>
      </c>
      <c r="O33" s="269">
        <v>4431</v>
      </c>
      <c r="P33" s="268" t="s">
        <v>2124</v>
      </c>
      <c r="Q33" s="268" t="s">
        <v>2124</v>
      </c>
      <c r="R33" s="269">
        <v>3293</v>
      </c>
      <c r="S33" s="430" t="s">
        <v>1236</v>
      </c>
      <c r="T33" s="430"/>
      <c r="U33" s="430"/>
    </row>
    <row r="34" spans="2:21" ht="15">
      <c r="B34" s="268" t="s">
        <v>1388</v>
      </c>
      <c r="C34" s="269">
        <v>17869</v>
      </c>
      <c r="D34" s="268" t="s">
        <v>406</v>
      </c>
      <c r="E34" s="268" t="s">
        <v>1429</v>
      </c>
      <c r="F34" s="269">
        <v>6020</v>
      </c>
      <c r="G34" s="268" t="s">
        <v>406</v>
      </c>
      <c r="H34" s="268" t="s">
        <v>1429</v>
      </c>
      <c r="I34" s="269">
        <v>1212</v>
      </c>
      <c r="J34" s="268" t="s">
        <v>406</v>
      </c>
      <c r="K34" s="268" t="s">
        <v>378</v>
      </c>
      <c r="L34" s="269">
        <v>3230</v>
      </c>
      <c r="M34" s="268" t="s">
        <v>406</v>
      </c>
      <c r="N34" s="268" t="s">
        <v>378</v>
      </c>
      <c r="O34" s="268">
        <v>4307</v>
      </c>
      <c r="P34" s="268" t="s">
        <v>623</v>
      </c>
      <c r="Q34" s="268" t="s">
        <v>2124</v>
      </c>
      <c r="R34" s="269">
        <v>3100</v>
      </c>
      <c r="S34" s="430" t="s">
        <v>1236</v>
      </c>
      <c r="T34" s="430"/>
      <c r="U34" s="430"/>
    </row>
    <row r="35" spans="2:21" ht="15">
      <c r="B35" s="268" t="s">
        <v>958</v>
      </c>
      <c r="C35" s="269">
        <v>21010</v>
      </c>
      <c r="D35" s="268" t="s">
        <v>383</v>
      </c>
      <c r="E35" s="268" t="s">
        <v>622</v>
      </c>
      <c r="F35" s="269">
        <v>6126</v>
      </c>
      <c r="G35" s="268" t="s">
        <v>380</v>
      </c>
      <c r="H35" s="268" t="s">
        <v>622</v>
      </c>
      <c r="I35" s="269">
        <v>1204</v>
      </c>
      <c r="J35" s="268" t="s">
        <v>380</v>
      </c>
      <c r="K35" s="268" t="s">
        <v>2077</v>
      </c>
      <c r="L35" s="269">
        <v>4227</v>
      </c>
      <c r="M35" s="268" t="s">
        <v>959</v>
      </c>
      <c r="N35" s="268" t="s">
        <v>93</v>
      </c>
      <c r="O35" s="268">
        <v>5050</v>
      </c>
      <c r="P35" s="268" t="s">
        <v>959</v>
      </c>
      <c r="Q35" s="268" t="s">
        <v>622</v>
      </c>
      <c r="R35" s="269">
        <v>4403</v>
      </c>
      <c r="S35" s="430" t="s">
        <v>1236</v>
      </c>
      <c r="T35" s="430"/>
      <c r="U35" s="430"/>
    </row>
    <row r="36" spans="2:21" ht="15">
      <c r="B36" s="268" t="s">
        <v>292</v>
      </c>
      <c r="C36" s="269">
        <v>20833</v>
      </c>
      <c r="D36" s="268" t="s">
        <v>293</v>
      </c>
      <c r="E36" s="268" t="s">
        <v>622</v>
      </c>
      <c r="F36" s="269">
        <v>6095</v>
      </c>
      <c r="G36" s="268" t="s">
        <v>289</v>
      </c>
      <c r="H36" s="268" t="s">
        <v>623</v>
      </c>
      <c r="I36" s="269">
        <v>1170</v>
      </c>
      <c r="J36" s="268" t="s">
        <v>293</v>
      </c>
      <c r="K36" s="268" t="s">
        <v>623</v>
      </c>
      <c r="L36" s="269">
        <v>4217</v>
      </c>
      <c r="M36" s="268" t="s">
        <v>1427</v>
      </c>
      <c r="N36" s="268" t="s">
        <v>623</v>
      </c>
      <c r="O36" s="268">
        <v>5074</v>
      </c>
      <c r="P36" s="268" t="s">
        <v>294</v>
      </c>
      <c r="Q36" s="268" t="s">
        <v>622</v>
      </c>
      <c r="R36" s="269">
        <v>4277</v>
      </c>
      <c r="S36" s="430" t="s">
        <v>1236</v>
      </c>
      <c r="T36" s="430"/>
      <c r="U36" s="430"/>
    </row>
    <row r="37" spans="2:21" ht="15">
      <c r="B37" s="268" t="s">
        <v>288</v>
      </c>
      <c r="C37" s="269">
        <v>21682</v>
      </c>
      <c r="D37" s="268" t="s">
        <v>289</v>
      </c>
      <c r="E37" s="268" t="s">
        <v>623</v>
      </c>
      <c r="F37" s="269">
        <v>6493</v>
      </c>
      <c r="G37" s="268" t="s">
        <v>289</v>
      </c>
      <c r="H37" s="268" t="s">
        <v>622</v>
      </c>
      <c r="I37" s="269">
        <v>1247</v>
      </c>
      <c r="J37" s="268" t="s">
        <v>405</v>
      </c>
      <c r="K37" s="268" t="s">
        <v>624</v>
      </c>
      <c r="L37" s="269">
        <v>4264</v>
      </c>
      <c r="M37" s="268" t="s">
        <v>93</v>
      </c>
      <c r="N37" s="268" t="s">
        <v>623</v>
      </c>
      <c r="O37" s="268">
        <v>5298</v>
      </c>
      <c r="P37" s="268" t="s">
        <v>289</v>
      </c>
      <c r="Q37" s="268" t="s">
        <v>622</v>
      </c>
      <c r="R37" s="269">
        <v>4380</v>
      </c>
      <c r="S37" s="430" t="s">
        <v>1236</v>
      </c>
      <c r="T37" s="430"/>
      <c r="U37" s="430"/>
    </row>
    <row r="38" spans="2:21" ht="15">
      <c r="B38" s="268" t="s">
        <v>33</v>
      </c>
      <c r="C38" s="269">
        <v>21789</v>
      </c>
      <c r="D38" s="268" t="s">
        <v>1428</v>
      </c>
      <c r="E38" s="268" t="s">
        <v>622</v>
      </c>
      <c r="F38" s="269">
        <v>6542</v>
      </c>
      <c r="G38" s="268" t="s">
        <v>1428</v>
      </c>
      <c r="H38" s="268" t="s">
        <v>624</v>
      </c>
      <c r="I38" s="269">
        <v>1249</v>
      </c>
      <c r="J38" s="268" t="s">
        <v>1428</v>
      </c>
      <c r="K38" s="268" t="s">
        <v>625</v>
      </c>
      <c r="L38" s="269">
        <v>4134</v>
      </c>
      <c r="M38" s="268" t="s">
        <v>1428</v>
      </c>
      <c r="N38" s="268" t="s">
        <v>34</v>
      </c>
      <c r="O38" s="268">
        <v>5458</v>
      </c>
      <c r="P38" s="268" t="s">
        <v>1428</v>
      </c>
      <c r="Q38" s="268" t="s">
        <v>622</v>
      </c>
      <c r="R38" s="269">
        <v>4406</v>
      </c>
      <c r="S38" s="430" t="s">
        <v>1236</v>
      </c>
      <c r="T38" s="430"/>
      <c r="U38" s="430"/>
    </row>
    <row r="39" spans="19:21" ht="15">
      <c r="S39" s="16" t="s">
        <v>1236</v>
      </c>
      <c r="U39" s="430"/>
    </row>
    <row r="40" ht="15">
      <c r="S40" s="16" t="s">
        <v>1236</v>
      </c>
    </row>
    <row r="41" spans="10:19" ht="16.5">
      <c r="J41" s="19" t="s">
        <v>96</v>
      </c>
      <c r="R41" s="3" t="s">
        <v>1236</v>
      </c>
      <c r="S41" s="16" t="s">
        <v>1236</v>
      </c>
    </row>
    <row r="42" spans="10:19" ht="16.5">
      <c r="J42" s="19" t="s">
        <v>1445</v>
      </c>
      <c r="S42" s="16" t="s">
        <v>1236</v>
      </c>
    </row>
    <row r="43" spans="10:19" ht="16.5">
      <c r="J43" s="19" t="s">
        <v>1446</v>
      </c>
      <c r="S43" s="16"/>
    </row>
    <row r="44" spans="10:19" ht="16.5">
      <c r="J44" s="19" t="s">
        <v>1423</v>
      </c>
      <c r="S44" s="16"/>
    </row>
    <row r="45" ht="15">
      <c r="S45" s="16" t="s">
        <v>1236</v>
      </c>
    </row>
    <row r="46" ht="15">
      <c r="S46" s="16"/>
    </row>
    <row r="47" spans="3:19" ht="16.5">
      <c r="C47" s="53" t="s">
        <v>1348</v>
      </c>
      <c r="E47" s="53" t="s">
        <v>1404</v>
      </c>
      <c r="F47" s="53"/>
      <c r="H47" s="53" t="s">
        <v>1405</v>
      </c>
      <c r="J47" s="53"/>
      <c r="K47" s="53" t="s">
        <v>1406</v>
      </c>
      <c r="N47" s="53" t="s">
        <v>1407</v>
      </c>
      <c r="Q47" s="53" t="s">
        <v>1408</v>
      </c>
      <c r="S47" s="16"/>
    </row>
    <row r="48" spans="19:21" ht="15">
      <c r="S48" s="16"/>
      <c r="U48" s="3" t="s">
        <v>1236</v>
      </c>
    </row>
    <row r="49" spans="3:21" s="57" customFormat="1" ht="15">
      <c r="C49" s="57">
        <v>24110</v>
      </c>
      <c r="E49" s="57">
        <v>8308</v>
      </c>
      <c r="H49" s="57">
        <v>1674</v>
      </c>
      <c r="K49" s="57">
        <v>4264</v>
      </c>
      <c r="N49" s="57">
        <v>5458</v>
      </c>
      <c r="Q49" s="57">
        <v>4406</v>
      </c>
      <c r="S49" s="430"/>
      <c r="T49" s="431"/>
      <c r="U49" s="430"/>
    </row>
    <row r="50" ht="15">
      <c r="S50" s="16"/>
    </row>
    <row r="52" spans="2:19" ht="16.5">
      <c r="B52" s="82" t="s">
        <v>1447</v>
      </c>
      <c r="E52" s="56" t="s">
        <v>887</v>
      </c>
      <c r="F52" s="57"/>
      <c r="G52" s="57"/>
      <c r="H52" s="56" t="s">
        <v>888</v>
      </c>
      <c r="I52" s="57"/>
      <c r="J52" s="57"/>
      <c r="K52" s="56" t="s">
        <v>295</v>
      </c>
      <c r="L52" s="57"/>
      <c r="M52" s="57"/>
      <c r="N52" s="56" t="s">
        <v>35</v>
      </c>
      <c r="O52" s="57"/>
      <c r="P52" s="57"/>
      <c r="Q52" s="56" t="s">
        <v>36</v>
      </c>
      <c r="S52" s="3" t="s">
        <v>1236</v>
      </c>
    </row>
    <row r="55" ht="16.5">
      <c r="B55" s="28" t="s">
        <v>1957</v>
      </c>
    </row>
    <row r="56" ht="16.5">
      <c r="B56" s="28" t="s">
        <v>296</v>
      </c>
    </row>
    <row r="57" ht="16.5">
      <c r="B57" s="28"/>
    </row>
    <row r="58" ht="16.5">
      <c r="B58" s="28" t="s">
        <v>889</v>
      </c>
    </row>
    <row r="59" ht="16.5">
      <c r="B59" s="28"/>
    </row>
    <row r="60" ht="16.5">
      <c r="B60" s="28" t="s">
        <v>483</v>
      </c>
    </row>
    <row r="61" ht="16.5">
      <c r="B61" s="28"/>
    </row>
    <row r="62" ht="16.5">
      <c r="B62" s="28"/>
    </row>
    <row r="63" ht="16.5">
      <c r="B63" s="28"/>
    </row>
    <row r="64" ht="16.5">
      <c r="B64" s="28"/>
    </row>
    <row r="66" ht="16.5">
      <c r="B66" s="28"/>
    </row>
  </sheetData>
  <mergeCells count="2">
    <mergeCell ref="B25:C25"/>
    <mergeCell ref="M25:O25"/>
  </mergeCells>
  <printOptions horizontalCentered="1" verticalCentered="1"/>
  <pageMargins left="0.25" right="0.25" top="0.25" bottom="0.25" header="0.5" footer="0.5"/>
  <pageSetup fitToHeight="1" fitToWidth="1" horizontalDpi="600" verticalDpi="600" orientation="portrait" scale="6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3" customWidth="1"/>
    <col min="2" max="7" width="9.140625" style="3" customWidth="1"/>
    <col min="8" max="8" width="18.7109375" style="3" customWidth="1"/>
    <col min="9" max="9" width="14.421875" style="3" customWidth="1"/>
    <col min="10" max="16384" width="9.140625" style="3" customWidth="1"/>
  </cols>
  <sheetData>
    <row r="1" spans="1:9" ht="16.5">
      <c r="A1" s="28" t="s">
        <v>1451</v>
      </c>
      <c r="B1" s="20" t="str">
        <f>INPUT!C1</f>
        <v>June 2009</v>
      </c>
      <c r="I1" s="28" t="s">
        <v>2064</v>
      </c>
    </row>
    <row r="2" ht="16.5">
      <c r="E2" s="19" t="s">
        <v>2068</v>
      </c>
    </row>
    <row r="3" spans="5:9" ht="16.5">
      <c r="E3" s="53"/>
      <c r="I3" s="19" t="s">
        <v>1512</v>
      </c>
    </row>
    <row r="4" spans="1:9" ht="16.5">
      <c r="A4" s="21"/>
      <c r="B4" s="21"/>
      <c r="C4" s="22" t="s">
        <v>2069</v>
      </c>
      <c r="D4" s="21"/>
      <c r="E4" s="93"/>
      <c r="I4" s="22" t="s">
        <v>1513</v>
      </c>
    </row>
    <row r="6" ht="16.5">
      <c r="A6" s="28" t="s">
        <v>2070</v>
      </c>
    </row>
    <row r="7" spans="1:9" ht="15">
      <c r="A7" s="450" t="s">
        <v>2116</v>
      </c>
      <c r="I7" s="18">
        <v>2032000</v>
      </c>
    </row>
    <row r="8" spans="1:9" ht="15">
      <c r="A8" s="450" t="s">
        <v>1659</v>
      </c>
      <c r="I8" s="18">
        <v>482000</v>
      </c>
    </row>
    <row r="9" spans="1:9" ht="15">
      <c r="A9" s="450" t="s">
        <v>1660</v>
      </c>
      <c r="I9" s="18">
        <v>700000</v>
      </c>
    </row>
    <row r="10" spans="1:9" ht="15">
      <c r="A10" s="450" t="s">
        <v>1661</v>
      </c>
      <c r="I10" s="18">
        <v>332000</v>
      </c>
    </row>
    <row r="11" spans="1:9" ht="15">
      <c r="A11" s="450" t="s">
        <v>1662</v>
      </c>
      <c r="I11" s="18">
        <v>400000</v>
      </c>
    </row>
    <row r="12" spans="1:9" ht="15">
      <c r="A12" s="450" t="s">
        <v>1663</v>
      </c>
      <c r="I12" s="18">
        <v>1318000</v>
      </c>
    </row>
    <row r="13" spans="1:9" ht="15">
      <c r="A13" s="450" t="s">
        <v>2122</v>
      </c>
      <c r="I13" s="26">
        <v>295000</v>
      </c>
    </row>
    <row r="14" spans="1:9" ht="15">
      <c r="A14" s="3" t="s">
        <v>2071</v>
      </c>
      <c r="I14" s="17">
        <f>SUM(I7:I13)</f>
        <v>5559000</v>
      </c>
    </row>
    <row r="15" spans="1:9" ht="15">
      <c r="A15" s="450" t="s">
        <v>1664</v>
      </c>
      <c r="I15" s="18">
        <v>586000</v>
      </c>
    </row>
    <row r="16" spans="1:9" ht="15">
      <c r="A16" s="450" t="s">
        <v>1665</v>
      </c>
      <c r="I16" s="18">
        <v>4000</v>
      </c>
    </row>
    <row r="17" spans="1:9" ht="15">
      <c r="A17" s="450" t="s">
        <v>1666</v>
      </c>
      <c r="I17" s="8">
        <v>83000</v>
      </c>
    </row>
    <row r="18" spans="1:9" ht="15">
      <c r="A18" s="450" t="s">
        <v>1667</v>
      </c>
      <c r="I18" s="8">
        <v>28000</v>
      </c>
    </row>
    <row r="19" spans="1:9" ht="15">
      <c r="A19" s="450" t="s">
        <v>1557</v>
      </c>
      <c r="I19" s="8">
        <v>27000</v>
      </c>
    </row>
    <row r="20" spans="1:9" ht="15">
      <c r="A20" s="450" t="s">
        <v>213</v>
      </c>
      <c r="I20" s="26">
        <v>34000</v>
      </c>
    </row>
    <row r="21" spans="1:9" ht="15">
      <c r="A21" s="3" t="s">
        <v>2073</v>
      </c>
      <c r="I21" s="17">
        <f>SUM(I14:I20)</f>
        <v>6321000</v>
      </c>
    </row>
    <row r="22" ht="15">
      <c r="I22" s="17"/>
    </row>
    <row r="23" spans="1:9" ht="16.5">
      <c r="A23" s="28" t="s">
        <v>2074</v>
      </c>
      <c r="I23" s="17"/>
    </row>
    <row r="24" spans="1:9" ht="15">
      <c r="A24" s="450" t="s">
        <v>171</v>
      </c>
      <c r="I24" s="18">
        <v>1060000</v>
      </c>
    </row>
    <row r="25" spans="1:9" ht="15">
      <c r="A25" s="450" t="s">
        <v>1655</v>
      </c>
      <c r="I25" s="18">
        <v>198000</v>
      </c>
    </row>
    <row r="26" spans="1:9" ht="15">
      <c r="A26" s="450" t="s">
        <v>1657</v>
      </c>
      <c r="I26" s="26">
        <v>195000</v>
      </c>
    </row>
    <row r="27" spans="1:9" ht="15">
      <c r="A27" s="3" t="s">
        <v>2071</v>
      </c>
      <c r="I27" s="17">
        <f>SUM(I24:I26)</f>
        <v>1453000</v>
      </c>
    </row>
    <row r="28" spans="1:9" ht="15">
      <c r="A28" s="3" t="s">
        <v>2073</v>
      </c>
      <c r="I28" s="17">
        <f>+I27</f>
        <v>1453000</v>
      </c>
    </row>
    <row r="29" ht="15">
      <c r="I29" s="17"/>
    </row>
    <row r="30" spans="1:9" ht="16.5">
      <c r="A30" s="28" t="s">
        <v>2075</v>
      </c>
      <c r="I30" s="17"/>
    </row>
    <row r="31" spans="1:9" ht="15">
      <c r="A31" s="450" t="s">
        <v>2110</v>
      </c>
      <c r="I31" s="18">
        <v>2149000</v>
      </c>
    </row>
    <row r="32" spans="1:9" ht="15">
      <c r="A32" s="450" t="s">
        <v>1654</v>
      </c>
      <c r="I32" s="18">
        <v>659000</v>
      </c>
    </row>
    <row r="33" spans="1:9" ht="15">
      <c r="A33" s="450" t="s">
        <v>1655</v>
      </c>
      <c r="I33" s="18">
        <v>461000</v>
      </c>
    </row>
    <row r="34" spans="1:9" ht="15">
      <c r="A34" s="450" t="s">
        <v>1656</v>
      </c>
      <c r="I34" s="18">
        <v>391000</v>
      </c>
    </row>
    <row r="35" spans="1:9" ht="15">
      <c r="A35" s="450" t="s">
        <v>1657</v>
      </c>
      <c r="I35" s="18">
        <v>455000</v>
      </c>
    </row>
    <row r="36" spans="1:9" ht="15">
      <c r="A36" s="450" t="s">
        <v>2115</v>
      </c>
      <c r="I36" s="26">
        <v>992000</v>
      </c>
    </row>
    <row r="37" spans="1:9" ht="15">
      <c r="A37" s="3" t="s">
        <v>2071</v>
      </c>
      <c r="I37" s="17">
        <f>SUM(I31:I36)</f>
        <v>5107000</v>
      </c>
    </row>
    <row r="38" spans="1:9" ht="15">
      <c r="A38" s="450" t="s">
        <v>213</v>
      </c>
      <c r="I38" s="8">
        <v>34000</v>
      </c>
    </row>
    <row r="39" spans="1:9" ht="15">
      <c r="A39" s="450" t="s">
        <v>1658</v>
      </c>
      <c r="I39" s="26">
        <v>14000</v>
      </c>
    </row>
    <row r="40" spans="1:9" ht="15">
      <c r="A40" s="3" t="s">
        <v>2073</v>
      </c>
      <c r="I40" s="17">
        <f>SUM(I37:I39)</f>
        <v>5155000</v>
      </c>
    </row>
    <row r="41" ht="15">
      <c r="I41" s="17"/>
    </row>
    <row r="42" spans="1:9" ht="16.5">
      <c r="A42" s="28" t="s">
        <v>2079</v>
      </c>
      <c r="I42" s="17"/>
    </row>
    <row r="43" spans="1:9" ht="15">
      <c r="A43" s="450" t="s">
        <v>2116</v>
      </c>
      <c r="I43" s="18">
        <v>865000</v>
      </c>
    </row>
    <row r="44" spans="1:9" ht="15">
      <c r="A44" s="450" t="s">
        <v>2117</v>
      </c>
      <c r="I44" s="18">
        <v>580000</v>
      </c>
    </row>
    <row r="45" spans="1:9" ht="15">
      <c r="A45" s="450" t="s">
        <v>2118</v>
      </c>
      <c r="I45" s="18">
        <v>2638000</v>
      </c>
    </row>
    <row r="46" spans="1:9" ht="15">
      <c r="A46" s="450" t="s">
        <v>2119</v>
      </c>
      <c r="I46" s="18">
        <v>620000</v>
      </c>
    </row>
    <row r="47" spans="1:9" ht="15">
      <c r="A47" s="450" t="s">
        <v>2120</v>
      </c>
      <c r="I47" s="18">
        <v>1556000</v>
      </c>
    </row>
    <row r="48" spans="1:9" ht="15">
      <c r="A48" s="450" t="s">
        <v>2121</v>
      </c>
      <c r="I48" s="18">
        <v>1424000</v>
      </c>
    </row>
    <row r="49" spans="1:9" ht="15">
      <c r="A49" s="450" t="s">
        <v>2122</v>
      </c>
      <c r="I49" s="26">
        <v>742000</v>
      </c>
    </row>
    <row r="50" spans="1:9" ht="15">
      <c r="A50" s="3" t="s">
        <v>2071</v>
      </c>
      <c r="I50" s="17">
        <f>SUM(I43:I49)</f>
        <v>8425000</v>
      </c>
    </row>
    <row r="51" spans="1:9" ht="15">
      <c r="A51" s="450" t="s">
        <v>1653</v>
      </c>
      <c r="I51" s="26">
        <v>25000</v>
      </c>
    </row>
    <row r="52" spans="1:9" ht="15">
      <c r="A52" s="3" t="s">
        <v>2073</v>
      </c>
      <c r="I52" s="17">
        <f>SUM(I50:I51)</f>
        <v>8450000</v>
      </c>
    </row>
    <row r="53" ht="15">
      <c r="I53" s="17"/>
    </row>
    <row r="54" spans="1:9" ht="16.5">
      <c r="A54" s="28" t="s">
        <v>2080</v>
      </c>
      <c r="I54" s="17"/>
    </row>
    <row r="55" spans="1:9" ht="15">
      <c r="A55" s="450" t="s">
        <v>1647</v>
      </c>
      <c r="I55" s="18">
        <v>52000</v>
      </c>
    </row>
    <row r="56" spans="1:9" ht="15">
      <c r="A56" s="450" t="s">
        <v>1648</v>
      </c>
      <c r="I56" s="18">
        <v>1292000</v>
      </c>
    </row>
    <row r="57" spans="1:9" ht="15">
      <c r="A57" s="450" t="s">
        <v>1156</v>
      </c>
      <c r="I57" s="18">
        <v>473000</v>
      </c>
    </row>
    <row r="58" spans="1:9" ht="15">
      <c r="A58" s="450" t="s">
        <v>626</v>
      </c>
      <c r="I58" s="18">
        <v>1155000</v>
      </c>
    </row>
    <row r="59" spans="1:9" ht="15">
      <c r="A59" s="450" t="s">
        <v>1649</v>
      </c>
      <c r="I59" s="18">
        <v>98000</v>
      </c>
    </row>
    <row r="60" spans="1:9" ht="15">
      <c r="A60" s="450" t="s">
        <v>1650</v>
      </c>
      <c r="I60" s="18">
        <v>608000</v>
      </c>
    </row>
    <row r="61" spans="1:9" ht="15">
      <c r="A61" s="450" t="s">
        <v>1651</v>
      </c>
      <c r="I61" s="18">
        <v>833000</v>
      </c>
    </row>
    <row r="62" spans="1:9" ht="15">
      <c r="A62" s="450" t="s">
        <v>1652</v>
      </c>
      <c r="I62" s="26">
        <v>330000</v>
      </c>
    </row>
    <row r="63" spans="1:9" ht="15">
      <c r="A63" s="3" t="s">
        <v>2071</v>
      </c>
      <c r="I63" s="18">
        <f>SUM(I55:I62)</f>
        <v>4841000</v>
      </c>
    </row>
    <row r="64" spans="1:9" ht="15">
      <c r="A64" s="3" t="s">
        <v>2073</v>
      </c>
      <c r="I64" s="17">
        <f>+I63</f>
        <v>4841000</v>
      </c>
    </row>
    <row r="65" ht="15">
      <c r="I65" s="17"/>
    </row>
    <row r="66" spans="1:9" ht="15">
      <c r="A66" s="3" t="s">
        <v>2081</v>
      </c>
      <c r="I66" s="17">
        <f>+I21+I28+I40+I52+I64</f>
        <v>26220000</v>
      </c>
    </row>
    <row r="67" ht="15">
      <c r="I67" s="17"/>
    </row>
    <row r="68" ht="15">
      <c r="A68" s="3" t="s">
        <v>2082</v>
      </c>
    </row>
    <row r="70" spans="1:9" ht="15">
      <c r="A70" s="1020"/>
      <c r="B70" s="1020"/>
      <c r="C70" s="1020"/>
      <c r="D70" s="1020"/>
      <c r="E70" s="1020"/>
      <c r="F70" s="1020"/>
      <c r="G70" s="1020"/>
      <c r="H70" s="1020"/>
      <c r="I70" s="1020"/>
    </row>
    <row r="71" spans="1:9" ht="15">
      <c r="A71" s="1020"/>
      <c r="B71" s="1020"/>
      <c r="C71" s="1020"/>
      <c r="D71" s="1020"/>
      <c r="E71" s="1020"/>
      <c r="F71" s="1020"/>
      <c r="G71" s="1020"/>
      <c r="H71" s="1020"/>
      <c r="I71" s="1020"/>
    </row>
  </sheetData>
  <mergeCells count="1">
    <mergeCell ref="A70:I71"/>
  </mergeCells>
  <printOptions horizontalCentered="1" verticalCentered="1"/>
  <pageMargins left="0.25" right="0.25" top="0.25" bottom="0" header="0" footer="0"/>
  <pageSetup fitToHeight="1" fitToWidth="1" horizontalDpi="600" verticalDpi="600" orientation="portrait" scale="7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J73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3" customWidth="1"/>
    <col min="2" max="3" width="9.140625" style="3" customWidth="1"/>
    <col min="4" max="4" width="12.140625" style="3" customWidth="1"/>
    <col min="5" max="5" width="3.7109375" style="3" customWidth="1"/>
    <col min="6" max="6" width="15.140625" style="3" bestFit="1" customWidth="1"/>
    <col min="7" max="7" width="3.7109375" style="3" customWidth="1"/>
    <col min="8" max="8" width="10.8515625" style="3" bestFit="1" customWidth="1"/>
    <col min="9" max="9" width="3.7109375" style="3" customWidth="1"/>
    <col min="10" max="10" width="14.57421875" style="3" customWidth="1"/>
    <col min="11" max="11" width="9.140625" style="3" customWidth="1"/>
    <col min="12" max="12" width="10.8515625" style="3" bestFit="1" customWidth="1"/>
    <col min="13" max="16384" width="9.140625" style="3" customWidth="1"/>
  </cols>
  <sheetData>
    <row r="1" spans="1:10" ht="16.5">
      <c r="A1" s="28" t="s">
        <v>1451</v>
      </c>
      <c r="J1" s="82" t="s">
        <v>2083</v>
      </c>
    </row>
    <row r="2" spans="1:10" ht="16.5">
      <c r="A2" s="20" t="str">
        <f>INPUT!C1</f>
        <v>June 2009</v>
      </c>
      <c r="B2" s="20"/>
      <c r="J2" s="82"/>
    </row>
    <row r="4" ht="16.5">
      <c r="E4" s="19" t="s">
        <v>2087</v>
      </c>
    </row>
    <row r="5" ht="16.5">
      <c r="E5" s="53" t="s">
        <v>2088</v>
      </c>
    </row>
    <row r="6" ht="16.5">
      <c r="E6" s="19" t="s">
        <v>841</v>
      </c>
    </row>
    <row r="7" ht="15">
      <c r="E7" s="57"/>
    </row>
    <row r="9" ht="16.5">
      <c r="F9" s="19" t="s">
        <v>1281</v>
      </c>
    </row>
    <row r="10" spans="4:10" ht="16.5">
      <c r="D10" s="57"/>
      <c r="E10" s="57"/>
      <c r="F10" s="19" t="s">
        <v>2089</v>
      </c>
      <c r="G10" s="57"/>
      <c r="H10" s="19" t="s">
        <v>2090</v>
      </c>
      <c r="I10" s="57"/>
      <c r="J10" s="19" t="s">
        <v>2090</v>
      </c>
    </row>
    <row r="11" spans="4:10" ht="16.5">
      <c r="D11" s="57"/>
      <c r="E11" s="57"/>
      <c r="F11" s="19" t="s">
        <v>2091</v>
      </c>
      <c r="G11" s="57"/>
      <c r="H11" s="19" t="s">
        <v>2092</v>
      </c>
      <c r="I11" s="57"/>
      <c r="J11" s="19" t="s">
        <v>2093</v>
      </c>
    </row>
    <row r="12" spans="1:10" ht="16.5">
      <c r="A12" s="19" t="s">
        <v>2094</v>
      </c>
      <c r="D12" s="19" t="s">
        <v>1502</v>
      </c>
      <c r="E12" s="57"/>
      <c r="F12" s="19" t="s">
        <v>2097</v>
      </c>
      <c r="G12" s="57"/>
      <c r="H12" s="19" t="s">
        <v>2098</v>
      </c>
      <c r="I12" s="57"/>
      <c r="J12" s="19" t="s">
        <v>2099</v>
      </c>
    </row>
    <row r="13" spans="1:10" ht="16.5">
      <c r="A13" s="19" t="s">
        <v>2100</v>
      </c>
      <c r="D13" s="19" t="s">
        <v>1808</v>
      </c>
      <c r="E13" s="57"/>
      <c r="F13" s="19" t="s">
        <v>2101</v>
      </c>
      <c r="G13" s="57"/>
      <c r="H13" s="19" t="s">
        <v>2102</v>
      </c>
      <c r="I13" s="57"/>
      <c r="J13" s="19" t="s">
        <v>2103</v>
      </c>
    </row>
    <row r="14" spans="1:10" ht="16.5">
      <c r="A14" s="19" t="s">
        <v>2104</v>
      </c>
      <c r="D14" s="19" t="s">
        <v>2105</v>
      </c>
      <c r="E14" s="57"/>
      <c r="F14" s="19" t="s">
        <v>2105</v>
      </c>
      <c r="G14" s="57"/>
      <c r="H14" s="19" t="s">
        <v>2106</v>
      </c>
      <c r="I14" s="57"/>
      <c r="J14" s="19" t="s">
        <v>526</v>
      </c>
    </row>
    <row r="15" spans="1:10" ht="16.5">
      <c r="A15" s="53" t="s">
        <v>2107</v>
      </c>
      <c r="D15" s="127" t="s">
        <v>842</v>
      </c>
      <c r="E15" s="57"/>
      <c r="F15" s="127" t="s">
        <v>842</v>
      </c>
      <c r="G15" s="57"/>
      <c r="H15" s="53" t="s">
        <v>1503</v>
      </c>
      <c r="I15" s="57"/>
      <c r="J15" s="53" t="s">
        <v>2108</v>
      </c>
    </row>
    <row r="16" spans="4:10" ht="15">
      <c r="D16" s="56" t="s">
        <v>1504</v>
      </c>
      <c r="E16" s="57"/>
      <c r="F16" s="56" t="s">
        <v>1505</v>
      </c>
      <c r="G16" s="57"/>
      <c r="H16" s="56" t="s">
        <v>1985</v>
      </c>
      <c r="I16" s="57"/>
      <c r="J16" s="56" t="s">
        <v>1986</v>
      </c>
    </row>
    <row r="17" spans="4:10" ht="15">
      <c r="D17" s="56"/>
      <c r="E17" s="57"/>
      <c r="F17" s="56"/>
      <c r="G17" s="57"/>
      <c r="H17" s="56"/>
      <c r="I17" s="57"/>
      <c r="J17" s="56"/>
    </row>
    <row r="18" ht="16.5">
      <c r="A18" s="28" t="s">
        <v>2070</v>
      </c>
    </row>
    <row r="20" spans="1:6" ht="15">
      <c r="A20" s="3" t="s">
        <v>2116</v>
      </c>
      <c r="D20" s="17">
        <v>2032000</v>
      </c>
      <c r="E20" s="17"/>
      <c r="F20" s="348">
        <v>1022028763</v>
      </c>
    </row>
    <row r="21" spans="1:6" ht="15">
      <c r="A21" s="3" t="s">
        <v>1659</v>
      </c>
      <c r="D21" s="17">
        <v>482000</v>
      </c>
      <c r="E21" s="17"/>
      <c r="F21" s="348">
        <v>203328373</v>
      </c>
    </row>
    <row r="22" spans="1:6" ht="15">
      <c r="A22" s="3" t="s">
        <v>1660</v>
      </c>
      <c r="D22" s="17">
        <v>700000</v>
      </c>
      <c r="E22" s="17"/>
      <c r="F22" s="348">
        <v>318511376</v>
      </c>
    </row>
    <row r="23" spans="1:6" ht="15">
      <c r="A23" s="3" t="s">
        <v>1661</v>
      </c>
      <c r="D23" s="17">
        <v>332000</v>
      </c>
      <c r="E23" s="17"/>
      <c r="F23" s="348">
        <v>146527360</v>
      </c>
    </row>
    <row r="24" spans="1:6" ht="15">
      <c r="A24" s="3" t="s">
        <v>1662</v>
      </c>
      <c r="D24" s="17">
        <v>400000</v>
      </c>
      <c r="E24" s="17"/>
      <c r="F24" s="348">
        <v>181898294</v>
      </c>
    </row>
    <row r="25" spans="1:6" ht="15">
      <c r="A25" s="3" t="s">
        <v>1663</v>
      </c>
      <c r="D25" s="17">
        <v>1318000</v>
      </c>
      <c r="E25" s="17"/>
      <c r="F25" s="18">
        <v>1432800325</v>
      </c>
    </row>
    <row r="26" spans="1:6" ht="15">
      <c r="A26" s="3" t="s">
        <v>2122</v>
      </c>
      <c r="D26" s="27">
        <v>295000</v>
      </c>
      <c r="E26" s="17"/>
      <c r="F26" s="26">
        <v>143187812</v>
      </c>
    </row>
    <row r="27" spans="1:10" ht="16.5">
      <c r="A27" s="28" t="s">
        <v>137</v>
      </c>
      <c r="D27" s="17">
        <f>SUM(D20:D26)</f>
        <v>5559000</v>
      </c>
      <c r="E27" s="17"/>
      <c r="F27" s="128">
        <f>SUM(F20:F26)</f>
        <v>3448282303</v>
      </c>
      <c r="H27" s="95">
        <f>ROUND(F27/D27,2)</f>
        <v>620.31</v>
      </c>
      <c r="I27" s="94"/>
      <c r="J27" s="95">
        <f>ROUND(H27*0.0137,2)</f>
        <v>8.5</v>
      </c>
    </row>
    <row r="28" spans="4:10" ht="15">
      <c r="D28" s="56"/>
      <c r="E28" s="57"/>
      <c r="F28" s="56"/>
      <c r="G28" s="57"/>
      <c r="H28" s="56"/>
      <c r="I28" s="57"/>
      <c r="J28" s="56"/>
    </row>
    <row r="29" ht="16.5">
      <c r="A29" s="28" t="s">
        <v>2074</v>
      </c>
    </row>
    <row r="31" spans="1:6" ht="15">
      <c r="A31" s="3" t="s">
        <v>171</v>
      </c>
      <c r="D31" s="17">
        <v>1060000</v>
      </c>
      <c r="E31" s="17"/>
      <c r="F31" s="348">
        <v>527219065</v>
      </c>
    </row>
    <row r="32" spans="1:6" ht="15">
      <c r="A32" s="3" t="s">
        <v>172</v>
      </c>
      <c r="D32" s="17">
        <v>198000</v>
      </c>
      <c r="E32" s="17"/>
      <c r="F32" s="18">
        <v>190346598</v>
      </c>
    </row>
    <row r="33" spans="1:6" ht="15">
      <c r="A33" s="3" t="s">
        <v>2109</v>
      </c>
      <c r="D33" s="27">
        <v>195000</v>
      </c>
      <c r="E33" s="17"/>
      <c r="F33" s="26">
        <v>22196344</v>
      </c>
    </row>
    <row r="34" spans="1:10" ht="16.5">
      <c r="A34" s="28" t="s">
        <v>173</v>
      </c>
      <c r="D34" s="17">
        <f>SUM(D31:D33)</f>
        <v>1453000</v>
      </c>
      <c r="E34" s="17"/>
      <c r="F34" s="128">
        <f>SUM(F31:F33)</f>
        <v>739762007</v>
      </c>
      <c r="H34" s="95">
        <f>ROUND(F34/D34,2)</f>
        <v>509.13</v>
      </c>
      <c r="I34" s="94"/>
      <c r="J34" s="95">
        <f>ROUND(H34*0.0137,2)</f>
        <v>6.98</v>
      </c>
    </row>
    <row r="36" spans="1:10" ht="16.5">
      <c r="A36" s="28" t="s">
        <v>2075</v>
      </c>
      <c r="H36" s="94"/>
      <c r="I36" s="94"/>
      <c r="J36" s="94"/>
    </row>
    <row r="37" spans="8:10" ht="15">
      <c r="H37" s="94"/>
      <c r="I37" s="94"/>
      <c r="J37" s="94"/>
    </row>
    <row r="38" spans="1:10" ht="15">
      <c r="A38" s="3" t="s">
        <v>2110</v>
      </c>
      <c r="D38" s="17">
        <v>2149000</v>
      </c>
      <c r="F38" s="18">
        <v>2207236674</v>
      </c>
      <c r="H38" s="94"/>
      <c r="I38" s="94"/>
      <c r="J38" s="94"/>
    </row>
    <row r="39" spans="1:10" ht="15">
      <c r="A39" s="3" t="s">
        <v>2113</v>
      </c>
      <c r="D39" s="17">
        <v>659000</v>
      </c>
      <c r="F39" s="18">
        <v>625542311</v>
      </c>
      <c r="H39" s="94"/>
      <c r="I39" s="94"/>
      <c r="J39" s="94"/>
    </row>
    <row r="40" spans="1:10" ht="15">
      <c r="A40" s="3" t="s">
        <v>172</v>
      </c>
      <c r="D40" s="17">
        <v>461000</v>
      </c>
      <c r="F40" s="18">
        <v>444142061</v>
      </c>
      <c r="H40" s="94"/>
      <c r="I40" s="94"/>
      <c r="J40" s="94"/>
    </row>
    <row r="41" spans="1:10" ht="15">
      <c r="A41" s="3" t="s">
        <v>2114</v>
      </c>
      <c r="D41" s="17">
        <v>391000</v>
      </c>
      <c r="F41" s="18">
        <v>46773497</v>
      </c>
      <c r="H41" s="94"/>
      <c r="I41" s="94"/>
      <c r="J41" s="94"/>
    </row>
    <row r="42" spans="1:10" ht="15">
      <c r="A42" s="3" t="s">
        <v>2109</v>
      </c>
      <c r="D42" s="17">
        <v>455000</v>
      </c>
      <c r="F42" s="18">
        <v>51791470</v>
      </c>
      <c r="H42" s="94"/>
      <c r="I42" s="94"/>
      <c r="J42" s="94"/>
    </row>
    <row r="43" spans="1:10" ht="15">
      <c r="A43" s="3" t="s">
        <v>2115</v>
      </c>
      <c r="D43" s="27">
        <v>992000</v>
      </c>
      <c r="F43" s="26">
        <v>552359851</v>
      </c>
      <c r="H43" s="94"/>
      <c r="I43" s="94"/>
      <c r="J43" s="94"/>
    </row>
    <row r="44" spans="1:10" ht="16.5">
      <c r="A44" s="3" t="s">
        <v>97</v>
      </c>
      <c r="D44" s="17">
        <f>SUM(D38:D43)</f>
        <v>5107000</v>
      </c>
      <c r="F44" s="17">
        <f>SUM(F38:F43)</f>
        <v>3927845864</v>
      </c>
      <c r="H44" s="95">
        <f>ROUND(F44/D44,2)</f>
        <v>769.11</v>
      </c>
      <c r="I44" s="94"/>
      <c r="J44" s="95">
        <f>ROUND(H44*0.0137,2)</f>
        <v>10.54</v>
      </c>
    </row>
    <row r="46" ht="16.5">
      <c r="A46" s="28" t="s">
        <v>2079</v>
      </c>
    </row>
    <row r="48" spans="1:6" ht="15">
      <c r="A48" s="3" t="s">
        <v>2116</v>
      </c>
      <c r="D48" s="17">
        <v>865000</v>
      </c>
      <c r="E48" s="17"/>
      <c r="F48" s="18">
        <v>369549761</v>
      </c>
    </row>
    <row r="49" spans="1:6" ht="15">
      <c r="A49" s="3" t="s">
        <v>2117</v>
      </c>
      <c r="D49" s="17">
        <v>580000</v>
      </c>
      <c r="E49" s="17"/>
      <c r="F49" s="18">
        <v>689598787</v>
      </c>
    </row>
    <row r="50" spans="1:6" ht="15">
      <c r="A50" s="3" t="s">
        <v>2118</v>
      </c>
      <c r="D50" s="17">
        <v>2638000</v>
      </c>
      <c r="E50" s="17"/>
      <c r="F50" s="18">
        <v>1161631292</v>
      </c>
    </row>
    <row r="51" spans="1:6" ht="15">
      <c r="A51" s="3" t="s">
        <v>2119</v>
      </c>
      <c r="D51" s="17">
        <v>620000</v>
      </c>
      <c r="E51" s="17"/>
      <c r="F51" s="18">
        <v>295787018</v>
      </c>
    </row>
    <row r="52" spans="1:6" ht="15">
      <c r="A52" s="3" t="s">
        <v>2120</v>
      </c>
      <c r="D52" s="17">
        <v>1556000</v>
      </c>
      <c r="E52" s="17"/>
      <c r="F52" s="18">
        <v>1632680920</v>
      </c>
    </row>
    <row r="53" spans="1:6" ht="15">
      <c r="A53" s="3" t="s">
        <v>2121</v>
      </c>
      <c r="D53" s="17">
        <v>1424000</v>
      </c>
      <c r="E53" s="17"/>
      <c r="F53" s="8">
        <v>665302741</v>
      </c>
    </row>
    <row r="54" spans="1:6" ht="15">
      <c r="A54" s="3" t="s">
        <v>2122</v>
      </c>
      <c r="D54" s="27">
        <v>742000</v>
      </c>
      <c r="E54" s="17"/>
      <c r="F54" s="26">
        <v>367204259</v>
      </c>
    </row>
    <row r="55" spans="1:10" ht="16.5">
      <c r="A55" s="28" t="s">
        <v>2123</v>
      </c>
      <c r="D55" s="17">
        <f>SUM(D48:D54)</f>
        <v>8425000</v>
      </c>
      <c r="E55" s="17"/>
      <c r="F55" s="17">
        <f>SUM(F48:F54)</f>
        <v>5181754778</v>
      </c>
      <c r="H55" s="95">
        <f>ROUND(F55/D55,2)</f>
        <v>615.05</v>
      </c>
      <c r="I55" s="94"/>
      <c r="J55" s="95">
        <f>ROUND(H55*0.0137,2)</f>
        <v>8.43</v>
      </c>
    </row>
    <row r="56" spans="1:10" ht="16.5">
      <c r="A56" s="28"/>
      <c r="D56" s="17"/>
      <c r="E56" s="17"/>
      <c r="F56" s="17"/>
      <c r="H56" s="95"/>
      <c r="I56" s="94"/>
      <c r="J56" s="95"/>
    </row>
    <row r="57" ht="16.5">
      <c r="A57" s="28" t="s">
        <v>627</v>
      </c>
    </row>
    <row r="59" spans="1:6" ht="15">
      <c r="A59" s="3" t="s">
        <v>1647</v>
      </c>
      <c r="D59" s="293">
        <v>52000</v>
      </c>
      <c r="E59" s="293"/>
      <c r="F59" s="293">
        <v>18173459</v>
      </c>
    </row>
    <row r="60" spans="1:6" ht="15">
      <c r="A60" s="3" t="s">
        <v>1648</v>
      </c>
      <c r="D60" s="293">
        <v>1292000</v>
      </c>
      <c r="E60" s="293"/>
      <c r="F60" s="293">
        <v>702015502</v>
      </c>
    </row>
    <row r="61" spans="1:6" ht="15">
      <c r="A61" s="3" t="s">
        <v>1156</v>
      </c>
      <c r="D61" s="293">
        <v>473000</v>
      </c>
      <c r="E61" s="293"/>
      <c r="F61" s="919">
        <v>192025315</v>
      </c>
    </row>
    <row r="62" spans="1:6" ht="15">
      <c r="A62" s="3" t="s">
        <v>194</v>
      </c>
      <c r="D62" s="293">
        <v>1155000</v>
      </c>
      <c r="E62" s="293"/>
      <c r="F62" s="293">
        <v>696863072</v>
      </c>
    </row>
    <row r="63" spans="1:6" ht="15">
      <c r="A63" s="3" t="s">
        <v>1649</v>
      </c>
      <c r="D63" s="293">
        <v>98000</v>
      </c>
      <c r="E63" s="293"/>
      <c r="F63" s="293">
        <v>43257252</v>
      </c>
    </row>
    <row r="64" spans="1:6" ht="15">
      <c r="A64" s="3" t="s">
        <v>1650</v>
      </c>
      <c r="D64" s="293">
        <v>608000</v>
      </c>
      <c r="E64" s="293"/>
      <c r="F64" s="293">
        <v>478056596</v>
      </c>
    </row>
    <row r="65" spans="1:6" ht="15">
      <c r="A65" s="3" t="s">
        <v>1651</v>
      </c>
      <c r="D65" s="293">
        <v>833000</v>
      </c>
      <c r="E65" s="293"/>
      <c r="F65" s="293">
        <v>209546549</v>
      </c>
    </row>
    <row r="66" spans="1:6" ht="15">
      <c r="A66" s="3" t="s">
        <v>1652</v>
      </c>
      <c r="D66" s="294">
        <v>330000</v>
      </c>
      <c r="E66" s="293"/>
      <c r="F66" s="294">
        <v>763432701</v>
      </c>
    </row>
    <row r="67" spans="1:10" ht="16.5">
      <c r="A67" s="452" t="s">
        <v>628</v>
      </c>
      <c r="D67" s="293">
        <f>SUM(D59:D66)</f>
        <v>4841000</v>
      </c>
      <c r="E67" s="293"/>
      <c r="F67" s="293">
        <f>SUM(F59:F66)</f>
        <v>3103370446</v>
      </c>
      <c r="H67" s="95">
        <f>ROUND(F67/D67,2)</f>
        <v>641.06</v>
      </c>
      <c r="J67" s="95">
        <f>ROUND(H67*0.0137,2)</f>
        <v>8.78</v>
      </c>
    </row>
    <row r="69" ht="15">
      <c r="A69" s="24" t="s">
        <v>291</v>
      </c>
    </row>
    <row r="70" ht="15">
      <c r="A70" s="3" t="s">
        <v>843</v>
      </c>
    </row>
    <row r="71" ht="15">
      <c r="A71" s="3" t="s">
        <v>527</v>
      </c>
    </row>
    <row r="72" ht="15">
      <c r="A72" s="3" t="s">
        <v>528</v>
      </c>
    </row>
    <row r="73" ht="15">
      <c r="A73" s="3" t="s">
        <v>1809</v>
      </c>
    </row>
  </sheetData>
  <printOptions horizontalCentered="1" verticalCentered="1"/>
  <pageMargins left="0.25" right="0.25" top="0.25" bottom="0.25" header="0" footer="0"/>
  <pageSetup fitToHeight="1" fitToWidth="1" horizontalDpi="600" verticalDpi="600" orientation="portrait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B1:O76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29" customWidth="1"/>
    <col min="2" max="2" width="24.8515625" style="29" customWidth="1"/>
    <col min="3" max="3" width="2.7109375" style="29" customWidth="1"/>
    <col min="4" max="4" width="10.140625" style="29" customWidth="1"/>
    <col min="5" max="5" width="2.7109375" style="29" customWidth="1"/>
    <col min="6" max="6" width="11.140625" style="29" customWidth="1"/>
    <col min="7" max="7" width="2.7109375" style="29" customWidth="1"/>
    <col min="8" max="8" width="11.140625" style="29" customWidth="1"/>
    <col min="9" max="9" width="2.7109375" style="29" customWidth="1"/>
    <col min="10" max="10" width="10.421875" style="29" customWidth="1"/>
    <col min="11" max="11" width="2.7109375" style="29" customWidth="1"/>
    <col min="12" max="12" width="11.421875" style="29" bestFit="1" customWidth="1"/>
    <col min="13" max="13" width="2.7109375" style="29" customWidth="1"/>
    <col min="14" max="14" width="10.140625" style="29" bestFit="1" customWidth="1"/>
    <col min="15" max="15" width="2.7109375" style="29" customWidth="1"/>
    <col min="16" max="16384" width="9.140625" style="29" customWidth="1"/>
  </cols>
  <sheetData>
    <row r="1" spans="2:13" ht="14.25">
      <c r="B1" s="35" t="s">
        <v>1451</v>
      </c>
      <c r="M1" s="96" t="s">
        <v>2125</v>
      </c>
    </row>
    <row r="2" spans="2:13" ht="14.25">
      <c r="B2" s="31" t="str">
        <f>INPUT!C1</f>
        <v>June 2009</v>
      </c>
      <c r="C2" s="31"/>
      <c r="I2" s="35"/>
      <c r="M2" s="97"/>
    </row>
    <row r="3" ht="14.25">
      <c r="G3" s="30" t="s">
        <v>2126</v>
      </c>
    </row>
    <row r="4" ht="14.25">
      <c r="G4" s="85" t="s">
        <v>2127</v>
      </c>
    </row>
    <row r="6" spans="6:8" ht="14.25">
      <c r="F6" s="30" t="s">
        <v>1987</v>
      </c>
      <c r="H6" s="30" t="s">
        <v>1236</v>
      </c>
    </row>
    <row r="7" spans="4:14" ht="14.25">
      <c r="D7" s="30" t="s">
        <v>2128</v>
      </c>
      <c r="F7" s="30" t="s">
        <v>1264</v>
      </c>
      <c r="H7" s="30" t="s">
        <v>1988</v>
      </c>
      <c r="J7" s="30" t="s">
        <v>1268</v>
      </c>
      <c r="K7" s="30"/>
      <c r="L7" s="30" t="s">
        <v>1988</v>
      </c>
      <c r="M7" s="30"/>
      <c r="N7" s="30" t="s">
        <v>1988</v>
      </c>
    </row>
    <row r="8" spans="4:14" ht="14.25">
      <c r="D8" s="30" t="s">
        <v>1366</v>
      </c>
      <c r="F8" s="30" t="s">
        <v>2129</v>
      </c>
      <c r="H8" s="30" t="s">
        <v>1990</v>
      </c>
      <c r="J8" s="30" t="s">
        <v>1184</v>
      </c>
      <c r="K8" s="30"/>
      <c r="L8" s="30" t="s">
        <v>2130</v>
      </c>
      <c r="M8" s="30"/>
      <c r="N8" s="30" t="s">
        <v>2131</v>
      </c>
    </row>
    <row r="9" spans="4:14" ht="14.25">
      <c r="D9" s="85" t="s">
        <v>1312</v>
      </c>
      <c r="F9" s="98" t="s">
        <v>1453</v>
      </c>
      <c r="H9" s="98" t="s">
        <v>1453</v>
      </c>
      <c r="J9" s="98" t="s">
        <v>1453</v>
      </c>
      <c r="K9" s="98"/>
      <c r="L9" s="98" t="s">
        <v>1453</v>
      </c>
      <c r="M9" s="98"/>
      <c r="N9" s="98" t="s">
        <v>1453</v>
      </c>
    </row>
    <row r="10" ht="14.25">
      <c r="B10" s="99" t="s">
        <v>2070</v>
      </c>
    </row>
    <row r="11" spans="2:14" ht="12.75">
      <c r="B11" s="29" t="s">
        <v>2132</v>
      </c>
      <c r="D11" s="100">
        <f>+INPUT!B24</f>
        <v>70906</v>
      </c>
      <c r="E11" s="100"/>
      <c r="F11" s="100">
        <f>+INPUT!C24</f>
        <v>4685953</v>
      </c>
      <c r="G11" s="100"/>
      <c r="H11" s="100">
        <f>+INPUT!D24</f>
        <v>3432265</v>
      </c>
      <c r="I11" s="100"/>
      <c r="J11" s="100">
        <f>+INPUT!E24</f>
        <v>751487</v>
      </c>
      <c r="K11" s="100"/>
      <c r="L11" s="100">
        <f>+INPUT!F24</f>
        <v>3179049</v>
      </c>
      <c r="M11" s="100"/>
      <c r="N11" s="100">
        <f aca="true" t="shared" si="0" ref="N11:N16">+H11-L11</f>
        <v>253216</v>
      </c>
    </row>
    <row r="12" spans="2:14" ht="12.75">
      <c r="B12" s="29" t="s">
        <v>285</v>
      </c>
      <c r="D12" s="100">
        <f>+INPUT!B25</f>
        <v>60564</v>
      </c>
      <c r="E12" s="100"/>
      <c r="F12" s="100">
        <f>+INPUT!C25</f>
        <v>2969555</v>
      </c>
      <c r="G12" s="100"/>
      <c r="H12" s="100">
        <f>+INPUT!D25</f>
        <v>2165464</v>
      </c>
      <c r="I12" s="100"/>
      <c r="J12" s="100">
        <f>+INPUT!E25</f>
        <v>349028</v>
      </c>
      <c r="K12" s="100"/>
      <c r="L12" s="100">
        <f>+INPUT!F25</f>
        <v>2092303</v>
      </c>
      <c r="M12" s="100"/>
      <c r="N12" s="100">
        <f t="shared" si="0"/>
        <v>73161</v>
      </c>
    </row>
    <row r="13" spans="2:14" ht="12.75">
      <c r="B13" s="29" t="s">
        <v>2133</v>
      </c>
      <c r="D13" s="100">
        <f>+INPUT!B26</f>
        <v>126572</v>
      </c>
      <c r="E13" s="100"/>
      <c r="F13" s="100">
        <f>+INPUT!C26</f>
        <v>5087267</v>
      </c>
      <c r="G13" s="100"/>
      <c r="H13" s="100">
        <f>+INPUT!D26</f>
        <v>3821806</v>
      </c>
      <c r="I13" s="100"/>
      <c r="J13" s="100">
        <f>+INPUT!E26</f>
        <v>765669</v>
      </c>
      <c r="K13" s="100"/>
      <c r="L13" s="100">
        <f>+INPUT!F26</f>
        <v>3701361</v>
      </c>
      <c r="M13" s="100"/>
      <c r="N13" s="100">
        <f t="shared" si="0"/>
        <v>120445</v>
      </c>
    </row>
    <row r="14" spans="2:14" ht="12.75">
      <c r="B14" s="29" t="s">
        <v>2134</v>
      </c>
      <c r="D14" s="100">
        <f>+INPUT!B27</f>
        <v>111337</v>
      </c>
      <c r="E14" s="100"/>
      <c r="F14" s="100">
        <f>+INPUT!C27</f>
        <v>6228057</v>
      </c>
      <c r="G14" s="100"/>
      <c r="H14" s="100">
        <f>+INPUT!D27</f>
        <v>4744408</v>
      </c>
      <c r="I14" s="100"/>
      <c r="J14" s="100">
        <f>+INPUT!E27</f>
        <v>516115</v>
      </c>
      <c r="K14" s="100"/>
      <c r="L14" s="100">
        <f>+INPUT!F27</f>
        <v>4426926</v>
      </c>
      <c r="M14" s="100"/>
      <c r="N14" s="100">
        <f t="shared" si="0"/>
        <v>317482</v>
      </c>
    </row>
    <row r="15" spans="2:14" ht="12.75">
      <c r="B15" s="29" t="s">
        <v>2137</v>
      </c>
      <c r="D15" s="100">
        <f>+INPUT!B28</f>
        <v>886550</v>
      </c>
      <c r="E15" s="100"/>
      <c r="F15" s="100">
        <f>+INPUT!C28</f>
        <v>29421721</v>
      </c>
      <c r="G15" s="100"/>
      <c r="H15" s="100">
        <f>+INPUT!D28</f>
        <v>23870300</v>
      </c>
      <c r="I15" s="100"/>
      <c r="J15" s="100">
        <f>+INPUT!E28</f>
        <v>2775129</v>
      </c>
      <c r="K15" s="100"/>
      <c r="L15" s="863">
        <f>+INPUT!F28</f>
        <v>22911283</v>
      </c>
      <c r="M15" s="101"/>
      <c r="N15" s="100">
        <f t="shared" si="0"/>
        <v>959017</v>
      </c>
    </row>
    <row r="16" spans="2:15" ht="12.75">
      <c r="B16" s="29" t="s">
        <v>2138</v>
      </c>
      <c r="D16" s="101">
        <f>+INPUT!B29</f>
        <v>755835</v>
      </c>
      <c r="E16" s="101"/>
      <c r="F16" s="101">
        <f>+INPUT!C29</f>
        <v>23034259</v>
      </c>
      <c r="G16" s="101"/>
      <c r="H16" s="101">
        <f>+INPUT!D29</f>
        <v>19446805</v>
      </c>
      <c r="I16" s="101"/>
      <c r="J16" s="101">
        <f>+INPUT!E29</f>
        <v>1988698</v>
      </c>
      <c r="K16" s="101"/>
      <c r="L16" s="101">
        <f>+INPUT!F29</f>
        <v>18579679</v>
      </c>
      <c r="M16" s="101"/>
      <c r="N16" s="101">
        <f t="shared" si="0"/>
        <v>867126</v>
      </c>
      <c r="O16" s="86"/>
    </row>
    <row r="17" spans="2:15" ht="12.75">
      <c r="B17" s="29" t="s">
        <v>336</v>
      </c>
      <c r="D17" s="102">
        <f>+INPUT!B30</f>
        <v>1733</v>
      </c>
      <c r="E17" s="101"/>
      <c r="F17" s="102">
        <f>+INPUT!C30</f>
        <v>362745</v>
      </c>
      <c r="G17" s="101"/>
      <c r="H17" s="102">
        <f>+INPUT!D30</f>
        <v>101634</v>
      </c>
      <c r="I17" s="101"/>
      <c r="J17" s="102">
        <f>+INPUT!E30</f>
        <v>79788</v>
      </c>
      <c r="K17" s="101"/>
      <c r="L17" s="102">
        <f>+INPUT!F30</f>
        <v>94149</v>
      </c>
      <c r="M17" s="101"/>
      <c r="N17" s="102">
        <f>+H17-L17</f>
        <v>7485</v>
      </c>
      <c r="O17" s="86"/>
    </row>
    <row r="18" spans="2:15" ht="14.25">
      <c r="B18" s="35" t="s">
        <v>2139</v>
      </c>
      <c r="D18" s="100">
        <f>SUM(D11:D17)</f>
        <v>2013497</v>
      </c>
      <c r="E18" s="100"/>
      <c r="F18" s="100">
        <f>SUM(F11:F17)</f>
        <v>71789557</v>
      </c>
      <c r="G18" s="100"/>
      <c r="H18" s="100">
        <f>SUM(H11:H17)</f>
        <v>57582682</v>
      </c>
      <c r="I18" s="100"/>
      <c r="J18" s="100">
        <f>SUM(J11:J17)</f>
        <v>7225914</v>
      </c>
      <c r="K18" s="100"/>
      <c r="L18" s="863">
        <f>SUM(L11:L17)</f>
        <v>54984750</v>
      </c>
      <c r="M18" s="100"/>
      <c r="N18" s="100">
        <f>SUM(N11:N17)</f>
        <v>2597932</v>
      </c>
      <c r="O18" s="86"/>
    </row>
    <row r="19" spans="2:15" ht="12.75" hidden="1">
      <c r="B19" s="29" t="s">
        <v>2140</v>
      </c>
      <c r="D19" s="102">
        <v>0</v>
      </c>
      <c r="E19" s="100"/>
      <c r="F19" s="102">
        <v>0</v>
      </c>
      <c r="G19" s="100"/>
      <c r="H19" s="102">
        <f>+F19</f>
        <v>0</v>
      </c>
      <c r="I19" s="100"/>
      <c r="J19" s="102">
        <v>0</v>
      </c>
      <c r="K19" s="100"/>
      <c r="L19" s="864">
        <f>+F19</f>
        <v>0</v>
      </c>
      <c r="M19" s="100"/>
      <c r="N19" s="102">
        <v>0</v>
      </c>
      <c r="O19" s="86"/>
    </row>
    <row r="20" spans="2:14" ht="14.25" hidden="1">
      <c r="B20" s="35" t="s">
        <v>1348</v>
      </c>
      <c r="D20" s="100">
        <f>+D18+D19</f>
        <v>2013497</v>
      </c>
      <c r="E20" s="103"/>
      <c r="F20" s="100">
        <f>+F18+F19</f>
        <v>71789557</v>
      </c>
      <c r="G20" s="103"/>
      <c r="H20" s="100">
        <f>+H18+H19</f>
        <v>57582682</v>
      </c>
      <c r="I20" s="103"/>
      <c r="J20" s="100">
        <f>+J18+J19</f>
        <v>7225914</v>
      </c>
      <c r="K20" s="103"/>
      <c r="L20" s="863">
        <f>+L18+L19</f>
        <v>54984750</v>
      </c>
      <c r="M20" s="103"/>
      <c r="N20" s="100">
        <f>+N18+N19</f>
        <v>2597932</v>
      </c>
    </row>
    <row r="21" spans="2:14" ht="14.25">
      <c r="B21" s="29" t="s">
        <v>2141</v>
      </c>
      <c r="D21" s="104"/>
      <c r="E21" s="100"/>
      <c r="F21" s="105">
        <f>+J21+L21+N21</f>
        <v>30.392</v>
      </c>
      <c r="G21" s="105"/>
      <c r="H21" s="105">
        <f>+L21+N21</f>
        <v>28.598</v>
      </c>
      <c r="I21" s="105"/>
      <c r="J21" s="105">
        <f>INT(J18/2/D18*1000+0.5)/1000</f>
        <v>1.794</v>
      </c>
      <c r="K21" s="105"/>
      <c r="L21" s="277">
        <f>INT(L20/D20*1000+0.5)/1000</f>
        <v>27.308</v>
      </c>
      <c r="M21" s="105"/>
      <c r="N21" s="105">
        <f>INT(N18/D18*1000+0.5)/1000</f>
        <v>1.29</v>
      </c>
    </row>
    <row r="22" spans="4:14" ht="14.25">
      <c r="D22" s="104"/>
      <c r="E22" s="100"/>
      <c r="F22" s="104"/>
      <c r="G22" s="100"/>
      <c r="H22" s="104"/>
      <c r="I22" s="100"/>
      <c r="J22" s="100"/>
      <c r="K22" s="100"/>
      <c r="L22" s="100"/>
      <c r="M22" s="100"/>
      <c r="N22" s="100"/>
    </row>
    <row r="23" spans="2:14" ht="14.25">
      <c r="B23" s="99" t="s">
        <v>2074</v>
      </c>
      <c r="D23" s="104"/>
      <c r="E23" s="100"/>
      <c r="F23" s="104"/>
      <c r="G23" s="100"/>
      <c r="H23" s="104"/>
      <c r="I23" s="100"/>
      <c r="J23" s="100"/>
      <c r="K23" s="100"/>
      <c r="L23" s="100"/>
      <c r="M23" s="100"/>
      <c r="N23" s="100"/>
    </row>
    <row r="24" spans="2:14" ht="12.75">
      <c r="B24" s="29" t="s">
        <v>2142</v>
      </c>
      <c r="D24" s="100">
        <f>+INPUT!B33</f>
        <v>501927</v>
      </c>
      <c r="E24" s="100"/>
      <c r="F24" s="100">
        <f>+INPUT!C33</f>
        <v>15553855</v>
      </c>
      <c r="G24" s="100"/>
      <c r="H24" s="100">
        <f>+INPUT!D33</f>
        <v>13715577</v>
      </c>
      <c r="I24" s="100"/>
      <c r="J24" s="100">
        <f>+INPUT!E33</f>
        <v>759024</v>
      </c>
      <c r="K24" s="100"/>
      <c r="L24" s="100">
        <f>+INPUT!F33</f>
        <v>13496715</v>
      </c>
      <c r="M24" s="100"/>
      <c r="N24" s="100">
        <f>+H24-L24</f>
        <v>218862</v>
      </c>
    </row>
    <row r="25" spans="2:14" ht="12.75">
      <c r="B25" s="29" t="s">
        <v>2143</v>
      </c>
      <c r="D25" s="100">
        <f>+INPUT!B34</f>
        <v>125455</v>
      </c>
      <c r="E25" s="100"/>
      <c r="F25" s="100">
        <f>+INPUT!C34</f>
        <v>2842527</v>
      </c>
      <c r="G25" s="100"/>
      <c r="H25" s="100">
        <f>+INPUT!D34</f>
        <v>2617385</v>
      </c>
      <c r="I25" s="100"/>
      <c r="J25" s="100">
        <f>+INPUT!E34</f>
        <v>118467</v>
      </c>
      <c r="K25" s="100"/>
      <c r="L25" s="100">
        <f>+INPUT!F34</f>
        <v>2546136</v>
      </c>
      <c r="M25" s="100"/>
      <c r="N25" s="100">
        <f>+H25-L25</f>
        <v>71249</v>
      </c>
    </row>
    <row r="26" spans="2:14" ht="12.75">
      <c r="B26" s="29" t="s">
        <v>2144</v>
      </c>
      <c r="D26" s="102">
        <f>+INPUT!B35</f>
        <v>122142</v>
      </c>
      <c r="E26" s="100"/>
      <c r="F26" s="102">
        <f>+INPUT!C35</f>
        <v>4054216</v>
      </c>
      <c r="G26" s="100"/>
      <c r="H26" s="102">
        <f>+INPUT!D35</f>
        <v>2623182</v>
      </c>
      <c r="I26" s="100"/>
      <c r="J26" s="102">
        <f>+INPUT!E35</f>
        <v>95136</v>
      </c>
      <c r="K26" s="100"/>
      <c r="L26" s="102">
        <f>+INPUT!F35</f>
        <v>2552582</v>
      </c>
      <c r="M26" s="100"/>
      <c r="N26" s="102">
        <f>+H26-L26</f>
        <v>70600</v>
      </c>
    </row>
    <row r="27" spans="2:14" ht="14.25" hidden="1">
      <c r="B27" s="35" t="s">
        <v>2139</v>
      </c>
      <c r="D27" s="100">
        <f>SUM(D24:D26)</f>
        <v>749524</v>
      </c>
      <c r="E27" s="100"/>
      <c r="F27" s="100">
        <f>SUM(F24:F26)</f>
        <v>22450598</v>
      </c>
      <c r="G27" s="100"/>
      <c r="H27" s="100">
        <f>SUM(H24:H26)</f>
        <v>18956144</v>
      </c>
      <c r="I27" s="100"/>
      <c r="J27" s="100">
        <f>SUM(J24:J26)</f>
        <v>972627</v>
      </c>
      <c r="K27" s="100"/>
      <c r="L27" s="100">
        <f>SUM(L24:L26)</f>
        <v>18595433</v>
      </c>
      <c r="M27" s="100"/>
      <c r="N27" s="100">
        <f>SUM(N24:N26)</f>
        <v>360711</v>
      </c>
    </row>
    <row r="28" spans="2:14" ht="12.75" hidden="1">
      <c r="B28" s="29" t="s">
        <v>2145</v>
      </c>
      <c r="D28" s="102">
        <v>0</v>
      </c>
      <c r="E28" s="100"/>
      <c r="F28" s="102"/>
      <c r="G28" s="100"/>
      <c r="H28" s="102">
        <v>0</v>
      </c>
      <c r="I28" s="100"/>
      <c r="J28" s="102">
        <f>+F28</f>
        <v>0</v>
      </c>
      <c r="K28" s="100"/>
      <c r="L28" s="102">
        <v>0</v>
      </c>
      <c r="M28" s="100"/>
      <c r="N28" s="102">
        <v>0</v>
      </c>
    </row>
    <row r="29" spans="2:14" ht="14.25" hidden="1">
      <c r="B29" s="35" t="s">
        <v>1348</v>
      </c>
      <c r="D29" s="100">
        <f>+D27+D28</f>
        <v>749524</v>
      </c>
      <c r="E29" s="100"/>
      <c r="F29" s="100">
        <f>+F27+F28</f>
        <v>22450598</v>
      </c>
      <c r="G29" s="100"/>
      <c r="H29" s="100">
        <f>+H27+H28</f>
        <v>18956144</v>
      </c>
      <c r="I29" s="100"/>
      <c r="J29" s="100">
        <f>+J27+J28</f>
        <v>972627</v>
      </c>
      <c r="K29" s="100"/>
      <c r="L29" s="100">
        <f>+L27+L28</f>
        <v>18595433</v>
      </c>
      <c r="M29" s="100"/>
      <c r="N29" s="100">
        <f>+N27+N28</f>
        <v>360711</v>
      </c>
    </row>
    <row r="30" spans="2:14" ht="12.75" hidden="1">
      <c r="B30" s="29" t="s">
        <v>2140</v>
      </c>
      <c r="D30" s="102">
        <v>0</v>
      </c>
      <c r="E30" s="100"/>
      <c r="F30" s="102">
        <v>0</v>
      </c>
      <c r="G30" s="100"/>
      <c r="H30" s="102">
        <f>+F30</f>
        <v>0</v>
      </c>
      <c r="I30" s="100"/>
      <c r="J30" s="102">
        <v>0</v>
      </c>
      <c r="K30" s="100"/>
      <c r="L30" s="102">
        <f>+F30</f>
        <v>0</v>
      </c>
      <c r="M30" s="100"/>
      <c r="N30" s="102">
        <v>0</v>
      </c>
    </row>
    <row r="31" spans="2:14" ht="14.25">
      <c r="B31" s="35" t="s">
        <v>1348</v>
      </c>
      <c r="D31" s="100">
        <f>+D29+D30</f>
        <v>749524</v>
      </c>
      <c r="E31" s="103"/>
      <c r="F31" s="100">
        <f>+F29+F30</f>
        <v>22450598</v>
      </c>
      <c r="G31" s="103"/>
      <c r="H31" s="100">
        <f>+H29+H30</f>
        <v>18956144</v>
      </c>
      <c r="I31" s="103"/>
      <c r="J31" s="100">
        <f>+J29+J30</f>
        <v>972627</v>
      </c>
      <c r="K31" s="103"/>
      <c r="L31" s="100">
        <f>+L29+L30</f>
        <v>18595433</v>
      </c>
      <c r="M31" s="103"/>
      <c r="N31" s="100">
        <f>+N29+N30</f>
        <v>360711</v>
      </c>
    </row>
    <row r="32" spans="2:14" ht="12.75">
      <c r="B32" s="29" t="s">
        <v>2141</v>
      </c>
      <c r="F32" s="105">
        <f>+J32+L32+N32</f>
        <v>25.94</v>
      </c>
      <c r="G32" s="105"/>
      <c r="H32" s="105">
        <f>+L32+N32</f>
        <v>25.291</v>
      </c>
      <c r="I32" s="105"/>
      <c r="J32" s="105">
        <f>INT(J29/2/D29*1000+0.5)/1000</f>
        <v>0.649</v>
      </c>
      <c r="K32" s="105"/>
      <c r="L32" s="105">
        <f>INT(L31/D31*1000+0.5)/1000</f>
        <v>24.81</v>
      </c>
      <c r="M32" s="105"/>
      <c r="N32" s="105">
        <f>INT(N29/D29*1000+0.5)/1000</f>
        <v>0.481</v>
      </c>
    </row>
    <row r="34" ht="14.25">
      <c r="B34" s="99" t="s">
        <v>2075</v>
      </c>
    </row>
    <row r="35" spans="2:14" ht="12.75">
      <c r="B35" s="29" t="s">
        <v>2146</v>
      </c>
      <c r="D35" s="39">
        <f>+INPUT!B38</f>
        <v>108008</v>
      </c>
      <c r="H35" s="39">
        <f>+INPUT!D38</f>
        <v>4373157</v>
      </c>
      <c r="L35" s="39">
        <f>+INPUT!F38</f>
        <v>3959632</v>
      </c>
      <c r="N35" s="100">
        <f aca="true" t="shared" si="1" ref="N35:N41">+H35-L35</f>
        <v>413525</v>
      </c>
    </row>
    <row r="36" spans="2:14" ht="12.75">
      <c r="B36" s="29" t="s">
        <v>2010</v>
      </c>
      <c r="D36" s="44">
        <f>+INPUT!B39</f>
        <v>213276</v>
      </c>
      <c r="H36" s="44">
        <f>+INPUT!D39</f>
        <v>6251744</v>
      </c>
      <c r="L36" s="44">
        <f>+INPUT!F39</f>
        <v>5768629</v>
      </c>
      <c r="N36" s="100">
        <f t="shared" si="1"/>
        <v>483115</v>
      </c>
    </row>
    <row r="37" spans="2:14" ht="14.25">
      <c r="B37" s="35" t="s">
        <v>2147</v>
      </c>
      <c r="D37" s="39">
        <f>SUM(D35:D36)</f>
        <v>321284</v>
      </c>
      <c r="F37" s="39">
        <f>+INPUT!C40</f>
        <v>12918008</v>
      </c>
      <c r="H37" s="39">
        <f>SUM(H35:H36)</f>
        <v>10624901</v>
      </c>
      <c r="J37" s="39">
        <f>+INPUT!E40</f>
        <v>1169581</v>
      </c>
      <c r="L37" s="39">
        <f>SUM(L35:L36)</f>
        <v>9728261</v>
      </c>
      <c r="N37" s="100">
        <f t="shared" si="1"/>
        <v>896640</v>
      </c>
    </row>
    <row r="38" spans="2:14" ht="12.75">
      <c r="B38" s="29" t="s">
        <v>311</v>
      </c>
      <c r="D38" s="39">
        <f>+INPUT!B41</f>
        <v>418061</v>
      </c>
      <c r="F38" s="39">
        <f>+INPUT!C41</f>
        <v>9565122</v>
      </c>
      <c r="H38" s="39">
        <f>+INPUT!D41</f>
        <v>8754383</v>
      </c>
      <c r="J38" s="39">
        <f>+INPUT!E41</f>
        <v>396941</v>
      </c>
      <c r="L38" s="39">
        <f>+INPUT!F41</f>
        <v>8484649</v>
      </c>
      <c r="N38" s="100">
        <f t="shared" si="1"/>
        <v>269734</v>
      </c>
    </row>
    <row r="39" spans="2:14" ht="12.75">
      <c r="B39" s="29" t="s">
        <v>2143</v>
      </c>
      <c r="D39" s="39">
        <f>+INPUT!B42</f>
        <v>292640</v>
      </c>
      <c r="E39" s="86"/>
      <c r="F39" s="39">
        <f>+INPUT!C42</f>
        <v>6632563</v>
      </c>
      <c r="G39" s="86"/>
      <c r="H39" s="39">
        <f>+INPUT!D42</f>
        <v>6105388</v>
      </c>
      <c r="I39" s="86"/>
      <c r="J39" s="39">
        <f>+INPUT!E42</f>
        <v>276423</v>
      </c>
      <c r="K39" s="86"/>
      <c r="L39" s="39">
        <f>+INPUT!F42</f>
        <v>5939191</v>
      </c>
      <c r="M39" s="86"/>
      <c r="N39" s="100">
        <f>+H39-L39</f>
        <v>166197</v>
      </c>
    </row>
    <row r="40" spans="2:14" ht="12.75">
      <c r="B40" s="29" t="s">
        <v>2144</v>
      </c>
      <c r="D40" s="39">
        <f>+INPUT!B43</f>
        <v>284824</v>
      </c>
      <c r="F40" s="39">
        <f>+INPUT!C43</f>
        <v>9459838</v>
      </c>
      <c r="H40" s="39">
        <f>+INPUT!D43</f>
        <v>6117022</v>
      </c>
      <c r="J40" s="39">
        <f>+INPUT!E43</f>
        <v>221984</v>
      </c>
      <c r="L40" s="39">
        <f>+INPUT!F43</f>
        <v>5952388</v>
      </c>
      <c r="N40" s="100">
        <f t="shared" si="1"/>
        <v>164634</v>
      </c>
    </row>
    <row r="41" spans="2:14" ht="12.75">
      <c r="B41" s="29" t="s">
        <v>2149</v>
      </c>
      <c r="D41" s="39">
        <f>+INPUT!B44</f>
        <v>236061</v>
      </c>
      <c r="F41" s="39">
        <f>+INPUT!C44</f>
        <v>8421831</v>
      </c>
      <c r="G41" s="86"/>
      <c r="H41" s="39">
        <f>+INPUT!D44</f>
        <v>5090066</v>
      </c>
      <c r="J41" s="39">
        <f>+INPUT!E44</f>
        <v>191382</v>
      </c>
      <c r="K41" s="86"/>
      <c r="L41" s="39">
        <f>+INPUT!F44</f>
        <v>4933305</v>
      </c>
      <c r="N41" s="100">
        <f t="shared" si="1"/>
        <v>156761</v>
      </c>
    </row>
    <row r="42" spans="2:14" ht="12.75">
      <c r="B42" s="29" t="s">
        <v>1300</v>
      </c>
      <c r="D42" s="44">
        <f>+INPUT!B45</f>
        <v>791142</v>
      </c>
      <c r="E42" s="45"/>
      <c r="F42" s="44">
        <f>+INPUT!C45</f>
        <v>20395736</v>
      </c>
      <c r="G42" s="45"/>
      <c r="H42" s="44">
        <f>+INPUT!D45</f>
        <v>8421713</v>
      </c>
      <c r="I42" s="45"/>
      <c r="J42" s="44">
        <f>+INPUT!E45</f>
        <v>8993947</v>
      </c>
      <c r="K42" s="45"/>
      <c r="L42" s="44">
        <f>+INPUT!F45</f>
        <v>8421713</v>
      </c>
      <c r="M42" s="45"/>
      <c r="N42" s="44">
        <v>0</v>
      </c>
    </row>
    <row r="43" spans="2:14" ht="14.25" hidden="1">
      <c r="B43" s="35" t="s">
        <v>2139</v>
      </c>
      <c r="D43" s="39">
        <f>SUM(D37:D42)</f>
        <v>2344012</v>
      </c>
      <c r="F43" s="39">
        <f>SUM(F37:F42)</f>
        <v>67393098</v>
      </c>
      <c r="H43" s="39">
        <f>SUM(H37:H42)</f>
        <v>45113473</v>
      </c>
      <c r="J43" s="39">
        <f>SUM(J37:J42)</f>
        <v>11250258</v>
      </c>
      <c r="L43" s="39">
        <f>SUM(L37:L42)</f>
        <v>43459507</v>
      </c>
      <c r="N43" s="100">
        <f>+H43-L43</f>
        <v>1653966</v>
      </c>
    </row>
    <row r="44" spans="2:14" ht="12.75" hidden="1">
      <c r="B44" s="29" t="s">
        <v>2140</v>
      </c>
      <c r="D44" s="44">
        <v>0</v>
      </c>
      <c r="F44" s="44">
        <v>0</v>
      </c>
      <c r="H44" s="44">
        <f>+F44</f>
        <v>0</v>
      </c>
      <c r="J44" s="44">
        <v>0</v>
      </c>
      <c r="L44" s="44">
        <f>+F44</f>
        <v>0</v>
      </c>
      <c r="N44" s="44">
        <v>0</v>
      </c>
    </row>
    <row r="45" spans="2:14" ht="14.25">
      <c r="B45" s="35" t="s">
        <v>1348</v>
      </c>
      <c r="D45" s="39">
        <f>SUM(D43+D44)</f>
        <v>2344012</v>
      </c>
      <c r="E45" s="103"/>
      <c r="F45" s="39">
        <f>+F43+F44</f>
        <v>67393098</v>
      </c>
      <c r="G45" s="103"/>
      <c r="H45" s="39">
        <f>+H43+H44</f>
        <v>45113473</v>
      </c>
      <c r="I45" s="103"/>
      <c r="J45" s="39">
        <f>+J43+J44</f>
        <v>11250258</v>
      </c>
      <c r="K45" s="103"/>
      <c r="L45" s="39">
        <f>+L43+L44</f>
        <v>43459507</v>
      </c>
      <c r="M45" s="103"/>
      <c r="N45" s="39">
        <f>+N43+N44</f>
        <v>1653966</v>
      </c>
    </row>
    <row r="46" spans="2:14" ht="12.75">
      <c r="B46" s="29" t="s">
        <v>2141</v>
      </c>
      <c r="F46" s="277">
        <f>+J46+L46+N46</f>
        <v>21.647</v>
      </c>
      <c r="G46" s="277"/>
      <c r="H46" s="277">
        <f>+L46+N46</f>
        <v>19.247</v>
      </c>
      <c r="I46" s="277"/>
      <c r="J46" s="277">
        <f>INT(J43/2/D43*1000+0.5)/1000</f>
        <v>2.4</v>
      </c>
      <c r="K46" s="277"/>
      <c r="L46" s="277">
        <f>INT(L45/D45*1000+0.5)/1000</f>
        <v>18.541</v>
      </c>
      <c r="M46" s="277"/>
      <c r="N46" s="277">
        <f>INT(N43/D43*1000+0.5)/1000</f>
        <v>0.706</v>
      </c>
    </row>
    <row r="48" ht="14.25">
      <c r="B48" s="99" t="s">
        <v>2079</v>
      </c>
    </row>
    <row r="49" spans="2:14" ht="12.75">
      <c r="B49" s="29" t="s">
        <v>2150</v>
      </c>
      <c r="D49" s="39">
        <f>+INPUT!B48</f>
        <v>65747</v>
      </c>
      <c r="F49" s="39">
        <f>+INPUT!C48</f>
        <v>3787405</v>
      </c>
      <c r="H49" s="39">
        <f>+INPUT!D48</f>
        <v>2439713</v>
      </c>
      <c r="J49" s="39">
        <f>+INPUT!E48</f>
        <v>746533</v>
      </c>
      <c r="L49" s="39">
        <f>+INPUT!F48</f>
        <v>2333715</v>
      </c>
      <c r="N49" s="100">
        <f aca="true" t="shared" si="2" ref="N49:N56">+H49-L49</f>
        <v>105998</v>
      </c>
    </row>
    <row r="50" spans="2:14" ht="12.75">
      <c r="B50" s="29" t="s">
        <v>2151</v>
      </c>
      <c r="D50" s="39">
        <f>+INPUT!B49</f>
        <v>384110</v>
      </c>
      <c r="F50" s="39">
        <f>+INPUT!C49</f>
        <v>12438372</v>
      </c>
      <c r="H50" s="39">
        <f>+INPUT!D49</f>
        <v>9269459</v>
      </c>
      <c r="J50" s="39">
        <f>+INPUT!E49</f>
        <v>1702015</v>
      </c>
      <c r="L50" s="39">
        <f>+INPUT!F49</f>
        <v>9076939</v>
      </c>
      <c r="N50" s="100">
        <f t="shared" si="2"/>
        <v>192520</v>
      </c>
    </row>
    <row r="51" spans="2:14" ht="12.75">
      <c r="B51" s="29" t="s">
        <v>2153</v>
      </c>
      <c r="D51" s="39">
        <f>+INPUT!B50</f>
        <v>161654</v>
      </c>
      <c r="F51" s="39">
        <f>+INPUT!C50</f>
        <v>9380334</v>
      </c>
      <c r="H51" s="39">
        <f>+INPUT!D50</f>
        <v>7810883</v>
      </c>
      <c r="J51" s="39">
        <f>+INPUT!E50</f>
        <v>1047591</v>
      </c>
      <c r="L51" s="39">
        <f>+INPUT!F50</f>
        <v>7458753</v>
      </c>
      <c r="N51" s="100">
        <f t="shared" si="2"/>
        <v>352130</v>
      </c>
    </row>
    <row r="52" spans="2:14" ht="12.75">
      <c r="B52" s="29" t="s">
        <v>2159</v>
      </c>
      <c r="D52" s="39">
        <f>+INPUT!B51</f>
        <v>372254</v>
      </c>
      <c r="F52" s="39">
        <f>+INPUT!C51</f>
        <v>9291549</v>
      </c>
      <c r="H52" s="39">
        <f>+INPUT!D51</f>
        <v>7660419</v>
      </c>
      <c r="J52" s="39">
        <f>+INPUT!E51</f>
        <v>34328</v>
      </c>
      <c r="L52" s="39">
        <f>+INPUT!F51</f>
        <v>7391545</v>
      </c>
      <c r="N52" s="100">
        <f t="shared" si="2"/>
        <v>268874</v>
      </c>
    </row>
    <row r="53" spans="2:14" ht="12.75">
      <c r="B53" s="29" t="s">
        <v>2164</v>
      </c>
      <c r="D53" s="39">
        <f>+INPUT!B52</f>
        <v>734954</v>
      </c>
      <c r="F53" s="39">
        <f>+INPUT!C52</f>
        <v>21835447</v>
      </c>
      <c r="H53" s="39">
        <f>+INPUT!D52</f>
        <v>17932665</v>
      </c>
      <c r="J53" s="39">
        <f>+INPUT!E52</f>
        <v>1796834</v>
      </c>
      <c r="L53" s="39">
        <f>+INPUT!F52</f>
        <v>17204759</v>
      </c>
      <c r="N53" s="100">
        <f t="shared" si="2"/>
        <v>727906</v>
      </c>
    </row>
    <row r="54" spans="2:14" ht="12.75">
      <c r="B54" s="29" t="s">
        <v>2165</v>
      </c>
      <c r="D54" s="39">
        <f>+INPUT!B53</f>
        <v>380015</v>
      </c>
      <c r="F54" s="39">
        <f>+INPUT!C53</f>
        <v>12513684</v>
      </c>
      <c r="H54" s="39">
        <f>+INPUT!D53</f>
        <v>10482823</v>
      </c>
      <c r="I54" s="106"/>
      <c r="J54" s="39">
        <f>+INPUT!E53</f>
        <v>1065954</v>
      </c>
      <c r="L54" s="39">
        <f>+INPUT!F53</f>
        <v>10196434</v>
      </c>
      <c r="N54" s="100">
        <f t="shared" si="2"/>
        <v>286389</v>
      </c>
    </row>
    <row r="55" spans="2:14" ht="12.75">
      <c r="B55" s="29" t="s">
        <v>2166</v>
      </c>
      <c r="D55" s="44">
        <f>+INPUT!B54</f>
        <v>1577567</v>
      </c>
      <c r="F55" s="44">
        <f>+INPUT!C54</f>
        <v>58150336</v>
      </c>
      <c r="H55" s="44">
        <f>+INPUT!D54</f>
        <v>38032599</v>
      </c>
      <c r="J55" s="44">
        <f>+INPUT!E54</f>
        <v>2596737</v>
      </c>
      <c r="L55" s="44">
        <f>+INPUT!F54</f>
        <v>36605870</v>
      </c>
      <c r="N55" s="102">
        <f t="shared" si="2"/>
        <v>1426729</v>
      </c>
    </row>
    <row r="56" spans="2:14" ht="14.25" hidden="1">
      <c r="B56" s="35" t="s">
        <v>2139</v>
      </c>
      <c r="D56" s="39">
        <f>SUM(D49:D55)</f>
        <v>3676301</v>
      </c>
      <c r="F56" s="39">
        <f>SUM(F49:F55)</f>
        <v>127397127</v>
      </c>
      <c r="H56" s="39">
        <f>SUM(H49:H55)</f>
        <v>93628561</v>
      </c>
      <c r="J56" s="39">
        <f>SUM(J49:J55)</f>
        <v>8989992</v>
      </c>
      <c r="L56" s="39">
        <f>SUM(L49:L55)</f>
        <v>90268015</v>
      </c>
      <c r="N56" s="100">
        <f t="shared" si="2"/>
        <v>3360546</v>
      </c>
    </row>
    <row r="57" spans="2:14" ht="12.75" hidden="1">
      <c r="B57" s="29" t="s">
        <v>2140</v>
      </c>
      <c r="D57" s="44">
        <v>0</v>
      </c>
      <c r="F57" s="44">
        <v>0</v>
      </c>
      <c r="H57" s="44">
        <f>+F57</f>
        <v>0</v>
      </c>
      <c r="J57" s="44">
        <v>0</v>
      </c>
      <c r="L57" s="44">
        <f>+F57</f>
        <v>0</v>
      </c>
      <c r="N57" s="44">
        <v>0</v>
      </c>
    </row>
    <row r="58" spans="2:14" ht="14.25">
      <c r="B58" s="35" t="s">
        <v>1348</v>
      </c>
      <c r="D58" s="39">
        <f>+D56+D57</f>
        <v>3676301</v>
      </c>
      <c r="E58" s="103"/>
      <c r="F58" s="39">
        <f>+F56+F57</f>
        <v>127397127</v>
      </c>
      <c r="G58" s="103"/>
      <c r="H58" s="39">
        <f>+H56+H57</f>
        <v>93628561</v>
      </c>
      <c r="I58" s="103"/>
      <c r="J58" s="39">
        <f>+J56+J57</f>
        <v>8989992</v>
      </c>
      <c r="K58" s="103"/>
      <c r="L58" s="39">
        <f>+L56+L57</f>
        <v>90268015</v>
      </c>
      <c r="M58" s="103"/>
      <c r="N58" s="39">
        <f>+N56+N57</f>
        <v>3360546</v>
      </c>
    </row>
    <row r="59" spans="2:14" ht="12.75">
      <c r="B59" s="29" t="s">
        <v>2141</v>
      </c>
      <c r="F59" s="105">
        <f>+J59+L59+N59</f>
        <v>26.691</v>
      </c>
      <c r="G59" s="105"/>
      <c r="H59" s="105">
        <f>+L59+N59</f>
        <v>25.468</v>
      </c>
      <c r="I59" s="105"/>
      <c r="J59" s="105">
        <f>INT(J56/2/D56*1000+0.5)/1000</f>
        <v>1.223</v>
      </c>
      <c r="K59" s="105"/>
      <c r="L59" s="105">
        <f>INT(L58/D58*1000+0.5)/1000</f>
        <v>24.554</v>
      </c>
      <c r="M59" s="105"/>
      <c r="N59" s="105">
        <f>INT(N56/D56*1000+0.5)/1000</f>
        <v>0.914</v>
      </c>
    </row>
    <row r="61" ht="14.25">
      <c r="B61" s="99" t="s">
        <v>2080</v>
      </c>
    </row>
    <row r="62" spans="2:14" ht="12.75">
      <c r="B62" s="29" t="s">
        <v>2167</v>
      </c>
      <c r="D62" s="39">
        <f>+INPUT!B57</f>
        <v>499047</v>
      </c>
      <c r="F62" s="39">
        <f>+INPUT!C57</f>
        <v>18752647</v>
      </c>
      <c r="H62" s="39">
        <f>+INPUT!D57</f>
        <v>14255444</v>
      </c>
      <c r="J62" s="39">
        <f>+INPUT!E57</f>
        <v>2066851</v>
      </c>
      <c r="L62" s="39">
        <f>+INPUT!F57</f>
        <v>13266096</v>
      </c>
      <c r="N62" s="100">
        <f aca="true" t="shared" si="3" ref="N62:N69">+H62-L62</f>
        <v>989348</v>
      </c>
    </row>
    <row r="63" spans="2:14" ht="12.75">
      <c r="B63" s="29" t="s">
        <v>2168</v>
      </c>
      <c r="D63" s="39">
        <f>+INPUT!B58</f>
        <v>13866</v>
      </c>
      <c r="F63" s="39">
        <f>+INPUT!C58</f>
        <v>170898</v>
      </c>
      <c r="H63" s="39">
        <f>+INPUT!D58</f>
        <v>-202454</v>
      </c>
      <c r="J63" s="39">
        <f>+INPUT!E58</f>
        <v>139760</v>
      </c>
      <c r="L63" s="39">
        <f>+INPUT!F58</f>
        <v>-201912</v>
      </c>
      <c r="N63" s="100">
        <f t="shared" si="3"/>
        <v>-542</v>
      </c>
    </row>
    <row r="64" spans="2:14" ht="12.75">
      <c r="B64" s="29" t="s">
        <v>2169</v>
      </c>
      <c r="D64" s="39">
        <f>+INPUT!B59</f>
        <v>13358</v>
      </c>
      <c r="F64" s="39">
        <f>+INPUT!C59</f>
        <v>371640</v>
      </c>
      <c r="H64" s="39">
        <f>+INPUT!D59</f>
        <v>262193</v>
      </c>
      <c r="J64" s="39">
        <f>+INPUT!E59</f>
        <v>82968</v>
      </c>
      <c r="L64" s="39">
        <f>+INPUT!F59</f>
        <v>234701</v>
      </c>
      <c r="N64" s="100">
        <f t="shared" si="3"/>
        <v>27492</v>
      </c>
    </row>
    <row r="65" spans="2:14" ht="12.75">
      <c r="B65" s="29" t="s">
        <v>2170</v>
      </c>
      <c r="D65" s="39">
        <f>+INPUT!B60</f>
        <v>231829</v>
      </c>
      <c r="F65" s="39">
        <f>+INPUT!C60</f>
        <v>9451970</v>
      </c>
      <c r="H65" s="39">
        <f>+INPUT!D60</f>
        <v>7426376</v>
      </c>
      <c r="J65" s="39">
        <f>+INPUT!E60</f>
        <v>2042191</v>
      </c>
      <c r="L65" s="39">
        <f>+INPUT!F60</f>
        <v>7171828</v>
      </c>
      <c r="N65" s="100">
        <f t="shared" si="3"/>
        <v>254548</v>
      </c>
    </row>
    <row r="66" spans="2:14" ht="12.75">
      <c r="B66" s="29" t="s">
        <v>2171</v>
      </c>
      <c r="D66" s="114">
        <f>+INPUT!B61</f>
        <v>301494</v>
      </c>
      <c r="E66" s="45"/>
      <c r="F66" s="114">
        <f>+INPUT!C61</f>
        <v>6575852</v>
      </c>
      <c r="G66" s="45"/>
      <c r="H66" s="114">
        <f>+INPUT!D61</f>
        <v>4314889</v>
      </c>
      <c r="I66" s="45"/>
      <c r="J66" s="114">
        <f>+INPUT!E61</f>
        <v>1412795</v>
      </c>
      <c r="K66" s="45"/>
      <c r="L66" s="114">
        <f>+INPUT!F61</f>
        <v>4173507</v>
      </c>
      <c r="M66" s="45"/>
      <c r="N66" s="101">
        <f t="shared" si="3"/>
        <v>141382</v>
      </c>
    </row>
    <row r="67" spans="2:14" ht="12.75">
      <c r="B67" s="29" t="s">
        <v>689</v>
      </c>
      <c r="D67" s="114">
        <f>+INPUT!B62</f>
        <v>42114</v>
      </c>
      <c r="F67" s="114">
        <f>+INPUT!C62</f>
        <v>1648669</v>
      </c>
      <c r="H67" s="114">
        <f>+INPUT!D62</f>
        <v>1369017</v>
      </c>
      <c r="J67" s="114">
        <f>+INPUT!E62</f>
        <v>-184709</v>
      </c>
      <c r="L67" s="114">
        <f>+INPUT!F62</f>
        <v>1360610</v>
      </c>
      <c r="N67" s="101">
        <f t="shared" si="3"/>
        <v>8407</v>
      </c>
    </row>
    <row r="68" spans="2:15" ht="12.75">
      <c r="B68" s="29" t="s">
        <v>1634</v>
      </c>
      <c r="D68" s="114">
        <f>+INPUT!B63</f>
        <v>2734</v>
      </c>
      <c r="F68" s="114">
        <f>+INPUT!C63</f>
        <v>484930</v>
      </c>
      <c r="H68" s="114">
        <f>+INPUT!D63</f>
        <v>241945</v>
      </c>
      <c r="J68" s="114">
        <f>+INPUT!E63</f>
        <v>91977</v>
      </c>
      <c r="L68" s="114">
        <f>+INPUT!F63</f>
        <v>227198</v>
      </c>
      <c r="N68" s="101">
        <f t="shared" si="3"/>
        <v>14747</v>
      </c>
      <c r="O68" s="114"/>
    </row>
    <row r="69" spans="2:14" ht="12.75">
      <c r="B69" s="29" t="s">
        <v>1631</v>
      </c>
      <c r="D69" s="44">
        <f>+INPUT!B64</f>
        <v>33008</v>
      </c>
      <c r="F69" s="44">
        <f>+INPUT!C64</f>
        <v>1705331</v>
      </c>
      <c r="H69" s="44">
        <f>+INPUT!D64</f>
        <v>1074039</v>
      </c>
      <c r="J69" s="44">
        <f>+INPUT!E64</f>
        <v>86664</v>
      </c>
      <c r="L69" s="44">
        <f>+INPUT!F64</f>
        <v>1059317</v>
      </c>
      <c r="M69" s="114"/>
      <c r="N69" s="102">
        <f t="shared" si="3"/>
        <v>14722</v>
      </c>
    </row>
    <row r="70" spans="2:14" ht="14.25" hidden="1">
      <c r="B70" s="35" t="s">
        <v>2139</v>
      </c>
      <c r="D70" s="39">
        <f>SUM(D62:D69)</f>
        <v>1137450</v>
      </c>
      <c r="F70" s="39">
        <f>SUM(F62:F69)</f>
        <v>39161937</v>
      </c>
      <c r="H70" s="39">
        <f>SUM(H62:H69)</f>
        <v>28741449</v>
      </c>
      <c r="J70" s="39">
        <f>SUM(J62:J69)</f>
        <v>5738497</v>
      </c>
      <c r="L70" s="39">
        <f>SUM(L62:L69)</f>
        <v>27291345</v>
      </c>
      <c r="N70" s="39">
        <f>SUM(N62:N69)</f>
        <v>1450104</v>
      </c>
    </row>
    <row r="71" spans="2:14" ht="12.75" hidden="1">
      <c r="B71" s="29" t="s">
        <v>2140</v>
      </c>
      <c r="D71" s="44">
        <v>0</v>
      </c>
      <c r="F71" s="44">
        <v>0</v>
      </c>
      <c r="H71" s="44">
        <f>+F71</f>
        <v>0</v>
      </c>
      <c r="J71" s="44">
        <v>0</v>
      </c>
      <c r="L71" s="44">
        <f>+F71</f>
        <v>0</v>
      </c>
      <c r="N71" s="44">
        <v>0</v>
      </c>
    </row>
    <row r="72" spans="2:14" ht="14.25">
      <c r="B72" s="35" t="s">
        <v>1348</v>
      </c>
      <c r="D72" s="39">
        <f>+D70+D71</f>
        <v>1137450</v>
      </c>
      <c r="E72" s="103"/>
      <c r="F72" s="39">
        <f>+F70+F71</f>
        <v>39161937</v>
      </c>
      <c r="G72" s="103"/>
      <c r="H72" s="39">
        <f>+H70+H71</f>
        <v>28741449</v>
      </c>
      <c r="I72" s="103"/>
      <c r="J72" s="39">
        <f>+J70+J71</f>
        <v>5738497</v>
      </c>
      <c r="K72" s="103"/>
      <c r="L72" s="39">
        <f>+L70+L71</f>
        <v>27291345</v>
      </c>
      <c r="M72" s="103"/>
      <c r="N72" s="39">
        <f>+N70+N71</f>
        <v>1450104</v>
      </c>
    </row>
    <row r="73" spans="2:14" ht="12.75">
      <c r="B73" s="29" t="s">
        <v>2141</v>
      </c>
      <c r="F73" s="105">
        <f>+J73+L73+N73</f>
        <v>27.790999999999997</v>
      </c>
      <c r="G73" s="105"/>
      <c r="H73" s="105">
        <f>+L73+N73</f>
        <v>25.267999999999997</v>
      </c>
      <c r="I73" s="105"/>
      <c r="J73" s="105">
        <f>INT(J70/2/D70*1000+0.5)/1000</f>
        <v>2.523</v>
      </c>
      <c r="K73" s="105"/>
      <c r="L73" s="105">
        <f>INT(L72/D72*1000+0.5)/1000</f>
        <v>23.993</v>
      </c>
      <c r="M73" s="105"/>
      <c r="N73" s="105">
        <f>INT(N70/D70*1000+0.5)/1000</f>
        <v>1.275</v>
      </c>
    </row>
    <row r="75" spans="2:14" ht="12.75" hidden="1">
      <c r="B75" s="29" t="s">
        <v>2172</v>
      </c>
      <c r="D75" s="39">
        <f>+D18+D27+D43+D56+D70</f>
        <v>9920784</v>
      </c>
      <c r="F75" s="39">
        <f>+F18+F29+F43+F56+F70</f>
        <v>328192317</v>
      </c>
      <c r="H75" s="39">
        <f>+H18+H27+H43+H56+H70</f>
        <v>244022309</v>
      </c>
      <c r="J75" s="39">
        <f>+J18+J29+J43+J56+J70</f>
        <v>34177288</v>
      </c>
      <c r="L75" s="39">
        <f>+L18+L27+L43+L56+L70</f>
        <v>234599050</v>
      </c>
      <c r="N75" s="39">
        <f>+N18+N27+N43+N56+N70</f>
        <v>9423259</v>
      </c>
    </row>
    <row r="76" spans="2:14" ht="12.75">
      <c r="B76" s="29" t="s">
        <v>2172</v>
      </c>
      <c r="D76" s="39">
        <f>+D20+D31+D45+D58+D72</f>
        <v>9920784</v>
      </c>
      <c r="E76" s="103"/>
      <c r="F76" s="39">
        <f>+F20+F31+F45+F58+F72</f>
        <v>328192317</v>
      </c>
      <c r="G76" s="103"/>
      <c r="H76" s="39">
        <f>+H20+H31+H45+H58+H72</f>
        <v>244022309</v>
      </c>
      <c r="I76" s="103"/>
      <c r="J76" s="39">
        <f>+J20+J31+J45+J58+J72</f>
        <v>34177288</v>
      </c>
      <c r="K76" s="103"/>
      <c r="L76" s="39">
        <f>+L20+L31+L45+L58+L72</f>
        <v>234599050</v>
      </c>
      <c r="M76" s="103"/>
      <c r="N76" s="39">
        <f>+N20+N31+N45+N58+N72</f>
        <v>9423259</v>
      </c>
    </row>
  </sheetData>
  <printOptions horizontalCentered="1"/>
  <pageMargins left="0" right="0" top="0" bottom="0" header="0" footer="0"/>
  <pageSetup fitToHeight="1" fitToWidth="1" horizontalDpi="600" verticalDpi="600" orientation="portrait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B1:N55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3" customWidth="1"/>
    <col min="2" max="2" width="12.140625" style="3" customWidth="1"/>
    <col min="3" max="3" width="1.7109375" style="3" customWidth="1"/>
    <col min="4" max="4" width="13.7109375" style="3" customWidth="1"/>
    <col min="5" max="5" width="1.7109375" style="3" customWidth="1"/>
    <col min="6" max="6" width="17.7109375" style="3" customWidth="1"/>
    <col min="7" max="7" width="2.7109375" style="3" customWidth="1"/>
    <col min="8" max="8" width="17.7109375" style="3" customWidth="1"/>
    <col min="9" max="9" width="1.7109375" style="3" customWidth="1"/>
    <col min="10" max="10" width="15.8515625" style="3" customWidth="1"/>
    <col min="11" max="11" width="3.421875" style="3" customWidth="1"/>
    <col min="12" max="12" width="15.8515625" style="3" customWidth="1"/>
    <col min="13" max="16384" width="9.140625" style="3" customWidth="1"/>
  </cols>
  <sheetData>
    <row r="1" spans="2:12" ht="16.5">
      <c r="B1" s="28" t="s">
        <v>1451</v>
      </c>
      <c r="C1" s="20" t="str">
        <f>INPUT!C1</f>
        <v>June 2009</v>
      </c>
      <c r="L1" s="19" t="s">
        <v>2173</v>
      </c>
    </row>
    <row r="2" ht="16.5">
      <c r="G2" s="19" t="s">
        <v>2174</v>
      </c>
    </row>
    <row r="3" ht="16.5">
      <c r="G3" s="53" t="s">
        <v>2175</v>
      </c>
    </row>
    <row r="4" ht="15">
      <c r="F4" s="57"/>
    </row>
    <row r="5" spans="2:6" ht="16.5">
      <c r="B5" s="28" t="s">
        <v>2176</v>
      </c>
      <c r="F5" s="57"/>
    </row>
    <row r="7" spans="4:12" ht="16.5">
      <c r="D7" s="25" t="s">
        <v>1453</v>
      </c>
      <c r="F7" s="25" t="s">
        <v>1453</v>
      </c>
      <c r="H7" s="25" t="s">
        <v>1453</v>
      </c>
      <c r="L7" s="25" t="s">
        <v>1453</v>
      </c>
    </row>
    <row r="8" spans="4:12" ht="16.5">
      <c r="D8" s="19" t="s">
        <v>1987</v>
      </c>
      <c r="F8" s="19" t="s">
        <v>1988</v>
      </c>
      <c r="H8" s="19" t="s">
        <v>1988</v>
      </c>
      <c r="J8" s="19" t="s">
        <v>1236</v>
      </c>
      <c r="L8" s="19" t="s">
        <v>1989</v>
      </c>
    </row>
    <row r="9" spans="4:12" ht="16.5">
      <c r="D9" s="19" t="s">
        <v>1264</v>
      </c>
      <c r="F9" s="19" t="s">
        <v>1952</v>
      </c>
      <c r="H9" s="19" t="s">
        <v>1952</v>
      </c>
      <c r="J9" s="19" t="s">
        <v>1268</v>
      </c>
      <c r="L9" s="19" t="s">
        <v>1268</v>
      </c>
    </row>
    <row r="10" spans="2:12" ht="16.5">
      <c r="B10" s="22" t="s">
        <v>2177</v>
      </c>
      <c r="D10" s="22" t="s">
        <v>2178</v>
      </c>
      <c r="F10" s="22" t="s">
        <v>2179</v>
      </c>
      <c r="H10" s="22" t="s">
        <v>2131</v>
      </c>
      <c r="J10" s="22" t="s">
        <v>1952</v>
      </c>
      <c r="L10" s="22" t="s">
        <v>1952</v>
      </c>
    </row>
    <row r="11" spans="4:12" ht="15">
      <c r="D11" s="56" t="s">
        <v>1504</v>
      </c>
      <c r="F11" s="56" t="s">
        <v>1505</v>
      </c>
      <c r="H11" s="56" t="s">
        <v>1506</v>
      </c>
      <c r="J11" s="56" t="s">
        <v>1507</v>
      </c>
      <c r="L11" s="56" t="s">
        <v>1509</v>
      </c>
    </row>
    <row r="13" spans="2:12" ht="15">
      <c r="B13" s="3" t="s">
        <v>1239</v>
      </c>
      <c r="D13" s="17">
        <f>+APPIV!F20</f>
        <v>71789557</v>
      </c>
      <c r="E13" s="76"/>
      <c r="F13" s="18">
        <f>+APPIV!L20</f>
        <v>54984750</v>
      </c>
      <c r="G13" s="76"/>
      <c r="H13" s="17">
        <f>+APPIV!N20</f>
        <v>2597932</v>
      </c>
      <c r="I13" s="17"/>
      <c r="J13" s="17">
        <f>+APPIV!J20</f>
        <v>7225914</v>
      </c>
      <c r="L13" s="17">
        <f>ROUND(J13/2,0)</f>
        <v>3612957</v>
      </c>
    </row>
    <row r="14" spans="2:12" ht="15">
      <c r="B14" s="3" t="s">
        <v>1240</v>
      </c>
      <c r="D14" s="17">
        <f>+APPIV!F31</f>
        <v>22450598</v>
      </c>
      <c r="E14" s="76"/>
      <c r="F14" s="17">
        <f>+APPIV!L31</f>
        <v>18595433</v>
      </c>
      <c r="G14" s="76"/>
      <c r="H14" s="17">
        <f>+APPIV!N31</f>
        <v>360711</v>
      </c>
      <c r="I14" s="17"/>
      <c r="J14" s="17">
        <f>+APPIV!J31</f>
        <v>972627</v>
      </c>
      <c r="L14" s="17">
        <f>ROUND(J14/2,0)</f>
        <v>486314</v>
      </c>
    </row>
    <row r="15" spans="2:12" ht="15">
      <c r="B15" s="3" t="s">
        <v>1241</v>
      </c>
      <c r="D15" s="17">
        <f>+APPIV!F45</f>
        <v>67393098</v>
      </c>
      <c r="E15" s="76"/>
      <c r="F15" s="17">
        <f>+APPIV!L45</f>
        <v>43459507</v>
      </c>
      <c r="G15" s="76"/>
      <c r="H15" s="17">
        <f>+APPIV!N45</f>
        <v>1653966</v>
      </c>
      <c r="I15" s="17"/>
      <c r="J15" s="17">
        <f>+APPIV!J45</f>
        <v>11250258</v>
      </c>
      <c r="L15" s="17">
        <f>ROUND(J15/2,0)</f>
        <v>5625129</v>
      </c>
    </row>
    <row r="16" spans="2:12" ht="15">
      <c r="B16" s="3" t="s">
        <v>1242</v>
      </c>
      <c r="D16" s="17">
        <f>+APPIV!F58</f>
        <v>127397127</v>
      </c>
      <c r="E16" s="76"/>
      <c r="F16" s="17">
        <f>+APPIV!L58</f>
        <v>90268015</v>
      </c>
      <c r="G16" s="76"/>
      <c r="H16" s="17">
        <f>+APPIV!N58</f>
        <v>3360546</v>
      </c>
      <c r="I16" s="17"/>
      <c r="J16" s="17">
        <f>+APPIV!J58</f>
        <v>8989992</v>
      </c>
      <c r="L16" s="17">
        <f>ROUND(J16/2,0)</f>
        <v>4494996</v>
      </c>
    </row>
    <row r="17" spans="2:12" ht="15">
      <c r="B17" s="3" t="s">
        <v>1243</v>
      </c>
      <c r="D17" s="27">
        <f>+APPIV!F72</f>
        <v>39161937</v>
      </c>
      <c r="E17" s="76"/>
      <c r="F17" s="27">
        <f>+APPIV!L72</f>
        <v>27291345</v>
      </c>
      <c r="G17" s="76"/>
      <c r="H17" s="27">
        <f>+APPIV!N72</f>
        <v>1450104</v>
      </c>
      <c r="I17" s="17"/>
      <c r="J17" s="27">
        <f>+APPIV!J72</f>
        <v>5738497</v>
      </c>
      <c r="L17" s="27">
        <f>ROUND(J17/2,0)</f>
        <v>2869249</v>
      </c>
    </row>
    <row r="18" spans="2:12" ht="16.5">
      <c r="B18" s="28" t="s">
        <v>1348</v>
      </c>
      <c r="D18" s="17">
        <f>SUM(D13:D17)</f>
        <v>328192317</v>
      </c>
      <c r="E18" s="76"/>
      <c r="F18" s="17">
        <f>SUM(F13:F17)</f>
        <v>234599050</v>
      </c>
      <c r="G18" s="76"/>
      <c r="H18" s="17">
        <f>SUM(H13:H17)</f>
        <v>9423259</v>
      </c>
      <c r="I18" s="17"/>
      <c r="J18" s="17">
        <f>SUM(J13:J17)</f>
        <v>34177288</v>
      </c>
      <c r="K18" s="3" t="s">
        <v>1236</v>
      </c>
      <c r="L18" s="60">
        <f>SUM(L13:L17)</f>
        <v>17088645</v>
      </c>
    </row>
    <row r="19" ht="15">
      <c r="K19" s="24"/>
    </row>
    <row r="20" spans="2:11" ht="16.5">
      <c r="B20" s="28" t="s">
        <v>2180</v>
      </c>
      <c r="K20" s="24"/>
    </row>
    <row r="22" spans="4:8" ht="16.5">
      <c r="D22" s="25" t="s">
        <v>1453</v>
      </c>
      <c r="F22" s="19" t="s">
        <v>1450</v>
      </c>
      <c r="H22" s="19" t="s">
        <v>1978</v>
      </c>
    </row>
    <row r="23" spans="4:8" ht="16.5">
      <c r="D23" s="19" t="s">
        <v>1450</v>
      </c>
      <c r="F23" s="19" t="s">
        <v>2128</v>
      </c>
      <c r="H23" s="19" t="s">
        <v>2128</v>
      </c>
    </row>
    <row r="24" spans="4:10" ht="16.5">
      <c r="D24" s="19" t="s">
        <v>2181</v>
      </c>
      <c r="F24" s="19" t="s">
        <v>1366</v>
      </c>
      <c r="H24" s="19" t="s">
        <v>2182</v>
      </c>
      <c r="J24" s="19" t="s">
        <v>1512</v>
      </c>
    </row>
    <row r="25" spans="4:10" ht="16.5">
      <c r="D25" s="19" t="s">
        <v>1264</v>
      </c>
      <c r="F25" s="19" t="s">
        <v>1312</v>
      </c>
      <c r="H25" s="19" t="s">
        <v>1312</v>
      </c>
      <c r="J25" s="19" t="s">
        <v>2183</v>
      </c>
    </row>
    <row r="26" spans="2:10" ht="16.5">
      <c r="B26" s="22" t="s">
        <v>2177</v>
      </c>
      <c r="D26" s="22" t="s">
        <v>1952</v>
      </c>
      <c r="F26" s="23" t="s">
        <v>2195</v>
      </c>
      <c r="H26" s="23" t="s">
        <v>2195</v>
      </c>
      <c r="J26" s="22" t="s">
        <v>2196</v>
      </c>
    </row>
    <row r="27" spans="4:10" ht="15">
      <c r="D27" s="56" t="s">
        <v>2197</v>
      </c>
      <c r="F27" s="56" t="s">
        <v>1510</v>
      </c>
      <c r="H27" s="56" t="s">
        <v>1511</v>
      </c>
      <c r="J27" s="56" t="s">
        <v>2198</v>
      </c>
    </row>
    <row r="28" spans="4:10" ht="15">
      <c r="D28" s="56"/>
      <c r="F28" s="56"/>
      <c r="H28" s="56"/>
      <c r="J28" s="56" t="s">
        <v>99</v>
      </c>
    </row>
    <row r="30" spans="2:10" ht="15">
      <c r="B30" s="3" t="s">
        <v>1239</v>
      </c>
      <c r="D30" s="17">
        <f>+H13+L13</f>
        <v>6210889</v>
      </c>
      <c r="F30" s="17">
        <f>+APPIV!D18</f>
        <v>2013497</v>
      </c>
      <c r="H30" s="107">
        <f>+APPIV!D20</f>
        <v>2013497</v>
      </c>
      <c r="J30" s="108">
        <f>ROUND(L13/F30+F13/H30+H13/F30,3)</f>
        <v>30.393</v>
      </c>
    </row>
    <row r="31" spans="2:10" ht="15">
      <c r="B31" s="3" t="s">
        <v>1240</v>
      </c>
      <c r="D31" s="17">
        <f>+H14+L14</f>
        <v>847025</v>
      </c>
      <c r="F31" s="17">
        <f>+APPIV!D29</f>
        <v>749524</v>
      </c>
      <c r="H31" s="107">
        <f>+APPIV!D31</f>
        <v>749524</v>
      </c>
      <c r="J31" s="108">
        <f>ROUND(L14/F31+F14/H31+H14/F31,3)</f>
        <v>25.94</v>
      </c>
    </row>
    <row r="32" spans="2:10" ht="15">
      <c r="B32" s="3" t="s">
        <v>1241</v>
      </c>
      <c r="D32" s="17">
        <f>+H15+L15</f>
        <v>7279095</v>
      </c>
      <c r="F32" s="17">
        <f>+APPIV!D43</f>
        <v>2344012</v>
      </c>
      <c r="H32" s="107">
        <f>+APPIV!D45</f>
        <v>2344012</v>
      </c>
      <c r="J32" s="108">
        <f>ROUND(L15/F32+F15/H32+H15/F32,3)</f>
        <v>21.646</v>
      </c>
    </row>
    <row r="33" spans="2:10" ht="15">
      <c r="B33" s="3" t="s">
        <v>1242</v>
      </c>
      <c r="D33" s="17">
        <f>+H16+L16</f>
        <v>7855542</v>
      </c>
      <c r="F33" s="17">
        <f>+APPIV!D56</f>
        <v>3676301</v>
      </c>
      <c r="H33" s="107">
        <f>+APPIV!D58</f>
        <v>3676301</v>
      </c>
      <c r="J33" s="108">
        <f>ROUND(L16/F33+F16/H33+H16/F33,3)</f>
        <v>26.691</v>
      </c>
    </row>
    <row r="34" spans="2:10" ht="15">
      <c r="B34" s="3" t="s">
        <v>1243</v>
      </c>
      <c r="D34" s="27">
        <f>+H17+L17</f>
        <v>4319353</v>
      </c>
      <c r="F34" s="27">
        <f>+APPIV!D70</f>
        <v>1137450</v>
      </c>
      <c r="H34" s="109">
        <f>+APPIV!D72</f>
        <v>1137450</v>
      </c>
      <c r="J34" s="110">
        <f>ROUND(L17/F34+F17/H34+H17/F34,3)</f>
        <v>27.791</v>
      </c>
    </row>
    <row r="35" spans="2:11" ht="16.5">
      <c r="B35" s="28" t="s">
        <v>1348</v>
      </c>
      <c r="D35" s="17">
        <f>SUM(D30:D34)</f>
        <v>26511904</v>
      </c>
      <c r="F35" s="17">
        <f>SUM(F30:F34)</f>
        <v>9920784</v>
      </c>
      <c r="H35" s="107">
        <f>SUM(H30:H34)</f>
        <v>9920784</v>
      </c>
      <c r="J35" s="108">
        <f>ROUND(L18/F35,3)+ROUND(F18/H35,3)+ROUND(H18/F35,3)</f>
        <v>26.319999999999997</v>
      </c>
      <c r="K35" s="24"/>
    </row>
    <row r="37" ht="16.5">
      <c r="B37" s="28" t="s">
        <v>0</v>
      </c>
    </row>
    <row r="39" ht="16.5">
      <c r="F39" s="19" t="s">
        <v>1991</v>
      </c>
    </row>
    <row r="40" spans="4:8" ht="16.5">
      <c r="D40" s="25" t="s">
        <v>1453</v>
      </c>
      <c r="F40" s="19" t="s">
        <v>1</v>
      </c>
      <c r="H40" s="25" t="s">
        <v>2</v>
      </c>
    </row>
    <row r="41" spans="4:8" ht="16.5">
      <c r="D41" s="19" t="s">
        <v>1992</v>
      </c>
      <c r="F41" s="19" t="s">
        <v>1965</v>
      </c>
      <c r="H41" s="19" t="s">
        <v>1965</v>
      </c>
    </row>
    <row r="42" spans="4:8" ht="16.5">
      <c r="D42" s="19" t="s">
        <v>1993</v>
      </c>
      <c r="F42" s="19" t="s">
        <v>1994</v>
      </c>
      <c r="H42" s="19" t="s">
        <v>1995</v>
      </c>
    </row>
    <row r="43" spans="2:8" ht="16.5">
      <c r="B43" s="22" t="s">
        <v>2177</v>
      </c>
      <c r="D43" s="22" t="s">
        <v>1952</v>
      </c>
      <c r="F43" s="23" t="s">
        <v>1254</v>
      </c>
      <c r="H43" s="22" t="s">
        <v>1996</v>
      </c>
    </row>
    <row r="44" spans="4:8" ht="15">
      <c r="D44" s="56" t="s">
        <v>3</v>
      </c>
      <c r="F44" s="56" t="s">
        <v>4</v>
      </c>
      <c r="H44" s="56" t="s">
        <v>5</v>
      </c>
    </row>
    <row r="45" spans="4:14" ht="15">
      <c r="D45" s="56"/>
      <c r="F45" s="278"/>
      <c r="G45" s="2"/>
      <c r="H45" s="278"/>
      <c r="I45" s="2"/>
      <c r="J45" s="2"/>
      <c r="K45" s="2"/>
      <c r="L45" s="2"/>
      <c r="M45" s="2"/>
      <c r="N45" s="2"/>
    </row>
    <row r="46" spans="2:8" ht="15">
      <c r="B46" s="3" t="s">
        <v>1239</v>
      </c>
      <c r="D46" s="17">
        <f>+D13-F13-D30</f>
        <v>10593918</v>
      </c>
      <c r="F46" s="17">
        <f>+APPII!I14</f>
        <v>5559000</v>
      </c>
      <c r="H46" s="111">
        <f aca="true" t="shared" si="0" ref="H46:H51">ROUND(D46/F46,2)</f>
        <v>1.91</v>
      </c>
    </row>
    <row r="47" spans="2:8" ht="15">
      <c r="B47" s="3" t="s">
        <v>1240</v>
      </c>
      <c r="D47" s="17">
        <f>+D14-F14-D31</f>
        <v>3008140</v>
      </c>
      <c r="F47" s="17">
        <f>+APPII!I27</f>
        <v>1453000</v>
      </c>
      <c r="H47" s="111">
        <f t="shared" si="0"/>
        <v>2.07</v>
      </c>
    </row>
    <row r="48" spans="2:8" ht="15">
      <c r="B48" s="3" t="s">
        <v>1241</v>
      </c>
      <c r="D48" s="17">
        <f>+D15-F15-D32</f>
        <v>16654496</v>
      </c>
      <c r="F48" s="17">
        <f>+APPII!I37</f>
        <v>5107000</v>
      </c>
      <c r="H48" s="111">
        <f t="shared" si="0"/>
        <v>3.26</v>
      </c>
    </row>
    <row r="49" spans="2:8" ht="15">
      <c r="B49" s="3" t="s">
        <v>1242</v>
      </c>
      <c r="D49" s="17">
        <f>+D16-F16-D33</f>
        <v>29273570</v>
      </c>
      <c r="F49" s="17">
        <f>+APPII!I50</f>
        <v>8425000</v>
      </c>
      <c r="H49" s="111">
        <f t="shared" si="0"/>
        <v>3.47</v>
      </c>
    </row>
    <row r="50" spans="2:8" ht="15">
      <c r="B50" s="3" t="s">
        <v>1243</v>
      </c>
      <c r="D50" s="27">
        <f>+D17-F17-D34</f>
        <v>7551239</v>
      </c>
      <c r="F50" s="27">
        <f>+APPII!I63</f>
        <v>4841000</v>
      </c>
      <c r="H50" s="112">
        <f t="shared" si="0"/>
        <v>1.56</v>
      </c>
    </row>
    <row r="51" spans="2:8" ht="16.5">
      <c r="B51" s="28" t="s">
        <v>1348</v>
      </c>
      <c r="D51" s="17">
        <f>SUM(D46:D50)</f>
        <v>67081363</v>
      </c>
      <c r="F51" s="17">
        <f>SUM(F46:F50)</f>
        <v>25385000</v>
      </c>
      <c r="H51" s="111">
        <f t="shared" si="0"/>
        <v>2.64</v>
      </c>
    </row>
    <row r="53" spans="2:3" ht="15">
      <c r="B53" s="3" t="s">
        <v>6</v>
      </c>
      <c r="C53" s="3" t="s">
        <v>7</v>
      </c>
    </row>
    <row r="54" ht="15">
      <c r="I54" s="76"/>
    </row>
    <row r="55" ht="15">
      <c r="H55" s="123"/>
    </row>
  </sheetData>
  <printOptions horizontalCentered="1"/>
  <pageMargins left="0.5" right="0.25" top="0.25" bottom="0.25" header="0" footer="0"/>
  <pageSetup fitToHeight="1" fitToWidth="1" horizontalDpi="600" verticalDpi="600" orientation="portrait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AI76"/>
  <sheetViews>
    <sheetView workbookViewId="0" topLeftCell="A7">
      <selection activeCell="M20" sqref="M20"/>
    </sheetView>
  </sheetViews>
  <sheetFormatPr defaultColWidth="9.140625" defaultRowHeight="12.75"/>
  <cols>
    <col min="1" max="1" width="12.140625" style="3" customWidth="1"/>
    <col min="2" max="2" width="5.7109375" style="3" customWidth="1"/>
    <col min="3" max="3" width="0.85546875" style="3" customWidth="1"/>
    <col min="4" max="4" width="15.140625" style="3" bestFit="1" customWidth="1"/>
    <col min="5" max="5" width="12.57421875" style="3" customWidth="1"/>
    <col min="6" max="6" width="0.85546875" style="3" customWidth="1"/>
    <col min="7" max="7" width="12.57421875" style="3" customWidth="1"/>
    <col min="8" max="8" width="0.85546875" style="3" customWidth="1"/>
    <col min="9" max="9" width="12.57421875" style="3" customWidth="1"/>
    <col min="10" max="10" width="0.85546875" style="3" customWidth="1"/>
    <col min="11" max="11" width="12.57421875" style="3" customWidth="1"/>
    <col min="12" max="12" width="0.85546875" style="3" customWidth="1"/>
    <col min="13" max="13" width="12.57421875" style="3" customWidth="1"/>
    <col min="14" max="14" width="0.85546875" style="3" customWidth="1"/>
    <col min="15" max="15" width="12.57421875" style="3" customWidth="1"/>
    <col min="16" max="16" width="9.140625" style="3" customWidth="1"/>
    <col min="17" max="18" width="11.421875" style="3" bestFit="1" customWidth="1"/>
    <col min="19" max="19" width="14.00390625" style="3" bestFit="1" customWidth="1"/>
    <col min="20" max="16384" width="9.140625" style="3" customWidth="1"/>
  </cols>
  <sheetData>
    <row r="1" spans="1:17" ht="15">
      <c r="A1" s="176" t="s">
        <v>1451</v>
      </c>
      <c r="B1" s="122" t="str">
        <f>INPUT!C1</f>
        <v>June 2009</v>
      </c>
      <c r="C1" s="29"/>
      <c r="D1" s="29"/>
      <c r="E1" s="29"/>
      <c r="F1" s="29"/>
      <c r="G1" s="29"/>
      <c r="H1" s="29"/>
      <c r="I1" s="29"/>
      <c r="J1" s="29"/>
      <c r="L1" s="35"/>
      <c r="M1" s="29"/>
      <c r="O1" s="30" t="s">
        <v>8</v>
      </c>
      <c r="P1" s="29"/>
      <c r="Q1" s="29"/>
    </row>
    <row r="2" spans="1:17" ht="15">
      <c r="A2" s="29"/>
      <c r="B2" s="29"/>
      <c r="C2" s="29"/>
      <c r="D2" s="29"/>
      <c r="E2" s="29"/>
      <c r="F2" s="29"/>
      <c r="G2" s="29"/>
      <c r="H2" s="29"/>
      <c r="I2" s="29"/>
      <c r="J2" s="29"/>
      <c r="L2" s="35"/>
      <c r="M2" s="29"/>
      <c r="O2" s="30" t="s">
        <v>1227</v>
      </c>
      <c r="P2" s="29"/>
      <c r="Q2" s="29"/>
    </row>
    <row r="3" spans="1:17" ht="15">
      <c r="A3" s="29"/>
      <c r="B3" s="29"/>
      <c r="C3" s="29"/>
      <c r="D3" s="29"/>
      <c r="E3" s="29"/>
      <c r="F3" s="29"/>
      <c r="G3" s="29"/>
      <c r="H3" s="29"/>
      <c r="I3" s="29"/>
      <c r="J3" s="29"/>
      <c r="K3" s="35"/>
      <c r="L3" s="35"/>
      <c r="M3" s="29"/>
      <c r="N3" s="29"/>
      <c r="O3" s="29"/>
      <c r="P3" s="29"/>
      <c r="Q3" s="29"/>
    </row>
    <row r="4" spans="1:17" ht="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ht="15">
      <c r="A5" s="29"/>
      <c r="B5" s="29"/>
      <c r="C5" s="29"/>
      <c r="D5" s="29"/>
      <c r="E5" s="29"/>
      <c r="G5" s="29"/>
      <c r="H5" s="30" t="s">
        <v>9</v>
      </c>
      <c r="I5" s="29"/>
      <c r="J5" s="29"/>
      <c r="K5" s="29"/>
      <c r="L5" s="29"/>
      <c r="M5" s="29"/>
      <c r="N5" s="29"/>
      <c r="O5" s="29"/>
      <c r="P5" s="29"/>
      <c r="Q5" s="29"/>
    </row>
    <row r="6" spans="1:17" ht="15">
      <c r="A6" s="29"/>
      <c r="B6" s="29"/>
      <c r="C6" s="29"/>
      <c r="D6" s="29"/>
      <c r="E6" s="29"/>
      <c r="G6" s="29"/>
      <c r="H6" s="85" t="s">
        <v>10</v>
      </c>
      <c r="I6" s="29"/>
      <c r="J6" s="29"/>
      <c r="K6" s="29"/>
      <c r="L6" s="29"/>
      <c r="M6" s="29"/>
      <c r="N6" s="29"/>
      <c r="O6" s="29"/>
      <c r="P6" s="29"/>
      <c r="Q6" s="29"/>
    </row>
    <row r="7" spans="1:17" ht="15">
      <c r="A7" s="29"/>
      <c r="B7" s="29"/>
      <c r="C7" s="29"/>
      <c r="D7" s="29"/>
      <c r="E7" s="29"/>
      <c r="F7" s="32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5">
      <c r="A8" s="29"/>
      <c r="B8" s="29"/>
      <c r="C8" s="29"/>
      <c r="D8" s="29"/>
      <c r="E8" s="29"/>
      <c r="F8" s="32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7" ht="1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35" ht="15">
      <c r="A10" s="29"/>
      <c r="B10" s="29"/>
      <c r="C10" s="29"/>
      <c r="D10" s="29"/>
      <c r="E10" s="33"/>
      <c r="F10" s="34" t="s">
        <v>11</v>
      </c>
      <c r="G10" s="33"/>
      <c r="H10" s="35"/>
      <c r="I10" s="33"/>
      <c r="J10" s="34" t="s">
        <v>1350</v>
      </c>
      <c r="K10" s="33"/>
      <c r="L10" s="113"/>
      <c r="M10" s="33"/>
      <c r="N10" s="34" t="s">
        <v>12</v>
      </c>
      <c r="O10" s="33"/>
      <c r="P10" s="29"/>
      <c r="Q10" s="29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15">
      <c r="A11" s="29"/>
      <c r="B11" s="29"/>
      <c r="C11" s="29"/>
      <c r="D11" s="29"/>
      <c r="E11" s="30" t="s">
        <v>1458</v>
      </c>
      <c r="F11" s="30"/>
      <c r="G11" s="30" t="s">
        <v>1458</v>
      </c>
      <c r="H11" s="30"/>
      <c r="I11" s="30" t="s">
        <v>1458</v>
      </c>
      <c r="J11" s="30"/>
      <c r="K11" s="30" t="s">
        <v>1458</v>
      </c>
      <c r="L11" s="30"/>
      <c r="M11" s="30" t="s">
        <v>1458</v>
      </c>
      <c r="N11" s="30"/>
      <c r="O11" s="30" t="s">
        <v>1458</v>
      </c>
      <c r="P11" s="29"/>
      <c r="Q11" s="29"/>
      <c r="W11" s="6"/>
      <c r="X11" s="6"/>
      <c r="Y11" s="6"/>
      <c r="Z11" s="1021"/>
      <c r="AA11" s="1021"/>
      <c r="AB11" s="1021"/>
      <c r="AC11" s="1021"/>
      <c r="AD11" s="6"/>
      <c r="AE11" s="6"/>
      <c r="AF11" s="6"/>
      <c r="AG11" s="6"/>
      <c r="AH11" s="6"/>
      <c r="AI11" s="6"/>
    </row>
    <row r="12" spans="1:35" ht="15">
      <c r="A12" s="29"/>
      <c r="B12" s="29"/>
      <c r="C12" s="29"/>
      <c r="D12" s="29"/>
      <c r="E12" s="30" t="s">
        <v>1459</v>
      </c>
      <c r="F12" s="30"/>
      <c r="G12" s="30" t="s">
        <v>1460</v>
      </c>
      <c r="H12" s="30"/>
      <c r="I12" s="30" t="s">
        <v>13</v>
      </c>
      <c r="J12" s="30"/>
      <c r="K12" s="30" t="s">
        <v>1460</v>
      </c>
      <c r="L12" s="30"/>
      <c r="M12" s="30" t="s">
        <v>13</v>
      </c>
      <c r="N12" s="30"/>
      <c r="O12" s="30" t="s">
        <v>1460</v>
      </c>
      <c r="P12" s="29"/>
      <c r="Q12" s="29"/>
      <c r="W12" s="6"/>
      <c r="X12" s="1021"/>
      <c r="Y12" s="1021"/>
      <c r="Z12" s="1021"/>
      <c r="AA12" s="1021"/>
      <c r="AB12" s="1021"/>
      <c r="AC12" s="1021"/>
      <c r="AD12" s="6"/>
      <c r="AE12" s="6"/>
      <c r="AF12" s="6"/>
      <c r="AG12" s="6"/>
      <c r="AH12" s="6"/>
      <c r="AI12" s="6"/>
    </row>
    <row r="13" spans="1:35" ht="15">
      <c r="A13" s="29"/>
      <c r="B13" s="29"/>
      <c r="C13" s="29"/>
      <c r="D13" s="29"/>
      <c r="E13" s="85" t="s">
        <v>1953</v>
      </c>
      <c r="F13" s="30"/>
      <c r="G13" s="85" t="s">
        <v>1954</v>
      </c>
      <c r="H13" s="30"/>
      <c r="I13" s="85" t="s">
        <v>1953</v>
      </c>
      <c r="J13" s="30"/>
      <c r="K13" s="85" t="s">
        <v>1954</v>
      </c>
      <c r="L13" s="85"/>
      <c r="M13" s="85" t="s">
        <v>1953</v>
      </c>
      <c r="N13" s="30"/>
      <c r="O13" s="85" t="s">
        <v>1954</v>
      </c>
      <c r="P13" s="29"/>
      <c r="Q13" s="29"/>
      <c r="W13" s="6"/>
      <c r="X13" s="1021"/>
      <c r="Y13" s="1021"/>
      <c r="Z13" s="1021"/>
      <c r="AA13" s="1021"/>
      <c r="AB13" s="1021"/>
      <c r="AC13" s="1021"/>
      <c r="AD13" s="1021"/>
      <c r="AE13" s="1021"/>
      <c r="AF13" s="1021"/>
      <c r="AG13" s="1021"/>
      <c r="AH13" s="6"/>
      <c r="AI13" s="6"/>
    </row>
    <row r="14" spans="1:35" ht="1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2"/>
      <c r="N14" s="29"/>
      <c r="O14" s="32"/>
      <c r="P14" s="29"/>
      <c r="Q14" s="29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ht="15">
      <c r="A15" s="29" t="s">
        <v>19</v>
      </c>
      <c r="B15" s="29"/>
      <c r="C15" s="29"/>
      <c r="D15" s="29" t="s">
        <v>1239</v>
      </c>
      <c r="E15" s="39">
        <f>IF('APPVI PG 2'!M$8&lt;=0,'APPVI PG 2'!M$8*-1,0)+IF('APPVI PG 2'!M$91&lt;=0,'APPVI PG 2'!M$91*-1,0)</f>
        <v>965408</v>
      </c>
      <c r="F15" s="29"/>
      <c r="G15" s="39">
        <f>IF('APPVI PG 2'!M$8&gt;0,'APPVI PG 2'!M$8,0)+IF('APPVI PG 2'!M$91&gt;0,'APPVI PG 2'!M$91,0)</f>
        <v>38083</v>
      </c>
      <c r="H15" s="29"/>
      <c r="I15" s="39">
        <f>+INPUT!D78</f>
        <v>929262</v>
      </c>
      <c r="J15" s="29"/>
      <c r="K15" s="39">
        <f>+INPUT!E78</f>
        <v>35154</v>
      </c>
      <c r="L15" s="39"/>
      <c r="M15" s="39">
        <f>IF(E67+K67&lt;=0,0,E67+K67)</f>
        <v>33217</v>
      </c>
      <c r="N15" s="29"/>
      <c r="O15" s="39">
        <f>IF(G67+I67&lt;=0,0,G67+I67)</f>
        <v>0</v>
      </c>
      <c r="P15" s="29"/>
      <c r="Q15" s="29"/>
      <c r="T15" s="52"/>
      <c r="U15" s="52"/>
      <c r="W15" s="227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ht="15">
      <c r="A16" s="29" t="s">
        <v>348</v>
      </c>
      <c r="B16" s="29"/>
      <c r="C16" s="29"/>
      <c r="D16" s="29" t="s">
        <v>1240</v>
      </c>
      <c r="E16" s="39">
        <f>IF('APPVI PG 2'!N$8&lt;=0,'APPVI PG 2'!N$8*-1,0)+IF('APPVI PG 2'!N$91&lt;=0,'APPVI PG 2'!N$91*-1,0)</f>
        <v>194521</v>
      </c>
      <c r="F16" s="29"/>
      <c r="G16" s="39">
        <f>IF('APPVI PG 2'!N$8&gt;0,'APPVI PG 2'!N$8,0)+IF('APPVI PG 2'!N$91&gt;0,'APPVI PG 2'!N$91,0)</f>
        <v>7673</v>
      </c>
      <c r="H16" s="29"/>
      <c r="I16" s="39">
        <f>+INPUT!D79</f>
        <v>187238</v>
      </c>
      <c r="J16" s="29"/>
      <c r="K16" s="39">
        <f>+INPUT!E79</f>
        <v>7083</v>
      </c>
      <c r="L16" s="39"/>
      <c r="M16" s="39">
        <f>IF(E68+K68&lt;=0,0,E68+K68)</f>
        <v>6693</v>
      </c>
      <c r="N16" s="29"/>
      <c r="O16" s="39">
        <f>IF(G68+I68&lt;=0,0,G68+I68)</f>
        <v>0</v>
      </c>
      <c r="P16" s="29"/>
      <c r="Q16" s="29"/>
      <c r="T16" s="52"/>
      <c r="U16" s="52"/>
      <c r="W16" s="227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ht="15">
      <c r="A17" s="29" t="s">
        <v>350</v>
      </c>
      <c r="B17" s="29"/>
      <c r="C17" s="29"/>
      <c r="D17" s="29" t="s">
        <v>1241</v>
      </c>
      <c r="E17" s="39">
        <f>IF('APPVI PG 2'!O$8&lt;=0,'APPVI PG 2'!O$8*-1,0)+IF('APPVI PG 2'!O$91&lt;=0,'APPVI PG 2'!O$91*-1,0)</f>
        <v>495509</v>
      </c>
      <c r="F17" s="29"/>
      <c r="G17" s="39">
        <f>IF('APPVI PG 2'!O$8&gt;0,'APPVI PG 2'!O$8,0)+IF('APPVI PG 2'!O$91&gt;0,'APPVI PG 2'!O$91,0)</f>
        <v>19547</v>
      </c>
      <c r="H17" s="29"/>
      <c r="I17" s="39">
        <f>+INPUT!D80</f>
        <v>476958</v>
      </c>
      <c r="J17" s="29"/>
      <c r="K17" s="39">
        <f>+INPUT!E80</f>
        <v>18043</v>
      </c>
      <c r="L17" s="39"/>
      <c r="M17" s="39">
        <f>IF(E69+K69&lt;=0,0,E69+K69)</f>
        <v>17047</v>
      </c>
      <c r="N17" s="29"/>
      <c r="O17" s="39">
        <f>IF(G69+I69&lt;=0,0,G69+I69)</f>
        <v>0</v>
      </c>
      <c r="P17" s="29"/>
      <c r="Q17" s="29"/>
      <c r="T17" s="52"/>
      <c r="U17" s="52"/>
      <c r="W17" s="227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ht="15">
      <c r="A18" s="29"/>
      <c r="B18" s="29"/>
      <c r="C18" s="29"/>
      <c r="D18" s="29" t="s">
        <v>1242</v>
      </c>
      <c r="E18" s="39">
        <f>IF('APPVI PG 2'!P$8&lt;=0,'APPVI PG 2'!P$8*-1,0)+IF('APPVI PG 2'!P$91&lt;=0,'APPVI PG 2'!P$91*-1,0)</f>
        <v>85501</v>
      </c>
      <c r="F18" s="29"/>
      <c r="G18" s="39">
        <f>IF('APPVI PG 2'!P$8&gt;0,'APPVI PG 2'!P$8,0)+IF('APPVI PG 2'!P$91&gt;0,'APPVI PG 2'!P$91,0)</f>
        <v>2167448</v>
      </c>
      <c r="H18" s="29"/>
      <c r="I18" s="39">
        <f>+INPUT!D81</f>
        <v>78924</v>
      </c>
      <c r="J18" s="29"/>
      <c r="K18" s="39">
        <f>+INPUT!E81</f>
        <v>2086298</v>
      </c>
      <c r="L18" s="39"/>
      <c r="M18" s="39">
        <f>IF(E70+K70&lt;=0,0,E70+K70)</f>
        <v>0</v>
      </c>
      <c r="N18" s="29"/>
      <c r="O18" s="39">
        <f>IF(G70+I70&lt;=0,0,G70+I70)</f>
        <v>74573</v>
      </c>
      <c r="P18" s="29"/>
      <c r="Q18" s="29"/>
      <c r="T18" s="52"/>
      <c r="U18" s="52"/>
      <c r="W18" s="227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15">
      <c r="A19" s="29"/>
      <c r="B19" s="29"/>
      <c r="C19" s="29"/>
      <c r="D19" s="29" t="s">
        <v>1243</v>
      </c>
      <c r="E19" s="44">
        <f>IF('APPVI PG 2'!Q$8&lt;=0,'APPVI PG 2'!Q$8*-1,0)+IF('APPVI PG 2'!Q$91&lt;=0,'APPVI PG 2'!Q$91*-1,0)</f>
        <v>512010</v>
      </c>
      <c r="F19" s="29"/>
      <c r="G19" s="44">
        <f>IF('APPVI PG 2'!Q$8&gt;0,'APPVI PG 2'!Q$8,0)+IF('APPVI PG 2'!Q$91&gt;0,'APPVI PG 2'!Q$91,0)</f>
        <v>20198</v>
      </c>
      <c r="H19" s="45"/>
      <c r="I19" s="44">
        <f>+INPUT!D82</f>
        <v>492840</v>
      </c>
      <c r="J19" s="45"/>
      <c r="K19" s="44">
        <f>+INPUT!E82</f>
        <v>18644</v>
      </c>
      <c r="L19" s="114"/>
      <c r="M19" s="44">
        <f>IF(E71+K71&lt;=0,0,E71+K71)</f>
        <v>17616</v>
      </c>
      <c r="N19" s="45"/>
      <c r="O19" s="44">
        <f>IF(G71+I71&lt;=0,0,G71+I71)</f>
        <v>0</v>
      </c>
      <c r="P19" s="29"/>
      <c r="Q19" s="29"/>
      <c r="T19" s="52"/>
      <c r="U19" s="52"/>
      <c r="W19" s="227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ht="15">
      <c r="A20" s="29"/>
      <c r="B20" s="29"/>
      <c r="C20" s="29"/>
      <c r="D20" s="35" t="s">
        <v>1348</v>
      </c>
      <c r="E20" s="39">
        <f>SUM(E15:E19)</f>
        <v>2252949</v>
      </c>
      <c r="F20" s="29"/>
      <c r="G20" s="39">
        <f>SUM(G15:G19)</f>
        <v>2252949</v>
      </c>
      <c r="H20" s="29"/>
      <c r="I20" s="39">
        <f>SUM(I15:I19)</f>
        <v>2165222</v>
      </c>
      <c r="J20" s="29"/>
      <c r="K20" s="39">
        <f>SUM(K15:K19)</f>
        <v>2165222</v>
      </c>
      <c r="L20" s="39"/>
      <c r="M20" s="39">
        <f>SUM(M15:M19)</f>
        <v>74573</v>
      </c>
      <c r="N20" s="29"/>
      <c r="O20" s="39">
        <f>SUM(O15:O19)</f>
        <v>74573</v>
      </c>
      <c r="P20" s="29"/>
      <c r="Q20" s="29"/>
      <c r="W20" s="247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t="15.75" thickBot="1">
      <c r="A21" s="163"/>
      <c r="B21" s="163"/>
      <c r="C21" s="163"/>
      <c r="D21" s="164"/>
      <c r="E21" s="165"/>
      <c r="F21" s="163"/>
      <c r="G21" s="165"/>
      <c r="H21" s="163"/>
      <c r="I21" s="165"/>
      <c r="J21" s="163"/>
      <c r="K21" s="165"/>
      <c r="L21" s="165"/>
      <c r="M21" s="163"/>
      <c r="N21" s="163"/>
      <c r="O21" s="163"/>
      <c r="P21" s="29"/>
      <c r="Q21" s="29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1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17" ht="15">
      <c r="A23" s="29" t="s">
        <v>14</v>
      </c>
      <c r="B23" s="29"/>
      <c r="C23" s="29"/>
      <c r="D23" s="29" t="s">
        <v>1239</v>
      </c>
      <c r="E23" s="39">
        <f>+INPUT!B70</f>
        <v>0</v>
      </c>
      <c r="F23" s="29"/>
      <c r="G23" s="39">
        <f>+INPUT!C70</f>
        <v>20235850</v>
      </c>
      <c r="H23" s="29"/>
      <c r="I23" s="39">
        <f>+INPUT!D70</f>
        <v>0</v>
      </c>
      <c r="J23" s="29"/>
      <c r="K23" s="39">
        <f>+INPUT!E70</f>
        <v>20230503</v>
      </c>
      <c r="L23" s="39"/>
      <c r="M23" s="39">
        <f aca="true" t="shared" si="0" ref="M23:M28">MAX(E60,K60)</f>
        <v>0</v>
      </c>
      <c r="N23" s="29"/>
      <c r="O23" s="39">
        <f aca="true" t="shared" si="1" ref="O23:O28">MAX(G60,I60)</f>
        <v>5347</v>
      </c>
      <c r="P23" s="29"/>
      <c r="Q23" s="29"/>
    </row>
    <row r="24" spans="1:17" ht="15">
      <c r="A24" s="29" t="s">
        <v>15</v>
      </c>
      <c r="B24" s="29"/>
      <c r="C24" s="29"/>
      <c r="D24" s="29" t="s">
        <v>1240</v>
      </c>
      <c r="E24" s="39">
        <f>+INPUT!B71</f>
        <v>0</v>
      </c>
      <c r="F24" s="29"/>
      <c r="G24" s="39">
        <f>+INPUT!C71</f>
        <v>4077368</v>
      </c>
      <c r="H24" s="29"/>
      <c r="I24" s="39">
        <f>+INPUT!D71</f>
        <v>0</v>
      </c>
      <c r="J24" s="29"/>
      <c r="K24" s="39">
        <f>+INPUT!E71</f>
        <v>4076290</v>
      </c>
      <c r="L24" s="39"/>
      <c r="M24" s="39">
        <f t="shared" si="0"/>
        <v>0</v>
      </c>
      <c r="N24" s="29"/>
      <c r="O24" s="39">
        <f t="shared" si="1"/>
        <v>1078</v>
      </c>
      <c r="P24" s="29"/>
      <c r="Q24" s="29"/>
    </row>
    <row r="25" spans="1:17" ht="15">
      <c r="A25" s="29" t="s">
        <v>16</v>
      </c>
      <c r="B25" s="29"/>
      <c r="C25" s="29"/>
      <c r="D25" s="29" t="s">
        <v>1241</v>
      </c>
      <c r="E25" s="39">
        <f>+INPUT!B72</f>
        <v>0</v>
      </c>
      <c r="F25" s="29"/>
      <c r="G25" s="39">
        <f>+INPUT!C72</f>
        <v>10386322</v>
      </c>
      <c r="H25" s="29"/>
      <c r="I25" s="39">
        <f>+INPUT!D72</f>
        <v>0</v>
      </c>
      <c r="J25" s="29"/>
      <c r="K25" s="39">
        <f>+INPUT!E72</f>
        <v>10383577</v>
      </c>
      <c r="L25" s="39"/>
      <c r="M25" s="39">
        <f t="shared" si="0"/>
        <v>0</v>
      </c>
      <c r="N25" s="29"/>
      <c r="O25" s="39">
        <f t="shared" si="1"/>
        <v>2745</v>
      </c>
      <c r="P25" s="29"/>
      <c r="Q25" s="29"/>
    </row>
    <row r="26" spans="1:17" ht="15">
      <c r="A26" s="29" t="s">
        <v>17</v>
      </c>
      <c r="B26" s="29"/>
      <c r="C26" s="29"/>
      <c r="D26" s="29" t="s">
        <v>1242</v>
      </c>
      <c r="E26" s="39">
        <f>+INPUT!B73</f>
        <v>0</v>
      </c>
      <c r="F26" s="29"/>
      <c r="G26" s="39">
        <f>+INPUT!C73</f>
        <v>13294353</v>
      </c>
      <c r="H26" s="29"/>
      <c r="I26" s="39">
        <f>+INPUT!D73</f>
        <v>0</v>
      </c>
      <c r="J26" s="29"/>
      <c r="K26" s="39">
        <f>+INPUT!E73</f>
        <v>13290840</v>
      </c>
      <c r="L26" s="39"/>
      <c r="M26" s="39">
        <f>MAX(E63,K63)</f>
        <v>0</v>
      </c>
      <c r="N26" s="29"/>
      <c r="O26" s="39">
        <f t="shared" si="1"/>
        <v>3513</v>
      </c>
      <c r="P26" s="29"/>
      <c r="Q26" s="29"/>
    </row>
    <row r="27" spans="1:17" ht="15">
      <c r="A27" s="29" t="s">
        <v>18</v>
      </c>
      <c r="B27" s="29"/>
      <c r="C27" s="29"/>
      <c r="D27" s="29" t="s">
        <v>1243</v>
      </c>
      <c r="E27" s="43">
        <f>+INPUT!B74</f>
        <v>0</v>
      </c>
      <c r="F27" s="45"/>
      <c r="G27" s="114">
        <f>+INPUT!C74</f>
        <v>10732186</v>
      </c>
      <c r="H27" s="45"/>
      <c r="I27" s="114">
        <f>+INPUT!D74</f>
        <v>0</v>
      </c>
      <c r="J27" s="45"/>
      <c r="K27" s="114">
        <f>+INPUT!E74</f>
        <v>10729350</v>
      </c>
      <c r="L27" s="114"/>
      <c r="M27" s="114">
        <f t="shared" si="0"/>
        <v>0</v>
      </c>
      <c r="N27" s="45"/>
      <c r="O27" s="114">
        <f t="shared" si="1"/>
        <v>2836</v>
      </c>
      <c r="P27" s="29"/>
      <c r="Q27" s="29"/>
    </row>
    <row r="28" spans="1:17" ht="15">
      <c r="A28" s="29"/>
      <c r="B28" s="29"/>
      <c r="C28" s="29"/>
      <c r="D28" s="29" t="s">
        <v>2060</v>
      </c>
      <c r="E28" s="44">
        <f>+INPUT!B75</f>
        <v>58726079</v>
      </c>
      <c r="F28" s="45"/>
      <c r="G28" s="44">
        <f>+INPUT!C75</f>
        <v>0</v>
      </c>
      <c r="H28" s="45"/>
      <c r="I28" s="44">
        <f>+INPUT!D75</f>
        <v>58710560</v>
      </c>
      <c r="J28" s="45"/>
      <c r="K28" s="44">
        <f>+INPUT!E75</f>
        <v>0</v>
      </c>
      <c r="L28" s="114"/>
      <c r="M28" s="44">
        <f t="shared" si="0"/>
        <v>15519</v>
      </c>
      <c r="N28" s="45"/>
      <c r="O28" s="44">
        <f t="shared" si="1"/>
        <v>0</v>
      </c>
      <c r="P28" s="29"/>
      <c r="Q28" s="29"/>
    </row>
    <row r="29" spans="2:17" ht="15">
      <c r="B29" s="29"/>
      <c r="C29" s="29"/>
      <c r="D29" s="35" t="s">
        <v>1348</v>
      </c>
      <c r="E29" s="39">
        <f>SUM(E23:E28)</f>
        <v>58726079</v>
      </c>
      <c r="F29" s="29"/>
      <c r="G29" s="39">
        <f>SUM(G23:G28)</f>
        <v>58726079</v>
      </c>
      <c r="H29" s="29"/>
      <c r="I29" s="39">
        <f>SUM(I23:I28)</f>
        <v>58710560</v>
      </c>
      <c r="J29" s="29"/>
      <c r="K29" s="39">
        <f>SUM(K23:K28)</f>
        <v>58710560</v>
      </c>
      <c r="L29" s="39"/>
      <c r="M29" s="39">
        <f>SUM(M23:M28)</f>
        <v>15519</v>
      </c>
      <c r="N29" s="29"/>
      <c r="O29" s="39">
        <f>SUM(O23:O28)</f>
        <v>15519</v>
      </c>
      <c r="P29" s="29"/>
      <c r="Q29" s="29"/>
    </row>
    <row r="30" spans="1:17" ht="15">
      <c r="A30" s="29"/>
      <c r="B30" s="29"/>
      <c r="C30" s="29"/>
      <c r="D30" s="35"/>
      <c r="E30" s="39"/>
      <c r="F30" s="29"/>
      <c r="G30" s="39"/>
      <c r="H30" s="29"/>
      <c r="I30" s="39"/>
      <c r="J30" s="29"/>
      <c r="K30" s="39"/>
      <c r="L30" s="39"/>
      <c r="M30" s="29"/>
      <c r="N30" s="29"/>
      <c r="O30" s="29"/>
      <c r="P30" s="29"/>
      <c r="Q30" s="29"/>
    </row>
    <row r="31" spans="1:17" ht="15">
      <c r="A31" s="29" t="s">
        <v>1291</v>
      </c>
      <c r="B31" s="29"/>
      <c r="C31" s="29"/>
      <c r="D31" s="29" t="s">
        <v>1239</v>
      </c>
      <c r="E31" s="39">
        <f>+'APPVII PG4'!C60</f>
        <v>1662514</v>
      </c>
      <c r="F31" s="29"/>
      <c r="G31" s="39">
        <f>+'APPVII PG4'!E60</f>
        <v>8360106</v>
      </c>
      <c r="H31" s="29"/>
      <c r="I31" s="41">
        <f>+'APPVII PG4'!G60</f>
        <v>1651310</v>
      </c>
      <c r="J31" s="51"/>
      <c r="K31" s="41">
        <f>+'APPVII PG4'!I60</f>
        <v>8589794</v>
      </c>
      <c r="L31" s="39"/>
      <c r="M31" s="39">
        <f>+'APPVII PG4'!K60</f>
        <v>241354</v>
      </c>
      <c r="N31" s="29"/>
      <c r="O31" s="39">
        <f>+'APPVII PG4'!M60</f>
        <v>462</v>
      </c>
      <c r="P31" s="29"/>
      <c r="Q31" s="29"/>
    </row>
    <row r="32" spans="1:17" ht="15">
      <c r="A32" s="29" t="s">
        <v>347</v>
      </c>
      <c r="B32" s="29"/>
      <c r="C32" s="29"/>
      <c r="D32" s="29" t="s">
        <v>1240</v>
      </c>
      <c r="E32" s="39">
        <f>+'APPVII PG4'!C61</f>
        <v>334981</v>
      </c>
      <c r="F32" s="29"/>
      <c r="G32" s="39">
        <f>+'APPVII PG4'!E61</f>
        <v>1684492</v>
      </c>
      <c r="H32" s="29"/>
      <c r="I32" s="41">
        <f>+'APPVII PG4'!G61</f>
        <v>332724</v>
      </c>
      <c r="J32" s="51"/>
      <c r="K32" s="41">
        <f>+'APPVII PG4'!I61</f>
        <v>1730773</v>
      </c>
      <c r="L32" s="39"/>
      <c r="M32" s="39">
        <f>+'APPVII PG4'!K61</f>
        <v>48631</v>
      </c>
      <c r="N32" s="29"/>
      <c r="O32" s="39">
        <f>+'APPVII PG4'!M61</f>
        <v>93</v>
      </c>
      <c r="P32" s="29"/>
      <c r="Q32" s="29"/>
    </row>
    <row r="33" spans="1:17" ht="15">
      <c r="A33" s="29"/>
      <c r="B33" s="29"/>
      <c r="C33" s="29"/>
      <c r="D33" s="29" t="s">
        <v>1241</v>
      </c>
      <c r="E33" s="39">
        <f>+'APPVII PG4'!C62</f>
        <v>853313</v>
      </c>
      <c r="F33" s="29"/>
      <c r="G33" s="39">
        <f>+'APPVII PG4'!E62</f>
        <v>4290930</v>
      </c>
      <c r="H33" s="29"/>
      <c r="I33" s="41">
        <f>+'APPVII PG4'!G62</f>
        <v>847557</v>
      </c>
      <c r="J33" s="51"/>
      <c r="K33" s="41">
        <f>+'APPVII PG4'!I62</f>
        <v>4408818</v>
      </c>
      <c r="L33" s="39"/>
      <c r="M33" s="39">
        <f>+'APPVII PG4'!K62</f>
        <v>123881</v>
      </c>
      <c r="N33" s="29"/>
      <c r="O33" s="39">
        <f>+'APPVII PG4'!M62</f>
        <v>237</v>
      </c>
      <c r="P33" s="29"/>
      <c r="Q33" s="29"/>
    </row>
    <row r="34" spans="1:17" ht="15">
      <c r="A34" s="29"/>
      <c r="B34" s="29"/>
      <c r="C34" s="29"/>
      <c r="D34" s="29" t="s">
        <v>1242</v>
      </c>
      <c r="E34" s="39">
        <f>+'APPVII PG4'!C63</f>
        <v>1092238</v>
      </c>
      <c r="F34" s="29"/>
      <c r="G34" s="39">
        <f>+'APPVII PG4'!E63</f>
        <v>5492371</v>
      </c>
      <c r="H34" s="29"/>
      <c r="I34" s="41">
        <f>+'APPVII PG4'!G63</f>
        <v>1084871</v>
      </c>
      <c r="J34" s="51"/>
      <c r="K34" s="41">
        <f>+'APPVII PG4'!I63</f>
        <v>5643269</v>
      </c>
      <c r="L34" s="39"/>
      <c r="M34" s="39">
        <f>+'APPVII PG4'!K63</f>
        <v>158569</v>
      </c>
      <c r="N34" s="29"/>
      <c r="O34" s="39">
        <f>+'APPVII PG4'!M63</f>
        <v>304</v>
      </c>
      <c r="P34" s="29"/>
      <c r="Q34" s="29"/>
    </row>
    <row r="35" spans="1:17" ht="15">
      <c r="A35" s="29"/>
      <c r="B35" s="29"/>
      <c r="C35" s="29"/>
      <c r="D35" s="29" t="s">
        <v>1243</v>
      </c>
      <c r="E35" s="114">
        <f>+'APPVII PG4'!C64</f>
        <v>881725</v>
      </c>
      <c r="F35" s="45"/>
      <c r="G35" s="114">
        <f>+'APPVII PG4'!E64</f>
        <v>4433832</v>
      </c>
      <c r="H35" s="45"/>
      <c r="I35" s="43">
        <f>+'APPVII PG4'!G64</f>
        <v>875782</v>
      </c>
      <c r="J35" s="227"/>
      <c r="K35" s="43">
        <f>+'APPVII PG4'!I64</f>
        <v>4555647</v>
      </c>
      <c r="L35" s="114"/>
      <c r="M35" s="114">
        <f>+'APPVII PG4'!K64</f>
        <v>128004</v>
      </c>
      <c r="N35" s="45"/>
      <c r="O35" s="114">
        <f>+'APPVII PG4'!M64</f>
        <v>246</v>
      </c>
      <c r="P35" s="29"/>
      <c r="Q35" s="29"/>
    </row>
    <row r="36" spans="1:17" ht="15">
      <c r="A36" s="29"/>
      <c r="B36" s="29"/>
      <c r="C36" s="29"/>
      <c r="D36" s="29" t="s">
        <v>2060</v>
      </c>
      <c r="E36" s="44">
        <f>+'APPVII PG4'!C65</f>
        <v>24261731</v>
      </c>
      <c r="F36" s="29"/>
      <c r="G36" s="44">
        <f>+'APPVII PG4'!E65</f>
        <v>4824771</v>
      </c>
      <c r="H36" s="29"/>
      <c r="I36" s="42">
        <f>+'APPVII PG4'!G65</f>
        <v>24928301</v>
      </c>
      <c r="J36" s="51"/>
      <c r="K36" s="42">
        <f>+'APPVII PG4'!I65</f>
        <v>4792244</v>
      </c>
      <c r="L36" s="39"/>
      <c r="M36" s="44">
        <f>+'APPVII PG4'!K65</f>
        <v>1342</v>
      </c>
      <c r="N36" s="29"/>
      <c r="O36" s="44">
        <f>+'APPVII PG4'!M65</f>
        <v>700439</v>
      </c>
      <c r="P36" s="29"/>
      <c r="Q36" s="29"/>
    </row>
    <row r="37" spans="1:17" ht="15">
      <c r="A37" s="29"/>
      <c r="B37" s="29"/>
      <c r="C37" s="29"/>
      <c r="D37" s="35" t="s">
        <v>1348</v>
      </c>
      <c r="E37" s="39">
        <f>SUM(E31:E36)</f>
        <v>29086502</v>
      </c>
      <c r="F37" s="29"/>
      <c r="G37" s="39">
        <f>SUM(G31:G36)</f>
        <v>29086502</v>
      </c>
      <c r="H37" s="29"/>
      <c r="I37" s="41">
        <f>SUM(I31:I36)</f>
        <v>29720545</v>
      </c>
      <c r="J37" s="51"/>
      <c r="K37" s="41">
        <f>SUM(K31:K36)</f>
        <v>29720545</v>
      </c>
      <c r="L37" s="39"/>
      <c r="M37" s="39">
        <f>SUM(M31:M36)</f>
        <v>701781</v>
      </c>
      <c r="N37" s="29"/>
      <c r="O37" s="39">
        <f>SUM(O31:O36)</f>
        <v>701781</v>
      </c>
      <c r="P37" s="29"/>
      <c r="Q37" s="29"/>
    </row>
    <row r="38" spans="1:17" ht="15">
      <c r="A38" s="29"/>
      <c r="B38" s="29"/>
      <c r="C38" s="29"/>
      <c r="D38" s="29"/>
      <c r="E38" s="29"/>
      <c r="F38" s="29"/>
      <c r="G38" s="29"/>
      <c r="H38" s="29"/>
      <c r="I38" s="51"/>
      <c r="J38" s="51"/>
      <c r="K38" s="51"/>
      <c r="L38" s="29"/>
      <c r="M38" s="29"/>
      <c r="N38" s="29"/>
      <c r="O38" s="29"/>
      <c r="P38" s="29"/>
      <c r="Q38" s="29"/>
    </row>
    <row r="39" spans="1:17" ht="15">
      <c r="A39" s="29" t="s">
        <v>20</v>
      </c>
      <c r="B39" s="29"/>
      <c r="C39" s="29"/>
      <c r="D39" s="29" t="s">
        <v>1239</v>
      </c>
      <c r="E39" s="39">
        <f aca="true" t="shared" si="2" ref="E39:E44">+E23+E31</f>
        <v>1662514</v>
      </c>
      <c r="F39" s="29"/>
      <c r="G39" s="39">
        <f aca="true" t="shared" si="3" ref="G39:G44">+G23+G31</f>
        <v>28595956</v>
      </c>
      <c r="H39" s="29"/>
      <c r="I39" s="41">
        <f aca="true" t="shared" si="4" ref="I39:I44">+I23+I31</f>
        <v>1651310</v>
      </c>
      <c r="J39" s="51"/>
      <c r="K39" s="41">
        <f aca="true" t="shared" si="5" ref="K39:K44">+K23+K31</f>
        <v>28820297</v>
      </c>
      <c r="L39" s="39"/>
      <c r="M39" s="39">
        <f aca="true" t="shared" si="6" ref="M39:M44">+M23+M31</f>
        <v>241354</v>
      </c>
      <c r="N39" s="29"/>
      <c r="O39" s="39">
        <f aca="true" t="shared" si="7" ref="O39:O44">+O23+O31</f>
        <v>5809</v>
      </c>
      <c r="P39" s="29"/>
      <c r="Q39" s="29"/>
    </row>
    <row r="40" spans="1:17" ht="15">
      <c r="A40" s="251"/>
      <c r="B40" s="51"/>
      <c r="C40" s="29"/>
      <c r="D40" s="29" t="s">
        <v>1240</v>
      </c>
      <c r="E40" s="39">
        <f t="shared" si="2"/>
        <v>334981</v>
      </c>
      <c r="F40" s="29"/>
      <c r="G40" s="39">
        <f t="shared" si="3"/>
        <v>5761860</v>
      </c>
      <c r="H40" s="29"/>
      <c r="I40" s="41">
        <f t="shared" si="4"/>
        <v>332724</v>
      </c>
      <c r="J40" s="51"/>
      <c r="K40" s="41">
        <f t="shared" si="5"/>
        <v>5807063</v>
      </c>
      <c r="L40" s="39"/>
      <c r="M40" s="39">
        <f t="shared" si="6"/>
        <v>48631</v>
      </c>
      <c r="N40" s="29"/>
      <c r="O40" s="39">
        <f t="shared" si="7"/>
        <v>1171</v>
      </c>
      <c r="P40" s="29"/>
      <c r="Q40" s="29"/>
    </row>
    <row r="41" spans="1:17" ht="15">
      <c r="A41" s="51"/>
      <c r="B41" s="51"/>
      <c r="C41" s="29"/>
      <c r="D41" s="29" t="s">
        <v>1241</v>
      </c>
      <c r="E41" s="39">
        <f t="shared" si="2"/>
        <v>853313</v>
      </c>
      <c r="F41" s="29"/>
      <c r="G41" s="39">
        <f t="shared" si="3"/>
        <v>14677252</v>
      </c>
      <c r="H41" s="29"/>
      <c r="I41" s="41">
        <f t="shared" si="4"/>
        <v>847557</v>
      </c>
      <c r="J41" s="51"/>
      <c r="K41" s="41">
        <f t="shared" si="5"/>
        <v>14792395</v>
      </c>
      <c r="L41" s="39"/>
      <c r="M41" s="39">
        <f t="shared" si="6"/>
        <v>123881</v>
      </c>
      <c r="N41" s="29"/>
      <c r="O41" s="39">
        <f t="shared" si="7"/>
        <v>2982</v>
      </c>
      <c r="P41" s="29"/>
      <c r="Q41" s="29"/>
    </row>
    <row r="42" spans="1:17" ht="15">
      <c r="A42" s="29"/>
      <c r="B42" s="29"/>
      <c r="C42" s="29"/>
      <c r="D42" s="29" t="s">
        <v>1242</v>
      </c>
      <c r="E42" s="39">
        <f t="shared" si="2"/>
        <v>1092238</v>
      </c>
      <c r="F42" s="29"/>
      <c r="G42" s="39">
        <f t="shared" si="3"/>
        <v>18786724</v>
      </c>
      <c r="H42" s="29"/>
      <c r="I42" s="41">
        <f t="shared" si="4"/>
        <v>1084871</v>
      </c>
      <c r="J42" s="51"/>
      <c r="K42" s="41">
        <f t="shared" si="5"/>
        <v>18934109</v>
      </c>
      <c r="L42" s="39"/>
      <c r="M42" s="39">
        <f t="shared" si="6"/>
        <v>158569</v>
      </c>
      <c r="N42" s="29"/>
      <c r="O42" s="39">
        <f t="shared" si="7"/>
        <v>3817</v>
      </c>
      <c r="P42" s="29"/>
      <c r="Q42" s="29"/>
    </row>
    <row r="43" spans="1:17" ht="15">
      <c r="A43" s="29"/>
      <c r="B43" s="29"/>
      <c r="C43" s="29"/>
      <c r="D43" s="29" t="s">
        <v>1243</v>
      </c>
      <c r="E43" s="39">
        <f t="shared" si="2"/>
        <v>881725</v>
      </c>
      <c r="F43" s="45"/>
      <c r="G43" s="39">
        <f t="shared" si="3"/>
        <v>15166018</v>
      </c>
      <c r="H43" s="45"/>
      <c r="I43" s="41">
        <f t="shared" si="4"/>
        <v>875782</v>
      </c>
      <c r="J43" s="51"/>
      <c r="K43" s="41">
        <f t="shared" si="5"/>
        <v>15284997</v>
      </c>
      <c r="L43" s="114"/>
      <c r="M43" s="39">
        <f t="shared" si="6"/>
        <v>128004</v>
      </c>
      <c r="N43" s="45"/>
      <c r="O43" s="39">
        <f t="shared" si="7"/>
        <v>3082</v>
      </c>
      <c r="P43" s="29"/>
      <c r="Q43" s="29"/>
    </row>
    <row r="44" spans="1:17" ht="15">
      <c r="A44" s="29"/>
      <c r="B44" s="29"/>
      <c r="C44" s="29"/>
      <c r="D44" s="29" t="s">
        <v>2060</v>
      </c>
      <c r="E44" s="44">
        <f t="shared" si="2"/>
        <v>82987810</v>
      </c>
      <c r="F44" s="45"/>
      <c r="G44" s="44">
        <f t="shared" si="3"/>
        <v>4824771</v>
      </c>
      <c r="H44" s="45"/>
      <c r="I44" s="42">
        <f t="shared" si="4"/>
        <v>83638861</v>
      </c>
      <c r="J44" s="261"/>
      <c r="K44" s="42">
        <f t="shared" si="5"/>
        <v>4792244</v>
      </c>
      <c r="L44" s="114"/>
      <c r="M44" s="44">
        <f t="shared" si="6"/>
        <v>16861</v>
      </c>
      <c r="N44" s="45"/>
      <c r="O44" s="44">
        <f t="shared" si="7"/>
        <v>700439</v>
      </c>
      <c r="P44" s="29"/>
      <c r="Q44" s="29"/>
    </row>
    <row r="45" spans="1:17" ht="15">
      <c r="A45" s="29"/>
      <c r="B45" s="29"/>
      <c r="C45" s="29"/>
      <c r="D45" s="35" t="s">
        <v>1348</v>
      </c>
      <c r="E45" s="39">
        <f>SUM(E39:E44)</f>
        <v>87812581</v>
      </c>
      <c r="F45" s="29"/>
      <c r="G45" s="39">
        <f>SUM(G39:G44)</f>
        <v>87812581</v>
      </c>
      <c r="H45" s="29"/>
      <c r="I45" s="41">
        <f>SUM(I39:I44)</f>
        <v>88431105</v>
      </c>
      <c r="J45" s="51"/>
      <c r="K45" s="41">
        <f>SUM(K39:K44)</f>
        <v>88431105</v>
      </c>
      <c r="L45" s="39"/>
      <c r="M45" s="39">
        <f>SUM(M39:M44)</f>
        <v>717300</v>
      </c>
      <c r="N45" s="29"/>
      <c r="O45" s="39">
        <f>SUM(O39:O44)</f>
        <v>717300</v>
      </c>
      <c r="P45" s="29"/>
      <c r="Q45" s="29"/>
    </row>
    <row r="46" spans="1:17" ht="15">
      <c r="A46" s="29"/>
      <c r="B46" s="29"/>
      <c r="C46" s="29"/>
      <c r="D46" s="35"/>
      <c r="E46" s="39"/>
      <c r="F46" s="29"/>
      <c r="G46" s="39"/>
      <c r="H46" s="29"/>
      <c r="I46" s="41"/>
      <c r="J46" s="51"/>
      <c r="K46" s="41"/>
      <c r="L46" s="39"/>
      <c r="M46" s="29"/>
      <c r="N46" s="29"/>
      <c r="O46" s="29"/>
      <c r="P46" s="29"/>
      <c r="Q46" s="29"/>
    </row>
    <row r="47" spans="1:18" ht="15">
      <c r="A47" s="29"/>
      <c r="B47" s="29"/>
      <c r="C47" s="29"/>
      <c r="D47" s="29"/>
      <c r="E47" s="29"/>
      <c r="F47" s="29"/>
      <c r="G47" s="29"/>
      <c r="H47" s="29"/>
      <c r="I47" s="51"/>
      <c r="J47" s="51"/>
      <c r="K47" s="51"/>
      <c r="L47" s="29"/>
      <c r="M47" s="29"/>
      <c r="N47" s="29"/>
      <c r="O47" s="29"/>
      <c r="P47" s="29"/>
      <c r="Q47" s="1022" t="s">
        <v>360</v>
      </c>
      <c r="R47" s="1022"/>
    </row>
    <row r="48" spans="1:18" ht="15">
      <c r="A48" s="29" t="s">
        <v>21</v>
      </c>
      <c r="B48" s="29"/>
      <c r="C48" s="29"/>
      <c r="D48" s="29" t="s">
        <v>1239</v>
      </c>
      <c r="E48" s="39">
        <f aca="true" t="shared" si="8" ref="E48:E53">IF(E39-G39&lt;=0,0,E39-G39)</f>
        <v>0</v>
      </c>
      <c r="F48" s="39"/>
      <c r="G48" s="39">
        <f aca="true" t="shared" si="9" ref="G48:G53">IF(G39-E39&lt;=0,0,G39-E39)</f>
        <v>26933442</v>
      </c>
      <c r="H48" s="39"/>
      <c r="I48" s="41">
        <f aca="true" t="shared" si="10" ref="I48:I53">IF(I39-K39&lt;=0,0,I39-K39)</f>
        <v>0</v>
      </c>
      <c r="J48" s="41"/>
      <c r="K48" s="41">
        <f aca="true" t="shared" si="11" ref="K48:K53">IF(K39-I39&lt;=0,0,K39-I39)</f>
        <v>27168987</v>
      </c>
      <c r="L48" s="39"/>
      <c r="M48" s="39">
        <f aca="true" t="shared" si="12" ref="M48:M53">IF(M39-O39&lt;=0,0,M39-O39)</f>
        <v>235545</v>
      </c>
      <c r="N48" s="29"/>
      <c r="O48" s="39">
        <f aca="true" t="shared" si="13" ref="O48:O53">IF(O39-M39&lt;=0,0,O39-M39)</f>
        <v>0</v>
      </c>
      <c r="P48" s="29"/>
      <c r="Q48" s="39">
        <f aca="true" t="shared" si="14" ref="Q48:Q53">E48-I48</f>
        <v>0</v>
      </c>
      <c r="R48" s="39">
        <f aca="true" t="shared" si="15" ref="R48:R53">G48-K48</f>
        <v>-235545</v>
      </c>
    </row>
    <row r="49" spans="1:18" ht="15">
      <c r="A49" s="86"/>
      <c r="B49" s="29"/>
      <c r="C49" s="29"/>
      <c r="D49" s="29" t="s">
        <v>1240</v>
      </c>
      <c r="E49" s="39">
        <f t="shared" si="8"/>
        <v>0</v>
      </c>
      <c r="F49" s="39"/>
      <c r="G49" s="39">
        <f t="shared" si="9"/>
        <v>5426879</v>
      </c>
      <c r="H49" s="39"/>
      <c r="I49" s="41">
        <f t="shared" si="10"/>
        <v>0</v>
      </c>
      <c r="J49" s="41"/>
      <c r="K49" s="41">
        <f t="shared" si="11"/>
        <v>5474339</v>
      </c>
      <c r="L49" s="39"/>
      <c r="M49" s="39">
        <f t="shared" si="12"/>
        <v>47460</v>
      </c>
      <c r="N49" s="29"/>
      <c r="O49" s="39">
        <f t="shared" si="13"/>
        <v>0</v>
      </c>
      <c r="P49" s="29"/>
      <c r="Q49" s="39">
        <f t="shared" si="14"/>
        <v>0</v>
      </c>
      <c r="R49" s="39">
        <f t="shared" si="15"/>
        <v>-47460</v>
      </c>
    </row>
    <row r="50" spans="1:18" ht="15">
      <c r="A50" s="29"/>
      <c r="B50" s="29"/>
      <c r="C50" s="29"/>
      <c r="D50" s="29" t="s">
        <v>1241</v>
      </c>
      <c r="E50" s="39">
        <f t="shared" si="8"/>
        <v>0</v>
      </c>
      <c r="F50" s="39"/>
      <c r="G50" s="39">
        <f t="shared" si="9"/>
        <v>13823939</v>
      </c>
      <c r="H50" s="39"/>
      <c r="I50" s="41">
        <f t="shared" si="10"/>
        <v>0</v>
      </c>
      <c r="J50" s="41"/>
      <c r="K50" s="41">
        <f t="shared" si="11"/>
        <v>13944838</v>
      </c>
      <c r="L50" s="39"/>
      <c r="M50" s="39">
        <f t="shared" si="12"/>
        <v>120899</v>
      </c>
      <c r="N50" s="29"/>
      <c r="O50" s="39">
        <f t="shared" si="13"/>
        <v>0</v>
      </c>
      <c r="P50" s="29"/>
      <c r="Q50" s="39">
        <f t="shared" si="14"/>
        <v>0</v>
      </c>
      <c r="R50" s="39">
        <f t="shared" si="15"/>
        <v>-120899</v>
      </c>
    </row>
    <row r="51" spans="1:18" ht="15">
      <c r="A51" s="29"/>
      <c r="B51" s="29"/>
      <c r="C51" s="29"/>
      <c r="D51" s="29" t="s">
        <v>1242</v>
      </c>
      <c r="E51" s="39">
        <f t="shared" si="8"/>
        <v>0</v>
      </c>
      <c r="F51" s="39"/>
      <c r="G51" s="39">
        <f t="shared" si="9"/>
        <v>17694486</v>
      </c>
      <c r="H51" s="39"/>
      <c r="I51" s="41">
        <f t="shared" si="10"/>
        <v>0</v>
      </c>
      <c r="J51" s="41"/>
      <c r="K51" s="41">
        <f t="shared" si="11"/>
        <v>17849238</v>
      </c>
      <c r="L51" s="39"/>
      <c r="M51" s="39">
        <f>IF(M42-O42&lt;=0,0,M42-O42)</f>
        <v>154752</v>
      </c>
      <c r="N51" s="29"/>
      <c r="O51" s="39">
        <f t="shared" si="13"/>
        <v>0</v>
      </c>
      <c r="P51" s="29"/>
      <c r="Q51" s="39">
        <f t="shared" si="14"/>
        <v>0</v>
      </c>
      <c r="R51" s="39">
        <f t="shared" si="15"/>
        <v>-154752</v>
      </c>
    </row>
    <row r="52" spans="1:18" ht="15">
      <c r="A52" s="29"/>
      <c r="B52" s="29"/>
      <c r="C52" s="29"/>
      <c r="D52" s="29" t="s">
        <v>1243</v>
      </c>
      <c r="E52" s="114">
        <f t="shared" si="8"/>
        <v>0</v>
      </c>
      <c r="F52" s="114"/>
      <c r="G52" s="114">
        <f t="shared" si="9"/>
        <v>14284293</v>
      </c>
      <c r="H52" s="114"/>
      <c r="I52" s="43">
        <f t="shared" si="10"/>
        <v>0</v>
      </c>
      <c r="J52" s="43"/>
      <c r="K52" s="43">
        <f t="shared" si="11"/>
        <v>14409215</v>
      </c>
      <c r="L52" s="114"/>
      <c r="M52" s="114">
        <f t="shared" si="12"/>
        <v>124922</v>
      </c>
      <c r="N52" s="45"/>
      <c r="O52" s="114">
        <f t="shared" si="13"/>
        <v>0</v>
      </c>
      <c r="P52" s="29"/>
      <c r="Q52" s="39">
        <f t="shared" si="14"/>
        <v>0</v>
      </c>
      <c r="R52" s="39">
        <f t="shared" si="15"/>
        <v>-124922</v>
      </c>
    </row>
    <row r="53" spans="1:18" ht="15">
      <c r="A53" s="29"/>
      <c r="B53" s="29"/>
      <c r="C53" s="29"/>
      <c r="D53" s="29" t="s">
        <v>2060</v>
      </c>
      <c r="E53" s="44">
        <f t="shared" si="8"/>
        <v>78163039</v>
      </c>
      <c r="F53" s="39"/>
      <c r="G53" s="44">
        <f t="shared" si="9"/>
        <v>0</v>
      </c>
      <c r="H53" s="39"/>
      <c r="I53" s="42">
        <f t="shared" si="10"/>
        <v>78846617</v>
      </c>
      <c r="J53" s="43"/>
      <c r="K53" s="42">
        <f t="shared" si="11"/>
        <v>0</v>
      </c>
      <c r="L53" s="114"/>
      <c r="M53" s="44">
        <f t="shared" si="12"/>
        <v>0</v>
      </c>
      <c r="N53" s="45"/>
      <c r="O53" s="44">
        <f t="shared" si="13"/>
        <v>683578</v>
      </c>
      <c r="P53" s="29"/>
      <c r="Q53" s="44">
        <f t="shared" si="14"/>
        <v>-683578</v>
      </c>
      <c r="R53" s="44">
        <f t="shared" si="15"/>
        <v>0</v>
      </c>
    </row>
    <row r="54" spans="1:19" ht="15">
      <c r="A54" s="29"/>
      <c r="B54" s="29"/>
      <c r="C54" s="29"/>
      <c r="D54" s="35" t="s">
        <v>1348</v>
      </c>
      <c r="E54" s="39">
        <f>SUM(E48:E53)</f>
        <v>78163039</v>
      </c>
      <c r="F54" s="39"/>
      <c r="G54" s="39">
        <f>SUM(G48:G53)</f>
        <v>78163039</v>
      </c>
      <c r="H54" s="39"/>
      <c r="I54" s="41">
        <f>SUM(I48:I53)</f>
        <v>78846617</v>
      </c>
      <c r="J54" s="41"/>
      <c r="K54" s="41">
        <f>SUM(K48:K53)</f>
        <v>78846617</v>
      </c>
      <c r="L54" s="39"/>
      <c r="M54" s="39">
        <f>SUM(M48:M53)</f>
        <v>683578</v>
      </c>
      <c r="N54" s="29"/>
      <c r="O54" s="39">
        <f>SUM(O48:O53)</f>
        <v>683578</v>
      </c>
      <c r="P54" s="29"/>
      <c r="Q54" s="39">
        <f>SUM(Q48:Q53)</f>
        <v>-683578</v>
      </c>
      <c r="R54" s="39">
        <f>SUM(R48:R53)</f>
        <v>-683578</v>
      </c>
      <c r="S54" s="17">
        <f>Q54-R54</f>
        <v>0</v>
      </c>
    </row>
    <row r="55" spans="1:17" ht="15">
      <c r="A55" s="29"/>
      <c r="B55" s="29"/>
      <c r="C55" s="29"/>
      <c r="D55" s="35"/>
      <c r="E55" s="39"/>
      <c r="F55" s="39"/>
      <c r="G55" s="39"/>
      <c r="H55" s="39"/>
      <c r="I55" s="39"/>
      <c r="J55" s="39"/>
      <c r="K55" s="39"/>
      <c r="L55" s="39"/>
      <c r="M55" s="29"/>
      <c r="N55" s="29"/>
      <c r="O55" s="29"/>
      <c r="P55" s="29"/>
      <c r="Q55" s="29"/>
    </row>
    <row r="56" spans="1:17" ht="15">
      <c r="A56" s="3" t="s">
        <v>1949</v>
      </c>
      <c r="B56" s="3" t="s">
        <v>1946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</row>
    <row r="57" spans="2:17" ht="15">
      <c r="B57" s="2" t="s">
        <v>1948</v>
      </c>
      <c r="C57" s="2"/>
      <c r="D57" s="2"/>
      <c r="E57" s="2"/>
      <c r="F57" s="2"/>
      <c r="G57" s="2"/>
      <c r="H57" s="51"/>
      <c r="I57" s="51"/>
      <c r="J57" s="51"/>
      <c r="K57" s="51"/>
      <c r="L57" s="29"/>
      <c r="M57" s="29"/>
      <c r="N57" s="29"/>
      <c r="O57" s="29"/>
      <c r="P57" s="29"/>
      <c r="Q57" s="29"/>
    </row>
    <row r="58" spans="2:17" ht="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9"/>
      <c r="Q58" s="29"/>
    </row>
    <row r="60" spans="5:15" ht="15">
      <c r="E60" s="39">
        <f aca="true" t="shared" si="16" ref="E60:E65">+E23-I23</f>
        <v>0</v>
      </c>
      <c r="F60" s="39"/>
      <c r="G60" s="39">
        <f aca="true" t="shared" si="17" ref="G60:G65">+I23-E23</f>
        <v>0</v>
      </c>
      <c r="H60" s="39"/>
      <c r="I60" s="39">
        <f aca="true" t="shared" si="18" ref="I60:I65">+G23-K23</f>
        <v>5347</v>
      </c>
      <c r="J60" s="39"/>
      <c r="K60" s="39">
        <f aca="true" t="shared" si="19" ref="K60:K65">+K23-G23</f>
        <v>-5347</v>
      </c>
      <c r="O60" s="17">
        <f>SUM(E60:K60)</f>
        <v>0</v>
      </c>
    </row>
    <row r="61" spans="5:15" ht="15">
      <c r="E61" s="39">
        <f t="shared" si="16"/>
        <v>0</v>
      </c>
      <c r="F61" s="39"/>
      <c r="G61" s="39">
        <f t="shared" si="17"/>
        <v>0</v>
      </c>
      <c r="H61" s="39"/>
      <c r="I61" s="39">
        <f t="shared" si="18"/>
        <v>1078</v>
      </c>
      <c r="J61" s="39"/>
      <c r="K61" s="39">
        <f t="shared" si="19"/>
        <v>-1078</v>
      </c>
      <c r="O61" s="17">
        <f aca="true" t="shared" si="20" ref="O61:O72">SUM(E61:K61)</f>
        <v>0</v>
      </c>
    </row>
    <row r="62" spans="5:15" ht="15">
      <c r="E62" s="39">
        <f t="shared" si="16"/>
        <v>0</v>
      </c>
      <c r="F62" s="39"/>
      <c r="G62" s="39">
        <f t="shared" si="17"/>
        <v>0</v>
      </c>
      <c r="H62" s="39"/>
      <c r="I62" s="39">
        <f t="shared" si="18"/>
        <v>2745</v>
      </c>
      <c r="J62" s="39"/>
      <c r="K62" s="39">
        <f t="shared" si="19"/>
        <v>-2745</v>
      </c>
      <c r="O62" s="17">
        <f t="shared" si="20"/>
        <v>0</v>
      </c>
    </row>
    <row r="63" spans="5:15" ht="15">
      <c r="E63" s="39">
        <f t="shared" si="16"/>
        <v>0</v>
      </c>
      <c r="F63" s="39"/>
      <c r="G63" s="39">
        <f t="shared" si="17"/>
        <v>0</v>
      </c>
      <c r="H63" s="39"/>
      <c r="I63" s="39">
        <f t="shared" si="18"/>
        <v>3513</v>
      </c>
      <c r="J63" s="39"/>
      <c r="K63" s="39">
        <f t="shared" si="19"/>
        <v>-3513</v>
      </c>
      <c r="O63" s="17">
        <f t="shared" si="20"/>
        <v>0</v>
      </c>
    </row>
    <row r="64" spans="5:15" ht="15">
      <c r="E64" s="39">
        <f t="shared" si="16"/>
        <v>0</v>
      </c>
      <c r="F64" s="39"/>
      <c r="G64" s="39">
        <f t="shared" si="17"/>
        <v>0</v>
      </c>
      <c r="H64" s="39"/>
      <c r="I64" s="39">
        <f t="shared" si="18"/>
        <v>2836</v>
      </c>
      <c r="J64" s="39"/>
      <c r="K64" s="39">
        <f t="shared" si="19"/>
        <v>-2836</v>
      </c>
      <c r="O64" s="17">
        <f t="shared" si="20"/>
        <v>0</v>
      </c>
    </row>
    <row r="65" spans="5:15" ht="15">
      <c r="E65" s="39">
        <f t="shared" si="16"/>
        <v>15519</v>
      </c>
      <c r="F65" s="39"/>
      <c r="G65" s="39">
        <f t="shared" si="17"/>
        <v>-15519</v>
      </c>
      <c r="H65" s="39"/>
      <c r="I65" s="39">
        <f t="shared" si="18"/>
        <v>0</v>
      </c>
      <c r="J65" s="39"/>
      <c r="K65" s="39">
        <f t="shared" si="19"/>
        <v>0</v>
      </c>
      <c r="O65" s="17">
        <f t="shared" si="20"/>
        <v>0</v>
      </c>
    </row>
    <row r="66" ht="15">
      <c r="O66" s="17"/>
    </row>
    <row r="67" spans="5:15" ht="15">
      <c r="E67" s="39">
        <f aca="true" t="shared" si="21" ref="E67:E72">+E15-I15</f>
        <v>36146</v>
      </c>
      <c r="F67" s="29"/>
      <c r="G67" s="39">
        <f aca="true" t="shared" si="22" ref="G67:G72">+I15-E15</f>
        <v>-36146</v>
      </c>
      <c r="H67" s="29"/>
      <c r="I67" s="39">
        <f aca="true" t="shared" si="23" ref="I67:I72">+G15-K15</f>
        <v>2929</v>
      </c>
      <c r="J67" s="29"/>
      <c r="K67" s="39">
        <f aca="true" t="shared" si="24" ref="K67:K72">+K15-G15</f>
        <v>-2929</v>
      </c>
      <c r="O67" s="17">
        <f t="shared" si="20"/>
        <v>0</v>
      </c>
    </row>
    <row r="68" spans="5:15" ht="15">
      <c r="E68" s="39">
        <f t="shared" si="21"/>
        <v>7283</v>
      </c>
      <c r="F68" s="29"/>
      <c r="G68" s="39">
        <f t="shared" si="22"/>
        <v>-7283</v>
      </c>
      <c r="H68" s="29"/>
      <c r="I68" s="39">
        <f t="shared" si="23"/>
        <v>590</v>
      </c>
      <c r="J68" s="29"/>
      <c r="K68" s="39">
        <f t="shared" si="24"/>
        <v>-590</v>
      </c>
      <c r="O68" s="17">
        <f t="shared" si="20"/>
        <v>0</v>
      </c>
    </row>
    <row r="69" spans="5:15" ht="15">
      <c r="E69" s="39">
        <f t="shared" si="21"/>
        <v>18551</v>
      </c>
      <c r="F69" s="29"/>
      <c r="G69" s="39">
        <f t="shared" si="22"/>
        <v>-18551</v>
      </c>
      <c r="H69" s="29"/>
      <c r="I69" s="39">
        <f t="shared" si="23"/>
        <v>1504</v>
      </c>
      <c r="J69" s="29"/>
      <c r="K69" s="39">
        <f t="shared" si="24"/>
        <v>-1504</v>
      </c>
      <c r="O69" s="17">
        <f t="shared" si="20"/>
        <v>0</v>
      </c>
    </row>
    <row r="70" spans="5:15" ht="15">
      <c r="E70" s="39">
        <f t="shared" si="21"/>
        <v>6577</v>
      </c>
      <c r="F70" s="29"/>
      <c r="G70" s="39">
        <f t="shared" si="22"/>
        <v>-6577</v>
      </c>
      <c r="H70" s="29"/>
      <c r="I70" s="39">
        <f t="shared" si="23"/>
        <v>81150</v>
      </c>
      <c r="J70" s="29"/>
      <c r="K70" s="39">
        <f t="shared" si="24"/>
        <v>-81150</v>
      </c>
      <c r="O70" s="17">
        <f t="shared" si="20"/>
        <v>0</v>
      </c>
    </row>
    <row r="71" spans="5:15" ht="15">
      <c r="E71" s="39">
        <f t="shared" si="21"/>
        <v>19170</v>
      </c>
      <c r="F71" s="29"/>
      <c r="G71" s="39">
        <f t="shared" si="22"/>
        <v>-19170</v>
      </c>
      <c r="H71" s="29"/>
      <c r="I71" s="39">
        <f t="shared" si="23"/>
        <v>1554</v>
      </c>
      <c r="J71" s="29"/>
      <c r="K71" s="39">
        <f t="shared" si="24"/>
        <v>-1554</v>
      </c>
      <c r="O71" s="17">
        <f t="shared" si="20"/>
        <v>0</v>
      </c>
    </row>
    <row r="72" spans="5:15" ht="15">
      <c r="E72" s="39">
        <f t="shared" si="21"/>
        <v>87727</v>
      </c>
      <c r="F72" s="29"/>
      <c r="G72" s="39">
        <f t="shared" si="22"/>
        <v>-87727</v>
      </c>
      <c r="H72" s="29"/>
      <c r="I72" s="39">
        <f t="shared" si="23"/>
        <v>87727</v>
      </c>
      <c r="J72" s="29"/>
      <c r="K72" s="39">
        <f t="shared" si="24"/>
        <v>-87727</v>
      </c>
      <c r="O72" s="17">
        <f t="shared" si="20"/>
        <v>0</v>
      </c>
    </row>
    <row r="73" spans="5:11" ht="15">
      <c r="E73" s="29"/>
      <c r="F73" s="29"/>
      <c r="G73" s="29"/>
      <c r="H73" s="29"/>
      <c r="I73" s="29"/>
      <c r="J73" s="29"/>
      <c r="K73" s="29"/>
    </row>
    <row r="74" spans="5:11" ht="15">
      <c r="E74" s="29"/>
      <c r="F74" s="29"/>
      <c r="G74" s="29"/>
      <c r="H74" s="29"/>
      <c r="I74" s="29"/>
      <c r="J74" s="29"/>
      <c r="K74" s="29"/>
    </row>
    <row r="75" spans="5:11" ht="15">
      <c r="E75" s="29"/>
      <c r="F75" s="29"/>
      <c r="G75" s="29"/>
      <c r="H75" s="29"/>
      <c r="I75" s="29"/>
      <c r="J75" s="29"/>
      <c r="K75" s="29"/>
    </row>
    <row r="76" spans="5:11" ht="15">
      <c r="E76" s="29"/>
      <c r="F76" s="29"/>
      <c r="G76" s="29"/>
      <c r="H76" s="29"/>
      <c r="I76" s="29"/>
      <c r="J76" s="29"/>
      <c r="K76" s="29"/>
    </row>
  </sheetData>
  <mergeCells count="11">
    <mergeCell ref="Q47:R47"/>
    <mergeCell ref="X12:Y12"/>
    <mergeCell ref="X13:Y13"/>
    <mergeCell ref="Z12:AA12"/>
    <mergeCell ref="Z13:AA13"/>
    <mergeCell ref="AF13:AG13"/>
    <mergeCell ref="Z11:AA11"/>
    <mergeCell ref="AB12:AC12"/>
    <mergeCell ref="AB13:AC13"/>
    <mergeCell ref="AB11:AC11"/>
    <mergeCell ref="AD13:AE13"/>
  </mergeCells>
  <printOptions horizontalCentered="1"/>
  <pageMargins left="0.25" right="0.25" top="0.25" bottom="0.25" header="0" footer="0"/>
  <pageSetup fitToHeight="1" fitToWidth="1" horizontalDpi="600" verticalDpi="600" orientation="portrait" scale="8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X496"/>
  <sheetViews>
    <sheetView workbookViewId="0" topLeftCell="A1">
      <selection activeCell="A1" sqref="A1"/>
    </sheetView>
  </sheetViews>
  <sheetFormatPr defaultColWidth="9.140625" defaultRowHeight="12.75"/>
  <cols>
    <col min="1" max="1" width="8.140625" style="170" customWidth="1"/>
    <col min="2" max="2" width="24.57421875" style="170" customWidth="1"/>
    <col min="3" max="3" width="9.140625" style="170" customWidth="1"/>
    <col min="4" max="4" width="8.28125" style="170" customWidth="1"/>
    <col min="5" max="5" width="5.421875" style="170" customWidth="1"/>
    <col min="6" max="6" width="10.00390625" style="170" bestFit="1" customWidth="1"/>
    <col min="7" max="7" width="8.57421875" style="170" bestFit="1" customWidth="1"/>
    <col min="8" max="10" width="8.28125" style="170" bestFit="1" customWidth="1"/>
    <col min="11" max="11" width="8.421875" style="170" bestFit="1" customWidth="1"/>
    <col min="12" max="12" width="9.7109375" style="170" bestFit="1" customWidth="1"/>
    <col min="13" max="13" width="8.8515625" style="170" bestFit="1" customWidth="1"/>
    <col min="14" max="14" width="8.57421875" style="170" bestFit="1" customWidth="1"/>
    <col min="15" max="15" width="9.28125" style="170" customWidth="1"/>
    <col min="16" max="16" width="9.7109375" style="170" bestFit="1" customWidth="1"/>
    <col min="17" max="17" width="8.8515625" style="170" bestFit="1" customWidth="1"/>
    <col min="18" max="18" width="8.28125" style="170" customWidth="1"/>
    <col min="19" max="19" width="10.28125" style="170" hidden="1" customWidth="1"/>
    <col min="20" max="20" width="13.8515625" style="170" bestFit="1" customWidth="1"/>
    <col min="21" max="21" width="13.140625" style="170" bestFit="1" customWidth="1"/>
    <col min="22" max="22" width="13.57421875" style="170" bestFit="1" customWidth="1"/>
    <col min="23" max="23" width="13.140625" style="170" bestFit="1" customWidth="1"/>
    <col min="24" max="24" width="13.57421875" style="170" bestFit="1" customWidth="1"/>
    <col min="25" max="16384" width="10.28125" style="170" customWidth="1"/>
  </cols>
  <sheetData>
    <row r="1" spans="1:18" ht="14.25">
      <c r="A1" s="176" t="s">
        <v>1451</v>
      </c>
      <c r="B1" s="171" t="str">
        <f>INPUT!C1</f>
        <v>June 2009</v>
      </c>
      <c r="C1" s="432" t="s">
        <v>1845</v>
      </c>
      <c r="D1" s="432"/>
      <c r="E1" s="921"/>
      <c r="F1" s="921"/>
      <c r="G1" s="424"/>
      <c r="H1" s="424"/>
      <c r="I1" s="424"/>
      <c r="J1" s="922"/>
      <c r="K1" s="922"/>
      <c r="L1" s="922"/>
      <c r="M1" s="174"/>
      <c r="O1" s="174"/>
      <c r="P1" s="175"/>
      <c r="R1" s="217" t="s">
        <v>8</v>
      </c>
    </row>
    <row r="2" spans="1:18" ht="14.25">
      <c r="A2" s="176"/>
      <c r="B2" s="853"/>
      <c r="C2" s="432"/>
      <c r="D2" s="432"/>
      <c r="E2" s="921"/>
      <c r="F2" s="921"/>
      <c r="G2" s="424"/>
      <c r="H2" s="424"/>
      <c r="I2" s="424"/>
      <c r="J2" s="922"/>
      <c r="K2" s="922"/>
      <c r="L2" s="922"/>
      <c r="M2" s="174"/>
      <c r="N2" s="175"/>
      <c r="O2" s="174"/>
      <c r="P2" s="175"/>
      <c r="Q2" s="174"/>
      <c r="R2" s="212" t="s">
        <v>1228</v>
      </c>
    </row>
    <row r="3" spans="2:15" ht="14.25">
      <c r="B3" s="176"/>
      <c r="C3" s="432"/>
      <c r="D3" s="432"/>
      <c r="E3" s="921"/>
      <c r="F3" s="921"/>
      <c r="G3" s="424"/>
      <c r="H3" s="424"/>
      <c r="I3" s="432"/>
      <c r="J3" s="923"/>
      <c r="K3" s="923"/>
      <c r="L3" s="923"/>
      <c r="M3" s="174"/>
      <c r="N3" s="175"/>
      <c r="O3" s="174"/>
    </row>
    <row r="4" spans="1:17" ht="15" thickBot="1">
      <c r="A4" s="424"/>
      <c r="B4" s="424"/>
      <c r="H4" s="178"/>
      <c r="I4" s="172"/>
      <c r="J4" s="177"/>
      <c r="K4" s="177"/>
      <c r="L4" s="177"/>
      <c r="M4" s="179"/>
      <c r="N4" s="180"/>
      <c r="O4" s="179"/>
      <c r="P4" s="180"/>
      <c r="Q4" s="179"/>
    </row>
    <row r="5" spans="1:15" ht="14.25">
      <c r="A5" s="181"/>
      <c r="B5" s="173"/>
      <c r="C5" s="173"/>
      <c r="D5" s="173"/>
      <c r="E5" s="173"/>
      <c r="F5" s="173"/>
      <c r="G5" s="182" t="s">
        <v>1752</v>
      </c>
      <c r="H5" s="183"/>
      <c r="I5" s="184"/>
      <c r="J5" s="183"/>
      <c r="K5" s="183"/>
      <c r="L5" s="185"/>
      <c r="O5" s="186" t="s">
        <v>368</v>
      </c>
    </row>
    <row r="6" spans="1:18" s="186" customFormat="1" ht="15" thickBot="1">
      <c r="A6" s="187" t="s">
        <v>369</v>
      </c>
      <c r="E6" s="186" t="s">
        <v>370</v>
      </c>
      <c r="F6" s="188" t="s">
        <v>1343</v>
      </c>
      <c r="G6" s="189">
        <f>INPUT!C5</f>
        <v>0.34458</v>
      </c>
      <c r="H6" s="189">
        <f>INPUT!C6</f>
        <v>0.06943</v>
      </c>
      <c r="I6" s="189">
        <f>INPUT!C7</f>
        <v>0.17686</v>
      </c>
      <c r="J6" s="189">
        <f>INPUT!C8</f>
        <v>0.22638</v>
      </c>
      <c r="K6" s="189">
        <f>INPUT!C9</f>
        <v>0.18275</v>
      </c>
      <c r="L6" s="190">
        <f>SUM(G6:K6)</f>
        <v>1</v>
      </c>
      <c r="M6" s="188"/>
      <c r="N6" s="188"/>
      <c r="O6" s="188"/>
      <c r="P6" s="188"/>
      <c r="Q6" s="188"/>
      <c r="R6" s="188"/>
    </row>
    <row r="7" spans="1:18" s="187" customFormat="1" ht="14.25">
      <c r="A7" s="187" t="s">
        <v>371</v>
      </c>
      <c r="B7" s="187" t="s">
        <v>372</v>
      </c>
      <c r="D7" s="187" t="s">
        <v>373</v>
      </c>
      <c r="E7" s="187" t="s">
        <v>374</v>
      </c>
      <c r="F7" s="187" t="s">
        <v>375</v>
      </c>
      <c r="G7" s="187" t="s">
        <v>1239</v>
      </c>
      <c r="H7" s="187" t="s">
        <v>1240</v>
      </c>
      <c r="I7" s="187" t="s">
        <v>1241</v>
      </c>
      <c r="J7" s="187" t="s">
        <v>1242</v>
      </c>
      <c r="K7" s="187" t="s">
        <v>1243</v>
      </c>
      <c r="L7" s="191" t="s">
        <v>367</v>
      </c>
      <c r="M7" s="187" t="s">
        <v>1239</v>
      </c>
      <c r="N7" s="187" t="s">
        <v>1240</v>
      </c>
      <c r="O7" s="187" t="s">
        <v>1241</v>
      </c>
      <c r="P7" s="187" t="s">
        <v>1242</v>
      </c>
      <c r="Q7" s="187" t="s">
        <v>1243</v>
      </c>
      <c r="R7" s="191" t="s">
        <v>2128</v>
      </c>
    </row>
    <row r="8" spans="1:18" s="187" customFormat="1" ht="14.25">
      <c r="A8" s="192"/>
      <c r="B8" s="192" t="s">
        <v>376</v>
      </c>
      <c r="C8" s="192"/>
      <c r="D8" s="192"/>
      <c r="E8" s="192"/>
      <c r="F8" s="193">
        <f>SUM(F9:F82)</f>
        <v>2801695</v>
      </c>
      <c r="G8" s="193">
        <f>SUM(G9:G82)</f>
        <v>965408</v>
      </c>
      <c r="H8" s="193">
        <f aca="true" t="shared" si="0" ref="H8:R8">SUM(H9:H82)</f>
        <v>194521</v>
      </c>
      <c r="I8" s="866">
        <f t="shared" si="0"/>
        <v>495509</v>
      </c>
      <c r="J8" s="866">
        <f t="shared" si="0"/>
        <v>634247</v>
      </c>
      <c r="K8" s="193">
        <f t="shared" si="0"/>
        <v>512010</v>
      </c>
      <c r="L8" s="193">
        <f t="shared" si="0"/>
        <v>2801695</v>
      </c>
      <c r="M8" s="193">
        <f t="shared" si="0"/>
        <v>-965408</v>
      </c>
      <c r="N8" s="193">
        <f t="shared" si="0"/>
        <v>-194521</v>
      </c>
      <c r="O8" s="193">
        <f t="shared" si="0"/>
        <v>-495509</v>
      </c>
      <c r="P8" s="193">
        <f t="shared" si="0"/>
        <v>2167448</v>
      </c>
      <c r="Q8" s="193">
        <f t="shared" si="0"/>
        <v>-512010</v>
      </c>
      <c r="R8" s="193">
        <f t="shared" si="0"/>
        <v>0</v>
      </c>
    </row>
    <row r="9" spans="1:18" ht="12.75">
      <c r="A9" s="254" t="s">
        <v>228</v>
      </c>
      <c r="B9" s="257"/>
      <c r="C9" s="257"/>
      <c r="D9" s="257"/>
      <c r="E9" s="257"/>
      <c r="F9" s="257"/>
      <c r="G9" s="254"/>
      <c r="H9" s="257"/>
      <c r="I9" s="257"/>
      <c r="J9" s="257"/>
      <c r="K9" s="257"/>
      <c r="L9" s="257"/>
      <c r="M9" s="254"/>
      <c r="N9" s="257"/>
      <c r="O9" s="257"/>
      <c r="P9" s="257"/>
      <c r="Q9" s="257"/>
      <c r="R9" s="262"/>
    </row>
    <row r="10" spans="1:24" ht="14.25">
      <c r="A10" s="205"/>
      <c r="B10" s="197"/>
      <c r="C10" s="197"/>
      <c r="D10" s="197"/>
      <c r="E10" s="197"/>
      <c r="F10" s="197"/>
      <c r="G10" s="205"/>
      <c r="H10" s="197"/>
      <c r="I10" s="197"/>
      <c r="J10" s="197"/>
      <c r="K10" s="197"/>
      <c r="L10" s="197"/>
      <c r="M10" s="205"/>
      <c r="N10" s="197"/>
      <c r="O10" s="197"/>
      <c r="P10" s="197"/>
      <c r="Q10" s="197"/>
      <c r="R10" s="207"/>
      <c r="T10" s="172" t="s">
        <v>1239</v>
      </c>
      <c r="U10" s="172" t="s">
        <v>1240</v>
      </c>
      <c r="V10" s="172" t="s">
        <v>1241</v>
      </c>
      <c r="W10" s="172" t="s">
        <v>1242</v>
      </c>
      <c r="X10" s="172" t="s">
        <v>1243</v>
      </c>
    </row>
    <row r="11" spans="1:24" ht="14.25" hidden="1">
      <c r="A11" s="194" t="s">
        <v>377</v>
      </c>
      <c r="B11" s="195" t="str">
        <f>VLOOKUP(A11,'APPVI VLOOKUP NAMES'!$A$2:$C$290,3,FALSE)</f>
        <v>Allegheny Power GM</v>
      </c>
      <c r="C11" s="198"/>
      <c r="D11" s="197">
        <f aca="true" t="shared" si="1" ref="D11:D17">IF(C11="(2)",4210020,4470066)</f>
        <v>4470066</v>
      </c>
      <c r="E11" s="198" t="s">
        <v>378</v>
      </c>
      <c r="F11" s="255"/>
      <c r="G11" s="200">
        <f>ROUND(+G$6*$F11,0)</f>
        <v>0</v>
      </c>
      <c r="H11" s="175">
        <f>ROUND(+H$6*$F11,0)</f>
        <v>0</v>
      </c>
      <c r="I11" s="175">
        <f>ROUND(+I$6*$F11,0)</f>
        <v>0</v>
      </c>
      <c r="J11" s="175">
        <f>ROUND(+J$6*$F11,0)</f>
        <v>0</v>
      </c>
      <c r="K11" s="175">
        <f>ROUND(+K$6*$F11,0)</f>
        <v>0</v>
      </c>
      <c r="L11" s="175">
        <f aca="true" t="shared" si="2" ref="L11:L50">SUM(G11:K11)</f>
        <v>0</v>
      </c>
      <c r="M11" s="202">
        <f aca="true" t="shared" si="3" ref="M11:M50">IF($E11="02",$L11-G11,-G11)</f>
        <v>0</v>
      </c>
      <c r="N11" s="203">
        <f aca="true" t="shared" si="4" ref="N11:N50">IF($E11="03",$L11-H11,-H11)</f>
        <v>0</v>
      </c>
      <c r="O11" s="203">
        <f aca="true" t="shared" si="5" ref="O11:O50">IF($E11="04",$L11-I11,-I11)</f>
        <v>0</v>
      </c>
      <c r="P11" s="203">
        <f aca="true" t="shared" si="6" ref="P11:P50">IF($E11="07",$L11-J11,-J11)</f>
        <v>0</v>
      </c>
      <c r="Q11" s="203">
        <f aca="true" t="shared" si="7" ref="Q11:Q50">IF($E11="10",$L11-K11,-K11)</f>
        <v>0</v>
      </c>
      <c r="R11" s="204">
        <f aca="true" t="shared" si="8" ref="R11:R50">+Q11+P11+O11+N11+M11</f>
        <v>0</v>
      </c>
      <c r="T11" s="222">
        <f>ROUND(+G$6*$F11,5)</f>
        <v>0</v>
      </c>
      <c r="U11" s="222">
        <f>ROUND(+H$6*$F11,5)</f>
        <v>0</v>
      </c>
      <c r="V11" s="222">
        <f>ROUND(+I$6*$F11,5)</f>
        <v>0</v>
      </c>
      <c r="W11" s="222">
        <f>ROUND(+J$6*$F11,5)</f>
        <v>0</v>
      </c>
      <c r="X11" s="223">
        <f>ROUND(+K$6*$F11,5)</f>
        <v>0</v>
      </c>
    </row>
    <row r="12" spans="1:24" ht="14.25" hidden="1">
      <c r="A12" s="194" t="s">
        <v>424</v>
      </c>
      <c r="B12" s="195" t="str">
        <f>VLOOKUP(A12,'APPVI VLOOKUP NAMES'!$A$2:$C$290,3,FALSE)</f>
        <v>Allegheny Energy</v>
      </c>
      <c r="C12" s="198"/>
      <c r="D12" s="197">
        <f t="shared" si="1"/>
        <v>4470066</v>
      </c>
      <c r="E12" s="198" t="s">
        <v>378</v>
      </c>
      <c r="F12" s="255"/>
      <c r="G12" s="200">
        <f aca="true" t="shared" si="9" ref="G12:H16">ROUND(+G$6*$F12,0)</f>
        <v>0</v>
      </c>
      <c r="H12" s="175">
        <f t="shared" si="9"/>
        <v>0</v>
      </c>
      <c r="I12" s="175">
        <f aca="true" t="shared" si="10" ref="I12:K15">ROUND(+I$6*$F12,0)</f>
        <v>0</v>
      </c>
      <c r="J12" s="175">
        <f>ROUND(+J$6*$F12,0)</f>
        <v>0</v>
      </c>
      <c r="K12" s="175">
        <f t="shared" si="10"/>
        <v>0</v>
      </c>
      <c r="L12" s="256">
        <f t="shared" si="2"/>
        <v>0</v>
      </c>
      <c r="M12" s="202">
        <f t="shared" si="3"/>
        <v>0</v>
      </c>
      <c r="N12" s="203">
        <f t="shared" si="4"/>
        <v>0</v>
      </c>
      <c r="O12" s="203">
        <f t="shared" si="5"/>
        <v>0</v>
      </c>
      <c r="P12" s="203">
        <f t="shared" si="6"/>
        <v>0</v>
      </c>
      <c r="Q12" s="203">
        <f t="shared" si="7"/>
        <v>0</v>
      </c>
      <c r="R12" s="204">
        <f t="shared" si="8"/>
        <v>0</v>
      </c>
      <c r="T12" s="219">
        <f aca="true" t="shared" si="11" ref="T12:X14">ROUND(+G$6*$F12,5)</f>
        <v>0</v>
      </c>
      <c r="U12" s="219">
        <f t="shared" si="11"/>
        <v>0</v>
      </c>
      <c r="V12" s="219">
        <f t="shared" si="11"/>
        <v>0</v>
      </c>
      <c r="W12" s="219">
        <f t="shared" si="11"/>
        <v>0</v>
      </c>
      <c r="X12" s="221">
        <f t="shared" si="11"/>
        <v>0</v>
      </c>
    </row>
    <row r="13" spans="1:24" ht="14.25" hidden="1">
      <c r="A13" s="194" t="s">
        <v>424</v>
      </c>
      <c r="B13" s="195" t="str">
        <f>VLOOKUP(A13,'APPVI VLOOKUP NAMES'!$A$2:$C$290,3,FALSE)</f>
        <v>Allegheny Energy</v>
      </c>
      <c r="C13" s="283"/>
      <c r="D13" s="197">
        <f t="shared" si="1"/>
        <v>4470066</v>
      </c>
      <c r="E13" s="198" t="s">
        <v>378</v>
      </c>
      <c r="F13" s="255"/>
      <c r="G13" s="200">
        <f t="shared" si="9"/>
        <v>0</v>
      </c>
      <c r="H13" s="175">
        <f t="shared" si="9"/>
        <v>0</v>
      </c>
      <c r="I13" s="175">
        <f t="shared" si="10"/>
        <v>0</v>
      </c>
      <c r="J13" s="175">
        <f>ROUND(+J$6*$F13,0)</f>
        <v>0</v>
      </c>
      <c r="K13" s="175">
        <f t="shared" si="10"/>
        <v>0</v>
      </c>
      <c r="L13" s="256">
        <f>SUM(G13:K13)</f>
        <v>0</v>
      </c>
      <c r="M13" s="202">
        <f>IF($E13="02",$L13-G13,-G13)</f>
        <v>0</v>
      </c>
      <c r="N13" s="203">
        <f>IF($E13="03",$L13-H13,-H13)</f>
        <v>0</v>
      </c>
      <c r="O13" s="203">
        <f>IF($E13="04",$L13-I13,-I13)</f>
        <v>0</v>
      </c>
      <c r="P13" s="203">
        <f>IF($E13="07",$L13-J13,-J13)</f>
        <v>0</v>
      </c>
      <c r="Q13" s="203">
        <f>IF($E13="10",$L13-K13,-K13)</f>
        <v>0</v>
      </c>
      <c r="R13" s="204">
        <f>+Q13+P13+O13+N13+M13</f>
        <v>0</v>
      </c>
      <c r="T13" s="219">
        <f>ROUND(+G$6*$F13,5)</f>
        <v>0</v>
      </c>
      <c r="U13" s="219">
        <f>ROUND(+H$6*$F13,5)</f>
        <v>0</v>
      </c>
      <c r="V13" s="219">
        <f>ROUND(+I$6*$F13,5)</f>
        <v>0</v>
      </c>
      <c r="W13" s="219">
        <f>ROUND(+J$6*$F13,5)</f>
        <v>0</v>
      </c>
      <c r="X13" s="221">
        <f>ROUND(+K$6*$F13,5)</f>
        <v>0</v>
      </c>
    </row>
    <row r="14" spans="1:24" ht="14.25" hidden="1">
      <c r="A14" s="194" t="s">
        <v>1516</v>
      </c>
      <c r="B14" s="195" t="str">
        <f>VLOOKUP(A14,'APPVI VLOOKUP NAMES'!$A$2:$C$290,3,FALSE)</f>
        <v>Ameren Energy, Inc.</v>
      </c>
      <c r="C14" s="198"/>
      <c r="D14" s="197">
        <f t="shared" si="1"/>
        <v>4470066</v>
      </c>
      <c r="E14" s="198" t="s">
        <v>383</v>
      </c>
      <c r="F14" s="255"/>
      <c r="G14" s="200">
        <f t="shared" si="9"/>
        <v>0</v>
      </c>
      <c r="H14" s="175">
        <f>ROUND(+H$6*$F14,0)</f>
        <v>0</v>
      </c>
      <c r="I14" s="175">
        <f t="shared" si="10"/>
        <v>0</v>
      </c>
      <c r="J14" s="175">
        <f t="shared" si="10"/>
        <v>0</v>
      </c>
      <c r="K14" s="175">
        <f>ROUND(+K$6*$F14,0)</f>
        <v>0</v>
      </c>
      <c r="L14" s="256">
        <f t="shared" si="2"/>
        <v>0</v>
      </c>
      <c r="M14" s="202">
        <f t="shared" si="3"/>
        <v>0</v>
      </c>
      <c r="N14" s="203">
        <f t="shared" si="4"/>
        <v>0</v>
      </c>
      <c r="O14" s="203">
        <f t="shared" si="5"/>
        <v>0</v>
      </c>
      <c r="P14" s="203">
        <f t="shared" si="6"/>
        <v>0</v>
      </c>
      <c r="Q14" s="203">
        <f t="shared" si="7"/>
        <v>0</v>
      </c>
      <c r="R14" s="204">
        <f t="shared" si="8"/>
        <v>0</v>
      </c>
      <c r="T14" s="219">
        <f t="shared" si="11"/>
        <v>0</v>
      </c>
      <c r="U14" s="219">
        <f t="shared" si="11"/>
        <v>0</v>
      </c>
      <c r="V14" s="219">
        <f t="shared" si="11"/>
        <v>0</v>
      </c>
      <c r="W14" s="219">
        <f t="shared" si="11"/>
        <v>0</v>
      </c>
      <c r="X14" s="221">
        <f t="shared" si="11"/>
        <v>0</v>
      </c>
    </row>
    <row r="15" spans="1:24" ht="14.25" hidden="1">
      <c r="A15" s="194" t="s">
        <v>431</v>
      </c>
      <c r="B15" s="195" t="str">
        <f>VLOOKUP(A15,'APPVI VLOOKUP NAMES'!$A$2:$C$290,3,FALSE)</f>
        <v>Associated Elect Cooperative</v>
      </c>
      <c r="C15" s="198"/>
      <c r="D15" s="197">
        <f t="shared" si="1"/>
        <v>4470066</v>
      </c>
      <c r="E15" s="198" t="s">
        <v>378</v>
      </c>
      <c r="F15" s="255"/>
      <c r="G15" s="200">
        <f t="shared" si="9"/>
        <v>0</v>
      </c>
      <c r="H15" s="175">
        <f t="shared" si="9"/>
        <v>0</v>
      </c>
      <c r="I15" s="175">
        <f t="shared" si="10"/>
        <v>0</v>
      </c>
      <c r="J15" s="175">
        <f t="shared" si="10"/>
        <v>0</v>
      </c>
      <c r="K15" s="175">
        <f t="shared" si="10"/>
        <v>0</v>
      </c>
      <c r="L15" s="256">
        <f t="shared" si="2"/>
        <v>0</v>
      </c>
      <c r="M15" s="202">
        <f t="shared" si="3"/>
        <v>0</v>
      </c>
      <c r="N15" s="203">
        <f t="shared" si="4"/>
        <v>0</v>
      </c>
      <c r="O15" s="203">
        <f t="shared" si="5"/>
        <v>0</v>
      </c>
      <c r="P15" s="203">
        <f t="shared" si="6"/>
        <v>0</v>
      </c>
      <c r="Q15" s="203">
        <f t="shared" si="7"/>
        <v>0</v>
      </c>
      <c r="R15" s="204">
        <f t="shared" si="8"/>
        <v>0</v>
      </c>
      <c r="T15" s="219">
        <f aca="true" t="shared" si="12" ref="T15:X16">ROUND(+G$6*$F15,5)</f>
        <v>0</v>
      </c>
      <c r="U15" s="219">
        <f t="shared" si="12"/>
        <v>0</v>
      </c>
      <c r="V15" s="219">
        <f t="shared" si="12"/>
        <v>0</v>
      </c>
      <c r="W15" s="219">
        <f t="shared" si="12"/>
        <v>0</v>
      </c>
      <c r="X15" s="221">
        <f t="shared" si="12"/>
        <v>0</v>
      </c>
    </row>
    <row r="16" spans="1:24" ht="14.25" hidden="1">
      <c r="A16" s="194" t="s">
        <v>435</v>
      </c>
      <c r="B16" s="195" t="str">
        <f>VLOOKUP(A16,'APPVI VLOOKUP NAMES'!$A$2:$C$290,3,FALSE)</f>
        <v>Arizona Public Svc</v>
      </c>
      <c r="C16" s="198"/>
      <c r="D16" s="197">
        <f t="shared" si="1"/>
        <v>4470066</v>
      </c>
      <c r="E16" s="198" t="s">
        <v>378</v>
      </c>
      <c r="F16" s="255"/>
      <c r="G16" s="200">
        <f t="shared" si="9"/>
        <v>0</v>
      </c>
      <c r="H16" s="175">
        <f t="shared" si="9"/>
        <v>0</v>
      </c>
      <c r="I16" s="175">
        <f aca="true" t="shared" si="13" ref="I16:K17">ROUND(+I$6*$F16,0)</f>
        <v>0</v>
      </c>
      <c r="J16" s="175">
        <f t="shared" si="13"/>
        <v>0</v>
      </c>
      <c r="K16" s="175">
        <f t="shared" si="13"/>
        <v>0</v>
      </c>
      <c r="L16" s="256">
        <f t="shared" si="2"/>
        <v>0</v>
      </c>
      <c r="M16" s="202">
        <f t="shared" si="3"/>
        <v>0</v>
      </c>
      <c r="N16" s="203">
        <f t="shared" si="4"/>
        <v>0</v>
      </c>
      <c r="O16" s="203">
        <f t="shared" si="5"/>
        <v>0</v>
      </c>
      <c r="P16" s="203">
        <f t="shared" si="6"/>
        <v>0</v>
      </c>
      <c r="Q16" s="203">
        <f t="shared" si="7"/>
        <v>0</v>
      </c>
      <c r="R16" s="204">
        <f t="shared" si="8"/>
        <v>0</v>
      </c>
      <c r="T16" s="219">
        <f t="shared" si="12"/>
        <v>0</v>
      </c>
      <c r="U16" s="219">
        <f t="shared" si="12"/>
        <v>0</v>
      </c>
      <c r="V16" s="219">
        <f t="shared" si="12"/>
        <v>0</v>
      </c>
      <c r="W16" s="219">
        <f t="shared" si="12"/>
        <v>0</v>
      </c>
      <c r="X16" s="221">
        <f t="shared" si="12"/>
        <v>0</v>
      </c>
    </row>
    <row r="17" spans="1:24" ht="14.25" hidden="1">
      <c r="A17" s="194" t="s">
        <v>379</v>
      </c>
      <c r="B17" s="195" t="str">
        <f>VLOOKUP(A17,'APPVI VLOOKUP NAMES'!$A$2:$C$290,3,FALSE)</f>
        <v>Progress Energy</v>
      </c>
      <c r="C17" s="336"/>
      <c r="D17" s="197">
        <f t="shared" si="1"/>
        <v>4470066</v>
      </c>
      <c r="E17" s="198" t="s">
        <v>378</v>
      </c>
      <c r="F17" s="535">
        <v>0</v>
      </c>
      <c r="G17" s="200">
        <f>ROUND(+G$6*$F17,0)</f>
        <v>0</v>
      </c>
      <c r="H17" s="175">
        <f>ROUND(+H$6*$F17,0)</f>
        <v>0</v>
      </c>
      <c r="I17" s="175">
        <f>ROUND(+I$6*$F17,0)</f>
        <v>0</v>
      </c>
      <c r="J17" s="175">
        <f t="shared" si="13"/>
        <v>0</v>
      </c>
      <c r="K17" s="175">
        <f aca="true" t="shared" si="14" ref="K17:K23">ROUND(+K$6*$F17,0)</f>
        <v>0</v>
      </c>
      <c r="L17" s="256">
        <f>SUM(G17:K17)</f>
        <v>0</v>
      </c>
      <c r="M17" s="202">
        <f t="shared" si="3"/>
        <v>0</v>
      </c>
      <c r="N17" s="203">
        <f t="shared" si="4"/>
        <v>0</v>
      </c>
      <c r="O17" s="203">
        <f t="shared" si="5"/>
        <v>0</v>
      </c>
      <c r="P17" s="203">
        <f t="shared" si="6"/>
        <v>0</v>
      </c>
      <c r="Q17" s="203">
        <f t="shared" si="7"/>
        <v>0</v>
      </c>
      <c r="R17" s="204">
        <f t="shared" si="8"/>
        <v>0</v>
      </c>
      <c r="T17" s="219">
        <f aca="true" t="shared" si="15" ref="T17:X18">ROUND(+G$6*$F17,5)</f>
        <v>0</v>
      </c>
      <c r="U17" s="219">
        <f t="shared" si="15"/>
        <v>0</v>
      </c>
      <c r="V17" s="219">
        <f t="shared" si="15"/>
        <v>0</v>
      </c>
      <c r="W17" s="219">
        <f t="shared" si="15"/>
        <v>0</v>
      </c>
      <c r="X17" s="221">
        <f t="shared" si="15"/>
        <v>0</v>
      </c>
    </row>
    <row r="18" spans="1:24" ht="14.25" hidden="1">
      <c r="A18" s="194" t="s">
        <v>381</v>
      </c>
      <c r="B18" s="195" t="str">
        <f>VLOOKUP(A18,'APPVI VLOOKUP NAMES'!$A$2:$C$290,3,FALSE)</f>
        <v>Cinergy Power Mktg &amp; Trading</v>
      </c>
      <c r="C18" s="334"/>
      <c r="D18" s="197">
        <v>4470066</v>
      </c>
      <c r="E18" s="198" t="s">
        <v>378</v>
      </c>
      <c r="F18" s="255"/>
      <c r="G18" s="200">
        <f aca="true" t="shared" si="16" ref="G18:G23">ROUND(+G$6*$F18,0)</f>
        <v>0</v>
      </c>
      <c r="H18" s="175">
        <f aca="true" t="shared" si="17" ref="H18:J19">ROUND(+H$6*$F18,0)</f>
        <v>0</v>
      </c>
      <c r="I18" s="175">
        <f t="shared" si="17"/>
        <v>0</v>
      </c>
      <c r="J18" s="175">
        <f t="shared" si="17"/>
        <v>0</v>
      </c>
      <c r="K18" s="175">
        <f t="shared" si="14"/>
        <v>0</v>
      </c>
      <c r="L18" s="256">
        <f t="shared" si="2"/>
        <v>0</v>
      </c>
      <c r="M18" s="202">
        <f t="shared" si="3"/>
        <v>0</v>
      </c>
      <c r="N18" s="203">
        <f t="shared" si="4"/>
        <v>0</v>
      </c>
      <c r="O18" s="203">
        <f t="shared" si="5"/>
        <v>0</v>
      </c>
      <c r="P18" s="203">
        <f t="shared" si="6"/>
        <v>0</v>
      </c>
      <c r="Q18" s="203">
        <f t="shared" si="7"/>
        <v>0</v>
      </c>
      <c r="R18" s="204">
        <f t="shared" si="8"/>
        <v>0</v>
      </c>
      <c r="T18" s="219">
        <f t="shared" si="15"/>
        <v>0</v>
      </c>
      <c r="U18" s="219">
        <f t="shared" si="15"/>
        <v>0</v>
      </c>
      <c r="V18" s="219">
        <f t="shared" si="15"/>
        <v>0</v>
      </c>
      <c r="W18" s="219">
        <f t="shared" si="15"/>
        <v>0</v>
      </c>
      <c r="X18" s="221">
        <f t="shared" si="15"/>
        <v>0</v>
      </c>
    </row>
    <row r="19" spans="1:24" ht="14.25" hidden="1">
      <c r="A19" s="194" t="s">
        <v>490</v>
      </c>
      <c r="B19" s="195" t="str">
        <f>VLOOKUP(A19,'APPVI VLOOKUP NAMES'!$A$2:$C$290,3,FALSE)</f>
        <v>Consumers Energy Traders</v>
      </c>
      <c r="C19" s="198"/>
      <c r="D19" s="197">
        <f>IF(C19="(2)",4210020,4470066)</f>
        <v>4470066</v>
      </c>
      <c r="E19" s="198" t="s">
        <v>383</v>
      </c>
      <c r="F19" s="255"/>
      <c r="G19" s="200">
        <f t="shared" si="16"/>
        <v>0</v>
      </c>
      <c r="H19" s="175">
        <f t="shared" si="17"/>
        <v>0</v>
      </c>
      <c r="I19" s="175">
        <f t="shared" si="17"/>
        <v>0</v>
      </c>
      <c r="J19" s="175">
        <f t="shared" si="17"/>
        <v>0</v>
      </c>
      <c r="K19" s="175">
        <f t="shared" si="14"/>
        <v>0</v>
      </c>
      <c r="L19" s="256">
        <f t="shared" si="2"/>
        <v>0</v>
      </c>
      <c r="M19" s="202">
        <f t="shared" si="3"/>
        <v>0</v>
      </c>
      <c r="N19" s="203">
        <f t="shared" si="4"/>
        <v>0</v>
      </c>
      <c r="O19" s="203">
        <f t="shared" si="5"/>
        <v>0</v>
      </c>
      <c r="P19" s="203">
        <f t="shared" si="6"/>
        <v>0</v>
      </c>
      <c r="Q19" s="203">
        <f t="shared" si="7"/>
        <v>0</v>
      </c>
      <c r="R19" s="204">
        <f t="shared" si="8"/>
        <v>0</v>
      </c>
      <c r="T19" s="219">
        <f>ROUND(+G$6*$F19,5)</f>
        <v>0</v>
      </c>
      <c r="U19" s="219">
        <f>ROUND(+H$6*$F19,5)</f>
        <v>0</v>
      </c>
      <c r="V19" s="219">
        <f>ROUND(+I$6*$F19,5)</f>
        <v>0</v>
      </c>
      <c r="W19" s="219">
        <f>ROUND(+J$6*$F19,5)</f>
        <v>0</v>
      </c>
      <c r="X19" s="221">
        <f>ROUND(+K$6*$F19,5)</f>
        <v>0</v>
      </c>
    </row>
    <row r="20" spans="1:24" ht="14.25" hidden="1">
      <c r="A20" s="194" t="s">
        <v>382</v>
      </c>
      <c r="B20" s="195" t="str">
        <f>VLOOKUP(A20,'APPVI VLOOKUP NAMES'!$A$2:$C$290,3,FALSE)</f>
        <v>ComEd Wholesale Marketing</v>
      </c>
      <c r="C20" s="336"/>
      <c r="D20" s="197">
        <f>IF(C20="(2)",4210020,4470066)</f>
        <v>4470066</v>
      </c>
      <c r="E20" s="198" t="s">
        <v>383</v>
      </c>
      <c r="F20" s="255"/>
      <c r="G20" s="200">
        <f t="shared" si="16"/>
        <v>0</v>
      </c>
      <c r="H20" s="175">
        <f aca="true" t="shared" si="18" ref="H20:J21">ROUND(+H$6*$F20,0)</f>
        <v>0</v>
      </c>
      <c r="I20" s="175">
        <f t="shared" si="18"/>
        <v>0</v>
      </c>
      <c r="J20" s="175">
        <f t="shared" si="18"/>
        <v>0</v>
      </c>
      <c r="K20" s="175">
        <f t="shared" si="14"/>
        <v>0</v>
      </c>
      <c r="L20" s="256">
        <f t="shared" si="2"/>
        <v>0</v>
      </c>
      <c r="M20" s="202">
        <f t="shared" si="3"/>
        <v>0</v>
      </c>
      <c r="N20" s="203">
        <f t="shared" si="4"/>
        <v>0</v>
      </c>
      <c r="O20" s="203">
        <f t="shared" si="5"/>
        <v>0</v>
      </c>
      <c r="P20" s="203">
        <f t="shared" si="6"/>
        <v>0</v>
      </c>
      <c r="Q20" s="203">
        <f t="shared" si="7"/>
        <v>0</v>
      </c>
      <c r="R20" s="204">
        <f t="shared" si="8"/>
        <v>0</v>
      </c>
      <c r="T20" s="219">
        <f aca="true" t="shared" si="19" ref="T20:T25">ROUND(+G$6*$F20,5)</f>
        <v>0</v>
      </c>
      <c r="U20" s="219">
        <f aca="true" t="shared" si="20" ref="U20:U25">ROUND(+H$6*$F20,5)</f>
        <v>0</v>
      </c>
      <c r="V20" s="219">
        <f aca="true" t="shared" si="21" ref="V20:V25">ROUND(+I$6*$F20,5)</f>
        <v>0</v>
      </c>
      <c r="W20" s="219">
        <f aca="true" t="shared" si="22" ref="W20:W25">ROUND(+J$6*$F20,5)</f>
        <v>0</v>
      </c>
      <c r="X20" s="221">
        <f aca="true" t="shared" si="23" ref="X20:X25">ROUND(+K$6*$F20,5)</f>
        <v>0</v>
      </c>
    </row>
    <row r="21" spans="1:24" ht="14.25" hidden="1">
      <c r="A21" s="194" t="s">
        <v>522</v>
      </c>
      <c r="B21" s="195" t="str">
        <f>VLOOKUP(A21,'APPVI VLOOKUP NAMES'!$A$2:$C$290,3,FALSE)</f>
        <v>Constellation Power Source</v>
      </c>
      <c r="C21" s="198"/>
      <c r="D21" s="197">
        <f>IF(C21="(2)",4210020,4470066)</f>
        <v>4470066</v>
      </c>
      <c r="E21" s="198" t="s">
        <v>378</v>
      </c>
      <c r="F21" s="255"/>
      <c r="G21" s="200">
        <f t="shared" si="16"/>
        <v>0</v>
      </c>
      <c r="H21" s="175">
        <f t="shared" si="18"/>
        <v>0</v>
      </c>
      <c r="I21" s="175">
        <f t="shared" si="18"/>
        <v>0</v>
      </c>
      <c r="J21" s="175">
        <f t="shared" si="18"/>
        <v>0</v>
      </c>
      <c r="K21" s="175">
        <f t="shared" si="14"/>
        <v>0</v>
      </c>
      <c r="L21" s="256">
        <f t="shared" si="2"/>
        <v>0</v>
      </c>
      <c r="M21" s="202">
        <f t="shared" si="3"/>
        <v>0</v>
      </c>
      <c r="N21" s="203">
        <f t="shared" si="4"/>
        <v>0</v>
      </c>
      <c r="O21" s="203">
        <f t="shared" si="5"/>
        <v>0</v>
      </c>
      <c r="P21" s="203">
        <f t="shared" si="6"/>
        <v>0</v>
      </c>
      <c r="Q21" s="203">
        <f t="shared" si="7"/>
        <v>0</v>
      </c>
      <c r="R21" s="204">
        <f t="shared" si="8"/>
        <v>0</v>
      </c>
      <c r="T21" s="219">
        <f t="shared" si="19"/>
        <v>0</v>
      </c>
      <c r="U21" s="219">
        <f t="shared" si="20"/>
        <v>0</v>
      </c>
      <c r="V21" s="219">
        <f t="shared" si="21"/>
        <v>0</v>
      </c>
      <c r="W21" s="219">
        <f t="shared" si="22"/>
        <v>0</v>
      </c>
      <c r="X21" s="221">
        <f t="shared" si="23"/>
        <v>0</v>
      </c>
    </row>
    <row r="22" spans="1:24" ht="14.25" hidden="1">
      <c r="A22" s="194" t="s">
        <v>582</v>
      </c>
      <c r="B22" s="195" t="str">
        <f>VLOOKUP(A22,'APPVI VLOOKUP NAMES'!$A$2:$C$290,3,FALSE)</f>
        <v>Detroit Edison Merch</v>
      </c>
      <c r="C22" s="334"/>
      <c r="D22" s="197">
        <f>IF(C22="(2)",4210020,4470066)</f>
        <v>4470066</v>
      </c>
      <c r="E22" s="198" t="s">
        <v>383</v>
      </c>
      <c r="F22" s="255"/>
      <c r="G22" s="200">
        <f t="shared" si="16"/>
        <v>0</v>
      </c>
      <c r="H22" s="175">
        <f aca="true" t="shared" si="24" ref="H22:J23">ROUND(+H$6*$F22,0)</f>
        <v>0</v>
      </c>
      <c r="I22" s="175">
        <f t="shared" si="24"/>
        <v>0</v>
      </c>
      <c r="J22" s="175">
        <f t="shared" si="24"/>
        <v>0</v>
      </c>
      <c r="K22" s="175">
        <f t="shared" si="14"/>
        <v>0</v>
      </c>
      <c r="L22" s="256">
        <f t="shared" si="2"/>
        <v>0</v>
      </c>
      <c r="M22" s="202">
        <f t="shared" si="3"/>
        <v>0</v>
      </c>
      <c r="N22" s="203">
        <f t="shared" si="4"/>
        <v>0</v>
      </c>
      <c r="O22" s="203">
        <f t="shared" si="5"/>
        <v>0</v>
      </c>
      <c r="P22" s="203">
        <f t="shared" si="6"/>
        <v>0</v>
      </c>
      <c r="Q22" s="203">
        <f t="shared" si="7"/>
        <v>0</v>
      </c>
      <c r="R22" s="204">
        <f t="shared" si="8"/>
        <v>0</v>
      </c>
      <c r="T22" s="219">
        <f t="shared" si="19"/>
        <v>0</v>
      </c>
      <c r="U22" s="219">
        <f t="shared" si="20"/>
        <v>0</v>
      </c>
      <c r="V22" s="219">
        <f t="shared" si="21"/>
        <v>0</v>
      </c>
      <c r="W22" s="219">
        <f t="shared" si="22"/>
        <v>0</v>
      </c>
      <c r="X22" s="221">
        <f t="shared" si="23"/>
        <v>0</v>
      </c>
    </row>
    <row r="23" spans="1:24" ht="14.25">
      <c r="A23" s="194" t="s">
        <v>1570</v>
      </c>
      <c r="B23" s="195" t="str">
        <f>VLOOKUP(A23,'APPVI VLOOKUP NAMES'!$A$2:$C$290,3,FALSE)</f>
        <v>Duke Power Company</v>
      </c>
      <c r="C23" s="334" t="s">
        <v>1505</v>
      </c>
      <c r="D23" s="197">
        <v>4470066</v>
      </c>
      <c r="E23" s="198" t="s">
        <v>378</v>
      </c>
      <c r="F23" s="535">
        <v>13363</v>
      </c>
      <c r="G23" s="439">
        <f t="shared" si="16"/>
        <v>4605</v>
      </c>
      <c r="H23" s="256">
        <f t="shared" si="24"/>
        <v>928</v>
      </c>
      <c r="I23" s="256">
        <f t="shared" si="24"/>
        <v>2363</v>
      </c>
      <c r="J23" s="256">
        <f t="shared" si="24"/>
        <v>3025</v>
      </c>
      <c r="K23" s="256">
        <f t="shared" si="14"/>
        <v>2442</v>
      </c>
      <c r="L23" s="256">
        <f>SUM(G23:K23)</f>
        <v>13363</v>
      </c>
      <c r="M23" s="202">
        <f>IF($E23="02",$L23-G23,-G23)</f>
        <v>-4605</v>
      </c>
      <c r="N23" s="203">
        <f>IF($E23="03",$L23-H23,-H23)</f>
        <v>-928</v>
      </c>
      <c r="O23" s="203">
        <f>IF($E23="04",$L23-I23,-I23)</f>
        <v>-2363</v>
      </c>
      <c r="P23" s="203">
        <f>IF($E23="07",$L23-J23,-J23)</f>
        <v>10338</v>
      </c>
      <c r="Q23" s="203">
        <f>IF($E23="10",$L23-K23,-K23)</f>
        <v>-2442</v>
      </c>
      <c r="R23" s="204">
        <f>+Q23+P23+O23+N23+M23</f>
        <v>0</v>
      </c>
      <c r="T23" s="219">
        <f t="shared" si="19"/>
        <v>4604.62254</v>
      </c>
      <c r="U23" s="219">
        <f>ROUND(+H$6*$F23,5)</f>
        <v>927.79309</v>
      </c>
      <c r="V23" s="219">
        <f t="shared" si="21"/>
        <v>2363.38018</v>
      </c>
      <c r="W23" s="219">
        <f>ROUND(+J$6*$F23,5)</f>
        <v>3025.11594</v>
      </c>
      <c r="X23" s="221">
        <f t="shared" si="23"/>
        <v>2442.08825</v>
      </c>
    </row>
    <row r="24" spans="1:24" ht="14.25" hidden="1">
      <c r="A24" s="194" t="s">
        <v>1265</v>
      </c>
      <c r="B24" s="195" t="str">
        <f>VLOOKUP(A24,'APPVI VLOOKUP NAMES'!$A$2:$C$290,3,FALSE)</f>
        <v>Engage Energy America, LLC</v>
      </c>
      <c r="C24" s="198"/>
      <c r="D24" s="197">
        <v>4470066</v>
      </c>
      <c r="E24" s="198" t="s">
        <v>378</v>
      </c>
      <c r="F24" s="535"/>
      <c r="G24" s="200">
        <f aca="true" t="shared" si="25" ref="G24:H27">ROUND(+G$6*$F24,0)</f>
        <v>0</v>
      </c>
      <c r="H24" s="175">
        <f t="shared" si="25"/>
        <v>0</v>
      </c>
      <c r="I24" s="175">
        <f aca="true" t="shared" si="26" ref="I24:K25">ROUND(+I$6*$F24,0)</f>
        <v>0</v>
      </c>
      <c r="J24" s="175">
        <f t="shared" si="26"/>
        <v>0</v>
      </c>
      <c r="K24" s="175">
        <f t="shared" si="26"/>
        <v>0</v>
      </c>
      <c r="L24" s="256">
        <f t="shared" si="2"/>
        <v>0</v>
      </c>
      <c r="M24" s="202">
        <f t="shared" si="3"/>
        <v>0</v>
      </c>
      <c r="N24" s="203">
        <f t="shared" si="4"/>
        <v>0</v>
      </c>
      <c r="O24" s="203">
        <f t="shared" si="5"/>
        <v>0</v>
      </c>
      <c r="P24" s="203">
        <f t="shared" si="6"/>
        <v>0</v>
      </c>
      <c r="Q24" s="203">
        <f t="shared" si="7"/>
        <v>0</v>
      </c>
      <c r="R24" s="204">
        <f t="shared" si="8"/>
        <v>0</v>
      </c>
      <c r="T24" s="219">
        <f t="shared" si="19"/>
        <v>0</v>
      </c>
      <c r="U24" s="219">
        <f t="shared" si="20"/>
        <v>0</v>
      </c>
      <c r="V24" s="219">
        <f t="shared" si="21"/>
        <v>0</v>
      </c>
      <c r="W24" s="219">
        <f t="shared" si="22"/>
        <v>0</v>
      </c>
      <c r="X24" s="221">
        <f t="shared" si="23"/>
        <v>0</v>
      </c>
    </row>
    <row r="25" spans="1:24" ht="14.25">
      <c r="A25" s="194" t="s">
        <v>1471</v>
      </c>
      <c r="B25" s="195" t="str">
        <f>VLOOKUP(A25,'APPVI VLOOKUP NAMES'!$A$2:$C$290,3,FALSE)</f>
        <v>East KY Power Co-Op </v>
      </c>
      <c r="C25" s="198"/>
      <c r="D25" s="197">
        <v>4470066</v>
      </c>
      <c r="E25" s="198" t="s">
        <v>378</v>
      </c>
      <c r="F25" s="535">
        <v>100</v>
      </c>
      <c r="G25" s="200">
        <f t="shared" si="25"/>
        <v>34</v>
      </c>
      <c r="H25" s="175">
        <f t="shared" si="25"/>
        <v>7</v>
      </c>
      <c r="I25" s="175">
        <f t="shared" si="26"/>
        <v>18</v>
      </c>
      <c r="J25" s="175">
        <f t="shared" si="26"/>
        <v>23</v>
      </c>
      <c r="K25" s="175">
        <f aca="true" t="shared" si="27" ref="K25:K31">ROUND(+K$6*$F25,0)</f>
        <v>18</v>
      </c>
      <c r="L25" s="256">
        <f>SUM(G25:K25)</f>
        <v>100</v>
      </c>
      <c r="M25" s="202">
        <f>IF($E25="02",$L25-G25,-G25)</f>
        <v>-34</v>
      </c>
      <c r="N25" s="203">
        <f>IF($E25="03",$L25-H25,-H25)</f>
        <v>-7</v>
      </c>
      <c r="O25" s="203">
        <f>IF($E25="04",$L25-I25,-I25)</f>
        <v>-18</v>
      </c>
      <c r="P25" s="203">
        <f>IF($E25="07",$L25-J25,-J25)</f>
        <v>77</v>
      </c>
      <c r="Q25" s="203">
        <f>IF($E25="10",$L25-K25,-K25)</f>
        <v>-18</v>
      </c>
      <c r="R25" s="204">
        <f>+Q25+P25+O25+N25+M25</f>
        <v>0</v>
      </c>
      <c r="T25" s="219">
        <f t="shared" si="19"/>
        <v>34.458</v>
      </c>
      <c r="U25" s="219">
        <f t="shared" si="20"/>
        <v>6.943</v>
      </c>
      <c r="V25" s="219">
        <f t="shared" si="21"/>
        <v>17.686</v>
      </c>
      <c r="W25" s="219">
        <f t="shared" si="22"/>
        <v>22.638</v>
      </c>
      <c r="X25" s="221">
        <f t="shared" si="23"/>
        <v>18.275</v>
      </c>
    </row>
    <row r="26" spans="1:24" ht="14.25">
      <c r="A26" s="194" t="s">
        <v>384</v>
      </c>
      <c r="B26" s="195" t="str">
        <f>VLOOKUP(A26,'APPVI VLOOKUP NAMES'!$A$2:$C$290,3,FALSE)</f>
        <v>Entergy Power Serv</v>
      </c>
      <c r="C26" s="334" t="s">
        <v>1504</v>
      </c>
      <c r="D26" s="197">
        <v>4470066</v>
      </c>
      <c r="E26" s="198" t="s">
        <v>378</v>
      </c>
      <c r="F26" s="535">
        <v>345444</v>
      </c>
      <c r="G26" s="439">
        <f>ROUND(+G$6*$F26,0)</f>
        <v>119033</v>
      </c>
      <c r="H26" s="256">
        <f>ROUND(+H$6*$F26,0)</f>
        <v>23984</v>
      </c>
      <c r="I26" s="256">
        <f>ROUND(+I$6*$F26,0)</f>
        <v>61095</v>
      </c>
      <c r="J26" s="256">
        <f>ROUND(+J$6*$F26,0)</f>
        <v>78202</v>
      </c>
      <c r="K26" s="256">
        <f>ROUND(+K$6*$F26,0)</f>
        <v>63130</v>
      </c>
      <c r="L26" s="256">
        <f t="shared" si="2"/>
        <v>345444</v>
      </c>
      <c r="M26" s="202">
        <f t="shared" si="3"/>
        <v>-119033</v>
      </c>
      <c r="N26" s="203">
        <f t="shared" si="4"/>
        <v>-23984</v>
      </c>
      <c r="O26" s="203">
        <f>IF($E26="04",$L26-I26,-I26)</f>
        <v>-61095</v>
      </c>
      <c r="P26" s="203">
        <f t="shared" si="6"/>
        <v>267242</v>
      </c>
      <c r="Q26" s="203">
        <f t="shared" si="7"/>
        <v>-63130</v>
      </c>
      <c r="R26" s="204">
        <f t="shared" si="8"/>
        <v>0</v>
      </c>
      <c r="T26" s="219">
        <f>ROUND(+G$6*$F26,5)</f>
        <v>119033.09352</v>
      </c>
      <c r="U26" s="219">
        <f>ROUND(+H$6*$F26,5)</f>
        <v>23984.17692</v>
      </c>
      <c r="V26" s="219">
        <f>ROUND(+I$6*$F26,5)</f>
        <v>61095.22584</v>
      </c>
      <c r="W26" s="219">
        <f>ROUND(+J$6*$F26,5)</f>
        <v>78201.61272</v>
      </c>
      <c r="X26" s="221">
        <f>ROUND(+K$6*$F26,5)</f>
        <v>63129.891</v>
      </c>
    </row>
    <row r="27" spans="1:24" ht="14.25" hidden="1">
      <c r="A27" s="194" t="s">
        <v>384</v>
      </c>
      <c r="B27" s="195" t="str">
        <f>VLOOKUP(A27,'APPVI VLOOKUP NAMES'!$A$2:$C$290,3,FALSE)</f>
        <v>Entergy Power Serv</v>
      </c>
      <c r="C27" s="198"/>
      <c r="D27" s="197">
        <v>4470066</v>
      </c>
      <c r="E27" s="198" t="s">
        <v>378</v>
      </c>
      <c r="F27" s="535"/>
      <c r="G27" s="200">
        <f t="shared" si="25"/>
        <v>0</v>
      </c>
      <c r="H27" s="175">
        <f t="shared" si="25"/>
        <v>0</v>
      </c>
      <c r="I27" s="175">
        <f>ROUND(+I$6*$F27,0)</f>
        <v>0</v>
      </c>
      <c r="J27" s="175">
        <f>ROUND(+J$6*$F27,0)</f>
        <v>0</v>
      </c>
      <c r="K27" s="175">
        <f t="shared" si="27"/>
        <v>0</v>
      </c>
      <c r="L27" s="256">
        <f>SUM(G27:K27)</f>
        <v>0</v>
      </c>
      <c r="M27" s="202">
        <f>IF($E27="02",$L27-G27,-G27)</f>
        <v>0</v>
      </c>
      <c r="N27" s="203">
        <f>IF($E27="03",$L27-H27,-H27)</f>
        <v>0</v>
      </c>
      <c r="O27" s="203">
        <f>IF($E27="04",$L27-I27,-I27)</f>
        <v>0</v>
      </c>
      <c r="P27" s="203">
        <f>IF($E27="07",$L27-J27,-J27)</f>
        <v>0</v>
      </c>
      <c r="Q27" s="203">
        <f>IF($E27="10",$L27-K27,-K27)</f>
        <v>0</v>
      </c>
      <c r="R27" s="204">
        <f>+Q27+P27+O27+N27+M27</f>
        <v>0</v>
      </c>
      <c r="T27" s="219">
        <f aca="true" t="shared" si="28" ref="T27:X31">ROUND(+G$6*$F27,5)</f>
        <v>0</v>
      </c>
      <c r="U27" s="219">
        <f t="shared" si="28"/>
        <v>0</v>
      </c>
      <c r="V27" s="219">
        <f t="shared" si="28"/>
        <v>0</v>
      </c>
      <c r="W27" s="219">
        <f t="shared" si="28"/>
        <v>0</v>
      </c>
      <c r="X27" s="221">
        <f t="shared" si="28"/>
        <v>0</v>
      </c>
    </row>
    <row r="28" spans="1:24" ht="14.25" customHeight="1" hidden="1">
      <c r="A28" s="194" t="s">
        <v>1229</v>
      </c>
      <c r="B28" s="195" t="str">
        <f>VLOOKUP(A28,'APPVI VLOOKUP NAMES'!$A$2:$C$290,3,FALSE)</f>
        <v>ERCOT ISO</v>
      </c>
      <c r="C28" s="196"/>
      <c r="D28" s="197">
        <v>4470066</v>
      </c>
      <c r="E28" s="198" t="s">
        <v>378</v>
      </c>
      <c r="F28" s="535"/>
      <c r="G28" s="200">
        <f aca="true" t="shared" si="29" ref="G28:G38">ROUND(+G$6*$F28,0)</f>
        <v>0</v>
      </c>
      <c r="H28" s="175">
        <f aca="true" t="shared" si="30" ref="H28:I30">ROUND(+H$6*$F28,0)</f>
        <v>0</v>
      </c>
      <c r="I28" s="175">
        <f t="shared" si="30"/>
        <v>0</v>
      </c>
      <c r="J28" s="175">
        <f>ROUND(+J$6*$F28,0)</f>
        <v>0</v>
      </c>
      <c r="K28" s="175">
        <f t="shared" si="27"/>
        <v>0</v>
      </c>
      <c r="L28" s="256">
        <f t="shared" si="2"/>
        <v>0</v>
      </c>
      <c r="M28" s="202">
        <f t="shared" si="3"/>
        <v>0</v>
      </c>
      <c r="N28" s="203">
        <f t="shared" si="4"/>
        <v>0</v>
      </c>
      <c r="O28" s="203">
        <f t="shared" si="5"/>
        <v>0</v>
      </c>
      <c r="P28" s="203">
        <f t="shared" si="6"/>
        <v>0</v>
      </c>
      <c r="Q28" s="203">
        <f t="shared" si="7"/>
        <v>0</v>
      </c>
      <c r="R28" s="204">
        <f t="shared" si="8"/>
        <v>0</v>
      </c>
      <c r="T28" s="219">
        <f t="shared" si="28"/>
        <v>0</v>
      </c>
      <c r="U28" s="219">
        <f t="shared" si="28"/>
        <v>0</v>
      </c>
      <c r="V28" s="219">
        <f t="shared" si="28"/>
        <v>0</v>
      </c>
      <c r="W28" s="219">
        <f t="shared" si="28"/>
        <v>0</v>
      </c>
      <c r="X28" s="221">
        <f t="shared" si="28"/>
        <v>0</v>
      </c>
    </row>
    <row r="29" spans="1:24" ht="14.25" hidden="1">
      <c r="A29" s="194" t="s">
        <v>1127</v>
      </c>
      <c r="B29" s="195" t="str">
        <f>VLOOKUP(A29,'APPVI VLOOKUP NAMES'!$A$2:$C$290,3,FALSE)</f>
        <v>Exelon Generation Company</v>
      </c>
      <c r="C29" s="334"/>
      <c r="D29" s="197">
        <v>4470066</v>
      </c>
      <c r="E29" s="198" t="s">
        <v>378</v>
      </c>
      <c r="F29" s="535"/>
      <c r="G29" s="200">
        <f t="shared" si="29"/>
        <v>0</v>
      </c>
      <c r="H29" s="175">
        <f>ROUND(+H$6*$F29,0)</f>
        <v>0</v>
      </c>
      <c r="I29" s="175">
        <f t="shared" si="30"/>
        <v>0</v>
      </c>
      <c r="J29" s="175">
        <f>ROUND(+J$6*$F29,0)</f>
        <v>0</v>
      </c>
      <c r="K29" s="175">
        <f t="shared" si="27"/>
        <v>0</v>
      </c>
      <c r="L29" s="256">
        <f>SUM(G29:K29)</f>
        <v>0</v>
      </c>
      <c r="M29" s="202">
        <f>IF($E29="02",$L29-G29,-G29)</f>
        <v>0</v>
      </c>
      <c r="N29" s="203">
        <f>IF($E29="03",$L29-H29,-H29)</f>
        <v>0</v>
      </c>
      <c r="O29" s="203">
        <f>IF($E29="04",$L29-I29,-I29)</f>
        <v>0</v>
      </c>
      <c r="P29" s="203">
        <f>IF($E29="07",$L29-J29,-J29)</f>
        <v>0</v>
      </c>
      <c r="Q29" s="203">
        <f>IF($E29="10",$L29-K29,-K29)</f>
        <v>0</v>
      </c>
      <c r="R29" s="204">
        <f>+Q29+P29+O29+N29+M29</f>
        <v>0</v>
      </c>
      <c r="T29" s="219">
        <f>ROUND(+G$6*$F29,5)</f>
        <v>0</v>
      </c>
      <c r="U29" s="219">
        <f>ROUND(+H$6*$F29,5)</f>
        <v>0</v>
      </c>
      <c r="V29" s="219">
        <f>ROUND(+I$6*$F29,5)</f>
        <v>0</v>
      </c>
      <c r="W29" s="219">
        <f>ROUND(+J$6*$F29,5)</f>
        <v>0</v>
      </c>
      <c r="X29" s="221">
        <f>ROUND(+K$6*$F29,5)</f>
        <v>0</v>
      </c>
    </row>
    <row r="30" spans="1:24" ht="14.25" hidden="1">
      <c r="A30" s="194" t="s">
        <v>385</v>
      </c>
      <c r="B30" s="195" t="str">
        <f>VLOOKUP(A30,'APPVI VLOOKUP NAMES'!$A$2:$C$290,3,FALSE)</f>
        <v>First Energy Wholesale Pwr Mkt</v>
      </c>
      <c r="C30" s="334"/>
      <c r="D30" s="197">
        <v>4470066</v>
      </c>
      <c r="E30" s="198" t="s">
        <v>378</v>
      </c>
      <c r="F30" s="535"/>
      <c r="G30" s="200">
        <f t="shared" si="29"/>
        <v>0</v>
      </c>
      <c r="H30" s="175">
        <f t="shared" si="30"/>
        <v>0</v>
      </c>
      <c r="I30" s="175">
        <f t="shared" si="30"/>
        <v>0</v>
      </c>
      <c r="J30" s="175">
        <f>ROUND(+J$6*$F30,0)</f>
        <v>0</v>
      </c>
      <c r="K30" s="175">
        <f t="shared" si="27"/>
        <v>0</v>
      </c>
      <c r="L30" s="256">
        <f t="shared" si="2"/>
        <v>0</v>
      </c>
      <c r="M30" s="202">
        <f t="shared" si="3"/>
        <v>0</v>
      </c>
      <c r="N30" s="203">
        <f t="shared" si="4"/>
        <v>0</v>
      </c>
      <c r="O30" s="203">
        <f t="shared" si="5"/>
        <v>0</v>
      </c>
      <c r="P30" s="203">
        <f t="shared" si="6"/>
        <v>0</v>
      </c>
      <c r="Q30" s="203">
        <f t="shared" si="7"/>
        <v>0</v>
      </c>
      <c r="R30" s="204">
        <f t="shared" si="8"/>
        <v>0</v>
      </c>
      <c r="T30" s="219">
        <f t="shared" si="28"/>
        <v>0</v>
      </c>
      <c r="U30" s="219">
        <f t="shared" si="28"/>
        <v>0</v>
      </c>
      <c r="V30" s="219">
        <f t="shared" si="28"/>
        <v>0</v>
      </c>
      <c r="W30" s="219">
        <f t="shared" si="28"/>
        <v>0</v>
      </c>
      <c r="X30" s="221">
        <f t="shared" si="28"/>
        <v>0</v>
      </c>
    </row>
    <row r="31" spans="1:24" ht="14.25" hidden="1">
      <c r="A31" s="194" t="s">
        <v>1980</v>
      </c>
      <c r="B31" s="195" t="str">
        <f>VLOOKUP(A31,'APPVI VLOOKUP NAMES'!$A$2:$C$290,3,FALSE)</f>
        <v>Georgia Transmission Corporation</v>
      </c>
      <c r="C31" s="334"/>
      <c r="D31" s="197">
        <v>4470066</v>
      </c>
      <c r="E31" s="198" t="s">
        <v>380</v>
      </c>
      <c r="F31" s="535"/>
      <c r="G31" s="200">
        <f t="shared" si="29"/>
        <v>0</v>
      </c>
      <c r="H31" s="175">
        <f>ROUND(+H$6*$F31,0)</f>
        <v>0</v>
      </c>
      <c r="I31" s="175">
        <f>ROUND(+I$6*$F31,0)</f>
        <v>0</v>
      </c>
      <c r="J31" s="175">
        <f aca="true" t="shared" si="31" ref="I31:K33">ROUND(+J$6*$F31,0)</f>
        <v>0</v>
      </c>
      <c r="K31" s="175">
        <f t="shared" si="27"/>
        <v>0</v>
      </c>
      <c r="L31" s="256">
        <f t="shared" si="2"/>
        <v>0</v>
      </c>
      <c r="M31" s="202">
        <f t="shared" si="3"/>
        <v>0</v>
      </c>
      <c r="N31" s="203">
        <f t="shared" si="4"/>
        <v>0</v>
      </c>
      <c r="O31" s="203">
        <f t="shared" si="5"/>
        <v>0</v>
      </c>
      <c r="P31" s="203">
        <f t="shared" si="6"/>
        <v>0</v>
      </c>
      <c r="Q31" s="203">
        <f t="shared" si="7"/>
        <v>0</v>
      </c>
      <c r="R31" s="204">
        <f t="shared" si="8"/>
        <v>0</v>
      </c>
      <c r="T31" s="219">
        <f t="shared" si="28"/>
        <v>0</v>
      </c>
      <c r="U31" s="219">
        <f t="shared" si="28"/>
        <v>0</v>
      </c>
      <c r="V31" s="219">
        <f t="shared" si="28"/>
        <v>0</v>
      </c>
      <c r="W31" s="219">
        <f t="shared" si="28"/>
        <v>0</v>
      </c>
      <c r="X31" s="221">
        <f t="shared" si="28"/>
        <v>0</v>
      </c>
    </row>
    <row r="32" spans="1:24" ht="14.25" hidden="1">
      <c r="A32" s="194" t="s">
        <v>747</v>
      </c>
      <c r="B32" s="195" t="str">
        <f>VLOOKUP(A32,'APPVI VLOOKUP NAMES'!$A$2:$C$290,3,FALSE)</f>
        <v>Illinois Power Company</v>
      </c>
      <c r="C32" s="335"/>
      <c r="D32" s="197">
        <v>4470066</v>
      </c>
      <c r="E32" s="198" t="s">
        <v>383</v>
      </c>
      <c r="F32" s="924"/>
      <c r="G32" s="200">
        <f t="shared" si="29"/>
        <v>0</v>
      </c>
      <c r="H32" s="175">
        <f>ROUND(+H$6*$F32,0)</f>
        <v>0</v>
      </c>
      <c r="I32" s="175">
        <f t="shared" si="31"/>
        <v>0</v>
      </c>
      <c r="J32" s="175">
        <f t="shared" si="31"/>
        <v>0</v>
      </c>
      <c r="K32" s="175">
        <f t="shared" si="31"/>
        <v>0</v>
      </c>
      <c r="L32" s="226">
        <f t="shared" si="2"/>
        <v>0</v>
      </c>
      <c r="M32" s="202">
        <f t="shared" si="3"/>
        <v>0</v>
      </c>
      <c r="N32" s="203">
        <f t="shared" si="4"/>
        <v>0</v>
      </c>
      <c r="O32" s="203">
        <f t="shared" si="5"/>
        <v>0</v>
      </c>
      <c r="P32" s="203">
        <f t="shared" si="6"/>
        <v>0</v>
      </c>
      <c r="Q32" s="203">
        <f t="shared" si="7"/>
        <v>0</v>
      </c>
      <c r="R32" s="204">
        <f t="shared" si="8"/>
        <v>0</v>
      </c>
      <c r="T32" s="219">
        <f aca="true" t="shared" si="32" ref="T32:X33">ROUND(+G$6*$F32,5)</f>
        <v>0</v>
      </c>
      <c r="U32" s="219">
        <f t="shared" si="32"/>
        <v>0</v>
      </c>
      <c r="V32" s="219">
        <f t="shared" si="32"/>
        <v>0</v>
      </c>
      <c r="W32" s="219">
        <f t="shared" si="32"/>
        <v>0</v>
      </c>
      <c r="X32" s="221">
        <f t="shared" si="32"/>
        <v>0</v>
      </c>
    </row>
    <row r="33" spans="1:24" ht="14.25" hidden="1">
      <c r="A33" s="194" t="s">
        <v>751</v>
      </c>
      <c r="B33" s="195" t="str">
        <f>VLOOKUP(A33,'APPVI VLOOKUP NAMES'!$A$2:$C$290,3,FALSE)</f>
        <v>Indianapolis Power &amp; Light Co</v>
      </c>
      <c r="C33" s="335"/>
      <c r="D33" s="197">
        <v>4470066</v>
      </c>
      <c r="E33" s="198" t="s">
        <v>378</v>
      </c>
      <c r="F33" s="924"/>
      <c r="G33" s="200">
        <f t="shared" si="29"/>
        <v>0</v>
      </c>
      <c r="H33" s="175">
        <f>ROUND(+H$6*$F33,0)</f>
        <v>0</v>
      </c>
      <c r="I33" s="175">
        <f t="shared" si="31"/>
        <v>0</v>
      </c>
      <c r="J33" s="175">
        <f t="shared" si="31"/>
        <v>0</v>
      </c>
      <c r="K33" s="175">
        <f t="shared" si="31"/>
        <v>0</v>
      </c>
      <c r="L33" s="226">
        <f t="shared" si="2"/>
        <v>0</v>
      </c>
      <c r="M33" s="202">
        <f t="shared" si="3"/>
        <v>0</v>
      </c>
      <c r="N33" s="203">
        <f t="shared" si="4"/>
        <v>0</v>
      </c>
      <c r="O33" s="203">
        <f t="shared" si="5"/>
        <v>0</v>
      </c>
      <c r="P33" s="203">
        <f t="shared" si="6"/>
        <v>0</v>
      </c>
      <c r="Q33" s="203">
        <f t="shared" si="7"/>
        <v>0</v>
      </c>
      <c r="R33" s="204">
        <f t="shared" si="8"/>
        <v>0</v>
      </c>
      <c r="T33" s="219">
        <f t="shared" si="32"/>
        <v>0</v>
      </c>
      <c r="U33" s="219">
        <f t="shared" si="32"/>
        <v>0</v>
      </c>
      <c r="V33" s="219">
        <f t="shared" si="32"/>
        <v>0</v>
      </c>
      <c r="W33" s="219">
        <f t="shared" si="32"/>
        <v>0</v>
      </c>
      <c r="X33" s="221">
        <f t="shared" si="32"/>
        <v>0</v>
      </c>
    </row>
    <row r="34" spans="1:24" ht="14.25" hidden="1">
      <c r="A34" s="253" t="s">
        <v>1982</v>
      </c>
      <c r="B34" s="195" t="str">
        <f>VLOOKUP(A34,'APPVI VLOOKUP NAMES'!$A$2:$C$290,3,FALSE)</f>
        <v>Long Island Power Authority - KeySpan</v>
      </c>
      <c r="C34" s="334"/>
      <c r="D34" s="197">
        <v>4470066</v>
      </c>
      <c r="E34" s="198" t="s">
        <v>383</v>
      </c>
      <c r="F34" s="924"/>
      <c r="G34" s="200">
        <f t="shared" si="29"/>
        <v>0</v>
      </c>
      <c r="H34" s="175">
        <f aca="true" t="shared" si="33" ref="H34:K37">ROUND(+H$6*$F34,0)</f>
        <v>0</v>
      </c>
      <c r="I34" s="175">
        <f t="shared" si="33"/>
        <v>0</v>
      </c>
      <c r="J34" s="175">
        <f t="shared" si="33"/>
        <v>0</v>
      </c>
      <c r="K34" s="175">
        <f t="shared" si="33"/>
        <v>0</v>
      </c>
      <c r="L34" s="226">
        <f t="shared" si="2"/>
        <v>0</v>
      </c>
      <c r="M34" s="202">
        <f t="shared" si="3"/>
        <v>0</v>
      </c>
      <c r="N34" s="203">
        <f t="shared" si="4"/>
        <v>0</v>
      </c>
      <c r="O34" s="203">
        <f t="shared" si="5"/>
        <v>0</v>
      </c>
      <c r="P34" s="203">
        <f t="shared" si="6"/>
        <v>0</v>
      </c>
      <c r="Q34" s="203">
        <f t="shared" si="7"/>
        <v>0</v>
      </c>
      <c r="R34" s="204">
        <f t="shared" si="8"/>
        <v>0</v>
      </c>
      <c r="T34" s="219">
        <f aca="true" t="shared" si="34" ref="T34:X38">ROUND(+G$6*$F34,5)</f>
        <v>0</v>
      </c>
      <c r="U34" s="219">
        <f t="shared" si="34"/>
        <v>0</v>
      </c>
      <c r="V34" s="219">
        <f t="shared" si="34"/>
        <v>0</v>
      </c>
      <c r="W34" s="219">
        <f t="shared" si="34"/>
        <v>0</v>
      </c>
      <c r="X34" s="221">
        <f t="shared" si="34"/>
        <v>0</v>
      </c>
    </row>
    <row r="35" spans="1:24" ht="14.25" customHeight="1" hidden="1">
      <c r="A35" s="194" t="s">
        <v>760</v>
      </c>
      <c r="B35" s="195" t="str">
        <f>VLOOKUP(A35,'APPVI VLOOKUP NAMES'!$A$2:$C$290,3,FALSE)</f>
        <v>Lower Colorado River Authority</v>
      </c>
      <c r="C35" s="334"/>
      <c r="D35" s="197">
        <v>4470066</v>
      </c>
      <c r="E35" s="198" t="s">
        <v>383</v>
      </c>
      <c r="F35" s="924"/>
      <c r="G35" s="200">
        <f t="shared" si="29"/>
        <v>0</v>
      </c>
      <c r="H35" s="175">
        <f t="shared" si="33"/>
        <v>0</v>
      </c>
      <c r="I35" s="175">
        <f t="shared" si="33"/>
        <v>0</v>
      </c>
      <c r="J35" s="175">
        <f aca="true" t="shared" si="35" ref="J35:K37">ROUND(+J$6*$F35,0)</f>
        <v>0</v>
      </c>
      <c r="K35" s="175">
        <f t="shared" si="35"/>
        <v>0</v>
      </c>
      <c r="L35" s="226">
        <f t="shared" si="2"/>
        <v>0</v>
      </c>
      <c r="M35" s="202">
        <f t="shared" si="3"/>
        <v>0</v>
      </c>
      <c r="N35" s="203">
        <f t="shared" si="4"/>
        <v>0</v>
      </c>
      <c r="O35" s="203">
        <f t="shared" si="5"/>
        <v>0</v>
      </c>
      <c r="P35" s="203">
        <f t="shared" si="6"/>
        <v>0</v>
      </c>
      <c r="Q35" s="203">
        <f t="shared" si="7"/>
        <v>0</v>
      </c>
      <c r="R35" s="204">
        <f t="shared" si="8"/>
        <v>0</v>
      </c>
      <c r="T35" s="219">
        <f t="shared" si="34"/>
        <v>0</v>
      </c>
      <c r="U35" s="219">
        <f t="shared" si="34"/>
        <v>0</v>
      </c>
      <c r="V35" s="219">
        <f t="shared" si="34"/>
        <v>0</v>
      </c>
      <c r="W35" s="219">
        <f t="shared" si="34"/>
        <v>0</v>
      </c>
      <c r="X35" s="221">
        <f t="shared" si="34"/>
        <v>0</v>
      </c>
    </row>
    <row r="36" spans="1:24" ht="14.25" customHeight="1" hidden="1">
      <c r="A36" s="194" t="s">
        <v>770</v>
      </c>
      <c r="B36" s="195" t="str">
        <f>VLOOKUP(A36,'APPVI VLOOKUP NAMES'!$A$2:$C$290,3,FALSE)</f>
        <v>Louisville Gas &amp; Electric, Co.</v>
      </c>
      <c r="C36" s="334"/>
      <c r="D36" s="197">
        <v>4470066</v>
      </c>
      <c r="E36" s="198" t="s">
        <v>383</v>
      </c>
      <c r="F36" s="924"/>
      <c r="G36" s="200">
        <f t="shared" si="29"/>
        <v>0</v>
      </c>
      <c r="H36" s="175">
        <f t="shared" si="33"/>
        <v>0</v>
      </c>
      <c r="I36" s="175">
        <f t="shared" si="33"/>
        <v>0</v>
      </c>
      <c r="J36" s="175">
        <f t="shared" si="35"/>
        <v>0</v>
      </c>
      <c r="K36" s="175">
        <f t="shared" si="35"/>
        <v>0</v>
      </c>
      <c r="L36" s="226">
        <f>SUM(G36:K36)</f>
        <v>0</v>
      </c>
      <c r="M36" s="202">
        <f>IF($E36="02",$L36-G36,-G36)</f>
        <v>0</v>
      </c>
      <c r="N36" s="203">
        <f>IF($E36="03",$L36-H36,-H36)</f>
        <v>0</v>
      </c>
      <c r="O36" s="203">
        <f>IF($E36="04",$L36-I36,-I36)</f>
        <v>0</v>
      </c>
      <c r="P36" s="203">
        <f>IF($E36="07",$L36-J36,-J36)</f>
        <v>0</v>
      </c>
      <c r="Q36" s="203">
        <f>IF($E36="10",$L36-K36,-K36)</f>
        <v>0</v>
      </c>
      <c r="R36" s="204">
        <f>+Q36+P36+O36+N36+M36</f>
        <v>0</v>
      </c>
      <c r="T36" s="219">
        <f aca="true" t="shared" si="36" ref="T36:X37">ROUND(+G$6*$F36,5)</f>
        <v>0</v>
      </c>
      <c r="U36" s="219">
        <f t="shared" si="36"/>
        <v>0</v>
      </c>
      <c r="V36" s="219">
        <f t="shared" si="36"/>
        <v>0</v>
      </c>
      <c r="W36" s="219">
        <f t="shared" si="36"/>
        <v>0</v>
      </c>
      <c r="X36" s="221">
        <f t="shared" si="36"/>
        <v>0</v>
      </c>
    </row>
    <row r="37" spans="1:24" ht="14.25" customHeight="1" hidden="1">
      <c r="A37" s="194" t="s">
        <v>1215</v>
      </c>
      <c r="B37" s="195" t="str">
        <f>VLOOKUP(A37,'APPVI VLOOKUP NAMES'!$A$2:$C$290,3,FALSE)</f>
        <v>Mid-Continent Area Power Pool</v>
      </c>
      <c r="C37" s="334"/>
      <c r="D37" s="197">
        <v>4470066</v>
      </c>
      <c r="E37" s="198" t="s">
        <v>378</v>
      </c>
      <c r="F37" s="925"/>
      <c r="G37" s="200">
        <f t="shared" si="29"/>
        <v>0</v>
      </c>
      <c r="H37" s="175">
        <f t="shared" si="33"/>
        <v>0</v>
      </c>
      <c r="I37" s="175">
        <f t="shared" si="33"/>
        <v>0</v>
      </c>
      <c r="J37" s="175">
        <f t="shared" si="35"/>
        <v>0</v>
      </c>
      <c r="K37" s="175">
        <f t="shared" si="35"/>
        <v>0</v>
      </c>
      <c r="L37" s="226">
        <f>SUM(G37:K37)</f>
        <v>0</v>
      </c>
      <c r="M37" s="202">
        <f>IF($E37="02",$L37-G37,-G37)</f>
        <v>0</v>
      </c>
      <c r="N37" s="203">
        <f>IF($E37="03",$L37-H37,-H37)</f>
        <v>0</v>
      </c>
      <c r="O37" s="203">
        <f>IF($E37="04",$L37-I37,-I37)</f>
        <v>0</v>
      </c>
      <c r="P37" s="203">
        <f>IF($E37="07",$L37-J37,-J37)</f>
        <v>0</v>
      </c>
      <c r="Q37" s="203">
        <f>IF($E37="10",$L37-K37,-K37)</f>
        <v>0</v>
      </c>
      <c r="R37" s="204">
        <f>+Q37+P37+O37+N37+M37</f>
        <v>0</v>
      </c>
      <c r="T37" s="219">
        <f t="shared" si="36"/>
        <v>0</v>
      </c>
      <c r="U37" s="219">
        <f t="shared" si="36"/>
        <v>0</v>
      </c>
      <c r="V37" s="219">
        <f t="shared" si="36"/>
        <v>0</v>
      </c>
      <c r="W37" s="219">
        <f t="shared" si="36"/>
        <v>0</v>
      </c>
      <c r="X37" s="221">
        <f t="shared" si="36"/>
        <v>0</v>
      </c>
    </row>
    <row r="38" spans="1:24" ht="14.25">
      <c r="A38" s="253" t="s">
        <v>69</v>
      </c>
      <c r="B38" s="195" t="str">
        <f>VLOOKUP(A38,'APPVI VLOOKUP NAMES'!$A$2:$C$290,3,FALSE)</f>
        <v>Mid-Continent Power Corp.</v>
      </c>
      <c r="C38" s="334"/>
      <c r="D38" s="197">
        <v>4470066</v>
      </c>
      <c r="E38" s="198" t="s">
        <v>378</v>
      </c>
      <c r="F38" s="924">
        <v>1093</v>
      </c>
      <c r="G38" s="200">
        <f t="shared" si="29"/>
        <v>377</v>
      </c>
      <c r="H38" s="175">
        <f>ROUND(+H$6*$F38,0)</f>
        <v>76</v>
      </c>
      <c r="I38" s="175">
        <f>ROUND(+I$6*$F38,0)</f>
        <v>193</v>
      </c>
      <c r="J38" s="175">
        <f>ROUND(+J$6*$F38,0)</f>
        <v>247</v>
      </c>
      <c r="K38" s="175">
        <f>ROUND(+K$6*$F38,0)</f>
        <v>200</v>
      </c>
      <c r="L38" s="226">
        <f t="shared" si="2"/>
        <v>1093</v>
      </c>
      <c r="M38" s="202">
        <f t="shared" si="3"/>
        <v>-377</v>
      </c>
      <c r="N38" s="203">
        <f t="shared" si="4"/>
        <v>-76</v>
      </c>
      <c r="O38" s="203">
        <f t="shared" si="5"/>
        <v>-193</v>
      </c>
      <c r="P38" s="203">
        <f t="shared" si="6"/>
        <v>846</v>
      </c>
      <c r="Q38" s="203">
        <f t="shared" si="7"/>
        <v>-200</v>
      </c>
      <c r="R38" s="204">
        <f t="shared" si="8"/>
        <v>0</v>
      </c>
      <c r="T38" s="219">
        <f t="shared" si="34"/>
        <v>376.62594</v>
      </c>
      <c r="U38" s="219">
        <f t="shared" si="34"/>
        <v>75.88699</v>
      </c>
      <c r="V38" s="219">
        <f t="shared" si="34"/>
        <v>193.30798</v>
      </c>
      <c r="W38" s="219">
        <f t="shared" si="34"/>
        <v>247.43334</v>
      </c>
      <c r="X38" s="221">
        <f t="shared" si="34"/>
        <v>199.74575</v>
      </c>
    </row>
    <row r="39" spans="1:24" ht="14.25" hidden="1">
      <c r="A39" s="253" t="s">
        <v>2111</v>
      </c>
      <c r="B39" s="195" t="str">
        <f>VLOOKUP(A39,'APPVI VLOOKUP NAMES'!$A$2:$C$290,3,FALSE)</f>
        <v>Michigan Electric Coordinated System</v>
      </c>
      <c r="C39" s="437"/>
      <c r="D39" s="438">
        <v>4470066</v>
      </c>
      <c r="E39" s="264" t="s">
        <v>383</v>
      </c>
      <c r="F39" s="920"/>
      <c r="G39" s="439">
        <f aca="true" t="shared" si="37" ref="G39:K40">ROUND(+G$6*$F39,0)</f>
        <v>0</v>
      </c>
      <c r="H39" s="256">
        <f t="shared" si="37"/>
        <v>0</v>
      </c>
      <c r="I39" s="256">
        <f t="shared" si="37"/>
        <v>0</v>
      </c>
      <c r="J39" s="256">
        <f t="shared" si="37"/>
        <v>0</v>
      </c>
      <c r="K39" s="256">
        <f t="shared" si="37"/>
        <v>0</v>
      </c>
      <c r="L39" s="226">
        <f t="shared" si="2"/>
        <v>0</v>
      </c>
      <c r="M39" s="440">
        <f t="shared" si="3"/>
        <v>0</v>
      </c>
      <c r="N39" s="441">
        <f t="shared" si="4"/>
        <v>0</v>
      </c>
      <c r="O39" s="441">
        <f t="shared" si="5"/>
        <v>0</v>
      </c>
      <c r="P39" s="441">
        <f t="shared" si="6"/>
        <v>0</v>
      </c>
      <c r="Q39" s="441">
        <f t="shared" si="7"/>
        <v>0</v>
      </c>
      <c r="R39" s="442">
        <f t="shared" si="8"/>
        <v>0</v>
      </c>
      <c r="T39" s="219">
        <f aca="true" t="shared" si="38" ref="T39:X43">ROUND(+G$6*$F39,5)</f>
        <v>0</v>
      </c>
      <c r="U39" s="219">
        <f t="shared" si="38"/>
        <v>0</v>
      </c>
      <c r="V39" s="219">
        <f t="shared" si="38"/>
        <v>0</v>
      </c>
      <c r="W39" s="219">
        <f t="shared" si="38"/>
        <v>0</v>
      </c>
      <c r="X39" s="221">
        <f t="shared" si="38"/>
        <v>0</v>
      </c>
    </row>
    <row r="40" spans="1:24" ht="14.25" hidden="1">
      <c r="A40" s="253" t="s">
        <v>386</v>
      </c>
      <c r="B40" s="195" t="str">
        <f>VLOOKUP(A40,'APPVI VLOOKUP NAMES'!$A$2:$C$290,3,FALSE)</f>
        <v>MI Elect Coord Syst-Joint Mer</v>
      </c>
      <c r="C40" s="437"/>
      <c r="D40" s="438">
        <v>4470066</v>
      </c>
      <c r="E40" s="264" t="s">
        <v>383</v>
      </c>
      <c r="F40" s="920"/>
      <c r="G40" s="439">
        <f t="shared" si="37"/>
        <v>0</v>
      </c>
      <c r="H40" s="256">
        <f t="shared" si="37"/>
        <v>0</v>
      </c>
      <c r="I40" s="256">
        <f t="shared" si="37"/>
        <v>0</v>
      </c>
      <c r="J40" s="256">
        <f t="shared" si="37"/>
        <v>0</v>
      </c>
      <c r="K40" s="256">
        <f t="shared" si="37"/>
        <v>0</v>
      </c>
      <c r="L40" s="226">
        <f t="shared" si="2"/>
        <v>0</v>
      </c>
      <c r="M40" s="440">
        <f t="shared" si="3"/>
        <v>0</v>
      </c>
      <c r="N40" s="441">
        <f t="shared" si="4"/>
        <v>0</v>
      </c>
      <c r="O40" s="441">
        <f t="shared" si="5"/>
        <v>0</v>
      </c>
      <c r="P40" s="441">
        <f t="shared" si="6"/>
        <v>0</v>
      </c>
      <c r="Q40" s="441">
        <f t="shared" si="7"/>
        <v>0</v>
      </c>
      <c r="R40" s="442">
        <f t="shared" si="8"/>
        <v>0</v>
      </c>
      <c r="T40" s="219">
        <f t="shared" si="38"/>
        <v>0</v>
      </c>
      <c r="U40" s="219">
        <f t="shared" si="38"/>
        <v>0</v>
      </c>
      <c r="V40" s="219">
        <f t="shared" si="38"/>
        <v>0</v>
      </c>
      <c r="W40" s="219">
        <f t="shared" si="38"/>
        <v>0</v>
      </c>
      <c r="X40" s="221">
        <f t="shared" si="38"/>
        <v>0</v>
      </c>
    </row>
    <row r="41" spans="1:24" ht="15" customHeight="1">
      <c r="A41" s="253" t="s">
        <v>599</v>
      </c>
      <c r="B41" s="195" t="s">
        <v>1846</v>
      </c>
      <c r="C41" s="334" t="s">
        <v>1506</v>
      </c>
      <c r="D41" s="438">
        <v>4470066</v>
      </c>
      <c r="E41" s="264" t="s">
        <v>378</v>
      </c>
      <c r="F41" s="924">
        <f>108654</f>
        <v>108654</v>
      </c>
      <c r="G41" s="439">
        <f aca="true" t="shared" si="39" ref="G41:H46">ROUND(+G$6*$F41,0)</f>
        <v>37440</v>
      </c>
      <c r="H41" s="256">
        <f t="shared" si="39"/>
        <v>7544</v>
      </c>
      <c r="I41" s="256">
        <f aca="true" t="shared" si="40" ref="I41:K45">ROUND(+I$6*$F41,0)</f>
        <v>19217</v>
      </c>
      <c r="J41" s="256">
        <f aca="true" t="shared" si="41" ref="J41:K43">ROUND(+J$6*$F41,0)</f>
        <v>24597</v>
      </c>
      <c r="K41" s="256">
        <f>ROUND(+K$6*$F41,0)-1</f>
        <v>19856</v>
      </c>
      <c r="L41" s="226">
        <f>SUM(G41:K41)</f>
        <v>108654</v>
      </c>
      <c r="M41" s="440">
        <f>IF($E41="02",$L41-G41,-G41)</f>
        <v>-37440</v>
      </c>
      <c r="N41" s="441">
        <f>IF($E41="03",$L41-H41,-H41)</f>
        <v>-7544</v>
      </c>
      <c r="O41" s="441">
        <f>IF($E41="04",$L41-I41,-I41)</f>
        <v>-19217</v>
      </c>
      <c r="P41" s="441">
        <f>IF($E41="07",$L41-J41,-J41)</f>
        <v>84057</v>
      </c>
      <c r="Q41" s="441">
        <f>IF($E41="10",$L41-K41,-K41)</f>
        <v>-19856</v>
      </c>
      <c r="R41" s="442">
        <f>+Q41+P41+O41+N41+M41</f>
        <v>0</v>
      </c>
      <c r="T41" s="219">
        <f t="shared" si="38"/>
        <v>37439.99532</v>
      </c>
      <c r="U41" s="219">
        <f t="shared" si="38"/>
        <v>7543.84722</v>
      </c>
      <c r="V41" s="219">
        <f t="shared" si="38"/>
        <v>19216.54644</v>
      </c>
      <c r="W41" s="219">
        <f t="shared" si="38"/>
        <v>24597.09252</v>
      </c>
      <c r="X41" s="221">
        <f t="shared" si="38"/>
        <v>19856.5185</v>
      </c>
    </row>
    <row r="42" spans="1:24" ht="15" customHeight="1">
      <c r="A42" s="253" t="s">
        <v>599</v>
      </c>
      <c r="B42" s="195" t="s">
        <v>1847</v>
      </c>
      <c r="C42" s="334"/>
      <c r="D42" s="438">
        <v>4470006</v>
      </c>
      <c r="E42" s="264" t="s">
        <v>378</v>
      </c>
      <c r="F42" s="924">
        <f>405702+41848</f>
        <v>447550</v>
      </c>
      <c r="G42" s="439">
        <f t="shared" si="39"/>
        <v>154217</v>
      </c>
      <c r="H42" s="256">
        <f t="shared" si="39"/>
        <v>31073</v>
      </c>
      <c r="I42" s="256">
        <f t="shared" si="40"/>
        <v>79154</v>
      </c>
      <c r="J42" s="256">
        <f t="shared" si="41"/>
        <v>101316</v>
      </c>
      <c r="K42" s="256">
        <f t="shared" si="41"/>
        <v>81790</v>
      </c>
      <c r="L42" s="226">
        <f>SUM(G42:K42)</f>
        <v>447550</v>
      </c>
      <c r="M42" s="440">
        <f>IF($E42="02",$L42-G42,-G42)</f>
        <v>-154217</v>
      </c>
      <c r="N42" s="441">
        <f>IF($E42="03",$L42-H42,-H42)</f>
        <v>-31073</v>
      </c>
      <c r="O42" s="441">
        <f>IF($E42="04",$L42-I42,-I42)</f>
        <v>-79154</v>
      </c>
      <c r="P42" s="441">
        <f>IF($E42="07",$L42-J42,-J42)</f>
        <v>346234</v>
      </c>
      <c r="Q42" s="441">
        <f>IF($E42="10",$L42-K42,-K42)</f>
        <v>-81790</v>
      </c>
      <c r="R42" s="442">
        <f>+Q42+P42+O42+N42+M42</f>
        <v>0</v>
      </c>
      <c r="T42" s="219">
        <f t="shared" si="38"/>
        <v>154216.779</v>
      </c>
      <c r="U42" s="219">
        <f t="shared" si="38"/>
        <v>31073.3965</v>
      </c>
      <c r="V42" s="219">
        <f t="shared" si="38"/>
        <v>79153.693</v>
      </c>
      <c r="W42" s="219">
        <f t="shared" si="38"/>
        <v>101316.369</v>
      </c>
      <c r="X42" s="221">
        <f t="shared" si="38"/>
        <v>81789.7625</v>
      </c>
    </row>
    <row r="43" spans="1:24" ht="15" customHeight="1">
      <c r="A43" s="253" t="s">
        <v>599</v>
      </c>
      <c r="B43" s="195" t="s">
        <v>1848</v>
      </c>
      <c r="C43" s="334"/>
      <c r="D43" s="438">
        <v>5550099</v>
      </c>
      <c r="E43" s="264" t="s">
        <v>378</v>
      </c>
      <c r="F43" s="924">
        <f>1825660+41848</f>
        <v>1867508</v>
      </c>
      <c r="G43" s="439">
        <f t="shared" si="39"/>
        <v>643506</v>
      </c>
      <c r="H43" s="256">
        <f t="shared" si="39"/>
        <v>129661</v>
      </c>
      <c r="I43" s="256">
        <f>ROUND(+I$6*$F43,0)+1</f>
        <v>330288</v>
      </c>
      <c r="J43" s="256">
        <f t="shared" si="41"/>
        <v>422766</v>
      </c>
      <c r="K43" s="256">
        <f t="shared" si="41"/>
        <v>341287</v>
      </c>
      <c r="L43" s="226">
        <f>SUM(G43:K43)</f>
        <v>1867508</v>
      </c>
      <c r="M43" s="440">
        <f>IF($E43="02",$L43-G43,-G43)</f>
        <v>-643506</v>
      </c>
      <c r="N43" s="441">
        <f>IF($E43="03",$L43-H43,-H43)</f>
        <v>-129661</v>
      </c>
      <c r="O43" s="441">
        <f>IF($E43="04",$L43-I43,-I43)</f>
        <v>-330288</v>
      </c>
      <c r="P43" s="441">
        <f>IF($E43="07",$L43-J43,-J43)</f>
        <v>1444742</v>
      </c>
      <c r="Q43" s="441">
        <f>IF($E43="10",$L43-K43,-K43)</f>
        <v>-341287</v>
      </c>
      <c r="R43" s="442">
        <f>+Q43+P43+O43+N43+M43</f>
        <v>0</v>
      </c>
      <c r="T43" s="219">
        <f t="shared" si="38"/>
        <v>643505.90664</v>
      </c>
      <c r="U43" s="219">
        <f t="shared" si="38"/>
        <v>129661.08044</v>
      </c>
      <c r="V43" s="219">
        <f t="shared" si="38"/>
        <v>330287.46488</v>
      </c>
      <c r="W43" s="219">
        <f t="shared" si="38"/>
        <v>422766.46104</v>
      </c>
      <c r="X43" s="221">
        <f t="shared" si="38"/>
        <v>341287.087</v>
      </c>
    </row>
    <row r="44" spans="1:24" ht="14.25" customHeight="1" hidden="1">
      <c r="A44" s="253" t="s">
        <v>798</v>
      </c>
      <c r="B44" s="195" t="str">
        <f>VLOOKUP(A44,'APPVI VLOOKUP NAMES'!$A$2:$C$290,3,FALSE)</f>
        <v>Morgan Stanley Capt.</v>
      </c>
      <c r="C44" s="443"/>
      <c r="D44" s="438">
        <v>4470066</v>
      </c>
      <c r="E44" s="264" t="s">
        <v>378</v>
      </c>
      <c r="F44" s="924"/>
      <c r="G44" s="439">
        <f t="shared" si="39"/>
        <v>0</v>
      </c>
      <c r="H44" s="256">
        <f t="shared" si="39"/>
        <v>0</v>
      </c>
      <c r="I44" s="256">
        <f t="shared" si="40"/>
        <v>0</v>
      </c>
      <c r="J44" s="256">
        <f t="shared" si="40"/>
        <v>0</v>
      </c>
      <c r="K44" s="256">
        <f t="shared" si="40"/>
        <v>0</v>
      </c>
      <c r="L44" s="226">
        <f>SUM(G44:K44)</f>
        <v>0</v>
      </c>
      <c r="M44" s="440">
        <f>IF($E44="02",$L44-G44,-G44)</f>
        <v>0</v>
      </c>
      <c r="N44" s="441">
        <f>IF($E44="03",$L44-H44,-H44)</f>
        <v>0</v>
      </c>
      <c r="O44" s="441">
        <f>IF($E44="04",$L44-I44,-I44)</f>
        <v>0</v>
      </c>
      <c r="P44" s="441">
        <f>IF($E44="07",$L44-J44,-J44)</f>
        <v>0</v>
      </c>
      <c r="Q44" s="441">
        <f>IF($E44="10",$L44-K44,-K44)</f>
        <v>0</v>
      </c>
      <c r="R44" s="442">
        <f>+Q44+P44+O44+N44+M44</f>
        <v>0</v>
      </c>
      <c r="T44" s="219">
        <f>ROUND(+G$6*$F44,5)</f>
        <v>0</v>
      </c>
      <c r="U44" s="219">
        <f>ROUND(+H$6*$F44,5)</f>
        <v>0</v>
      </c>
      <c r="V44" s="219">
        <f>ROUND(+I$6*$F44,5)</f>
        <v>0</v>
      </c>
      <c r="W44" s="219">
        <f>ROUND(+J$6*$F44,5)</f>
        <v>0</v>
      </c>
      <c r="X44" s="221">
        <f>ROUND(+K$6*$F44,5)</f>
        <v>0</v>
      </c>
    </row>
    <row r="45" spans="1:24" ht="14.25" customHeight="1" hidden="1">
      <c r="A45" s="253" t="s">
        <v>822</v>
      </c>
      <c r="B45" s="195" t="str">
        <f>VLOOKUP(A45,'APPVI VLOOKUP NAMES'!$A$2:$C$290,3,FALSE)</f>
        <v>NRG Power Marketing, Inc.</v>
      </c>
      <c r="C45" s="443"/>
      <c r="D45" s="438">
        <v>4470066</v>
      </c>
      <c r="E45" s="264" t="s">
        <v>378</v>
      </c>
      <c r="F45" s="924"/>
      <c r="G45" s="439">
        <f t="shared" si="39"/>
        <v>0</v>
      </c>
      <c r="H45" s="256">
        <f t="shared" si="39"/>
        <v>0</v>
      </c>
      <c r="I45" s="256">
        <f t="shared" si="40"/>
        <v>0</v>
      </c>
      <c r="J45" s="256">
        <f t="shared" si="40"/>
        <v>0</v>
      </c>
      <c r="K45" s="256">
        <f t="shared" si="40"/>
        <v>0</v>
      </c>
      <c r="L45" s="226">
        <f>SUM(G45:K45)</f>
        <v>0</v>
      </c>
      <c r="M45" s="440">
        <f>IF($E45="02",$L45-G45,-G45)</f>
        <v>0</v>
      </c>
      <c r="N45" s="441">
        <f>IF($E45="03",$L45-H45,-H45)</f>
        <v>0</v>
      </c>
      <c r="O45" s="441">
        <f>IF($E45="04",$L45-I45,-I45)</f>
        <v>0</v>
      </c>
      <c r="P45" s="441">
        <f>IF($E45="07",$L45-J45,-J45)</f>
        <v>0</v>
      </c>
      <c r="Q45" s="441">
        <f>IF($E45="10",$L45-K45,-K45)</f>
        <v>0</v>
      </c>
      <c r="R45" s="442">
        <f>+Q45+P45+O45+N45+M45</f>
        <v>0</v>
      </c>
      <c r="T45" s="219">
        <f aca="true" t="shared" si="42" ref="T45:X48">ROUND(+G$6*$F45,5)</f>
        <v>0</v>
      </c>
      <c r="U45" s="219">
        <f t="shared" si="42"/>
        <v>0</v>
      </c>
      <c r="V45" s="219">
        <f t="shared" si="42"/>
        <v>0</v>
      </c>
      <c r="W45" s="219">
        <f t="shared" si="42"/>
        <v>0</v>
      </c>
      <c r="X45" s="221">
        <f t="shared" si="42"/>
        <v>0</v>
      </c>
    </row>
    <row r="46" spans="1:24" ht="14.25" hidden="1">
      <c r="A46" s="253" t="s">
        <v>802</v>
      </c>
      <c r="B46" s="195" t="str">
        <f>VLOOKUP(A46,'APPVI VLOOKUP NAMES'!$A$2:$C$290,3,FALSE)</f>
        <v>NC Electric Membership Corp.</v>
      </c>
      <c r="C46" s="264"/>
      <c r="D46" s="438">
        <v>4470066</v>
      </c>
      <c r="E46" s="264" t="s">
        <v>380</v>
      </c>
      <c r="F46" s="924"/>
      <c r="G46" s="439">
        <f t="shared" si="39"/>
        <v>0</v>
      </c>
      <c r="H46" s="256">
        <f t="shared" si="39"/>
        <v>0</v>
      </c>
      <c r="I46" s="256">
        <f aca="true" t="shared" si="43" ref="H46:I51">ROUND(+I$6*$F46,0)</f>
        <v>0</v>
      </c>
      <c r="J46" s="256">
        <f aca="true" t="shared" si="44" ref="J46:K51">ROUND(+J$6*$F46,0)</f>
        <v>0</v>
      </c>
      <c r="K46" s="256">
        <f t="shared" si="44"/>
        <v>0</v>
      </c>
      <c r="L46" s="226">
        <f t="shared" si="2"/>
        <v>0</v>
      </c>
      <c r="M46" s="440">
        <f t="shared" si="3"/>
        <v>0</v>
      </c>
      <c r="N46" s="441">
        <f t="shared" si="4"/>
        <v>0</v>
      </c>
      <c r="O46" s="441">
        <f t="shared" si="5"/>
        <v>0</v>
      </c>
      <c r="P46" s="441">
        <f t="shared" si="6"/>
        <v>0</v>
      </c>
      <c r="Q46" s="441">
        <f t="shared" si="7"/>
        <v>0</v>
      </c>
      <c r="R46" s="442">
        <f t="shared" si="8"/>
        <v>0</v>
      </c>
      <c r="T46" s="219">
        <f t="shared" si="42"/>
        <v>0</v>
      </c>
      <c r="U46" s="219">
        <f t="shared" si="42"/>
        <v>0</v>
      </c>
      <c r="V46" s="219">
        <f t="shared" si="42"/>
        <v>0</v>
      </c>
      <c r="W46" s="219">
        <f t="shared" si="42"/>
        <v>0</v>
      </c>
      <c r="X46" s="221">
        <f t="shared" si="42"/>
        <v>0</v>
      </c>
    </row>
    <row r="47" spans="1:24" ht="14.25" hidden="1">
      <c r="A47" s="253" t="s">
        <v>816</v>
      </c>
      <c r="B47" s="195" t="str">
        <f>VLOOKUP(A47,'APPVI VLOOKUP NAMES'!$A$2:$C$290,3,FALSE)</f>
        <v>NIPSCO Energy Management</v>
      </c>
      <c r="C47" s="264"/>
      <c r="D47" s="438">
        <v>4470066</v>
      </c>
      <c r="E47" s="264" t="s">
        <v>383</v>
      </c>
      <c r="F47" s="924"/>
      <c r="G47" s="439">
        <f aca="true" t="shared" si="45" ref="G47:G52">ROUND(+G$6*$F47,0)</f>
        <v>0</v>
      </c>
      <c r="H47" s="256">
        <f t="shared" si="43"/>
        <v>0</v>
      </c>
      <c r="I47" s="256">
        <f t="shared" si="43"/>
        <v>0</v>
      </c>
      <c r="J47" s="256">
        <f t="shared" si="44"/>
        <v>0</v>
      </c>
      <c r="K47" s="256">
        <f t="shared" si="44"/>
        <v>0</v>
      </c>
      <c r="L47" s="226">
        <f t="shared" si="2"/>
        <v>0</v>
      </c>
      <c r="M47" s="440">
        <f t="shared" si="3"/>
        <v>0</v>
      </c>
      <c r="N47" s="441">
        <f t="shared" si="4"/>
        <v>0</v>
      </c>
      <c r="O47" s="441">
        <f t="shared" si="5"/>
        <v>0</v>
      </c>
      <c r="P47" s="441">
        <f t="shared" si="6"/>
        <v>0</v>
      </c>
      <c r="Q47" s="441">
        <f t="shared" si="7"/>
        <v>0</v>
      </c>
      <c r="R47" s="442">
        <f t="shared" si="8"/>
        <v>0</v>
      </c>
      <c r="T47" s="219">
        <f t="shared" si="42"/>
        <v>0</v>
      </c>
      <c r="U47" s="219">
        <f t="shared" si="42"/>
        <v>0</v>
      </c>
      <c r="V47" s="219">
        <f t="shared" si="42"/>
        <v>0</v>
      </c>
      <c r="W47" s="219">
        <f t="shared" si="42"/>
        <v>0</v>
      </c>
      <c r="X47" s="221">
        <f t="shared" si="42"/>
        <v>0</v>
      </c>
    </row>
    <row r="48" spans="1:24" ht="14.25" hidden="1">
      <c r="A48" s="253" t="s">
        <v>834</v>
      </c>
      <c r="B48" s="195" t="str">
        <f>VLOOKUP(A48,'APPVI VLOOKUP NAMES'!$A$2:$C$290,3,FALSE)</f>
        <v>Nevada Power Co.- Power Mktg</v>
      </c>
      <c r="C48" s="264"/>
      <c r="D48" s="438">
        <v>4470066</v>
      </c>
      <c r="E48" s="264" t="s">
        <v>378</v>
      </c>
      <c r="F48" s="924"/>
      <c r="G48" s="439">
        <f t="shared" si="45"/>
        <v>0</v>
      </c>
      <c r="H48" s="256">
        <f t="shared" si="43"/>
        <v>0</v>
      </c>
      <c r="I48" s="256">
        <f t="shared" si="43"/>
        <v>0</v>
      </c>
      <c r="J48" s="256">
        <f t="shared" si="44"/>
        <v>0</v>
      </c>
      <c r="K48" s="256">
        <f t="shared" si="44"/>
        <v>0</v>
      </c>
      <c r="L48" s="226">
        <f t="shared" si="2"/>
        <v>0</v>
      </c>
      <c r="M48" s="440">
        <f t="shared" si="3"/>
        <v>0</v>
      </c>
      <c r="N48" s="441">
        <f t="shared" si="4"/>
        <v>0</v>
      </c>
      <c r="O48" s="441">
        <f t="shared" si="5"/>
        <v>0</v>
      </c>
      <c r="P48" s="441">
        <f t="shared" si="6"/>
        <v>0</v>
      </c>
      <c r="Q48" s="441">
        <f t="shared" si="7"/>
        <v>0</v>
      </c>
      <c r="R48" s="442">
        <f t="shared" si="8"/>
        <v>0</v>
      </c>
      <c r="T48" s="219">
        <f t="shared" si="42"/>
        <v>0</v>
      </c>
      <c r="U48" s="219">
        <f t="shared" si="42"/>
        <v>0</v>
      </c>
      <c r="V48" s="219">
        <f t="shared" si="42"/>
        <v>0</v>
      </c>
      <c r="W48" s="219">
        <f t="shared" si="42"/>
        <v>0</v>
      </c>
      <c r="X48" s="221">
        <f t="shared" si="42"/>
        <v>0</v>
      </c>
    </row>
    <row r="49" spans="1:24" ht="14.25" hidden="1">
      <c r="A49" s="253" t="s">
        <v>869</v>
      </c>
      <c r="B49" s="195" t="str">
        <f>VLOOKUP(A49,'APPVI VLOOKUP NAMES'!$A$2:$C$290,3,FALSE)</f>
        <v>OPPD Energy Marketing</v>
      </c>
      <c r="C49" s="264"/>
      <c r="D49" s="438">
        <v>4470066</v>
      </c>
      <c r="E49" s="264" t="s">
        <v>378</v>
      </c>
      <c r="F49" s="924">
        <v>0</v>
      </c>
      <c r="G49" s="439">
        <f>ROUND(+G$6*$F49,0)</f>
        <v>0</v>
      </c>
      <c r="H49" s="256">
        <f>ROUND(+H$6*$F49,0)</f>
        <v>0</v>
      </c>
      <c r="I49" s="256">
        <f>ROUND(+I$6*$F49,0)</f>
        <v>0</v>
      </c>
      <c r="J49" s="256">
        <f>ROUND(+J$6*$F49,0)</f>
        <v>0</v>
      </c>
      <c r="K49" s="256">
        <f>ROUND(+K$6*$F49,0)</f>
        <v>0</v>
      </c>
      <c r="L49" s="226">
        <f>SUM(G49:K49)</f>
        <v>0</v>
      </c>
      <c r="M49" s="440">
        <f>IF($E49="02",$L49-G49,-G49)</f>
        <v>0</v>
      </c>
      <c r="N49" s="441">
        <f>IF($E49="03",$L49-H49,-H49)</f>
        <v>0</v>
      </c>
      <c r="O49" s="441">
        <f>IF($E49="04",$L49-I49,-I49)</f>
        <v>0</v>
      </c>
      <c r="P49" s="441">
        <f>IF($E49="07",$L49-J49,-J49)</f>
        <v>0</v>
      </c>
      <c r="Q49" s="441">
        <f>IF($E49="10",$L49-K49,-K49)</f>
        <v>0</v>
      </c>
      <c r="R49" s="442">
        <f>+Q49+P49+O49+N49+M49</f>
        <v>0</v>
      </c>
      <c r="T49" s="219">
        <f>ROUND(+G$6*$F49,5)</f>
        <v>0</v>
      </c>
      <c r="U49" s="219">
        <f>ROUND(+H$6*$F49,5)</f>
        <v>0</v>
      </c>
      <c r="V49" s="219">
        <f>ROUND(+I$6*$F49,5)</f>
        <v>0</v>
      </c>
      <c r="W49" s="219">
        <f>ROUND(+J$6*$F49,5)</f>
        <v>0</v>
      </c>
      <c r="X49" s="221">
        <f>ROUND(+K$6*$F49,5)</f>
        <v>0</v>
      </c>
    </row>
    <row r="50" spans="1:24" ht="14.25" hidden="1">
      <c r="A50" s="253" t="s">
        <v>387</v>
      </c>
      <c r="B50" s="195" t="str">
        <f>VLOOKUP(A50,'APPVI VLOOKUP NAMES'!$A$2:$C$290,3,FALSE)</f>
        <v>OVEC Power Scheduling</v>
      </c>
      <c r="C50" s="264"/>
      <c r="D50" s="438">
        <v>4470066</v>
      </c>
      <c r="E50" s="264" t="s">
        <v>378</v>
      </c>
      <c r="F50" s="924"/>
      <c r="G50" s="439">
        <f t="shared" si="45"/>
        <v>0</v>
      </c>
      <c r="H50" s="256">
        <f t="shared" si="43"/>
        <v>0</v>
      </c>
      <c r="I50" s="256">
        <f t="shared" si="43"/>
        <v>0</v>
      </c>
      <c r="J50" s="256">
        <f t="shared" si="44"/>
        <v>0</v>
      </c>
      <c r="K50" s="256">
        <f t="shared" si="44"/>
        <v>0</v>
      </c>
      <c r="L50" s="226">
        <f t="shared" si="2"/>
        <v>0</v>
      </c>
      <c r="M50" s="440">
        <f t="shared" si="3"/>
        <v>0</v>
      </c>
      <c r="N50" s="441">
        <f t="shared" si="4"/>
        <v>0</v>
      </c>
      <c r="O50" s="441">
        <f t="shared" si="5"/>
        <v>0</v>
      </c>
      <c r="P50" s="441">
        <f t="shared" si="6"/>
        <v>0</v>
      </c>
      <c r="Q50" s="441">
        <f t="shared" si="7"/>
        <v>0</v>
      </c>
      <c r="R50" s="442">
        <f t="shared" si="8"/>
        <v>0</v>
      </c>
      <c r="T50" s="219">
        <f aca="true" t="shared" si="46" ref="T50:T60">ROUND(+G$6*$F50,5)</f>
        <v>0</v>
      </c>
      <c r="U50" s="219">
        <f aca="true" t="shared" si="47" ref="U50:U60">ROUND(+H$6*$F50,5)</f>
        <v>0</v>
      </c>
      <c r="V50" s="219">
        <f aca="true" t="shared" si="48" ref="V50:V60">ROUND(+I$6*$F50,5)</f>
        <v>0</v>
      </c>
      <c r="W50" s="219">
        <f aca="true" t="shared" si="49" ref="W50:W60">ROUND(+J$6*$F50,5)</f>
        <v>0</v>
      </c>
      <c r="X50" s="221">
        <f aca="true" t="shared" si="50" ref="X50:X60">ROUND(+K$6*$F50,5)</f>
        <v>0</v>
      </c>
    </row>
    <row r="51" spans="1:24" ht="14.25" hidden="1">
      <c r="A51" s="253" t="s">
        <v>905</v>
      </c>
      <c r="B51" s="195" t="str">
        <f>VLOOKUP(A51,'APPVI VLOOKUP NAMES'!$A$2:$C$290,3,FALSE)</f>
        <v>Pacific NW Generating Co-Op</v>
      </c>
      <c r="C51" s="265"/>
      <c r="D51" s="438">
        <v>4470066</v>
      </c>
      <c r="E51" s="264" t="s">
        <v>378</v>
      </c>
      <c r="F51" s="924"/>
      <c r="G51" s="439">
        <f t="shared" si="45"/>
        <v>0</v>
      </c>
      <c r="H51" s="256">
        <f t="shared" si="43"/>
        <v>0</v>
      </c>
      <c r="I51" s="256">
        <f aca="true" t="shared" si="51" ref="I51:I65">ROUND(+I$6*$F51,0)</f>
        <v>0</v>
      </c>
      <c r="J51" s="256">
        <f t="shared" si="44"/>
        <v>0</v>
      </c>
      <c r="K51" s="256">
        <f t="shared" si="44"/>
        <v>0</v>
      </c>
      <c r="L51" s="226">
        <f aca="true" t="shared" si="52" ref="L51:L62">SUM(G51:K51)</f>
        <v>0</v>
      </c>
      <c r="M51" s="440">
        <f aca="true" t="shared" si="53" ref="M51:M62">IF($E51="02",$L51-G51,-G51)</f>
        <v>0</v>
      </c>
      <c r="N51" s="441">
        <f aca="true" t="shared" si="54" ref="N51:N62">IF($E51="03",$L51-H51,-H51)</f>
        <v>0</v>
      </c>
      <c r="O51" s="441">
        <f aca="true" t="shared" si="55" ref="O51:O62">IF($E51="04",$L51-I51,-I51)</f>
        <v>0</v>
      </c>
      <c r="P51" s="441">
        <f aca="true" t="shared" si="56" ref="P51:P62">IF($E51="07",$L51-J51,-J51)</f>
        <v>0</v>
      </c>
      <c r="Q51" s="441">
        <f aca="true" t="shared" si="57" ref="Q51:Q62">IF($E51="10",$L51-K51,-K51)</f>
        <v>0</v>
      </c>
      <c r="R51" s="442">
        <f aca="true" t="shared" si="58" ref="R51:R62">+Q51+P51+O51+N51+M51</f>
        <v>0</v>
      </c>
      <c r="T51" s="219">
        <f t="shared" si="46"/>
        <v>0</v>
      </c>
      <c r="U51" s="219">
        <f t="shared" si="47"/>
        <v>0</v>
      </c>
      <c r="V51" s="219">
        <f t="shared" si="48"/>
        <v>0</v>
      </c>
      <c r="W51" s="219">
        <f t="shared" si="49"/>
        <v>0</v>
      </c>
      <c r="X51" s="221">
        <f t="shared" si="50"/>
        <v>0</v>
      </c>
    </row>
    <row r="52" spans="1:24" ht="14.25" hidden="1">
      <c r="A52" s="253" t="s">
        <v>388</v>
      </c>
      <c r="B52" s="195" t="str">
        <f>VLOOKUP(A52,'APPVI VLOOKUP NAMES'!$A$2:$C$290,3,FALSE)</f>
        <v>PJM Interconnection</v>
      </c>
      <c r="C52" s="265"/>
      <c r="D52" s="438">
        <v>4470066</v>
      </c>
      <c r="E52" s="264" t="s">
        <v>378</v>
      </c>
      <c r="F52" s="924"/>
      <c r="G52" s="439">
        <f t="shared" si="45"/>
        <v>0</v>
      </c>
      <c r="H52" s="256">
        <f aca="true" t="shared" si="59" ref="H52:H65">ROUND(+H$6*$F52,0)</f>
        <v>0</v>
      </c>
      <c r="I52" s="256">
        <f t="shared" si="51"/>
        <v>0</v>
      </c>
      <c r="J52" s="256">
        <f aca="true" t="shared" si="60" ref="J52:K65">ROUND(+J$6*$F52,0)</f>
        <v>0</v>
      </c>
      <c r="K52" s="256">
        <f t="shared" si="60"/>
        <v>0</v>
      </c>
      <c r="L52" s="226">
        <f t="shared" si="52"/>
        <v>0</v>
      </c>
      <c r="M52" s="440">
        <f t="shared" si="53"/>
        <v>0</v>
      </c>
      <c r="N52" s="441">
        <f t="shared" si="54"/>
        <v>0</v>
      </c>
      <c r="O52" s="441">
        <f t="shared" si="55"/>
        <v>0</v>
      </c>
      <c r="P52" s="441">
        <f t="shared" si="56"/>
        <v>0</v>
      </c>
      <c r="Q52" s="441">
        <f t="shared" si="57"/>
        <v>0</v>
      </c>
      <c r="R52" s="442">
        <f t="shared" si="58"/>
        <v>0</v>
      </c>
      <c r="T52" s="219">
        <f t="shared" si="46"/>
        <v>0</v>
      </c>
      <c r="U52" s="219">
        <f t="shared" si="47"/>
        <v>0</v>
      </c>
      <c r="V52" s="219">
        <f t="shared" si="48"/>
        <v>0</v>
      </c>
      <c r="W52" s="219">
        <f t="shared" si="49"/>
        <v>0</v>
      </c>
      <c r="X52" s="221">
        <f t="shared" si="50"/>
        <v>0</v>
      </c>
    </row>
    <row r="53" spans="1:24" ht="14.25" hidden="1">
      <c r="A53" s="253" t="s">
        <v>902</v>
      </c>
      <c r="B53" s="195" t="str">
        <f>VLOOKUP(A53,'APPVI VLOOKUP NAMES'!$A$2:$C$290,3,FALSE)</f>
        <v>PJM Interconnection Pool</v>
      </c>
      <c r="C53" s="264"/>
      <c r="D53" s="438">
        <v>4470066</v>
      </c>
      <c r="E53" s="264" t="s">
        <v>378</v>
      </c>
      <c r="F53" s="924"/>
      <c r="G53" s="439">
        <f aca="true" t="shared" si="61" ref="G53:G65">ROUND(+G$6*$F53,0)</f>
        <v>0</v>
      </c>
      <c r="H53" s="256">
        <f t="shared" si="59"/>
        <v>0</v>
      </c>
      <c r="I53" s="256">
        <f t="shared" si="51"/>
        <v>0</v>
      </c>
      <c r="J53" s="256">
        <f t="shared" si="60"/>
        <v>0</v>
      </c>
      <c r="K53" s="256">
        <f t="shared" si="60"/>
        <v>0</v>
      </c>
      <c r="L53" s="226">
        <f t="shared" si="52"/>
        <v>0</v>
      </c>
      <c r="M53" s="440">
        <f t="shared" si="53"/>
        <v>0</v>
      </c>
      <c r="N53" s="441">
        <f t="shared" si="54"/>
        <v>0</v>
      </c>
      <c r="O53" s="441">
        <f t="shared" si="55"/>
        <v>0</v>
      </c>
      <c r="P53" s="441">
        <f t="shared" si="56"/>
        <v>0</v>
      </c>
      <c r="Q53" s="441">
        <f t="shared" si="57"/>
        <v>0</v>
      </c>
      <c r="R53" s="442">
        <f t="shared" si="58"/>
        <v>0</v>
      </c>
      <c r="T53" s="219">
        <f t="shared" si="46"/>
        <v>0</v>
      </c>
      <c r="U53" s="219">
        <f t="shared" si="47"/>
        <v>0</v>
      </c>
      <c r="V53" s="219">
        <f t="shared" si="48"/>
        <v>0</v>
      </c>
      <c r="W53" s="219">
        <f t="shared" si="49"/>
        <v>0</v>
      </c>
      <c r="X53" s="221">
        <f t="shared" si="50"/>
        <v>0</v>
      </c>
    </row>
    <row r="54" spans="1:24" ht="14.25" hidden="1">
      <c r="A54" s="253" t="s">
        <v>1552</v>
      </c>
      <c r="B54" s="195" t="str">
        <f>VLOOKUP(A54,'APPVI VLOOKUP NAMES'!$A$2:$C$290,3,FALSE)</f>
        <v>Union Power Partners</v>
      </c>
      <c r="C54" s="264"/>
      <c r="D54" s="438">
        <v>4470066</v>
      </c>
      <c r="E54" s="264" t="s">
        <v>378</v>
      </c>
      <c r="F54" s="924"/>
      <c r="G54" s="439">
        <f t="shared" si="61"/>
        <v>0</v>
      </c>
      <c r="H54" s="256">
        <f t="shared" si="59"/>
        <v>0</v>
      </c>
      <c r="I54" s="256">
        <f t="shared" si="51"/>
        <v>0</v>
      </c>
      <c r="J54" s="256">
        <f t="shared" si="60"/>
        <v>0</v>
      </c>
      <c r="K54" s="256">
        <f t="shared" si="60"/>
        <v>0</v>
      </c>
      <c r="L54" s="226">
        <f>SUM(G54:K54)</f>
        <v>0</v>
      </c>
      <c r="M54" s="440">
        <f>IF($E54="02",$L54-G54,-G54)</f>
        <v>0</v>
      </c>
      <c r="N54" s="441">
        <f>IF($E54="03",$L54-H54,-H54)</f>
        <v>0</v>
      </c>
      <c r="O54" s="441">
        <f>IF($E54="04",$L54-I54,-I54)</f>
        <v>0</v>
      </c>
      <c r="P54" s="441">
        <f>IF($E54="07",$L54-J54,-J54)</f>
        <v>0</v>
      </c>
      <c r="Q54" s="441">
        <f>IF($E54="10",$L54-K54,-K54)</f>
        <v>0</v>
      </c>
      <c r="R54" s="442">
        <f>+Q54+P54+O54+N54+M54</f>
        <v>0</v>
      </c>
      <c r="T54" s="219">
        <f t="shared" si="46"/>
        <v>0</v>
      </c>
      <c r="U54" s="219">
        <f t="shared" si="47"/>
        <v>0</v>
      </c>
      <c r="V54" s="219">
        <f t="shared" si="48"/>
        <v>0</v>
      </c>
      <c r="W54" s="219">
        <f t="shared" si="49"/>
        <v>0</v>
      </c>
      <c r="X54" s="221">
        <f t="shared" si="50"/>
        <v>0</v>
      </c>
    </row>
    <row r="55" spans="1:24" ht="14.25" hidden="1">
      <c r="A55" s="253" t="s">
        <v>941</v>
      </c>
      <c r="B55" s="195" t="str">
        <f>VLOOKUP(A55,'APPVI VLOOKUP NAMES'!$A$2:$C$290,3,FALSE)</f>
        <v>Reliant Energy Serv.</v>
      </c>
      <c r="C55" s="264"/>
      <c r="D55" s="438">
        <v>4470066</v>
      </c>
      <c r="E55" s="264" t="s">
        <v>378</v>
      </c>
      <c r="F55" s="924"/>
      <c r="G55" s="439">
        <f t="shared" si="61"/>
        <v>0</v>
      </c>
      <c r="H55" s="256">
        <f t="shared" si="59"/>
        <v>0</v>
      </c>
      <c r="I55" s="256">
        <f t="shared" si="51"/>
        <v>0</v>
      </c>
      <c r="J55" s="256">
        <f t="shared" si="60"/>
        <v>0</v>
      </c>
      <c r="K55" s="256">
        <f t="shared" si="60"/>
        <v>0</v>
      </c>
      <c r="L55" s="226">
        <f t="shared" si="52"/>
        <v>0</v>
      </c>
      <c r="M55" s="440">
        <f t="shared" si="53"/>
        <v>0</v>
      </c>
      <c r="N55" s="441">
        <f t="shared" si="54"/>
        <v>0</v>
      </c>
      <c r="O55" s="441">
        <f t="shared" si="55"/>
        <v>0</v>
      </c>
      <c r="P55" s="441">
        <f t="shared" si="56"/>
        <v>0</v>
      </c>
      <c r="Q55" s="441">
        <f t="shared" si="57"/>
        <v>0</v>
      </c>
      <c r="R55" s="442">
        <f t="shared" si="58"/>
        <v>0</v>
      </c>
      <c r="T55" s="219">
        <f t="shared" si="46"/>
        <v>0</v>
      </c>
      <c r="U55" s="219">
        <f t="shared" si="47"/>
        <v>0</v>
      </c>
      <c r="V55" s="219">
        <f t="shared" si="48"/>
        <v>0</v>
      </c>
      <c r="W55" s="219">
        <f t="shared" si="49"/>
        <v>0</v>
      </c>
      <c r="X55" s="221">
        <f t="shared" si="50"/>
        <v>0</v>
      </c>
    </row>
    <row r="56" spans="1:24" ht="14.25" hidden="1">
      <c r="A56" s="253" t="s">
        <v>1058</v>
      </c>
      <c r="B56" s="195" t="str">
        <f>VLOOKUP(A56,'APPVI VLOOKUP NAMES'!$A$2:$C$290,3,FALSE)</f>
        <v>SIGE Power Marketing</v>
      </c>
      <c r="C56" s="264"/>
      <c r="D56" s="438">
        <v>4470066</v>
      </c>
      <c r="E56" s="264" t="s">
        <v>383</v>
      </c>
      <c r="F56" s="924"/>
      <c r="G56" s="439">
        <f t="shared" si="61"/>
        <v>0</v>
      </c>
      <c r="H56" s="256">
        <f t="shared" si="59"/>
        <v>0</v>
      </c>
      <c r="I56" s="256">
        <f t="shared" si="51"/>
        <v>0</v>
      </c>
      <c r="J56" s="256">
        <f t="shared" si="60"/>
        <v>0</v>
      </c>
      <c r="K56" s="256">
        <f t="shared" si="60"/>
        <v>0</v>
      </c>
      <c r="L56" s="226">
        <f t="shared" si="52"/>
        <v>0</v>
      </c>
      <c r="M56" s="440">
        <f t="shared" si="53"/>
        <v>0</v>
      </c>
      <c r="N56" s="441">
        <f t="shared" si="54"/>
        <v>0</v>
      </c>
      <c r="O56" s="441">
        <f t="shared" si="55"/>
        <v>0</v>
      </c>
      <c r="P56" s="441">
        <f t="shared" si="56"/>
        <v>0</v>
      </c>
      <c r="Q56" s="441">
        <f t="shared" si="57"/>
        <v>0</v>
      </c>
      <c r="R56" s="442">
        <f t="shared" si="58"/>
        <v>0</v>
      </c>
      <c r="T56" s="219">
        <f t="shared" si="46"/>
        <v>0</v>
      </c>
      <c r="U56" s="219">
        <f t="shared" si="47"/>
        <v>0</v>
      </c>
      <c r="V56" s="219">
        <f t="shared" si="48"/>
        <v>0</v>
      </c>
      <c r="W56" s="219">
        <f t="shared" si="49"/>
        <v>0</v>
      </c>
      <c r="X56" s="221">
        <f t="shared" si="50"/>
        <v>0</v>
      </c>
    </row>
    <row r="57" spans="1:24" s="424" customFormat="1" ht="14.25">
      <c r="A57" s="253" t="s">
        <v>389</v>
      </c>
      <c r="B57" s="850" t="str">
        <f>VLOOKUP(A57,'APPVI VLOOKUP NAMES'!$A$2:$C$290,3,FALSE)</f>
        <v>Southern Company</v>
      </c>
      <c r="C57" s="437"/>
      <c r="D57" s="438">
        <v>4470066</v>
      </c>
      <c r="E57" s="264" t="s">
        <v>378</v>
      </c>
      <c r="F57" s="924">
        <v>15515</v>
      </c>
      <c r="G57" s="439">
        <f>ROUND(+G$6*$F57,0)</f>
        <v>5346</v>
      </c>
      <c r="H57" s="256">
        <f>ROUND(+H$6*$F57,0)</f>
        <v>1077</v>
      </c>
      <c r="I57" s="256">
        <f>ROUND(+I$6*$F57,0)</f>
        <v>2744</v>
      </c>
      <c r="J57" s="256">
        <f>ROUND(+J$6*$F57,0)</f>
        <v>3512</v>
      </c>
      <c r="K57" s="256">
        <f>ROUND(+K$6*$F57,0)+1</f>
        <v>2836</v>
      </c>
      <c r="L57" s="226">
        <f>SUM(G57:K57)</f>
        <v>15515</v>
      </c>
      <c r="M57" s="440">
        <f t="shared" si="53"/>
        <v>-5346</v>
      </c>
      <c r="N57" s="441">
        <f t="shared" si="54"/>
        <v>-1077</v>
      </c>
      <c r="O57" s="441">
        <f t="shared" si="55"/>
        <v>-2744</v>
      </c>
      <c r="P57" s="441">
        <f t="shared" si="56"/>
        <v>12003</v>
      </c>
      <c r="Q57" s="441">
        <f t="shared" si="57"/>
        <v>-2836</v>
      </c>
      <c r="R57" s="442">
        <f t="shared" si="58"/>
        <v>0</v>
      </c>
      <c r="T57" s="851">
        <f t="shared" si="46"/>
        <v>5346.1587</v>
      </c>
      <c r="U57" s="851">
        <f t="shared" si="47"/>
        <v>1077.20645</v>
      </c>
      <c r="V57" s="851">
        <f t="shared" si="48"/>
        <v>2743.9829</v>
      </c>
      <c r="W57" s="851">
        <f>ROUND(+J$6*$F57,5)</f>
        <v>3512.2857</v>
      </c>
      <c r="X57" s="852">
        <f t="shared" si="50"/>
        <v>2835.36625</v>
      </c>
    </row>
    <row r="58" spans="1:24" ht="14.25" hidden="1">
      <c r="A58" s="194" t="s">
        <v>390</v>
      </c>
      <c r="B58" s="195" t="str">
        <f>VLOOKUP(A58,'APPVI VLOOKUP NAMES'!$A$2:$C$290,3,FALSE)</f>
        <v>Southwest Power Pool</v>
      </c>
      <c r="C58" s="198"/>
      <c r="D58" s="197">
        <v>4470066</v>
      </c>
      <c r="E58" s="198" t="s">
        <v>378</v>
      </c>
      <c r="F58" s="924"/>
      <c r="G58" s="200">
        <f t="shared" si="61"/>
        <v>0</v>
      </c>
      <c r="H58" s="175">
        <f t="shared" si="59"/>
        <v>0</v>
      </c>
      <c r="I58" s="175">
        <f t="shared" si="51"/>
        <v>0</v>
      </c>
      <c r="J58" s="175">
        <f t="shared" si="60"/>
        <v>0</v>
      </c>
      <c r="K58" s="175">
        <f t="shared" si="60"/>
        <v>0</v>
      </c>
      <c r="L58" s="226">
        <f>SUM(G58:K58)</f>
        <v>0</v>
      </c>
      <c r="M58" s="202">
        <f>IF($E58="02",$L58-G58,-G58)</f>
        <v>0</v>
      </c>
      <c r="N58" s="203">
        <f>IF($E58="03",$L58-H58,-H58)</f>
        <v>0</v>
      </c>
      <c r="O58" s="203">
        <f>IF($E58="04",$L58-I58,-I58)</f>
        <v>0</v>
      </c>
      <c r="P58" s="203">
        <f>IF($E58="07",$L58-J58,-J58)</f>
        <v>0</v>
      </c>
      <c r="Q58" s="203">
        <f>IF($E58="10",$L58-K58,-K58)</f>
        <v>0</v>
      </c>
      <c r="R58" s="204">
        <f>+Q58+P58+O58+N58+M58</f>
        <v>0</v>
      </c>
      <c r="T58" s="219">
        <f t="shared" si="46"/>
        <v>0</v>
      </c>
      <c r="U58" s="219">
        <f t="shared" si="47"/>
        <v>0</v>
      </c>
      <c r="V58" s="219">
        <f t="shared" si="48"/>
        <v>0</v>
      </c>
      <c r="W58" s="219">
        <f t="shared" si="49"/>
        <v>0</v>
      </c>
      <c r="X58" s="221">
        <f t="shared" si="50"/>
        <v>0</v>
      </c>
    </row>
    <row r="59" spans="1:24" ht="14.25" hidden="1">
      <c r="A59" s="194" t="s">
        <v>1168</v>
      </c>
      <c r="B59" s="195" t="str">
        <f>VLOOKUP(A59,'APPVI VLOOKUP NAMES'!$A$2:$C$290,3,FALSE)</f>
        <v>Split Rock Energy</v>
      </c>
      <c r="C59" s="198"/>
      <c r="D59" s="197">
        <v>4470066</v>
      </c>
      <c r="E59" s="198" t="s">
        <v>383</v>
      </c>
      <c r="F59" s="924"/>
      <c r="G59" s="200">
        <f t="shared" si="61"/>
        <v>0</v>
      </c>
      <c r="H59" s="175">
        <f t="shared" si="59"/>
        <v>0</v>
      </c>
      <c r="I59" s="175">
        <f t="shared" si="51"/>
        <v>0</v>
      </c>
      <c r="J59" s="175">
        <f t="shared" si="60"/>
        <v>0</v>
      </c>
      <c r="K59" s="175">
        <f t="shared" si="60"/>
        <v>0</v>
      </c>
      <c r="L59" s="226">
        <f>SUM(G59:K59)</f>
        <v>0</v>
      </c>
      <c r="M59" s="202">
        <f>IF($E59="02",$L59-G59,-G59)</f>
        <v>0</v>
      </c>
      <c r="N59" s="203">
        <f>IF($E59="03",$L59-H59,-H59)</f>
        <v>0</v>
      </c>
      <c r="O59" s="203">
        <f>IF($E59="04",$L59-I59,-I59)</f>
        <v>0</v>
      </c>
      <c r="P59" s="203">
        <f>IF($E59="07",$L59-J59,-J59)</f>
        <v>0</v>
      </c>
      <c r="Q59" s="203">
        <f>IF($E59="10",$L59-K59,-K59)</f>
        <v>0</v>
      </c>
      <c r="R59" s="204">
        <f>+Q59+P59+O59+N59+M59</f>
        <v>0</v>
      </c>
      <c r="T59" s="219">
        <f t="shared" si="46"/>
        <v>0</v>
      </c>
      <c r="U59" s="219">
        <f t="shared" si="47"/>
        <v>0</v>
      </c>
      <c r="V59" s="219">
        <f t="shared" si="48"/>
        <v>0</v>
      </c>
      <c r="W59" s="219">
        <f t="shared" si="49"/>
        <v>0</v>
      </c>
      <c r="X59" s="221">
        <f t="shared" si="50"/>
        <v>0</v>
      </c>
    </row>
    <row r="60" spans="1:24" ht="14.25" hidden="1">
      <c r="A60" s="253" t="s">
        <v>2135</v>
      </c>
      <c r="B60" s="195" t="str">
        <f>VLOOKUP(A60,'APPVI VLOOKUP NAMES'!$A$2:$C$290,3,FALSE)</f>
        <v>TECO Energy Source</v>
      </c>
      <c r="C60" s="198"/>
      <c r="D60" s="197">
        <v>4470066</v>
      </c>
      <c r="E60" s="198" t="s">
        <v>380</v>
      </c>
      <c r="F60" s="924"/>
      <c r="G60" s="200">
        <f t="shared" si="61"/>
        <v>0</v>
      </c>
      <c r="H60" s="175">
        <f t="shared" si="59"/>
        <v>0</v>
      </c>
      <c r="I60" s="175">
        <f t="shared" si="51"/>
        <v>0</v>
      </c>
      <c r="J60" s="175">
        <f t="shared" si="60"/>
        <v>0</v>
      </c>
      <c r="K60" s="175">
        <f t="shared" si="60"/>
        <v>0</v>
      </c>
      <c r="L60" s="226">
        <f t="shared" si="52"/>
        <v>0</v>
      </c>
      <c r="M60" s="202">
        <f t="shared" si="53"/>
        <v>0</v>
      </c>
      <c r="N60" s="203">
        <f t="shared" si="54"/>
        <v>0</v>
      </c>
      <c r="O60" s="203">
        <f t="shared" si="55"/>
        <v>0</v>
      </c>
      <c r="P60" s="203">
        <f t="shared" si="56"/>
        <v>0</v>
      </c>
      <c r="Q60" s="203">
        <f t="shared" si="57"/>
        <v>0</v>
      </c>
      <c r="R60" s="204">
        <f t="shared" si="58"/>
        <v>0</v>
      </c>
      <c r="T60" s="219">
        <f t="shared" si="46"/>
        <v>0</v>
      </c>
      <c r="U60" s="219">
        <f t="shared" si="47"/>
        <v>0</v>
      </c>
      <c r="V60" s="219">
        <f t="shared" si="48"/>
        <v>0</v>
      </c>
      <c r="W60" s="219">
        <f t="shared" si="49"/>
        <v>0</v>
      </c>
      <c r="X60" s="221">
        <f t="shared" si="50"/>
        <v>0</v>
      </c>
    </row>
    <row r="61" spans="1:24" ht="14.25">
      <c r="A61" s="194" t="s">
        <v>391</v>
      </c>
      <c r="B61" s="195" t="str">
        <f>VLOOKUP(A61,'APPVI VLOOKUP NAMES'!$A$2:$C$290,3,FALSE)</f>
        <v>TVA Bulk Power Trading</v>
      </c>
      <c r="C61" s="334"/>
      <c r="D61" s="197">
        <v>4470066</v>
      </c>
      <c r="E61" s="198" t="s">
        <v>378</v>
      </c>
      <c r="F61" s="924">
        <v>2468</v>
      </c>
      <c r="G61" s="439">
        <f>ROUND(+G$6*$F61,0)</f>
        <v>850</v>
      </c>
      <c r="H61" s="256">
        <f>ROUND(+H$6*$F61,0)</f>
        <v>171</v>
      </c>
      <c r="I61" s="256">
        <f>ROUND(+I$6*$F61,0)+1</f>
        <v>437</v>
      </c>
      <c r="J61" s="256">
        <f>ROUND(+J$6*$F61,0)</f>
        <v>559</v>
      </c>
      <c r="K61" s="256">
        <f>ROUND(+K$6*$F61,0)</f>
        <v>451</v>
      </c>
      <c r="L61" s="226">
        <f t="shared" si="52"/>
        <v>2468</v>
      </c>
      <c r="M61" s="202">
        <f t="shared" si="53"/>
        <v>-850</v>
      </c>
      <c r="N61" s="203">
        <f t="shared" si="54"/>
        <v>-171</v>
      </c>
      <c r="O61" s="203">
        <f t="shared" si="55"/>
        <v>-437</v>
      </c>
      <c r="P61" s="203">
        <f t="shared" si="56"/>
        <v>1909</v>
      </c>
      <c r="Q61" s="203">
        <f t="shared" si="57"/>
        <v>-451</v>
      </c>
      <c r="R61" s="204">
        <f t="shared" si="58"/>
        <v>0</v>
      </c>
      <c r="T61" s="219">
        <f aca="true" t="shared" si="62" ref="T61:X62">ROUND(+G$6*$F61,5)</f>
        <v>850.42344</v>
      </c>
      <c r="U61" s="219">
        <f t="shared" si="62"/>
        <v>171.35324</v>
      </c>
      <c r="V61" s="219">
        <f t="shared" si="62"/>
        <v>436.49048</v>
      </c>
      <c r="W61" s="219">
        <f t="shared" si="62"/>
        <v>558.70584</v>
      </c>
      <c r="X61" s="221">
        <f t="shared" si="62"/>
        <v>451.027</v>
      </c>
    </row>
    <row r="62" spans="1:24" ht="14.25" hidden="1">
      <c r="A62" s="194" t="s">
        <v>392</v>
      </c>
      <c r="B62" s="195" t="str">
        <f>VLOOKUP(A62,'APPVI VLOOKUP NAMES'!$A$2:$C$290,3,FALSE)</f>
        <v>Virginia Power Marketing</v>
      </c>
      <c r="C62" s="198"/>
      <c r="D62" s="197">
        <v>4470066</v>
      </c>
      <c r="E62" s="198" t="s">
        <v>380</v>
      </c>
      <c r="F62" s="199"/>
      <c r="G62" s="200">
        <f t="shared" si="61"/>
        <v>0</v>
      </c>
      <c r="H62" s="175">
        <f t="shared" si="59"/>
        <v>0</v>
      </c>
      <c r="I62" s="175">
        <f t="shared" si="51"/>
        <v>0</v>
      </c>
      <c r="J62" s="175">
        <f t="shared" si="60"/>
        <v>0</v>
      </c>
      <c r="K62" s="175">
        <f t="shared" si="60"/>
        <v>0</v>
      </c>
      <c r="L62" s="226">
        <f t="shared" si="52"/>
        <v>0</v>
      </c>
      <c r="M62" s="202">
        <f t="shared" si="53"/>
        <v>0</v>
      </c>
      <c r="N62" s="203">
        <f t="shared" si="54"/>
        <v>0</v>
      </c>
      <c r="O62" s="203">
        <f t="shared" si="55"/>
        <v>0</v>
      </c>
      <c r="P62" s="203">
        <f t="shared" si="56"/>
        <v>0</v>
      </c>
      <c r="Q62" s="203">
        <f t="shared" si="57"/>
        <v>0</v>
      </c>
      <c r="R62" s="204">
        <f t="shared" si="58"/>
        <v>0</v>
      </c>
      <c r="T62" s="224">
        <f t="shared" si="62"/>
        <v>0</v>
      </c>
      <c r="U62" s="224">
        <f t="shared" si="62"/>
        <v>0</v>
      </c>
      <c r="V62" s="224">
        <f t="shared" si="62"/>
        <v>0</v>
      </c>
      <c r="W62" s="224">
        <f t="shared" si="62"/>
        <v>0</v>
      </c>
      <c r="X62" s="225">
        <f t="shared" si="62"/>
        <v>0</v>
      </c>
    </row>
    <row r="63" spans="1:24" ht="14.25" hidden="1">
      <c r="A63" s="194" t="s">
        <v>768</v>
      </c>
      <c r="B63" s="195" t="e">
        <f>VLOOKUP(A63,'APPVI VLOOKUP NAMES'!$A$2:$C$290,3,FALSE)</f>
        <v>#N/A</v>
      </c>
      <c r="C63" s="334"/>
      <c r="D63" s="197">
        <v>4470066</v>
      </c>
      <c r="E63" s="198" t="s">
        <v>383</v>
      </c>
      <c r="F63" s="199"/>
      <c r="G63" s="200">
        <f t="shared" si="61"/>
        <v>0</v>
      </c>
      <c r="H63" s="175">
        <f t="shared" si="59"/>
        <v>0</v>
      </c>
      <c r="I63" s="175">
        <f t="shared" si="51"/>
        <v>0</v>
      </c>
      <c r="J63" s="175">
        <f t="shared" si="60"/>
        <v>0</v>
      </c>
      <c r="K63" s="175">
        <f t="shared" si="60"/>
        <v>0</v>
      </c>
      <c r="L63" s="226">
        <f>SUM(G63:K63)</f>
        <v>0</v>
      </c>
      <c r="M63" s="202">
        <f>IF($E63="02",$L63-G63,-G63)</f>
        <v>0</v>
      </c>
      <c r="N63" s="203">
        <f>IF($E63="03",$L63-H63,-H63)</f>
        <v>0</v>
      </c>
      <c r="O63" s="203">
        <f>IF($E63="04",$L63-I63,-I63)</f>
        <v>0</v>
      </c>
      <c r="P63" s="203">
        <f>IF($E63="07",$L63-J63,-J63)</f>
        <v>0</v>
      </c>
      <c r="Q63" s="203">
        <f>IF($E63="10",$L63-K63,-K63)</f>
        <v>0</v>
      </c>
      <c r="R63" s="204">
        <f>+Q63+P63+O63+N63+M63</f>
        <v>0</v>
      </c>
      <c r="T63" s="224">
        <f>ROUND(+G$6*$F63,5)</f>
        <v>0</v>
      </c>
      <c r="U63" s="224">
        <f>ROUND(+H$6*$F63,5)</f>
        <v>0</v>
      </c>
      <c r="V63" s="224">
        <f>ROUND(+I$6*$F63,5)</f>
        <v>0</v>
      </c>
      <c r="W63" s="224">
        <f>ROUND(+J$6*$F63,5)</f>
        <v>0</v>
      </c>
      <c r="X63" s="225">
        <f>ROUND(+K$6*$F63,5)</f>
        <v>0</v>
      </c>
    </row>
    <row r="64" spans="1:24" ht="14.25" hidden="1">
      <c r="A64" s="194" t="s">
        <v>768</v>
      </c>
      <c r="B64" s="195" t="e">
        <f>VLOOKUP(A64,'APPVI VLOOKUP NAMES'!$A$2:$C$290,3,FALSE)</f>
        <v>#N/A</v>
      </c>
      <c r="C64" s="334"/>
      <c r="D64" s="197">
        <v>4470066</v>
      </c>
      <c r="E64" s="198" t="s">
        <v>380</v>
      </c>
      <c r="F64" s="199"/>
      <c r="G64" s="200">
        <f t="shared" si="61"/>
        <v>0</v>
      </c>
      <c r="H64" s="175">
        <f t="shared" si="59"/>
        <v>0</v>
      </c>
      <c r="I64" s="175">
        <f t="shared" si="51"/>
        <v>0</v>
      </c>
      <c r="J64" s="175">
        <f t="shared" si="60"/>
        <v>0</v>
      </c>
      <c r="K64" s="175">
        <f t="shared" si="60"/>
        <v>0</v>
      </c>
      <c r="L64" s="226">
        <f>SUM(G64:K64)</f>
        <v>0</v>
      </c>
      <c r="M64" s="202">
        <f>IF($E64="02",$L64-G64,-G64)</f>
        <v>0</v>
      </c>
      <c r="N64" s="203">
        <f>IF($E64="03",$L64-H64,-H64)</f>
        <v>0</v>
      </c>
      <c r="O64" s="203">
        <f>IF($E64="04",$L64-I64,-I64)</f>
        <v>0</v>
      </c>
      <c r="P64" s="203">
        <f>IF($E64="07",$L64-J64,-J64)</f>
        <v>0</v>
      </c>
      <c r="Q64" s="203">
        <f>IF($E64="10",$L64-K64,-K64)</f>
        <v>0</v>
      </c>
      <c r="R64" s="204">
        <f>+Q64+P64+O64+N64+M64</f>
        <v>0</v>
      </c>
      <c r="T64" s="220"/>
      <c r="U64" s="220"/>
      <c r="V64" s="220"/>
      <c r="W64" s="220"/>
      <c r="X64" s="220"/>
    </row>
    <row r="65" spans="1:24" ht="14.25" hidden="1">
      <c r="A65" s="194" t="s">
        <v>768</v>
      </c>
      <c r="B65" s="195" t="e">
        <f>VLOOKUP(A65,'APPVI VLOOKUP NAMES'!$A$2:$C$290,3,FALSE)</f>
        <v>#N/A</v>
      </c>
      <c r="C65" s="334"/>
      <c r="D65" s="197">
        <v>4470066</v>
      </c>
      <c r="E65" s="198" t="s">
        <v>383</v>
      </c>
      <c r="F65" s="199"/>
      <c r="G65" s="200">
        <f t="shared" si="61"/>
        <v>0</v>
      </c>
      <c r="H65" s="175">
        <f t="shared" si="59"/>
        <v>0</v>
      </c>
      <c r="I65" s="175">
        <f t="shared" si="51"/>
        <v>0</v>
      </c>
      <c r="J65" s="175">
        <f t="shared" si="60"/>
        <v>0</v>
      </c>
      <c r="K65" s="175">
        <f t="shared" si="60"/>
        <v>0</v>
      </c>
      <c r="L65" s="226">
        <f>SUM(G65:K65)</f>
        <v>0</v>
      </c>
      <c r="M65" s="202">
        <f>IF($E65="02",$L65-G65,-G65)</f>
        <v>0</v>
      </c>
      <c r="N65" s="203">
        <f>IF($E65="03",$L65-H65,-H65)</f>
        <v>0</v>
      </c>
      <c r="O65" s="203">
        <f>IF($E65="04",$L65-I65,-I65)</f>
        <v>0</v>
      </c>
      <c r="P65" s="203">
        <f>IF($E65="07",$L65-J65,-J65)</f>
        <v>0</v>
      </c>
      <c r="Q65" s="203">
        <f>IF($E65="10",$L65-K65,-K65)</f>
        <v>0</v>
      </c>
      <c r="R65" s="204">
        <f>+Q65+P65+O65+N65+M65</f>
        <v>0</v>
      </c>
      <c r="T65" s="220"/>
      <c r="U65" s="220"/>
      <c r="V65" s="220"/>
      <c r="W65" s="220"/>
      <c r="X65" s="220"/>
    </row>
    <row r="66" spans="1:24" ht="12.75" hidden="1">
      <c r="A66" s="205"/>
      <c r="B66" s="197"/>
      <c r="C66" s="197"/>
      <c r="D66" s="197"/>
      <c r="E66" s="197"/>
      <c r="F66" s="206"/>
      <c r="G66" s="205"/>
      <c r="H66" s="197"/>
      <c r="I66" s="197"/>
      <c r="J66" s="197"/>
      <c r="K66" s="197"/>
      <c r="L66" s="228"/>
      <c r="M66" s="205"/>
      <c r="N66" s="197"/>
      <c r="O66" s="197"/>
      <c r="P66" s="197"/>
      <c r="Q66" s="197"/>
      <c r="R66" s="207"/>
      <c r="T66" s="220"/>
      <c r="U66" s="220"/>
      <c r="V66" s="220"/>
      <c r="W66" s="220"/>
      <c r="X66" s="220"/>
    </row>
    <row r="67" spans="1:24" ht="14.25" customHeight="1" hidden="1">
      <c r="A67" s="194" t="s">
        <v>416</v>
      </c>
      <c r="B67" s="195" t="str">
        <f>VLOOKUP(A67,'APPVI VLOOKUP NAMES'!$A$2:$C$290,3)</f>
        <v>Austin Energy</v>
      </c>
      <c r="C67" s="198" t="s">
        <v>1505</v>
      </c>
      <c r="D67" s="197">
        <f aca="true" t="shared" si="63" ref="D67:D81">IF(C67="(2)",4210020,4470066)</f>
        <v>4210020</v>
      </c>
      <c r="E67" s="198" t="s">
        <v>378</v>
      </c>
      <c r="F67" s="199"/>
      <c r="G67" s="200">
        <f aca="true" t="shared" si="64" ref="G67:K81">ROUND(+G$6*$F67,0)</f>
        <v>0</v>
      </c>
      <c r="H67" s="175">
        <f t="shared" si="64"/>
        <v>0</v>
      </c>
      <c r="I67" s="175">
        <f>ROUND(+I$6*$F67,0)</f>
        <v>0</v>
      </c>
      <c r="J67" s="175">
        <f>ROUND(+J$6*$F67,0)</f>
        <v>0</v>
      </c>
      <c r="K67" s="175">
        <f t="shared" si="64"/>
        <v>0</v>
      </c>
      <c r="L67" s="226">
        <f aca="true" t="shared" si="65" ref="L67:L81">SUM(G67:K67)</f>
        <v>0</v>
      </c>
      <c r="M67" s="202">
        <f aca="true" t="shared" si="66" ref="M67:M81">IF($E67="02",$L67-G67,-G67)</f>
        <v>0</v>
      </c>
      <c r="N67" s="203">
        <f aca="true" t="shared" si="67" ref="N67:N81">IF($E67="03",$L67-H67,-H67)</f>
        <v>0</v>
      </c>
      <c r="O67" s="203">
        <f aca="true" t="shared" si="68" ref="O67:O81">IF($E67="04",$L67-I67,-I67)</f>
        <v>0</v>
      </c>
      <c r="P67" s="203">
        <f aca="true" t="shared" si="69" ref="P67:P81">IF($E67="07",$L67-J67,-J67)</f>
        <v>0</v>
      </c>
      <c r="Q67" s="203">
        <f aca="true" t="shared" si="70" ref="Q67:Q81">IF($E67="10",$L67-K67,-K67)</f>
        <v>0</v>
      </c>
      <c r="R67" s="204">
        <f aca="true" t="shared" si="71" ref="R67:R81">+Q67+P67+O67+N67+M67</f>
        <v>0</v>
      </c>
      <c r="T67" s="223">
        <f aca="true" t="shared" si="72" ref="T67:X77">ROUND(+G$6*$F67,5)</f>
        <v>0</v>
      </c>
      <c r="U67" s="223">
        <f t="shared" si="72"/>
        <v>0</v>
      </c>
      <c r="V67" s="223">
        <f t="shared" si="72"/>
        <v>0</v>
      </c>
      <c r="W67" s="223">
        <f t="shared" si="72"/>
        <v>0</v>
      </c>
      <c r="X67" s="223">
        <f t="shared" si="72"/>
        <v>0</v>
      </c>
    </row>
    <row r="68" spans="1:24" ht="14.25" customHeight="1" hidden="1">
      <c r="A68" s="194" t="s">
        <v>393</v>
      </c>
      <c r="B68" s="195" t="str">
        <f>VLOOKUP(A68,'APPVI VLOOKUP NAMES'!$A$2:$C$290,3)</f>
        <v>Bonneville Power Admin</v>
      </c>
      <c r="C68" s="198" t="s">
        <v>1505</v>
      </c>
      <c r="D68" s="197">
        <f t="shared" si="63"/>
        <v>4210020</v>
      </c>
      <c r="E68" s="198" t="s">
        <v>378</v>
      </c>
      <c r="F68" s="199"/>
      <c r="G68" s="200">
        <f t="shared" si="64"/>
        <v>0</v>
      </c>
      <c r="H68" s="175">
        <f t="shared" si="64"/>
        <v>0</v>
      </c>
      <c r="I68" s="175">
        <f>ROUND(+I$6*$F68,0)</f>
        <v>0</v>
      </c>
      <c r="J68" s="175">
        <f>ROUND(+J$6*$F68,0)</f>
        <v>0</v>
      </c>
      <c r="K68" s="175">
        <f t="shared" si="64"/>
        <v>0</v>
      </c>
      <c r="L68" s="226">
        <f t="shared" si="65"/>
        <v>0</v>
      </c>
      <c r="M68" s="202">
        <f t="shared" si="66"/>
        <v>0</v>
      </c>
      <c r="N68" s="203">
        <f t="shared" si="67"/>
        <v>0</v>
      </c>
      <c r="O68" s="203">
        <f t="shared" si="68"/>
        <v>0</v>
      </c>
      <c r="P68" s="203">
        <f t="shared" si="69"/>
        <v>0</v>
      </c>
      <c r="Q68" s="203">
        <f t="shared" si="70"/>
        <v>0</v>
      </c>
      <c r="R68" s="204">
        <f t="shared" si="71"/>
        <v>0</v>
      </c>
      <c r="T68" s="221">
        <f t="shared" si="72"/>
        <v>0</v>
      </c>
      <c r="U68" s="221">
        <f t="shared" si="72"/>
        <v>0</v>
      </c>
      <c r="V68" s="221">
        <f t="shared" si="72"/>
        <v>0</v>
      </c>
      <c r="W68" s="221">
        <f t="shared" si="72"/>
        <v>0</v>
      </c>
      <c r="X68" s="221">
        <f t="shared" si="72"/>
        <v>0</v>
      </c>
    </row>
    <row r="69" spans="1:24" ht="14.25" customHeight="1" hidden="1">
      <c r="A69" s="194" t="s">
        <v>499</v>
      </c>
      <c r="B69" s="195" t="str">
        <f>VLOOKUP(A69,'APPVI VLOOKUP NAMES'!$A$2:$C$290,3)</f>
        <v>California ISO</v>
      </c>
      <c r="C69" s="198" t="s">
        <v>1505</v>
      </c>
      <c r="D69" s="197">
        <f t="shared" si="63"/>
        <v>4210020</v>
      </c>
      <c r="E69" s="198" t="s">
        <v>378</v>
      </c>
      <c r="F69" s="199"/>
      <c r="G69" s="200">
        <f>ROUND(+G$6*$F69,0)</f>
        <v>0</v>
      </c>
      <c r="H69" s="175">
        <f>ROUND(+H$6*$F69,0)</f>
        <v>0</v>
      </c>
      <c r="I69" s="175">
        <f t="shared" si="64"/>
        <v>0</v>
      </c>
      <c r="J69" s="175">
        <f t="shared" si="64"/>
        <v>0</v>
      </c>
      <c r="K69" s="175">
        <f>ROUND(+K$6*$F69,0)</f>
        <v>0</v>
      </c>
      <c r="L69" s="226">
        <f t="shared" si="65"/>
        <v>0</v>
      </c>
      <c r="M69" s="202">
        <f t="shared" si="66"/>
        <v>0</v>
      </c>
      <c r="N69" s="203">
        <f t="shared" si="67"/>
        <v>0</v>
      </c>
      <c r="O69" s="203">
        <f t="shared" si="68"/>
        <v>0</v>
      </c>
      <c r="P69" s="203">
        <f t="shared" si="69"/>
        <v>0</v>
      </c>
      <c r="Q69" s="203">
        <f t="shared" si="70"/>
        <v>0</v>
      </c>
      <c r="R69" s="204">
        <f t="shared" si="71"/>
        <v>0</v>
      </c>
      <c r="T69" s="221">
        <f>ROUND(+G$6*$F69,5)</f>
        <v>0</v>
      </c>
      <c r="U69" s="221">
        <f>ROUND(+H$6*$F69,5)</f>
        <v>0</v>
      </c>
      <c r="V69" s="221">
        <f>ROUND(+I$6*$F69,5)</f>
        <v>0</v>
      </c>
      <c r="W69" s="221">
        <f>ROUND(+J$6*$F69,5)</f>
        <v>0</v>
      </c>
      <c r="X69" s="221">
        <f>ROUND(+K$6*$F69,5)</f>
        <v>0</v>
      </c>
    </row>
    <row r="70" spans="1:24" ht="14.25" customHeight="1" hidden="1">
      <c r="A70" s="194" t="s">
        <v>492</v>
      </c>
      <c r="B70" s="195" t="str">
        <f>VLOOKUP(A70,'APPVI VLOOKUP NAMES'!$A$2:$C$290,3)</f>
        <v>Central Hudson Gas &amp; Electric Corp.</v>
      </c>
      <c r="C70" s="198" t="s">
        <v>1505</v>
      </c>
      <c r="D70" s="197">
        <f t="shared" si="63"/>
        <v>4210020</v>
      </c>
      <c r="E70" s="198" t="s">
        <v>378</v>
      </c>
      <c r="F70" s="199"/>
      <c r="G70" s="200">
        <f>ROUND(+G$6*$F70,0)</f>
        <v>0</v>
      </c>
      <c r="H70" s="175">
        <f t="shared" si="64"/>
        <v>0</v>
      </c>
      <c r="I70" s="175">
        <f>ROUND(+I$6*$F70,0)</f>
        <v>0</v>
      </c>
      <c r="J70" s="175">
        <f>ROUND(+J$6*$F70,0)</f>
        <v>0</v>
      </c>
      <c r="K70" s="175">
        <f>ROUND(+K$6*$F70,0)</f>
        <v>0</v>
      </c>
      <c r="L70" s="226">
        <f t="shared" si="65"/>
        <v>0</v>
      </c>
      <c r="M70" s="202">
        <f t="shared" si="66"/>
        <v>0</v>
      </c>
      <c r="N70" s="203">
        <f t="shared" si="67"/>
        <v>0</v>
      </c>
      <c r="O70" s="203">
        <f t="shared" si="68"/>
        <v>0</v>
      </c>
      <c r="P70" s="203">
        <f t="shared" si="69"/>
        <v>0</v>
      </c>
      <c r="Q70" s="203">
        <f t="shared" si="70"/>
        <v>0</v>
      </c>
      <c r="R70" s="204">
        <f t="shared" si="71"/>
        <v>0</v>
      </c>
      <c r="T70" s="221">
        <f t="shared" si="72"/>
        <v>0</v>
      </c>
      <c r="U70" s="221">
        <f t="shared" si="72"/>
        <v>0</v>
      </c>
      <c r="V70" s="221">
        <f t="shared" si="72"/>
        <v>0</v>
      </c>
      <c r="W70" s="221">
        <f t="shared" si="72"/>
        <v>0</v>
      </c>
      <c r="X70" s="221">
        <f t="shared" si="72"/>
        <v>0</v>
      </c>
    </row>
    <row r="71" spans="1:24" ht="14.25" customHeight="1" hidden="1">
      <c r="A71" s="194" t="s">
        <v>429</v>
      </c>
      <c r="B71" s="195" t="str">
        <f>VLOOKUP(A71,'APPVI VLOOKUP NAMES'!$A$2:$C$290,3)</f>
        <v>City of Anaheim</v>
      </c>
      <c r="C71" s="198" t="s">
        <v>1505</v>
      </c>
      <c r="D71" s="197">
        <f t="shared" si="63"/>
        <v>4210020</v>
      </c>
      <c r="E71" s="198" t="s">
        <v>378</v>
      </c>
      <c r="F71" s="199"/>
      <c r="G71" s="200">
        <f>ROUND(+G$6*$F71,0)</f>
        <v>0</v>
      </c>
      <c r="H71" s="175">
        <f>ROUND(+H$6*$F71,0)</f>
        <v>0</v>
      </c>
      <c r="I71" s="175">
        <f t="shared" si="64"/>
        <v>0</v>
      </c>
      <c r="J71" s="175">
        <f t="shared" si="64"/>
        <v>0</v>
      </c>
      <c r="K71" s="175">
        <f>ROUND(+K$6*$F71,0)</f>
        <v>0</v>
      </c>
      <c r="L71" s="226">
        <f t="shared" si="65"/>
        <v>0</v>
      </c>
      <c r="M71" s="202">
        <f t="shared" si="66"/>
        <v>0</v>
      </c>
      <c r="N71" s="203">
        <f t="shared" si="67"/>
        <v>0</v>
      </c>
      <c r="O71" s="203">
        <f t="shared" si="68"/>
        <v>0</v>
      </c>
      <c r="P71" s="203">
        <f t="shared" si="69"/>
        <v>0</v>
      </c>
      <c r="Q71" s="203">
        <f t="shared" si="70"/>
        <v>0</v>
      </c>
      <c r="R71" s="204">
        <f t="shared" si="71"/>
        <v>0</v>
      </c>
      <c r="T71" s="221">
        <f t="shared" si="72"/>
        <v>0</v>
      </c>
      <c r="U71" s="221">
        <f t="shared" si="72"/>
        <v>0</v>
      </c>
      <c r="V71" s="221">
        <f t="shared" si="72"/>
        <v>0</v>
      </c>
      <c r="W71" s="221">
        <f t="shared" si="72"/>
        <v>0</v>
      </c>
      <c r="X71" s="221">
        <f t="shared" si="72"/>
        <v>0</v>
      </c>
    </row>
    <row r="72" spans="1:24" ht="14.25" customHeight="1" hidden="1">
      <c r="A72" s="194" t="s">
        <v>488</v>
      </c>
      <c r="B72" s="195" t="str">
        <f>VLOOKUP(A72,'APPVI VLOOKUP NAMES'!$A$2:$C$290,3)</f>
        <v>ConEdison Company of New York</v>
      </c>
      <c r="C72" s="198" t="s">
        <v>1505</v>
      </c>
      <c r="D72" s="197">
        <f t="shared" si="63"/>
        <v>4210020</v>
      </c>
      <c r="E72" s="198" t="s">
        <v>378</v>
      </c>
      <c r="F72" s="199"/>
      <c r="G72" s="200">
        <f t="shared" si="64"/>
        <v>0</v>
      </c>
      <c r="H72" s="175">
        <f t="shared" si="64"/>
        <v>0</v>
      </c>
      <c r="I72" s="175">
        <f t="shared" si="64"/>
        <v>0</v>
      </c>
      <c r="J72" s="175">
        <f t="shared" si="64"/>
        <v>0</v>
      </c>
      <c r="K72" s="175">
        <f>ROUND(+K$6*$F72,0)</f>
        <v>0</v>
      </c>
      <c r="L72" s="226">
        <f t="shared" si="65"/>
        <v>0</v>
      </c>
      <c r="M72" s="202">
        <f t="shared" si="66"/>
        <v>0</v>
      </c>
      <c r="N72" s="203">
        <f t="shared" si="67"/>
        <v>0</v>
      </c>
      <c r="O72" s="203">
        <f t="shared" si="68"/>
        <v>0</v>
      </c>
      <c r="P72" s="203">
        <f t="shared" si="69"/>
        <v>0</v>
      </c>
      <c r="Q72" s="203">
        <f t="shared" si="70"/>
        <v>0</v>
      </c>
      <c r="R72" s="204">
        <f t="shared" si="71"/>
        <v>0</v>
      </c>
      <c r="T72" s="221">
        <f aca="true" t="shared" si="73" ref="T72:X73">ROUND(+G$6*$F72,5)</f>
        <v>0</v>
      </c>
      <c r="U72" s="221">
        <f t="shared" si="73"/>
        <v>0</v>
      </c>
      <c r="V72" s="221">
        <f t="shared" si="73"/>
        <v>0</v>
      </c>
      <c r="W72" s="221">
        <f t="shared" si="73"/>
        <v>0</v>
      </c>
      <c r="X72" s="221">
        <f t="shared" si="73"/>
        <v>0</v>
      </c>
    </row>
    <row r="73" spans="1:24" ht="14.25" customHeight="1" hidden="1">
      <c r="A73" s="194" t="s">
        <v>1982</v>
      </c>
      <c r="B73" s="195" t="str">
        <f>VLOOKUP(A73,'APPVI VLOOKUP NAMES'!$A$2:$C$290,3)</f>
        <v>Long Island Power Authority - KeySpan</v>
      </c>
      <c r="C73" s="198" t="s">
        <v>1505</v>
      </c>
      <c r="D73" s="197">
        <f t="shared" si="63"/>
        <v>4210020</v>
      </c>
      <c r="E73" s="264" t="s">
        <v>378</v>
      </c>
      <c r="F73" s="199"/>
      <c r="G73" s="200">
        <f t="shared" si="64"/>
        <v>0</v>
      </c>
      <c r="H73" s="175">
        <f>ROUND(+H$6*$F73,0)</f>
        <v>0</v>
      </c>
      <c r="I73" s="175">
        <f t="shared" si="64"/>
        <v>0</v>
      </c>
      <c r="J73" s="175">
        <f>ROUND(+J$6*$F73,0)</f>
        <v>0</v>
      </c>
      <c r="K73" s="175">
        <f>ROUND(+K$6*$F73,0)</f>
        <v>0</v>
      </c>
      <c r="L73" s="226">
        <f>SUM(G73:K73)</f>
        <v>0</v>
      </c>
      <c r="M73" s="202">
        <f>IF($E73="02",$L73-G73,-G73)</f>
        <v>0</v>
      </c>
      <c r="N73" s="203">
        <f>IF($E73="03",$L73-H73,-H73)</f>
        <v>0</v>
      </c>
      <c r="O73" s="203">
        <f>IF($E73="04",$L73-I73,-I73)</f>
        <v>0</v>
      </c>
      <c r="P73" s="203">
        <f>IF($E73="07",$L73-J73,-J73)</f>
        <v>0</v>
      </c>
      <c r="Q73" s="203">
        <f>IF($E73="10",$L73-K73,-K73)</f>
        <v>0</v>
      </c>
      <c r="R73" s="204">
        <f>+Q73+P73+O73+N73+M73</f>
        <v>0</v>
      </c>
      <c r="T73" s="221">
        <f t="shared" si="73"/>
        <v>0</v>
      </c>
      <c r="U73" s="221">
        <f t="shared" si="73"/>
        <v>0</v>
      </c>
      <c r="V73" s="221">
        <f t="shared" si="73"/>
        <v>0</v>
      </c>
      <c r="W73" s="221">
        <f t="shared" si="73"/>
        <v>0</v>
      </c>
      <c r="X73" s="221">
        <f t="shared" si="73"/>
        <v>0</v>
      </c>
    </row>
    <row r="74" spans="1:24" ht="14.25" customHeight="1" hidden="1">
      <c r="A74" s="194" t="s">
        <v>836</v>
      </c>
      <c r="B74" s="195" t="str">
        <f>VLOOKUP(A74,'APPVI VLOOKUP NAMES'!$A$2:$C$290,3)</f>
        <v>NYSEG Energy Trading</v>
      </c>
      <c r="C74" s="198" t="s">
        <v>1505</v>
      </c>
      <c r="D74" s="197">
        <f t="shared" si="63"/>
        <v>4210020</v>
      </c>
      <c r="E74" s="198" t="s">
        <v>378</v>
      </c>
      <c r="F74" s="199"/>
      <c r="G74" s="200">
        <f t="shared" si="64"/>
        <v>0</v>
      </c>
      <c r="H74" s="175">
        <f t="shared" si="64"/>
        <v>0</v>
      </c>
      <c r="I74" s="175">
        <f>ROUND(+I$6*$F74,0)</f>
        <v>0</v>
      </c>
      <c r="J74" s="175">
        <f t="shared" si="64"/>
        <v>0</v>
      </c>
      <c r="K74" s="175">
        <f t="shared" si="64"/>
        <v>0</v>
      </c>
      <c r="L74" s="201">
        <f t="shared" si="65"/>
        <v>0</v>
      </c>
      <c r="M74" s="202">
        <f t="shared" si="66"/>
        <v>0</v>
      </c>
      <c r="N74" s="203">
        <f t="shared" si="67"/>
        <v>0</v>
      </c>
      <c r="O74" s="203">
        <f t="shared" si="68"/>
        <v>0</v>
      </c>
      <c r="P74" s="203">
        <f t="shared" si="69"/>
        <v>0</v>
      </c>
      <c r="Q74" s="203">
        <f t="shared" si="70"/>
        <v>0</v>
      </c>
      <c r="R74" s="204">
        <f t="shared" si="71"/>
        <v>0</v>
      </c>
      <c r="T74" s="221">
        <f t="shared" si="72"/>
        <v>0</v>
      </c>
      <c r="U74" s="221">
        <f t="shared" si="72"/>
        <v>0</v>
      </c>
      <c r="V74" s="221">
        <f t="shared" si="72"/>
        <v>0</v>
      </c>
      <c r="W74" s="221">
        <f t="shared" si="72"/>
        <v>0</v>
      </c>
      <c r="X74" s="221">
        <f t="shared" si="72"/>
        <v>0</v>
      </c>
    </row>
    <row r="75" spans="1:24" ht="14.25" hidden="1">
      <c r="A75" s="194" t="s">
        <v>845</v>
      </c>
      <c r="B75" s="195" t="str">
        <f>VLOOKUP(A75,'APPVI VLOOKUP NAMES'!$A$2:$C$290,3)</f>
        <v>New York Power Authority</v>
      </c>
      <c r="C75" s="198" t="s">
        <v>1505</v>
      </c>
      <c r="D75" s="197">
        <f t="shared" si="63"/>
        <v>4210020</v>
      </c>
      <c r="E75" s="198" t="s">
        <v>378</v>
      </c>
      <c r="F75" s="199"/>
      <c r="G75" s="200">
        <f t="shared" si="64"/>
        <v>0</v>
      </c>
      <c r="H75" s="175">
        <f t="shared" si="64"/>
        <v>0</v>
      </c>
      <c r="I75" s="175">
        <f t="shared" si="64"/>
        <v>0</v>
      </c>
      <c r="J75" s="175">
        <f t="shared" si="64"/>
        <v>0</v>
      </c>
      <c r="K75" s="175">
        <f t="shared" si="64"/>
        <v>0</v>
      </c>
      <c r="L75" s="201">
        <f t="shared" si="65"/>
        <v>0</v>
      </c>
      <c r="M75" s="202">
        <f t="shared" si="66"/>
        <v>0</v>
      </c>
      <c r="N75" s="203">
        <f t="shared" si="67"/>
        <v>0</v>
      </c>
      <c r="O75" s="203">
        <f t="shared" si="68"/>
        <v>0</v>
      </c>
      <c r="P75" s="203">
        <f t="shared" si="69"/>
        <v>0</v>
      </c>
      <c r="Q75" s="203">
        <f t="shared" si="70"/>
        <v>0</v>
      </c>
      <c r="R75" s="204">
        <f t="shared" si="71"/>
        <v>0</v>
      </c>
      <c r="T75" s="221">
        <f t="shared" si="72"/>
        <v>0</v>
      </c>
      <c r="U75" s="221">
        <f t="shared" si="72"/>
        <v>0</v>
      </c>
      <c r="V75" s="221">
        <f t="shared" si="72"/>
        <v>0</v>
      </c>
      <c r="W75" s="221">
        <f t="shared" si="72"/>
        <v>0</v>
      </c>
      <c r="X75" s="221">
        <f t="shared" si="72"/>
        <v>0</v>
      </c>
    </row>
    <row r="76" spans="1:24" ht="14.25" customHeight="1" hidden="1">
      <c r="A76" s="194" t="s">
        <v>820</v>
      </c>
      <c r="B76" s="195" t="str">
        <f>VLOOKUP(A76,'APPVI VLOOKUP NAMES'!$A$2:$C$290,3)</f>
        <v>Niagra Mohawk</v>
      </c>
      <c r="C76" s="198" t="s">
        <v>1505</v>
      </c>
      <c r="D76" s="197">
        <f t="shared" si="63"/>
        <v>4210020</v>
      </c>
      <c r="E76" s="198" t="s">
        <v>378</v>
      </c>
      <c r="F76" s="199"/>
      <c r="G76" s="200">
        <f t="shared" si="64"/>
        <v>0</v>
      </c>
      <c r="H76" s="175">
        <f t="shared" si="64"/>
        <v>0</v>
      </c>
      <c r="I76" s="175">
        <f t="shared" si="64"/>
        <v>0</v>
      </c>
      <c r="J76" s="175">
        <f>ROUND(+J$6*$F76,0)</f>
        <v>0</v>
      </c>
      <c r="K76" s="175">
        <f>ROUND(+K$6*$F76,0)</f>
        <v>0</v>
      </c>
      <c r="L76" s="201">
        <f t="shared" si="65"/>
        <v>0</v>
      </c>
      <c r="M76" s="202">
        <f t="shared" si="66"/>
        <v>0</v>
      </c>
      <c r="N76" s="203">
        <f t="shared" si="67"/>
        <v>0</v>
      </c>
      <c r="O76" s="203">
        <f t="shared" si="68"/>
        <v>0</v>
      </c>
      <c r="P76" s="203">
        <f t="shared" si="69"/>
        <v>0</v>
      </c>
      <c r="Q76" s="203">
        <f t="shared" si="70"/>
        <v>0</v>
      </c>
      <c r="R76" s="204">
        <f t="shared" si="71"/>
        <v>0</v>
      </c>
      <c r="T76" s="221">
        <f>ROUND(+G$6*$F76,5)</f>
        <v>0</v>
      </c>
      <c r="U76" s="221">
        <f>ROUND(+H$6*$F76,5)</f>
        <v>0</v>
      </c>
      <c r="V76" s="221">
        <f>ROUND(+I$6*$F76,5)</f>
        <v>0</v>
      </c>
      <c r="W76" s="221">
        <f>ROUND(+J$6*$F76,5)</f>
        <v>0</v>
      </c>
      <c r="X76" s="221">
        <f>ROUND(+K$6*$F76,5)</f>
        <v>0</v>
      </c>
    </row>
    <row r="77" spans="1:24" ht="14.25" customHeight="1" hidden="1">
      <c r="A77" s="194" t="s">
        <v>934</v>
      </c>
      <c r="B77" s="195" t="str">
        <f>VLOOKUP(A77,'APPVI VLOOKUP NAMES'!$A$2:$C$290,3)</f>
        <v>City of Redding</v>
      </c>
      <c r="C77" s="198" t="s">
        <v>1505</v>
      </c>
      <c r="D77" s="197">
        <f t="shared" si="63"/>
        <v>4210020</v>
      </c>
      <c r="E77" s="198" t="s">
        <v>378</v>
      </c>
      <c r="F77" s="199"/>
      <c r="G77" s="200">
        <f t="shared" si="64"/>
        <v>0</v>
      </c>
      <c r="H77" s="175">
        <f t="shared" si="64"/>
        <v>0</v>
      </c>
      <c r="I77" s="175">
        <f t="shared" si="64"/>
        <v>0</v>
      </c>
      <c r="J77" s="175">
        <f t="shared" si="64"/>
        <v>0</v>
      </c>
      <c r="K77" s="175">
        <f t="shared" si="64"/>
        <v>0</v>
      </c>
      <c r="L77" s="201">
        <f t="shared" si="65"/>
        <v>0</v>
      </c>
      <c r="M77" s="202">
        <f t="shared" si="66"/>
        <v>0</v>
      </c>
      <c r="N77" s="203">
        <f t="shared" si="67"/>
        <v>0</v>
      </c>
      <c r="O77" s="203">
        <f t="shared" si="68"/>
        <v>0</v>
      </c>
      <c r="P77" s="203">
        <f t="shared" si="69"/>
        <v>0</v>
      </c>
      <c r="Q77" s="203">
        <f t="shared" si="70"/>
        <v>0</v>
      </c>
      <c r="R77" s="204">
        <f t="shared" si="71"/>
        <v>0</v>
      </c>
      <c r="T77" s="221">
        <f t="shared" si="72"/>
        <v>0</v>
      </c>
      <c r="U77" s="221">
        <f t="shared" si="72"/>
        <v>0</v>
      </c>
      <c r="V77" s="221">
        <f t="shared" si="72"/>
        <v>0</v>
      </c>
      <c r="W77" s="221">
        <f t="shared" si="72"/>
        <v>0</v>
      </c>
      <c r="X77" s="221">
        <f t="shared" si="72"/>
        <v>0</v>
      </c>
    </row>
    <row r="78" spans="1:24" ht="14.25" customHeight="1" hidden="1">
      <c r="A78" s="194" t="s">
        <v>1028</v>
      </c>
      <c r="B78" s="195" t="str">
        <f>VLOOKUP(A78,'APPVI VLOOKUP NAMES'!$A$2:$C$290,3)</f>
        <v>Sempra Energy Trading</v>
      </c>
      <c r="C78" s="198" t="s">
        <v>1505</v>
      </c>
      <c r="D78" s="197">
        <f t="shared" si="63"/>
        <v>4210020</v>
      </c>
      <c r="E78" s="198" t="s">
        <v>378</v>
      </c>
      <c r="F78" s="199"/>
      <c r="G78" s="200">
        <f t="shared" si="64"/>
        <v>0</v>
      </c>
      <c r="H78" s="175">
        <f t="shared" si="64"/>
        <v>0</v>
      </c>
      <c r="I78" s="175">
        <f t="shared" si="64"/>
        <v>0</v>
      </c>
      <c r="J78" s="175">
        <f t="shared" si="64"/>
        <v>0</v>
      </c>
      <c r="K78" s="175">
        <f t="shared" si="64"/>
        <v>0</v>
      </c>
      <c r="L78" s="201">
        <f t="shared" si="65"/>
        <v>0</v>
      </c>
      <c r="M78" s="202">
        <f t="shared" si="66"/>
        <v>0</v>
      </c>
      <c r="N78" s="203">
        <f t="shared" si="67"/>
        <v>0</v>
      </c>
      <c r="O78" s="203">
        <f t="shared" si="68"/>
        <v>0</v>
      </c>
      <c r="P78" s="203">
        <f t="shared" si="69"/>
        <v>0</v>
      </c>
      <c r="Q78" s="203">
        <f t="shared" si="70"/>
        <v>0</v>
      </c>
      <c r="R78" s="204">
        <f t="shared" si="71"/>
        <v>0</v>
      </c>
      <c r="T78" s="221">
        <f aca="true" t="shared" si="74" ref="T78:X80">ROUND(+G$6*$F78,5)</f>
        <v>0</v>
      </c>
      <c r="U78" s="221">
        <f t="shared" si="74"/>
        <v>0</v>
      </c>
      <c r="V78" s="221">
        <f t="shared" si="74"/>
        <v>0</v>
      </c>
      <c r="W78" s="221">
        <f t="shared" si="74"/>
        <v>0</v>
      </c>
      <c r="X78" s="221">
        <f t="shared" si="74"/>
        <v>0</v>
      </c>
    </row>
    <row r="79" spans="1:24" ht="14.25" customHeight="1" hidden="1">
      <c r="A79" s="194" t="s">
        <v>1072</v>
      </c>
      <c r="B79" s="195" t="str">
        <f>VLOOKUP(A79,'APPVI VLOOKUP NAMES'!$A$2:$C$290,3)</f>
        <v>Sierra Pacific Power Corp</v>
      </c>
      <c r="C79" s="198" t="s">
        <v>1505</v>
      </c>
      <c r="D79" s="197">
        <f t="shared" si="63"/>
        <v>4210020</v>
      </c>
      <c r="E79" s="198" t="s">
        <v>378</v>
      </c>
      <c r="F79" s="199"/>
      <c r="G79" s="200">
        <f t="shared" si="64"/>
        <v>0</v>
      </c>
      <c r="H79" s="175">
        <f t="shared" si="64"/>
        <v>0</v>
      </c>
      <c r="I79" s="175">
        <f t="shared" si="64"/>
        <v>0</v>
      </c>
      <c r="J79" s="175">
        <f t="shared" si="64"/>
        <v>0</v>
      </c>
      <c r="K79" s="175">
        <f t="shared" si="64"/>
        <v>0</v>
      </c>
      <c r="L79" s="201">
        <f t="shared" si="65"/>
        <v>0</v>
      </c>
      <c r="M79" s="202">
        <f t="shared" si="66"/>
        <v>0</v>
      </c>
      <c r="N79" s="203">
        <f t="shared" si="67"/>
        <v>0</v>
      </c>
      <c r="O79" s="203">
        <f t="shared" si="68"/>
        <v>0</v>
      </c>
      <c r="P79" s="203">
        <f t="shared" si="69"/>
        <v>0</v>
      </c>
      <c r="Q79" s="203">
        <f t="shared" si="70"/>
        <v>0</v>
      </c>
      <c r="R79" s="204">
        <f t="shared" si="71"/>
        <v>0</v>
      </c>
      <c r="T79" s="221">
        <f t="shared" si="74"/>
        <v>0</v>
      </c>
      <c r="U79" s="221">
        <f t="shared" si="74"/>
        <v>0</v>
      </c>
      <c r="V79" s="221">
        <f t="shared" si="74"/>
        <v>0</v>
      </c>
      <c r="W79" s="221">
        <f t="shared" si="74"/>
        <v>0</v>
      </c>
      <c r="X79" s="221">
        <f t="shared" si="74"/>
        <v>0</v>
      </c>
    </row>
    <row r="80" spans="1:24" ht="14.25" customHeight="1" hidden="1">
      <c r="A80" s="194" t="s">
        <v>1076</v>
      </c>
      <c r="B80" s="195" t="str">
        <f>VLOOKUP(A80,'APPVI VLOOKUP NAMES'!$A$2:$C$290,3)</f>
        <v>Salt River Project-Power Mktg</v>
      </c>
      <c r="C80" s="198" t="s">
        <v>1505</v>
      </c>
      <c r="D80" s="197">
        <f t="shared" si="63"/>
        <v>4210020</v>
      </c>
      <c r="E80" s="198" t="s">
        <v>378</v>
      </c>
      <c r="F80" s="199"/>
      <c r="G80" s="200">
        <f t="shared" si="64"/>
        <v>0</v>
      </c>
      <c r="H80" s="175">
        <f t="shared" si="64"/>
        <v>0</v>
      </c>
      <c r="I80" s="175">
        <f t="shared" si="64"/>
        <v>0</v>
      </c>
      <c r="J80" s="175">
        <f t="shared" si="64"/>
        <v>0</v>
      </c>
      <c r="K80" s="175">
        <f t="shared" si="64"/>
        <v>0</v>
      </c>
      <c r="L80" s="201">
        <f t="shared" si="65"/>
        <v>0</v>
      </c>
      <c r="M80" s="202">
        <f t="shared" si="66"/>
        <v>0</v>
      </c>
      <c r="N80" s="203">
        <f t="shared" si="67"/>
        <v>0</v>
      </c>
      <c r="O80" s="203">
        <f t="shared" si="68"/>
        <v>0</v>
      </c>
      <c r="P80" s="203">
        <f t="shared" si="69"/>
        <v>0</v>
      </c>
      <c r="Q80" s="203">
        <f t="shared" si="70"/>
        <v>0</v>
      </c>
      <c r="R80" s="204">
        <f t="shared" si="71"/>
        <v>0</v>
      </c>
      <c r="T80" s="221">
        <f t="shared" si="74"/>
        <v>0</v>
      </c>
      <c r="U80" s="221">
        <f t="shared" si="74"/>
        <v>0</v>
      </c>
      <c r="V80" s="221">
        <f t="shared" si="74"/>
        <v>0</v>
      </c>
      <c r="W80" s="221">
        <f t="shared" si="74"/>
        <v>0</v>
      </c>
      <c r="X80" s="221">
        <f t="shared" si="74"/>
        <v>0</v>
      </c>
    </row>
    <row r="81" spans="1:24" ht="14.25" customHeight="1" hidden="1">
      <c r="A81" s="194" t="s">
        <v>1214</v>
      </c>
      <c r="B81" s="195" t="str">
        <f>VLOOKUP(A81,'APPVI VLOOKUP NAMES'!$A$2:$C$290,3)</f>
        <v>Western Resources Gen Svcs</v>
      </c>
      <c r="C81" s="198" t="s">
        <v>1505</v>
      </c>
      <c r="D81" s="197">
        <f t="shared" si="63"/>
        <v>4210020</v>
      </c>
      <c r="E81" s="198" t="s">
        <v>378</v>
      </c>
      <c r="F81" s="199"/>
      <c r="G81" s="200">
        <f t="shared" si="64"/>
        <v>0</v>
      </c>
      <c r="H81" s="175">
        <f t="shared" si="64"/>
        <v>0</v>
      </c>
      <c r="I81" s="175">
        <f t="shared" si="64"/>
        <v>0</v>
      </c>
      <c r="J81" s="175">
        <f t="shared" si="64"/>
        <v>0</v>
      </c>
      <c r="K81" s="175">
        <f t="shared" si="64"/>
        <v>0</v>
      </c>
      <c r="L81" s="201">
        <f t="shared" si="65"/>
        <v>0</v>
      </c>
      <c r="M81" s="202">
        <f t="shared" si="66"/>
        <v>0</v>
      </c>
      <c r="N81" s="203">
        <f t="shared" si="67"/>
        <v>0</v>
      </c>
      <c r="O81" s="203">
        <f t="shared" si="68"/>
        <v>0</v>
      </c>
      <c r="P81" s="203">
        <f t="shared" si="69"/>
        <v>0</v>
      </c>
      <c r="Q81" s="203">
        <f t="shared" si="70"/>
        <v>0</v>
      </c>
      <c r="R81" s="204">
        <f t="shared" si="71"/>
        <v>0</v>
      </c>
      <c r="T81" s="225">
        <f>ROUND(+G$6*$F81,5)</f>
        <v>0</v>
      </c>
      <c r="U81" s="225">
        <f>ROUND(+H$6*$F81,5)</f>
        <v>0</v>
      </c>
      <c r="V81" s="225">
        <f>ROUND(+I$6*$F81,5)</f>
        <v>0</v>
      </c>
      <c r="W81" s="225">
        <f>ROUND(+J$6*$F81,5)</f>
        <v>0</v>
      </c>
      <c r="X81" s="225">
        <f>ROUND(+K$6*$F81,5)</f>
        <v>0</v>
      </c>
    </row>
    <row r="82" spans="1:18" ht="12.75">
      <c r="A82" s="208"/>
      <c r="B82" s="209"/>
      <c r="C82" s="209"/>
      <c r="D82" s="209"/>
      <c r="E82" s="209"/>
      <c r="F82" s="210"/>
      <c r="G82" s="208"/>
      <c r="H82" s="209"/>
      <c r="I82" s="209"/>
      <c r="J82" s="209"/>
      <c r="K82" s="209"/>
      <c r="L82" s="211"/>
      <c r="M82" s="208"/>
      <c r="N82" s="209"/>
      <c r="O82" s="209"/>
      <c r="P82" s="209"/>
      <c r="Q82" s="209"/>
      <c r="R82" s="211"/>
    </row>
    <row r="83" spans="2:6" ht="14.25">
      <c r="B83" s="279"/>
      <c r="F83" s="213"/>
    </row>
    <row r="84" spans="2:6" ht="14.25">
      <c r="B84" s="547"/>
      <c r="F84" s="213"/>
    </row>
    <row r="85" spans="1:18" ht="14.25">
      <c r="A85" s="176"/>
      <c r="B85" s="171"/>
      <c r="C85" s="432" t="s">
        <v>1849</v>
      </c>
      <c r="D85" s="432"/>
      <c r="E85" s="921"/>
      <c r="F85" s="921"/>
      <c r="G85" s="424"/>
      <c r="H85" s="424"/>
      <c r="I85" s="424"/>
      <c r="J85" s="922"/>
      <c r="K85" s="922"/>
      <c r="L85" s="922"/>
      <c r="M85" s="174"/>
      <c r="O85" s="174"/>
      <c r="P85" s="175"/>
      <c r="R85" s="217"/>
    </row>
    <row r="86" spans="1:18" ht="14.25">
      <c r="A86" s="176"/>
      <c r="B86" s="171"/>
      <c r="C86" s="432"/>
      <c r="D86" s="432"/>
      <c r="E86" s="921"/>
      <c r="F86" s="921"/>
      <c r="G86" s="424"/>
      <c r="H86" s="424"/>
      <c r="I86" s="424"/>
      <c r="J86" s="922"/>
      <c r="K86" s="922"/>
      <c r="L86" s="922"/>
      <c r="M86" s="922"/>
      <c r="N86" s="175"/>
      <c r="O86" s="174"/>
      <c r="P86" s="175"/>
      <c r="Q86" s="174"/>
      <c r="R86" s="212"/>
    </row>
    <row r="87" spans="8:17" ht="15" thickBot="1">
      <c r="H87" s="178"/>
      <c r="I87" s="172"/>
      <c r="J87" s="177"/>
      <c r="K87" s="177"/>
      <c r="L87" s="177"/>
      <c r="M87" s="179"/>
      <c r="N87" s="180"/>
      <c r="O87" s="179"/>
      <c r="P87" s="180"/>
      <c r="Q87" s="179"/>
    </row>
    <row r="88" spans="1:15" ht="14.25">
      <c r="A88" s="181"/>
      <c r="B88" s="173"/>
      <c r="C88" s="173"/>
      <c r="D88" s="173"/>
      <c r="E88" s="173"/>
      <c r="F88" s="173"/>
      <c r="G88" s="182" t="s">
        <v>1752</v>
      </c>
      <c r="H88" s="183"/>
      <c r="I88" s="184"/>
      <c r="J88" s="183"/>
      <c r="K88" s="183"/>
      <c r="L88" s="185"/>
      <c r="O88" s="186" t="s">
        <v>368</v>
      </c>
    </row>
    <row r="89" spans="1:24" ht="15" thickBot="1">
      <c r="A89" s="187" t="s">
        <v>369</v>
      </c>
      <c r="B89" s="186"/>
      <c r="C89" s="186"/>
      <c r="D89" s="186"/>
      <c r="E89" s="186" t="s">
        <v>370</v>
      </c>
      <c r="F89" s="188" t="s">
        <v>1343</v>
      </c>
      <c r="G89" s="189">
        <f>INPUT!C5</f>
        <v>0.34458</v>
      </c>
      <c r="H89" s="189">
        <f>INPUT!C6</f>
        <v>0.06943</v>
      </c>
      <c r="I89" s="189">
        <f>INPUT!C7</f>
        <v>0.17686</v>
      </c>
      <c r="J89" s="189">
        <f>INPUT!C8</f>
        <v>0.22638</v>
      </c>
      <c r="K89" s="189">
        <f>INPUT!C9</f>
        <v>0.18275</v>
      </c>
      <c r="L89" s="190">
        <f>SUM(G89:K89)</f>
        <v>1</v>
      </c>
      <c r="M89" s="188"/>
      <c r="N89" s="188"/>
      <c r="O89" s="188"/>
      <c r="P89" s="188"/>
      <c r="Q89" s="188"/>
      <c r="R89" s="188"/>
      <c r="S89" s="186"/>
      <c r="T89" s="186"/>
      <c r="U89" s="186"/>
      <c r="V89" s="186"/>
      <c r="W89" s="186"/>
      <c r="X89" s="186"/>
    </row>
    <row r="90" spans="1:24" ht="14.25">
      <c r="A90" s="187" t="s">
        <v>371</v>
      </c>
      <c r="B90" s="187" t="s">
        <v>372</v>
      </c>
      <c r="C90" s="187"/>
      <c r="D90" s="187" t="s">
        <v>373</v>
      </c>
      <c r="E90" s="187" t="s">
        <v>374</v>
      </c>
      <c r="F90" s="187" t="s">
        <v>375</v>
      </c>
      <c r="G90" s="187" t="s">
        <v>1239</v>
      </c>
      <c r="H90" s="187" t="s">
        <v>1240</v>
      </c>
      <c r="I90" s="187" t="s">
        <v>1241</v>
      </c>
      <c r="J90" s="187" t="s">
        <v>1242</v>
      </c>
      <c r="K90" s="187" t="s">
        <v>1243</v>
      </c>
      <c r="L90" s="191" t="s">
        <v>367</v>
      </c>
      <c r="M90" s="187" t="s">
        <v>1239</v>
      </c>
      <c r="N90" s="187" t="s">
        <v>1240</v>
      </c>
      <c r="O90" s="187" t="s">
        <v>1241</v>
      </c>
      <c r="P90" s="187" t="s">
        <v>1242</v>
      </c>
      <c r="Q90" s="187" t="s">
        <v>1243</v>
      </c>
      <c r="R90" s="191" t="s">
        <v>2128</v>
      </c>
      <c r="S90" s="187"/>
      <c r="T90" s="187"/>
      <c r="U90" s="187"/>
      <c r="V90" s="187"/>
      <c r="W90" s="187"/>
      <c r="X90" s="187"/>
    </row>
    <row r="91" spans="1:24" ht="14.25">
      <c r="A91" s="192"/>
      <c r="B91" s="192" t="s">
        <v>376</v>
      </c>
      <c r="C91" s="192"/>
      <c r="D91" s="192"/>
      <c r="E91" s="192"/>
      <c r="F91" s="193">
        <f aca="true" t="shared" si="75" ref="F91:R91">SUM(F92:F101)</f>
        <v>-110520</v>
      </c>
      <c r="G91" s="866">
        <f t="shared" si="75"/>
        <v>-38083</v>
      </c>
      <c r="H91" s="866">
        <f t="shared" si="75"/>
        <v>-7673</v>
      </c>
      <c r="I91" s="866">
        <f t="shared" si="75"/>
        <v>-19547</v>
      </c>
      <c r="J91" s="866">
        <f t="shared" si="75"/>
        <v>-25019</v>
      </c>
      <c r="K91" s="866">
        <f t="shared" si="75"/>
        <v>-20198</v>
      </c>
      <c r="L91" s="866">
        <f t="shared" si="75"/>
        <v>-110520</v>
      </c>
      <c r="M91" s="193">
        <f t="shared" si="75"/>
        <v>38083</v>
      </c>
      <c r="N91" s="193">
        <f t="shared" si="75"/>
        <v>7673</v>
      </c>
      <c r="O91" s="193">
        <f t="shared" si="75"/>
        <v>19547</v>
      </c>
      <c r="P91" s="193">
        <f t="shared" si="75"/>
        <v>-85501</v>
      </c>
      <c r="Q91" s="193">
        <f t="shared" si="75"/>
        <v>20198</v>
      </c>
      <c r="R91" s="193">
        <f t="shared" si="75"/>
        <v>0</v>
      </c>
      <c r="S91" s="187"/>
      <c r="T91" s="187"/>
      <c r="U91" s="187"/>
      <c r="V91" s="187"/>
      <c r="W91" s="187"/>
      <c r="X91" s="187"/>
    </row>
    <row r="92" spans="1:18" ht="12.75">
      <c r="A92" s="254" t="s">
        <v>227</v>
      </c>
      <c r="B92" s="257"/>
      <c r="C92" s="257"/>
      <c r="D92" s="257"/>
      <c r="E92" s="257"/>
      <c r="F92" s="257"/>
      <c r="G92" s="254"/>
      <c r="H92" s="257"/>
      <c r="I92" s="257"/>
      <c r="J92" s="257"/>
      <c r="K92" s="257"/>
      <c r="L92" s="257"/>
      <c r="M92" s="254"/>
      <c r="N92" s="257"/>
      <c r="O92" s="257"/>
      <c r="P92" s="257"/>
      <c r="Q92" s="257"/>
      <c r="R92" s="262"/>
    </row>
    <row r="93" spans="1:24" ht="14.25">
      <c r="A93" s="194"/>
      <c r="B93" s="195"/>
      <c r="C93" s="198"/>
      <c r="D93" s="197"/>
      <c r="E93" s="198"/>
      <c r="F93" s="255"/>
      <c r="G93" s="200"/>
      <c r="H93" s="175"/>
      <c r="I93" s="175"/>
      <c r="J93" s="175"/>
      <c r="K93" s="175"/>
      <c r="L93" s="175"/>
      <c r="M93" s="202"/>
      <c r="N93" s="203"/>
      <c r="O93" s="203"/>
      <c r="P93" s="203"/>
      <c r="Q93" s="203"/>
      <c r="R93" s="204"/>
      <c r="T93" s="222"/>
      <c r="U93" s="222"/>
      <c r="V93" s="222"/>
      <c r="W93" s="222"/>
      <c r="X93" s="223"/>
    </row>
    <row r="94" spans="1:24" ht="14.25" hidden="1">
      <c r="A94" s="194" t="s">
        <v>315</v>
      </c>
      <c r="B94" s="195" t="str">
        <f>VLOOKUP(A94,'APPVI VLOOKUP NAMES'!$A$2:$C$290,3)</f>
        <v>Cleveland Public Power</v>
      </c>
      <c r="C94" s="334" t="s">
        <v>1505</v>
      </c>
      <c r="D94" s="197">
        <v>4470066</v>
      </c>
      <c r="E94" s="198" t="s">
        <v>378</v>
      </c>
      <c r="F94" s="199"/>
      <c r="G94" s="200">
        <f>ROUND(+G$6*$F94,0)</f>
        <v>0</v>
      </c>
      <c r="H94" s="175">
        <f>ROUND(+H$6*$F94,0)</f>
        <v>0</v>
      </c>
      <c r="I94" s="175">
        <f>ROUND(+I$6*$F94,0)</f>
        <v>0</v>
      </c>
      <c r="J94" s="175">
        <f>ROUND(+J$6*$F94,0)</f>
        <v>0</v>
      </c>
      <c r="K94" s="175">
        <f>ROUND(+K$6*$F94,0)</f>
        <v>0</v>
      </c>
      <c r="L94" s="226">
        <f>SUM(G94:K94)</f>
        <v>0</v>
      </c>
      <c r="M94" s="202">
        <f>IF($E94="02",$L94-G94,-G94)</f>
        <v>0</v>
      </c>
      <c r="N94" s="203">
        <f>IF($E94="03",$L94-H94,-H94)</f>
        <v>0</v>
      </c>
      <c r="O94" s="203">
        <f>IF($E94="04",$L94-I94,-I94)</f>
        <v>0</v>
      </c>
      <c r="P94" s="203">
        <f>IF($E94="07",$L94-J94,-J94)</f>
        <v>0</v>
      </c>
      <c r="Q94" s="203">
        <f>IF($E94="10",$L94-K94,-K94)</f>
        <v>0</v>
      </c>
      <c r="R94" s="204">
        <f>+Q94+P94+O94+N94+M94</f>
        <v>0</v>
      </c>
      <c r="T94" s="224">
        <f aca="true" t="shared" si="76" ref="T94:X96">ROUND(+G$6*$F94,5)</f>
        <v>0</v>
      </c>
      <c r="U94" s="224">
        <f t="shared" si="76"/>
        <v>0</v>
      </c>
      <c r="V94" s="224">
        <f t="shared" si="76"/>
        <v>0</v>
      </c>
      <c r="W94" s="224">
        <f t="shared" si="76"/>
        <v>0</v>
      </c>
      <c r="X94" s="225">
        <f t="shared" si="76"/>
        <v>0</v>
      </c>
    </row>
    <row r="95" spans="1:24" ht="14.25" hidden="1">
      <c r="A95" s="194" t="s">
        <v>315</v>
      </c>
      <c r="B95" s="195" t="str">
        <f>VLOOKUP(A95,'APPVI VLOOKUP NAMES'!$A$2:$C$290,3)</f>
        <v>Cleveland Public Power</v>
      </c>
      <c r="C95" s="334"/>
      <c r="D95" s="197">
        <v>4470066</v>
      </c>
      <c r="E95" s="198" t="s">
        <v>378</v>
      </c>
      <c r="F95" s="199"/>
      <c r="G95" s="200">
        <f aca="true" t="shared" si="77" ref="G95:H98">ROUND(+G$6*$F95,0)</f>
        <v>0</v>
      </c>
      <c r="H95" s="175">
        <f t="shared" si="77"/>
        <v>0</v>
      </c>
      <c r="I95" s="175">
        <f aca="true" t="shared" si="78" ref="I95:K98">ROUND(+I$6*$F95,0)</f>
        <v>0</v>
      </c>
      <c r="J95" s="175">
        <f t="shared" si="78"/>
        <v>0</v>
      </c>
      <c r="K95" s="175">
        <f t="shared" si="78"/>
        <v>0</v>
      </c>
      <c r="L95" s="226">
        <f>SUM(G95:K95)</f>
        <v>0</v>
      </c>
      <c r="M95" s="202">
        <f>IF($E95="02",$L95-G95,-G95)</f>
        <v>0</v>
      </c>
      <c r="N95" s="203">
        <f>IF($E95="03",$L95-H95,-H95)</f>
        <v>0</v>
      </c>
      <c r="O95" s="203">
        <f>IF($E95="04",$L95-I95,-I95)</f>
        <v>0</v>
      </c>
      <c r="P95" s="203">
        <f>IF($E95="07",$L95-J95,-J95)</f>
        <v>0</v>
      </c>
      <c r="Q95" s="203">
        <f>IF($E95="10",$L95-K95,-K95)</f>
        <v>0</v>
      </c>
      <c r="R95" s="204">
        <f>+Q95+P95+O95+N95+M95</f>
        <v>0</v>
      </c>
      <c r="T95" s="224">
        <f t="shared" si="76"/>
        <v>0</v>
      </c>
      <c r="U95" s="224">
        <f t="shared" si="76"/>
        <v>0</v>
      </c>
      <c r="V95" s="224">
        <f t="shared" si="76"/>
        <v>0</v>
      </c>
      <c r="W95" s="224">
        <f t="shared" si="76"/>
        <v>0</v>
      </c>
      <c r="X95" s="225">
        <f t="shared" si="76"/>
        <v>0</v>
      </c>
    </row>
    <row r="96" spans="1:24" ht="14.25">
      <c r="A96" s="194" t="s">
        <v>111</v>
      </c>
      <c r="B96" s="195" t="s">
        <v>112</v>
      </c>
      <c r="C96" s="334" t="s">
        <v>1505</v>
      </c>
      <c r="D96" s="197">
        <v>4470066</v>
      </c>
      <c r="E96" s="198" t="s">
        <v>378</v>
      </c>
      <c r="F96" s="199">
        <f>-1866-108654</f>
        <v>-110520</v>
      </c>
      <c r="G96" s="200">
        <f>ROUND(+G$6*$F96,0)</f>
        <v>-38083</v>
      </c>
      <c r="H96" s="175">
        <f>ROUND(+H$6*$F96,0)</f>
        <v>-7673</v>
      </c>
      <c r="I96" s="175">
        <f>ROUND(+I$6*$F96,0)</f>
        <v>-19547</v>
      </c>
      <c r="J96" s="175">
        <f>ROUND(+J$6*$F96,0)+1</f>
        <v>-25019</v>
      </c>
      <c r="K96" s="175">
        <f>ROUND(+K$6*$F96,0)</f>
        <v>-20198</v>
      </c>
      <c r="L96" s="226">
        <f>SUM(G96:K96)</f>
        <v>-110520</v>
      </c>
      <c r="M96" s="202">
        <f>IF($E96="02",$L96-G96,-G96)</f>
        <v>38083</v>
      </c>
      <c r="N96" s="203">
        <f>IF($E96="03",$L96-H96,-H96)</f>
        <v>7673</v>
      </c>
      <c r="O96" s="203">
        <f>IF($E96="04",$L96-I96,-I96)</f>
        <v>19547</v>
      </c>
      <c r="P96" s="203">
        <f>IF($E96="07",$L96-J96,-J96)</f>
        <v>-85501</v>
      </c>
      <c r="Q96" s="203">
        <f>IF($E96="10",$L96-K96,-K96)</f>
        <v>20198</v>
      </c>
      <c r="R96" s="204">
        <f>+Q96+P96+O96+N96+M96</f>
        <v>0</v>
      </c>
      <c r="T96" s="224">
        <f t="shared" si="76"/>
        <v>-38082.9816</v>
      </c>
      <c r="U96" s="224">
        <f t="shared" si="76"/>
        <v>-7673.4036</v>
      </c>
      <c r="V96" s="224">
        <f t="shared" si="76"/>
        <v>-19546.5672</v>
      </c>
      <c r="W96" s="224">
        <f t="shared" si="76"/>
        <v>-25019.5176</v>
      </c>
      <c r="X96" s="225">
        <f t="shared" si="76"/>
        <v>-20197.53</v>
      </c>
    </row>
    <row r="97" spans="1:24" ht="14.25" hidden="1">
      <c r="A97" s="194" t="s">
        <v>111</v>
      </c>
      <c r="B97" s="195" t="s">
        <v>112</v>
      </c>
      <c r="C97" s="334"/>
      <c r="D97" s="197">
        <v>4470066</v>
      </c>
      <c r="E97" s="198" t="s">
        <v>378</v>
      </c>
      <c r="F97" s="199"/>
      <c r="G97" s="200">
        <f t="shared" si="77"/>
        <v>0</v>
      </c>
      <c r="H97" s="175">
        <f t="shared" si="77"/>
        <v>0</v>
      </c>
      <c r="I97" s="175">
        <f t="shared" si="78"/>
        <v>0</v>
      </c>
      <c r="J97" s="175">
        <f t="shared" si="78"/>
        <v>0</v>
      </c>
      <c r="K97" s="175">
        <f t="shared" si="78"/>
        <v>0</v>
      </c>
      <c r="L97" s="226">
        <f>SUM(G97:K97)</f>
        <v>0</v>
      </c>
      <c r="M97" s="202">
        <f>IF($E97="02",$L97-G97,-G97)</f>
        <v>0</v>
      </c>
      <c r="N97" s="203">
        <f>IF($E97="03",$L97-H97,-H97)</f>
        <v>0</v>
      </c>
      <c r="O97" s="203">
        <f>IF($E97="04",$L97-I97,-I97)</f>
        <v>0</v>
      </c>
      <c r="P97" s="203">
        <f>IF($E97="07",$L97-J97,-J97)</f>
        <v>0</v>
      </c>
      <c r="Q97" s="203">
        <f>IF($E97="10",$L97-K97,-K97)</f>
        <v>0</v>
      </c>
      <c r="R97" s="204">
        <f>+Q97+P97+O97+N97+M97</f>
        <v>0</v>
      </c>
      <c r="T97" s="224">
        <f aca="true" t="shared" si="79" ref="T97:X98">ROUND(+G$6*$F97,5)</f>
        <v>0</v>
      </c>
      <c r="U97" s="224">
        <f t="shared" si="79"/>
        <v>0</v>
      </c>
      <c r="V97" s="224">
        <f t="shared" si="79"/>
        <v>0</v>
      </c>
      <c r="W97" s="224">
        <f t="shared" si="79"/>
        <v>0</v>
      </c>
      <c r="X97" s="225">
        <f t="shared" si="79"/>
        <v>0</v>
      </c>
    </row>
    <row r="98" spans="1:24" ht="14.25" hidden="1">
      <c r="A98" s="194" t="s">
        <v>1217</v>
      </c>
      <c r="B98" s="195" t="s">
        <v>1221</v>
      </c>
      <c r="C98" s="334"/>
      <c r="D98" s="197">
        <v>4470066</v>
      </c>
      <c r="E98" s="198" t="s">
        <v>378</v>
      </c>
      <c r="F98" s="199"/>
      <c r="G98" s="200">
        <f>ROUND(+G$6*$F98,0)</f>
        <v>0</v>
      </c>
      <c r="H98" s="175">
        <f t="shared" si="77"/>
        <v>0</v>
      </c>
      <c r="I98" s="175">
        <f>ROUND(+I$6*$F98,0)</f>
        <v>0</v>
      </c>
      <c r="J98" s="175">
        <f t="shared" si="78"/>
        <v>0</v>
      </c>
      <c r="K98" s="175">
        <f>ROUND(+K$6*$F98,0)</f>
        <v>0</v>
      </c>
      <c r="L98" s="226">
        <f>SUM(G98:K98)</f>
        <v>0</v>
      </c>
      <c r="M98" s="202">
        <f>IF($E98="02",$L98-G98,-G98)</f>
        <v>0</v>
      </c>
      <c r="N98" s="203">
        <f>IF($E98="03",$L98-H98,-H98)</f>
        <v>0</v>
      </c>
      <c r="O98" s="203">
        <f>IF($E98="04",$L98-I98,-I98)</f>
        <v>0</v>
      </c>
      <c r="P98" s="203">
        <f>IF($E98="07",$L98-J98,-J98)</f>
        <v>0</v>
      </c>
      <c r="Q98" s="203">
        <f>IF($E98="10",$L98-K98,-K98)</f>
        <v>0</v>
      </c>
      <c r="R98" s="204">
        <f>+Q98+P98+O98+N98+M98</f>
        <v>0</v>
      </c>
      <c r="T98" s="224">
        <f t="shared" si="79"/>
        <v>0</v>
      </c>
      <c r="U98" s="224">
        <f t="shared" si="79"/>
        <v>0</v>
      </c>
      <c r="V98" s="224">
        <f t="shared" si="79"/>
        <v>0</v>
      </c>
      <c r="W98" s="224">
        <f t="shared" si="79"/>
        <v>0</v>
      </c>
      <c r="X98" s="225">
        <f t="shared" si="79"/>
        <v>0</v>
      </c>
    </row>
    <row r="99" spans="1:18" ht="12.75">
      <c r="A99" s="208"/>
      <c r="B99" s="209"/>
      <c r="C99" s="209"/>
      <c r="D99" s="209"/>
      <c r="E99" s="209"/>
      <c r="F99" s="210"/>
      <c r="G99" s="208"/>
      <c r="H99" s="209"/>
      <c r="I99" s="209"/>
      <c r="J99" s="209"/>
      <c r="K99" s="209"/>
      <c r="L99" s="211"/>
      <c r="M99" s="208"/>
      <c r="N99" s="209"/>
      <c r="O99" s="209"/>
      <c r="P99" s="209"/>
      <c r="Q99" s="209"/>
      <c r="R99" s="211"/>
    </row>
    <row r="100" spans="1:18" ht="12.75">
      <c r="A100" s="197"/>
      <c r="B100" s="197"/>
      <c r="C100" s="197"/>
      <c r="D100" s="197"/>
      <c r="E100" s="197"/>
      <c r="F100" s="345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</row>
    <row r="101" spans="1:11" ht="14.25">
      <c r="A101" s="212" t="s">
        <v>394</v>
      </c>
      <c r="B101" s="432" t="s">
        <v>484</v>
      </c>
      <c r="C101" s="424"/>
      <c r="D101" s="424"/>
      <c r="E101" s="424"/>
      <c r="F101" s="433"/>
      <c r="G101" s="424"/>
      <c r="H101" s="424"/>
      <c r="I101" s="424"/>
      <c r="J101" s="424"/>
      <c r="K101" s="424"/>
    </row>
    <row r="102" spans="2:6" ht="14.25">
      <c r="B102" s="432" t="s">
        <v>486</v>
      </c>
      <c r="F102" s="213"/>
    </row>
    <row r="103" spans="2:6" ht="14.25">
      <c r="B103" s="432" t="s">
        <v>485</v>
      </c>
      <c r="F103" s="213"/>
    </row>
    <row r="104" ht="12.75">
      <c r="F104" s="213"/>
    </row>
    <row r="105" spans="2:12" ht="12.75">
      <c r="B105" s="254" t="s">
        <v>98</v>
      </c>
      <c r="C105" s="257"/>
      <c r="D105" s="257">
        <v>4210020</v>
      </c>
      <c r="E105" s="257"/>
      <c r="F105" s="258">
        <f aca="true" t="shared" si="80" ref="F105:K105">SUM(F66:F82)</f>
        <v>0</v>
      </c>
      <c r="G105" s="258">
        <f t="shared" si="80"/>
        <v>0</v>
      </c>
      <c r="H105" s="258">
        <f t="shared" si="80"/>
        <v>0</v>
      </c>
      <c r="I105" s="258">
        <f t="shared" si="80"/>
        <v>0</v>
      </c>
      <c r="J105" s="258">
        <f t="shared" si="80"/>
        <v>0</v>
      </c>
      <c r="K105" s="258">
        <f t="shared" si="80"/>
        <v>0</v>
      </c>
      <c r="L105" s="259">
        <f>SUM(G105:K105)</f>
        <v>0</v>
      </c>
    </row>
    <row r="106" ht="12.75">
      <c r="F106" s="213"/>
    </row>
    <row r="107" ht="12.75">
      <c r="F107" s="213"/>
    </row>
    <row r="108" ht="12.75">
      <c r="F108" s="213"/>
    </row>
    <row r="109" ht="12.75">
      <c r="F109" s="213"/>
    </row>
    <row r="110" ht="12.75">
      <c r="F110" s="213"/>
    </row>
    <row r="111" ht="12.75">
      <c r="F111" s="213"/>
    </row>
    <row r="112" ht="12.75">
      <c r="F112" s="213"/>
    </row>
    <row r="113" ht="12.75">
      <c r="F113" s="213"/>
    </row>
    <row r="114" ht="12.75">
      <c r="F114" s="213"/>
    </row>
    <row r="115" ht="12.75">
      <c r="F115" s="213"/>
    </row>
    <row r="116" ht="12.75">
      <c r="F116" s="213"/>
    </row>
    <row r="117" ht="12.75">
      <c r="F117" s="213"/>
    </row>
    <row r="118" ht="12.75">
      <c r="F118" s="213"/>
    </row>
    <row r="119" ht="12.75">
      <c r="F119" s="213"/>
    </row>
    <row r="120" ht="12.75">
      <c r="F120" s="213"/>
    </row>
    <row r="121" ht="12.75">
      <c r="F121" s="213"/>
    </row>
    <row r="122" ht="12.75">
      <c r="F122" s="213"/>
    </row>
    <row r="123" ht="12.75">
      <c r="F123" s="213"/>
    </row>
    <row r="124" ht="12.75">
      <c r="F124" s="213"/>
    </row>
    <row r="125" ht="12.75">
      <c r="F125" s="213"/>
    </row>
    <row r="126" ht="12.75">
      <c r="F126" s="213"/>
    </row>
    <row r="127" ht="12.75">
      <c r="F127" s="213"/>
    </row>
    <row r="128" ht="12.75">
      <c r="F128" s="213"/>
    </row>
    <row r="129" ht="12.75">
      <c r="F129" s="213"/>
    </row>
    <row r="130" ht="12.75">
      <c r="F130" s="213"/>
    </row>
    <row r="131" ht="12.75">
      <c r="F131" s="213"/>
    </row>
    <row r="132" ht="12.75">
      <c r="F132" s="213"/>
    </row>
    <row r="133" ht="12.75">
      <c r="F133" s="213"/>
    </row>
    <row r="134" ht="12.75">
      <c r="F134" s="213"/>
    </row>
    <row r="135" ht="12.75">
      <c r="F135" s="213"/>
    </row>
    <row r="136" ht="12.75">
      <c r="F136" s="213"/>
    </row>
    <row r="137" ht="12.75">
      <c r="F137" s="213"/>
    </row>
    <row r="138" ht="12.75">
      <c r="F138" s="213"/>
    </row>
    <row r="139" ht="12.75">
      <c r="F139" s="213"/>
    </row>
    <row r="140" ht="12.75">
      <c r="F140" s="213"/>
    </row>
    <row r="141" ht="12.75">
      <c r="F141" s="213"/>
    </row>
    <row r="142" ht="12.75">
      <c r="F142" s="213"/>
    </row>
    <row r="143" ht="12.75">
      <c r="F143" s="213"/>
    </row>
    <row r="144" ht="12.75">
      <c r="F144" s="213"/>
    </row>
    <row r="145" ht="12.75">
      <c r="F145" s="213"/>
    </row>
    <row r="146" ht="12.75">
      <c r="F146" s="213"/>
    </row>
    <row r="147" ht="12.75">
      <c r="F147" s="213"/>
    </row>
    <row r="148" ht="12.75">
      <c r="F148" s="213"/>
    </row>
    <row r="149" ht="12.75">
      <c r="F149" s="213"/>
    </row>
    <row r="150" ht="12.75">
      <c r="F150" s="213"/>
    </row>
    <row r="151" ht="12.75">
      <c r="F151" s="213"/>
    </row>
    <row r="152" ht="12.75">
      <c r="F152" s="213"/>
    </row>
    <row r="153" ht="12.75">
      <c r="F153" s="213"/>
    </row>
    <row r="154" ht="12.75">
      <c r="F154" s="213"/>
    </row>
    <row r="155" ht="12.75">
      <c r="F155" s="213"/>
    </row>
    <row r="156" ht="12.75">
      <c r="F156" s="213"/>
    </row>
    <row r="157" ht="12.75">
      <c r="F157" s="213"/>
    </row>
    <row r="158" ht="12.75">
      <c r="F158" s="213"/>
    </row>
    <row r="159" ht="12.75">
      <c r="F159" s="213"/>
    </row>
    <row r="160" ht="12.75">
      <c r="F160" s="213"/>
    </row>
    <row r="161" ht="12.75">
      <c r="F161" s="213"/>
    </row>
    <row r="162" ht="12.75">
      <c r="F162" s="213"/>
    </row>
    <row r="163" ht="12.75">
      <c r="F163" s="213"/>
    </row>
    <row r="164" ht="12.75">
      <c r="F164" s="213"/>
    </row>
    <row r="165" ht="12.75">
      <c r="F165" s="213"/>
    </row>
    <row r="166" ht="12.75">
      <c r="F166" s="213"/>
    </row>
    <row r="167" ht="12.75">
      <c r="F167" s="213"/>
    </row>
    <row r="168" ht="12.75">
      <c r="F168" s="213"/>
    </row>
    <row r="169" ht="12.75">
      <c r="F169" s="213"/>
    </row>
    <row r="170" ht="12.75">
      <c r="F170" s="213"/>
    </row>
    <row r="171" ht="12.75">
      <c r="F171" s="213"/>
    </row>
    <row r="172" ht="12.75">
      <c r="F172" s="213"/>
    </row>
    <row r="173" ht="12.75">
      <c r="F173" s="213"/>
    </row>
    <row r="174" ht="12.75">
      <c r="F174" s="213"/>
    </row>
    <row r="175" ht="12.75">
      <c r="F175" s="213"/>
    </row>
    <row r="176" ht="12.75">
      <c r="F176" s="213"/>
    </row>
    <row r="177" ht="12.75">
      <c r="F177" s="213"/>
    </row>
    <row r="178" ht="12.75">
      <c r="F178" s="213"/>
    </row>
    <row r="179" ht="12.75">
      <c r="F179" s="213"/>
    </row>
    <row r="180" ht="12.75">
      <c r="F180" s="213"/>
    </row>
    <row r="181" ht="12.75">
      <c r="F181" s="213"/>
    </row>
    <row r="182" ht="12.75">
      <c r="F182" s="213"/>
    </row>
    <row r="183" ht="12.75">
      <c r="F183" s="213"/>
    </row>
    <row r="184" ht="12.75">
      <c r="F184" s="213"/>
    </row>
    <row r="185" ht="12.75">
      <c r="F185" s="213"/>
    </row>
    <row r="186" ht="12.75">
      <c r="F186" s="213"/>
    </row>
    <row r="187" ht="12.75">
      <c r="F187" s="213"/>
    </row>
    <row r="188" ht="12.75">
      <c r="F188" s="213"/>
    </row>
    <row r="189" ht="12.75">
      <c r="F189" s="213"/>
    </row>
    <row r="190" ht="12.75">
      <c r="F190" s="213"/>
    </row>
    <row r="191" ht="12.75">
      <c r="F191" s="213"/>
    </row>
    <row r="192" ht="12.75">
      <c r="F192" s="213"/>
    </row>
    <row r="193" ht="12.75">
      <c r="F193" s="213"/>
    </row>
    <row r="194" ht="12.75">
      <c r="F194" s="213"/>
    </row>
    <row r="195" ht="12.75">
      <c r="F195" s="213"/>
    </row>
    <row r="196" ht="12.75">
      <c r="F196" s="213"/>
    </row>
    <row r="197" ht="12.75">
      <c r="F197" s="213"/>
    </row>
    <row r="198" ht="12.75">
      <c r="F198" s="213"/>
    </row>
    <row r="199" ht="12.75">
      <c r="F199" s="213"/>
    </row>
    <row r="200" ht="12.75">
      <c r="F200" s="213"/>
    </row>
    <row r="201" ht="12.75">
      <c r="F201" s="213"/>
    </row>
    <row r="202" ht="12.75">
      <c r="F202" s="213"/>
    </row>
    <row r="203" ht="12.75">
      <c r="F203" s="213"/>
    </row>
    <row r="204" ht="12.75">
      <c r="F204" s="213"/>
    </row>
    <row r="205" ht="12.75">
      <c r="F205" s="213"/>
    </row>
    <row r="206" ht="12.75">
      <c r="F206" s="213"/>
    </row>
    <row r="207" ht="12.75">
      <c r="F207" s="213"/>
    </row>
    <row r="208" ht="12.75">
      <c r="F208" s="213"/>
    </row>
    <row r="209" ht="12.75">
      <c r="F209" s="213"/>
    </row>
    <row r="210" ht="12.75">
      <c r="F210" s="213"/>
    </row>
    <row r="211" ht="12.75">
      <c r="F211" s="213"/>
    </row>
    <row r="212" ht="12.75">
      <c r="F212" s="213"/>
    </row>
    <row r="213" ht="12.75">
      <c r="F213" s="213"/>
    </row>
    <row r="214" ht="12.75">
      <c r="F214" s="213"/>
    </row>
    <row r="215" ht="12.75">
      <c r="F215" s="213"/>
    </row>
    <row r="216" ht="12.75">
      <c r="F216" s="213"/>
    </row>
    <row r="217" ht="12.75">
      <c r="F217" s="213"/>
    </row>
    <row r="218" ht="12.75">
      <c r="F218" s="213"/>
    </row>
    <row r="219" ht="12.75">
      <c r="F219" s="213"/>
    </row>
    <row r="220" ht="12.75">
      <c r="F220" s="213"/>
    </row>
    <row r="221" ht="12.75">
      <c r="F221" s="213"/>
    </row>
    <row r="222" ht="12.75">
      <c r="F222" s="213"/>
    </row>
    <row r="223" ht="12.75">
      <c r="F223" s="213"/>
    </row>
    <row r="224" ht="12.75">
      <c r="F224" s="213"/>
    </row>
    <row r="225" ht="12.75">
      <c r="F225" s="213"/>
    </row>
    <row r="226" ht="12.75">
      <c r="F226" s="213"/>
    </row>
    <row r="227" ht="12.75">
      <c r="F227" s="213"/>
    </row>
    <row r="228" ht="12.75">
      <c r="F228" s="213"/>
    </row>
    <row r="229" ht="12.75">
      <c r="F229" s="213"/>
    </row>
    <row r="230" ht="12.75">
      <c r="F230" s="213"/>
    </row>
    <row r="231" ht="12.75">
      <c r="F231" s="213"/>
    </row>
    <row r="232" ht="12.75">
      <c r="F232" s="213"/>
    </row>
    <row r="233" ht="12.75">
      <c r="F233" s="213"/>
    </row>
    <row r="234" ht="12.75">
      <c r="F234" s="213"/>
    </row>
    <row r="235" ht="12.75">
      <c r="F235" s="213"/>
    </row>
    <row r="236" ht="12.75">
      <c r="F236" s="213"/>
    </row>
    <row r="237" ht="12.75">
      <c r="F237" s="213"/>
    </row>
    <row r="238" ht="12.75">
      <c r="F238" s="213"/>
    </row>
    <row r="239" ht="12.75">
      <c r="F239" s="213"/>
    </row>
    <row r="240" ht="12.75">
      <c r="F240" s="213"/>
    </row>
    <row r="241" ht="12.75">
      <c r="F241" s="213"/>
    </row>
    <row r="242" ht="12.75">
      <c r="F242" s="213"/>
    </row>
    <row r="243" ht="12.75">
      <c r="F243" s="213"/>
    </row>
    <row r="244" ht="12.75">
      <c r="F244" s="213"/>
    </row>
    <row r="245" ht="12.75">
      <c r="F245" s="213"/>
    </row>
    <row r="246" ht="12.75">
      <c r="F246" s="213"/>
    </row>
    <row r="247" ht="12.75">
      <c r="F247" s="213"/>
    </row>
    <row r="248" ht="12.75">
      <c r="F248" s="213"/>
    </row>
    <row r="249" ht="12.75">
      <c r="F249" s="213"/>
    </row>
    <row r="250" ht="12.75">
      <c r="F250" s="213"/>
    </row>
    <row r="251" ht="12.75">
      <c r="F251" s="213"/>
    </row>
    <row r="252" ht="12.75">
      <c r="F252" s="213"/>
    </row>
    <row r="253" ht="12.75">
      <c r="F253" s="213"/>
    </row>
    <row r="254" ht="12.75">
      <c r="F254" s="213"/>
    </row>
    <row r="255" ht="12.75">
      <c r="F255" s="213"/>
    </row>
    <row r="256" ht="12.75">
      <c r="F256" s="213"/>
    </row>
    <row r="257" ht="12.75">
      <c r="F257" s="213"/>
    </row>
    <row r="258" ht="12.75">
      <c r="F258" s="213"/>
    </row>
    <row r="259" ht="12.75">
      <c r="F259" s="213"/>
    </row>
    <row r="260" ht="12.75">
      <c r="F260" s="213"/>
    </row>
    <row r="261" ht="12.75">
      <c r="F261" s="213"/>
    </row>
    <row r="262" ht="12.75">
      <c r="F262" s="213"/>
    </row>
    <row r="263" ht="12.75">
      <c r="F263" s="213"/>
    </row>
    <row r="264" ht="12.75">
      <c r="F264" s="213"/>
    </row>
    <row r="265" ht="12.75">
      <c r="F265" s="213"/>
    </row>
    <row r="266" ht="12.75">
      <c r="F266" s="213"/>
    </row>
    <row r="267" ht="12.75">
      <c r="F267" s="213"/>
    </row>
    <row r="268" ht="12.75">
      <c r="F268" s="213"/>
    </row>
    <row r="269" ht="12.75">
      <c r="F269" s="213"/>
    </row>
    <row r="270" ht="12.75">
      <c r="F270" s="213"/>
    </row>
    <row r="271" ht="12.75">
      <c r="F271" s="213"/>
    </row>
    <row r="272" ht="12.75">
      <c r="F272" s="213"/>
    </row>
    <row r="273" ht="12.75">
      <c r="F273" s="213"/>
    </row>
    <row r="274" ht="12.75">
      <c r="F274" s="213"/>
    </row>
    <row r="275" ht="12.75">
      <c r="F275" s="213"/>
    </row>
    <row r="276" ht="12.75">
      <c r="F276" s="213"/>
    </row>
    <row r="277" ht="12.75">
      <c r="F277" s="213"/>
    </row>
    <row r="278" ht="12.75">
      <c r="F278" s="213"/>
    </row>
    <row r="279" ht="12.75">
      <c r="F279" s="213"/>
    </row>
    <row r="280" ht="12.75">
      <c r="F280" s="213"/>
    </row>
    <row r="281" ht="12.75">
      <c r="F281" s="213"/>
    </row>
    <row r="282" ht="12.75">
      <c r="F282" s="213"/>
    </row>
    <row r="283" ht="12.75">
      <c r="F283" s="213"/>
    </row>
    <row r="284" ht="12.75">
      <c r="F284" s="213"/>
    </row>
    <row r="285" ht="12.75">
      <c r="F285" s="213"/>
    </row>
    <row r="286" ht="12.75">
      <c r="F286" s="213"/>
    </row>
    <row r="287" ht="12.75">
      <c r="F287" s="213"/>
    </row>
    <row r="288" ht="12.75">
      <c r="F288" s="213"/>
    </row>
    <row r="289" ht="12.75">
      <c r="F289" s="213"/>
    </row>
    <row r="290" ht="12.75">
      <c r="F290" s="213"/>
    </row>
    <row r="291" ht="12.75">
      <c r="F291" s="213"/>
    </row>
    <row r="292" ht="12.75">
      <c r="F292" s="213"/>
    </row>
    <row r="293" ht="12.75">
      <c r="F293" s="213"/>
    </row>
    <row r="294" ht="12.75">
      <c r="F294" s="213"/>
    </row>
    <row r="295" ht="12.75">
      <c r="F295" s="213"/>
    </row>
    <row r="296" ht="12.75">
      <c r="F296" s="213"/>
    </row>
    <row r="297" ht="12.75">
      <c r="F297" s="213"/>
    </row>
    <row r="298" ht="12.75">
      <c r="F298" s="213"/>
    </row>
    <row r="299" ht="12.75">
      <c r="F299" s="213"/>
    </row>
    <row r="300" ht="12.75">
      <c r="F300" s="213"/>
    </row>
    <row r="301" ht="12.75">
      <c r="F301" s="213"/>
    </row>
    <row r="302" ht="12.75">
      <c r="F302" s="213"/>
    </row>
    <row r="303" ht="12.75">
      <c r="F303" s="213"/>
    </row>
    <row r="304" ht="12.75">
      <c r="F304" s="213"/>
    </row>
    <row r="305" ht="12.75">
      <c r="F305" s="213"/>
    </row>
    <row r="306" ht="12.75">
      <c r="F306" s="213"/>
    </row>
    <row r="307" ht="12.75">
      <c r="F307" s="213"/>
    </row>
    <row r="308" ht="12.75">
      <c r="F308" s="213"/>
    </row>
    <row r="309" ht="12.75">
      <c r="F309" s="213"/>
    </row>
    <row r="310" ht="12.75">
      <c r="F310" s="213"/>
    </row>
    <row r="311" ht="12.75">
      <c r="F311" s="213"/>
    </row>
    <row r="312" ht="12.75">
      <c r="F312" s="213"/>
    </row>
    <row r="313" ht="12.75">
      <c r="F313" s="213"/>
    </row>
    <row r="314" ht="12.75">
      <c r="F314" s="213"/>
    </row>
    <row r="315" ht="12.75">
      <c r="F315" s="213"/>
    </row>
    <row r="316" ht="12.75">
      <c r="F316" s="213"/>
    </row>
    <row r="317" ht="12.75">
      <c r="F317" s="213"/>
    </row>
    <row r="318" ht="12.75">
      <c r="F318" s="213"/>
    </row>
    <row r="319" ht="12.75">
      <c r="F319" s="213"/>
    </row>
    <row r="320" ht="12.75">
      <c r="F320" s="213"/>
    </row>
    <row r="321" ht="12.75">
      <c r="F321" s="213"/>
    </row>
    <row r="322" ht="12.75">
      <c r="F322" s="213"/>
    </row>
    <row r="323" ht="12.75">
      <c r="F323" s="213"/>
    </row>
    <row r="324" ht="12.75">
      <c r="F324" s="213"/>
    </row>
    <row r="325" ht="12.75">
      <c r="F325" s="213"/>
    </row>
    <row r="326" ht="12.75">
      <c r="F326" s="213"/>
    </row>
    <row r="327" ht="12.75">
      <c r="F327" s="213"/>
    </row>
    <row r="328" ht="12.75">
      <c r="F328" s="213"/>
    </row>
    <row r="329" ht="12.75">
      <c r="F329" s="213"/>
    </row>
    <row r="330" ht="12.75">
      <c r="F330" s="213"/>
    </row>
    <row r="331" ht="12.75">
      <c r="F331" s="213"/>
    </row>
    <row r="332" ht="12.75">
      <c r="F332" s="213"/>
    </row>
    <row r="333" ht="12.75">
      <c r="F333" s="213"/>
    </row>
    <row r="334" ht="12.75">
      <c r="F334" s="213"/>
    </row>
    <row r="335" ht="12.75">
      <c r="F335" s="213"/>
    </row>
    <row r="336" ht="12.75">
      <c r="F336" s="213"/>
    </row>
    <row r="337" ht="12.75">
      <c r="F337" s="213"/>
    </row>
    <row r="338" ht="12.75">
      <c r="F338" s="213"/>
    </row>
    <row r="339" ht="12.75">
      <c r="F339" s="213"/>
    </row>
    <row r="340" ht="12.75">
      <c r="F340" s="213"/>
    </row>
    <row r="341" ht="12.75">
      <c r="F341" s="213"/>
    </row>
    <row r="342" ht="12.75">
      <c r="F342" s="213"/>
    </row>
    <row r="343" ht="12.75">
      <c r="F343" s="213"/>
    </row>
    <row r="344" ht="12.75">
      <c r="F344" s="213"/>
    </row>
    <row r="345" ht="12.75">
      <c r="F345" s="213"/>
    </row>
    <row r="346" ht="12.75">
      <c r="F346" s="213"/>
    </row>
    <row r="347" ht="12.75">
      <c r="F347" s="213"/>
    </row>
    <row r="348" ht="12.75">
      <c r="F348" s="213"/>
    </row>
    <row r="349" ht="12.75">
      <c r="F349" s="213"/>
    </row>
    <row r="350" ht="12.75">
      <c r="F350" s="213"/>
    </row>
    <row r="351" ht="12.75">
      <c r="F351" s="213"/>
    </row>
    <row r="352" ht="12.75">
      <c r="F352" s="213"/>
    </row>
    <row r="353" ht="12.75">
      <c r="F353" s="213"/>
    </row>
    <row r="354" ht="12.75">
      <c r="F354" s="213"/>
    </row>
    <row r="355" ht="12.75">
      <c r="F355" s="213"/>
    </row>
    <row r="356" ht="12.75">
      <c r="F356" s="213"/>
    </row>
    <row r="357" ht="12.75">
      <c r="F357" s="213"/>
    </row>
    <row r="358" ht="12.75">
      <c r="F358" s="213"/>
    </row>
    <row r="359" ht="12.75">
      <c r="F359" s="213"/>
    </row>
    <row r="360" ht="12.75">
      <c r="F360" s="213"/>
    </row>
    <row r="361" ht="12.75">
      <c r="F361" s="213"/>
    </row>
    <row r="362" ht="12.75">
      <c r="F362" s="213"/>
    </row>
    <row r="363" ht="12.75">
      <c r="F363" s="213"/>
    </row>
    <row r="364" ht="12.75">
      <c r="F364" s="213"/>
    </row>
    <row r="365" ht="12.75">
      <c r="F365" s="213"/>
    </row>
    <row r="366" ht="12.75">
      <c r="F366" s="213"/>
    </row>
    <row r="367" ht="12.75">
      <c r="F367" s="213"/>
    </row>
    <row r="368" ht="12.75">
      <c r="F368" s="213"/>
    </row>
    <row r="369" ht="12.75">
      <c r="F369" s="213"/>
    </row>
    <row r="370" ht="12.75">
      <c r="F370" s="213"/>
    </row>
    <row r="371" ht="12.75">
      <c r="F371" s="213"/>
    </row>
    <row r="372" ht="12.75">
      <c r="F372" s="213"/>
    </row>
    <row r="373" ht="12.75">
      <c r="F373" s="213"/>
    </row>
    <row r="374" ht="12.75">
      <c r="F374" s="213"/>
    </row>
    <row r="375" ht="12.75">
      <c r="F375" s="213"/>
    </row>
    <row r="376" ht="12.75">
      <c r="F376" s="213"/>
    </row>
    <row r="377" ht="12.75">
      <c r="F377" s="213"/>
    </row>
    <row r="378" ht="12.75">
      <c r="F378" s="213"/>
    </row>
    <row r="379" ht="12.75">
      <c r="F379" s="213"/>
    </row>
    <row r="380" ht="12.75">
      <c r="F380" s="213"/>
    </row>
    <row r="381" ht="12.75">
      <c r="F381" s="213"/>
    </row>
    <row r="382" ht="12.75">
      <c r="F382" s="213"/>
    </row>
    <row r="383" ht="12.75">
      <c r="F383" s="213"/>
    </row>
    <row r="384" ht="12.75">
      <c r="F384" s="213"/>
    </row>
    <row r="385" ht="12.75">
      <c r="F385" s="213"/>
    </row>
    <row r="386" ht="12.75">
      <c r="F386" s="213"/>
    </row>
    <row r="387" ht="12.75">
      <c r="F387" s="213"/>
    </row>
    <row r="388" ht="12.75">
      <c r="F388" s="213"/>
    </row>
    <row r="389" ht="12.75">
      <c r="F389" s="213"/>
    </row>
    <row r="390" ht="12.75">
      <c r="F390" s="213"/>
    </row>
    <row r="391" ht="12.75">
      <c r="F391" s="213"/>
    </row>
    <row r="392" ht="12.75">
      <c r="F392" s="213"/>
    </row>
    <row r="393" ht="12.75">
      <c r="F393" s="213"/>
    </row>
    <row r="394" ht="12.75">
      <c r="F394" s="213"/>
    </row>
    <row r="395" ht="12.75">
      <c r="F395" s="213"/>
    </row>
    <row r="396" ht="12.75">
      <c r="F396" s="213"/>
    </row>
    <row r="397" ht="12.75">
      <c r="F397" s="213"/>
    </row>
    <row r="398" ht="12.75">
      <c r="F398" s="213"/>
    </row>
    <row r="399" ht="12.75">
      <c r="F399" s="213"/>
    </row>
    <row r="400" ht="12.75">
      <c r="F400" s="213"/>
    </row>
    <row r="401" ht="12.75">
      <c r="F401" s="213"/>
    </row>
    <row r="402" ht="12.75">
      <c r="F402" s="213"/>
    </row>
    <row r="403" ht="12.75">
      <c r="F403" s="213"/>
    </row>
    <row r="404" ht="12.75">
      <c r="F404" s="213"/>
    </row>
    <row r="405" ht="12.75">
      <c r="F405" s="213"/>
    </row>
    <row r="406" ht="12.75">
      <c r="F406" s="213"/>
    </row>
    <row r="407" ht="12.75">
      <c r="F407" s="213"/>
    </row>
    <row r="408" ht="12.75">
      <c r="F408" s="213"/>
    </row>
    <row r="409" ht="12.75">
      <c r="F409" s="213"/>
    </row>
    <row r="410" ht="12.75">
      <c r="F410" s="213"/>
    </row>
    <row r="411" ht="12.75">
      <c r="F411" s="213"/>
    </row>
    <row r="412" ht="12.75">
      <c r="F412" s="213"/>
    </row>
    <row r="413" ht="12.75">
      <c r="F413" s="213"/>
    </row>
    <row r="414" ht="12.75">
      <c r="F414" s="213"/>
    </row>
    <row r="415" ht="12.75">
      <c r="F415" s="213"/>
    </row>
    <row r="416" ht="12.75">
      <c r="F416" s="213"/>
    </row>
    <row r="417" ht="12.75">
      <c r="F417" s="213"/>
    </row>
    <row r="418" ht="12.75">
      <c r="F418" s="213"/>
    </row>
    <row r="419" ht="12.75">
      <c r="F419" s="213"/>
    </row>
    <row r="420" ht="12.75">
      <c r="F420" s="213"/>
    </row>
    <row r="421" ht="12.75">
      <c r="F421" s="213"/>
    </row>
    <row r="422" ht="12.75">
      <c r="F422" s="213"/>
    </row>
    <row r="423" ht="12.75">
      <c r="F423" s="213"/>
    </row>
    <row r="424" ht="12.75">
      <c r="F424" s="213"/>
    </row>
    <row r="425" ht="12.75">
      <c r="F425" s="213"/>
    </row>
    <row r="426" ht="12.75">
      <c r="F426" s="213"/>
    </row>
    <row r="427" ht="12.75">
      <c r="F427" s="213"/>
    </row>
    <row r="428" ht="12.75">
      <c r="F428" s="213"/>
    </row>
    <row r="429" ht="12.75">
      <c r="F429" s="213"/>
    </row>
    <row r="430" ht="12.75">
      <c r="F430" s="213"/>
    </row>
    <row r="431" ht="12.75">
      <c r="F431" s="213"/>
    </row>
    <row r="432" ht="12.75">
      <c r="F432" s="213"/>
    </row>
    <row r="433" ht="12.75">
      <c r="F433" s="213"/>
    </row>
    <row r="434" ht="12.75">
      <c r="F434" s="213"/>
    </row>
    <row r="435" ht="12.75">
      <c r="F435" s="213"/>
    </row>
    <row r="436" ht="12.75">
      <c r="F436" s="213"/>
    </row>
    <row r="437" ht="12.75">
      <c r="F437" s="213"/>
    </row>
    <row r="438" ht="12.75">
      <c r="F438" s="213"/>
    </row>
    <row r="439" ht="12.75">
      <c r="F439" s="213"/>
    </row>
    <row r="440" ht="12.75">
      <c r="F440" s="213"/>
    </row>
    <row r="441" ht="12.75">
      <c r="F441" s="213"/>
    </row>
    <row r="442" ht="12.75">
      <c r="F442" s="213"/>
    </row>
    <row r="443" ht="12.75">
      <c r="F443" s="213"/>
    </row>
    <row r="444" ht="12.75">
      <c r="F444" s="213"/>
    </row>
    <row r="445" ht="12.75">
      <c r="F445" s="213"/>
    </row>
    <row r="446" ht="12.75">
      <c r="F446" s="213"/>
    </row>
    <row r="447" ht="12.75">
      <c r="F447" s="213"/>
    </row>
    <row r="448" ht="12.75">
      <c r="F448" s="213"/>
    </row>
    <row r="449" ht="12.75">
      <c r="F449" s="213"/>
    </row>
    <row r="450" ht="12.75">
      <c r="F450" s="213"/>
    </row>
    <row r="451" ht="12.75">
      <c r="F451" s="213"/>
    </row>
    <row r="452" ht="12.75">
      <c r="F452" s="213"/>
    </row>
    <row r="453" ht="12.75">
      <c r="F453" s="213"/>
    </row>
    <row r="454" ht="12.75">
      <c r="F454" s="213"/>
    </row>
    <row r="455" ht="12.75">
      <c r="F455" s="213"/>
    </row>
    <row r="456" ht="12.75">
      <c r="F456" s="213"/>
    </row>
    <row r="457" ht="12.75">
      <c r="F457" s="213"/>
    </row>
    <row r="458" ht="12.75">
      <c r="F458" s="213"/>
    </row>
    <row r="459" ht="12.75">
      <c r="F459" s="213"/>
    </row>
    <row r="460" ht="12.75">
      <c r="F460" s="213"/>
    </row>
    <row r="461" ht="12.75">
      <c r="F461" s="213"/>
    </row>
    <row r="462" ht="12.75">
      <c r="F462" s="213"/>
    </row>
    <row r="463" ht="12.75">
      <c r="F463" s="213"/>
    </row>
    <row r="464" ht="12.75">
      <c r="F464" s="213"/>
    </row>
    <row r="465" ht="12.75">
      <c r="F465" s="213"/>
    </row>
    <row r="466" ht="12.75">
      <c r="F466" s="213"/>
    </row>
    <row r="467" ht="12.75">
      <c r="F467" s="213"/>
    </row>
    <row r="468" ht="12.75">
      <c r="F468" s="213"/>
    </row>
    <row r="469" ht="12.75">
      <c r="F469" s="213"/>
    </row>
    <row r="470" ht="12.75">
      <c r="F470" s="213"/>
    </row>
    <row r="471" ht="12.75">
      <c r="F471" s="213"/>
    </row>
    <row r="472" ht="12.75">
      <c r="F472" s="213"/>
    </row>
    <row r="473" ht="12.75">
      <c r="F473" s="213"/>
    </row>
    <row r="474" ht="12.75">
      <c r="F474" s="213"/>
    </row>
    <row r="475" ht="12.75">
      <c r="F475" s="213"/>
    </row>
    <row r="476" ht="12.75">
      <c r="F476" s="213"/>
    </row>
    <row r="477" ht="12.75">
      <c r="F477" s="213"/>
    </row>
    <row r="478" ht="12.75">
      <c r="F478" s="213"/>
    </row>
    <row r="479" ht="12.75">
      <c r="F479" s="213"/>
    </row>
    <row r="480" ht="12.75">
      <c r="F480" s="213"/>
    </row>
    <row r="481" ht="12.75">
      <c r="F481" s="213"/>
    </row>
    <row r="482" ht="12.75">
      <c r="F482" s="213"/>
    </row>
    <row r="483" ht="12.75">
      <c r="F483" s="213"/>
    </row>
    <row r="484" ht="12.75">
      <c r="F484" s="213"/>
    </row>
    <row r="485" ht="12.75">
      <c r="F485" s="213"/>
    </row>
    <row r="486" ht="12.75">
      <c r="F486" s="213"/>
    </row>
    <row r="487" ht="12.75">
      <c r="F487" s="213"/>
    </row>
    <row r="488" ht="12.75">
      <c r="F488" s="213"/>
    </row>
    <row r="489" ht="12.75">
      <c r="F489" s="213"/>
    </row>
    <row r="490" ht="12.75">
      <c r="F490" s="213"/>
    </row>
    <row r="491" ht="12.75">
      <c r="F491" s="213"/>
    </row>
    <row r="492" ht="12.75">
      <c r="F492" s="213"/>
    </row>
    <row r="493" ht="12.75">
      <c r="F493" s="213"/>
    </row>
    <row r="494" ht="12.75">
      <c r="F494" s="213"/>
    </row>
    <row r="495" ht="12.75">
      <c r="F495" s="213"/>
    </row>
    <row r="496" ht="12.75">
      <c r="F496" s="213"/>
    </row>
  </sheetData>
  <printOptions horizontalCentered="1"/>
  <pageMargins left="0" right="0" top="1" bottom="0.5" header="0.5" footer="0.5"/>
  <pageSetup fitToHeight="1" fitToWidth="1"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6"/>
  <dimension ref="A1:F1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51" customWidth="1"/>
    <col min="2" max="2" width="9.28125" style="151" customWidth="1"/>
    <col min="3" max="3" width="59.28125" style="0" customWidth="1"/>
    <col min="4" max="5" width="9.140625" style="151" customWidth="1"/>
    <col min="6" max="6" width="14.8515625" style="151" bestFit="1" customWidth="1"/>
  </cols>
  <sheetData>
    <row r="1" spans="1:6" ht="18">
      <c r="A1" s="436" t="s">
        <v>2184</v>
      </c>
      <c r="E1" s="1002" t="s">
        <v>1947</v>
      </c>
      <c r="F1" s="1002"/>
    </row>
    <row r="4" spans="2:6" ht="12.75">
      <c r="B4" s="156" t="s">
        <v>2185</v>
      </c>
      <c r="C4" s="156"/>
      <c r="D4" s="156" t="s">
        <v>2186</v>
      </c>
      <c r="E4" s="156" t="s">
        <v>2186</v>
      </c>
      <c r="F4" s="156" t="s">
        <v>2187</v>
      </c>
    </row>
    <row r="5" spans="1:6" ht="12.75">
      <c r="A5" s="149" t="s">
        <v>2188</v>
      </c>
      <c r="B5" s="149" t="s">
        <v>2186</v>
      </c>
      <c r="C5" s="149" t="s">
        <v>2189</v>
      </c>
      <c r="D5" s="149" t="s">
        <v>2190</v>
      </c>
      <c r="E5" s="149" t="s">
        <v>2191</v>
      </c>
      <c r="F5" s="149" t="s">
        <v>2192</v>
      </c>
    </row>
    <row r="7" spans="1:6" ht="12.75">
      <c r="A7" s="151">
        <v>1</v>
      </c>
      <c r="B7" s="435">
        <v>39097</v>
      </c>
      <c r="C7" s="1003" t="s">
        <v>1138</v>
      </c>
      <c r="D7" s="151" t="s">
        <v>1139</v>
      </c>
      <c r="E7" s="151" t="s">
        <v>103</v>
      </c>
      <c r="F7" s="435">
        <v>39113</v>
      </c>
    </row>
    <row r="8" ht="12.75">
      <c r="C8" s="1003"/>
    </row>
    <row r="9" ht="12.75">
      <c r="B9" s="156"/>
    </row>
    <row r="10" spans="1:6" ht="12.75">
      <c r="A10" s="151">
        <v>2</v>
      </c>
      <c r="B10" s="435">
        <v>39108</v>
      </c>
      <c r="C10" s="1003" t="s">
        <v>520</v>
      </c>
      <c r="D10" s="151" t="s">
        <v>1139</v>
      </c>
      <c r="E10" s="151" t="s">
        <v>103</v>
      </c>
      <c r="F10" s="435">
        <v>39113</v>
      </c>
    </row>
    <row r="11" spans="2:3" ht="12.75">
      <c r="B11" s="156"/>
      <c r="C11" s="1003"/>
    </row>
    <row r="13" ht="12.75">
      <c r="B13" s="156"/>
    </row>
  </sheetData>
  <mergeCells count="3">
    <mergeCell ref="E1:F1"/>
    <mergeCell ref="C7:C8"/>
    <mergeCell ref="C10:C11"/>
  </mergeCells>
  <printOptions/>
  <pageMargins left="0.75" right="0.7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3"/>
  <dimension ref="A1:H290"/>
  <sheetViews>
    <sheetView workbookViewId="0" topLeftCell="A130">
      <selection activeCell="C146" sqref="C146"/>
    </sheetView>
  </sheetViews>
  <sheetFormatPr defaultColWidth="9.140625" defaultRowHeight="12.75"/>
  <cols>
    <col min="1" max="1" width="14.28125" style="169" customWidth="1"/>
    <col min="2" max="2" width="1.7109375" style="169" customWidth="1"/>
    <col min="3" max="3" width="32.8515625" style="169" customWidth="1"/>
    <col min="4" max="16384" width="10.28125" style="169" customWidth="1"/>
  </cols>
  <sheetData>
    <row r="1" spans="1:3" ht="15.75" thickBot="1">
      <c r="A1" s="214" t="s">
        <v>395</v>
      </c>
      <c r="C1" s="214" t="s">
        <v>396</v>
      </c>
    </row>
    <row r="2" spans="1:3" ht="15">
      <c r="A2" s="215" t="s">
        <v>397</v>
      </c>
      <c r="B2" s="216"/>
      <c r="C2" s="215" t="s">
        <v>398</v>
      </c>
    </row>
    <row r="3" spans="1:3" ht="15">
      <c r="A3" s="215" t="s">
        <v>399</v>
      </c>
      <c r="B3" s="216"/>
      <c r="C3" s="215" t="s">
        <v>400</v>
      </c>
    </row>
    <row r="4" spans="1:3" ht="15">
      <c r="A4" s="215" t="s">
        <v>401</v>
      </c>
      <c r="B4" s="216"/>
      <c r="C4" s="215" t="s">
        <v>402</v>
      </c>
    </row>
    <row r="5" spans="1:3" ht="15">
      <c r="A5" s="215" t="s">
        <v>408</v>
      </c>
      <c r="B5" s="216"/>
      <c r="C5" s="215" t="s">
        <v>415</v>
      </c>
    </row>
    <row r="6" spans="1:3" ht="15">
      <c r="A6" s="215" t="s">
        <v>416</v>
      </c>
      <c r="B6" s="216"/>
      <c r="C6" s="215" t="s">
        <v>417</v>
      </c>
    </row>
    <row r="7" spans="1:3" ht="15">
      <c r="A7" s="215" t="s">
        <v>418</v>
      </c>
      <c r="B7" s="216"/>
      <c r="C7" s="215" t="s">
        <v>419</v>
      </c>
    </row>
    <row r="8" spans="1:3" ht="15">
      <c r="A8" s="215" t="s">
        <v>420</v>
      </c>
      <c r="B8" s="216"/>
      <c r="C8" s="215" t="s">
        <v>421</v>
      </c>
    </row>
    <row r="9" spans="1:3" ht="15">
      <c r="A9" s="215" t="s">
        <v>422</v>
      </c>
      <c r="B9" s="216"/>
      <c r="C9" s="215" t="s">
        <v>423</v>
      </c>
    </row>
    <row r="10" spans="1:3" ht="15">
      <c r="A10" s="215" t="s">
        <v>424</v>
      </c>
      <c r="B10" s="216"/>
      <c r="C10" s="215" t="s">
        <v>425</v>
      </c>
    </row>
    <row r="11" spans="1:3" ht="15">
      <c r="A11" s="215" t="s">
        <v>426</v>
      </c>
      <c r="B11" s="216"/>
      <c r="C11" s="215" t="s">
        <v>427</v>
      </c>
    </row>
    <row r="12" spans="1:3" ht="15">
      <c r="A12" s="215" t="s">
        <v>366</v>
      </c>
      <c r="B12" s="216"/>
      <c r="C12" s="215" t="s">
        <v>428</v>
      </c>
    </row>
    <row r="13" spans="1:3" ht="15">
      <c r="A13" s="218" t="s">
        <v>1516</v>
      </c>
      <c r="B13" s="216"/>
      <c r="C13" s="218" t="s">
        <v>1550</v>
      </c>
    </row>
    <row r="14" spans="1:3" ht="15">
      <c r="A14" s="215" t="s">
        <v>429</v>
      </c>
      <c r="B14" s="216"/>
      <c r="C14" s="215" t="s">
        <v>430</v>
      </c>
    </row>
    <row r="15" spans="1:3" ht="15">
      <c r="A15" s="215" t="s">
        <v>377</v>
      </c>
      <c r="B15" s="216"/>
      <c r="C15" s="215" t="s">
        <v>358</v>
      </c>
    </row>
    <row r="16" spans="1:3" ht="15">
      <c r="A16" s="215" t="s">
        <v>431</v>
      </c>
      <c r="B16" s="216"/>
      <c r="C16" s="215" t="s">
        <v>432</v>
      </c>
    </row>
    <row r="17" spans="1:3" ht="15">
      <c r="A17" s="215" t="s">
        <v>433</v>
      </c>
      <c r="B17" s="216"/>
      <c r="C17" s="215" t="s">
        <v>434</v>
      </c>
    </row>
    <row r="18" spans="1:3" ht="15">
      <c r="A18" s="215" t="s">
        <v>435</v>
      </c>
      <c r="B18" s="216"/>
      <c r="C18" s="215" t="s">
        <v>436</v>
      </c>
    </row>
    <row r="19" spans="1:3" ht="15">
      <c r="A19" s="215" t="s">
        <v>437</v>
      </c>
      <c r="B19" s="216"/>
      <c r="C19" s="215" t="s">
        <v>438</v>
      </c>
    </row>
    <row r="20" spans="1:3" ht="15">
      <c r="A20" s="215" t="s">
        <v>439</v>
      </c>
      <c r="B20" s="216"/>
      <c r="C20" s="215" t="s">
        <v>440</v>
      </c>
    </row>
    <row r="21" spans="1:3" ht="15">
      <c r="A21" s="215" t="s">
        <v>441</v>
      </c>
      <c r="B21" s="216"/>
      <c r="C21" s="215" t="s">
        <v>442</v>
      </c>
    </row>
    <row r="22" spans="1:3" ht="15">
      <c r="A22" s="215" t="s">
        <v>443</v>
      </c>
      <c r="B22" s="216"/>
      <c r="C22" s="215" t="s">
        <v>444</v>
      </c>
    </row>
    <row r="23" spans="1:3" ht="15">
      <c r="A23" s="215" t="s">
        <v>445</v>
      </c>
      <c r="B23" s="216"/>
      <c r="C23" s="215" t="s">
        <v>446</v>
      </c>
    </row>
    <row r="24" spans="1:3" ht="15">
      <c r="A24" s="215" t="s">
        <v>447</v>
      </c>
      <c r="B24" s="216"/>
      <c r="C24" s="215" t="s">
        <v>448</v>
      </c>
    </row>
    <row r="25" spans="1:3" ht="15">
      <c r="A25" s="215" t="s">
        <v>449</v>
      </c>
      <c r="B25" s="216"/>
      <c r="C25" s="215" t="s">
        <v>450</v>
      </c>
    </row>
    <row r="26" spans="1:3" ht="15">
      <c r="A26" s="215" t="s">
        <v>451</v>
      </c>
      <c r="B26" s="216"/>
      <c r="C26" s="215" t="s">
        <v>452</v>
      </c>
    </row>
    <row r="27" spans="1:3" ht="15">
      <c r="A27" s="215" t="s">
        <v>453</v>
      </c>
      <c r="B27" s="216"/>
      <c r="C27" s="215" t="s">
        <v>454</v>
      </c>
    </row>
    <row r="28" spans="1:3" ht="15">
      <c r="A28" s="215" t="s">
        <v>393</v>
      </c>
      <c r="B28" s="216"/>
      <c r="C28" s="215" t="s">
        <v>455</v>
      </c>
    </row>
    <row r="29" spans="1:3" ht="15">
      <c r="A29" s="215" t="s">
        <v>456</v>
      </c>
      <c r="B29" s="216"/>
      <c r="C29" s="215" t="s">
        <v>457</v>
      </c>
    </row>
    <row r="30" spans="1:3" ht="15">
      <c r="A30" s="215" t="s">
        <v>458</v>
      </c>
      <c r="B30" s="216"/>
      <c r="C30" s="215" t="s">
        <v>459</v>
      </c>
    </row>
    <row r="31" spans="1:3" ht="15">
      <c r="A31" s="215" t="s">
        <v>460</v>
      </c>
      <c r="B31" s="216"/>
      <c r="C31" s="215" t="s">
        <v>464</v>
      </c>
    </row>
    <row r="32" spans="1:3" ht="15">
      <c r="A32" s="215" t="s">
        <v>465</v>
      </c>
      <c r="B32" s="216"/>
      <c r="C32" s="215" t="s">
        <v>466</v>
      </c>
    </row>
    <row r="33" spans="1:3" ht="15">
      <c r="A33" s="215" t="s">
        <v>467</v>
      </c>
      <c r="B33" s="216"/>
      <c r="C33" s="215" t="s">
        <v>468</v>
      </c>
    </row>
    <row r="34" spans="1:3" ht="15">
      <c r="A34" s="215" t="s">
        <v>469</v>
      </c>
      <c r="B34" s="216"/>
      <c r="C34" s="215" t="s">
        <v>470</v>
      </c>
    </row>
    <row r="35" spans="1:3" ht="15">
      <c r="A35" s="215" t="s">
        <v>471</v>
      </c>
      <c r="B35" s="216"/>
      <c r="C35" s="215" t="s">
        <v>472</v>
      </c>
    </row>
    <row r="36" spans="1:3" ht="15">
      <c r="A36" s="215" t="s">
        <v>473</v>
      </c>
      <c r="B36" s="216"/>
      <c r="C36" s="215" t="s">
        <v>474</v>
      </c>
    </row>
    <row r="37" spans="1:3" ht="15">
      <c r="A37" s="215" t="s">
        <v>475</v>
      </c>
      <c r="B37" s="216"/>
      <c r="C37" s="215" t="s">
        <v>476</v>
      </c>
    </row>
    <row r="38" spans="1:3" ht="15">
      <c r="A38" s="215" t="s">
        <v>477</v>
      </c>
      <c r="B38" s="216"/>
      <c r="C38" s="215" t="s">
        <v>478</v>
      </c>
    </row>
    <row r="39" spans="1:3" ht="15">
      <c r="A39" s="215" t="s">
        <v>479</v>
      </c>
      <c r="B39" s="216"/>
      <c r="C39" s="215" t="s">
        <v>487</v>
      </c>
    </row>
    <row r="40" spans="1:3" ht="15">
      <c r="A40" s="215" t="s">
        <v>488</v>
      </c>
      <c r="B40" s="216"/>
      <c r="C40" s="215" t="s">
        <v>489</v>
      </c>
    </row>
    <row r="41" spans="1:3" ht="15">
      <c r="A41" s="215" t="s">
        <v>490</v>
      </c>
      <c r="B41" s="216"/>
      <c r="C41" s="215" t="s">
        <v>491</v>
      </c>
    </row>
    <row r="42" spans="1:3" ht="15">
      <c r="A42" s="215" t="s">
        <v>382</v>
      </c>
      <c r="B42" s="216"/>
      <c r="C42" s="215" t="s">
        <v>312</v>
      </c>
    </row>
    <row r="43" spans="1:3" ht="15">
      <c r="A43" s="215" t="s">
        <v>492</v>
      </c>
      <c r="B43" s="216"/>
      <c r="C43" s="218" t="s">
        <v>305</v>
      </c>
    </row>
    <row r="44" spans="1:3" ht="15">
      <c r="A44" s="215" t="s">
        <v>493</v>
      </c>
      <c r="B44" s="216"/>
      <c r="C44" s="215" t="s">
        <v>494</v>
      </c>
    </row>
    <row r="45" spans="1:3" ht="15">
      <c r="A45" s="215" t="s">
        <v>495</v>
      </c>
      <c r="B45" s="216"/>
      <c r="C45" s="215" t="s">
        <v>496</v>
      </c>
    </row>
    <row r="46" spans="1:3" ht="15">
      <c r="A46" s="215" t="s">
        <v>497</v>
      </c>
      <c r="B46" s="216"/>
      <c r="C46" s="215" t="s">
        <v>498</v>
      </c>
    </row>
    <row r="47" spans="1:3" ht="15">
      <c r="A47" s="215" t="s">
        <v>499</v>
      </c>
      <c r="B47" s="216"/>
      <c r="C47" s="215" t="s">
        <v>500</v>
      </c>
    </row>
    <row r="48" spans="1:3" ht="15">
      <c r="A48" s="215" t="s">
        <v>501</v>
      </c>
      <c r="B48" s="216"/>
      <c r="C48" s="215" t="s">
        <v>502</v>
      </c>
    </row>
    <row r="49" spans="1:3" ht="15">
      <c r="A49" s="215" t="s">
        <v>503</v>
      </c>
      <c r="B49" s="216"/>
      <c r="C49" s="215" t="s">
        <v>504</v>
      </c>
    </row>
    <row r="50" spans="1:3" ht="15">
      <c r="A50" s="215" t="s">
        <v>505</v>
      </c>
      <c r="B50" s="216"/>
      <c r="C50" s="215" t="s">
        <v>506</v>
      </c>
    </row>
    <row r="51" spans="1:3" ht="15">
      <c r="A51" s="215" t="s">
        <v>507</v>
      </c>
      <c r="B51" s="216"/>
      <c r="C51" s="215" t="s">
        <v>508</v>
      </c>
    </row>
    <row r="52" spans="1:3" ht="15">
      <c r="A52" s="215" t="s">
        <v>509</v>
      </c>
      <c r="B52" s="216"/>
      <c r="C52" s="215" t="s">
        <v>510</v>
      </c>
    </row>
    <row r="53" spans="1:3" ht="15">
      <c r="A53" s="215" t="s">
        <v>511</v>
      </c>
      <c r="B53" s="216"/>
      <c r="C53" s="215" t="s">
        <v>512</v>
      </c>
    </row>
    <row r="54" spans="1:3" ht="15">
      <c r="A54" s="215" t="s">
        <v>513</v>
      </c>
      <c r="B54" s="216"/>
      <c r="C54" s="215" t="s">
        <v>514</v>
      </c>
    </row>
    <row r="55" spans="1:3" ht="15">
      <c r="A55" s="215" t="s">
        <v>515</v>
      </c>
      <c r="B55" s="216"/>
      <c r="C55" s="215" t="s">
        <v>516</v>
      </c>
    </row>
    <row r="56" spans="1:3" ht="15">
      <c r="A56" s="215" t="s">
        <v>379</v>
      </c>
      <c r="B56" s="216"/>
      <c r="C56" s="218" t="s">
        <v>2076</v>
      </c>
    </row>
    <row r="57" spans="1:3" ht="15">
      <c r="A57" s="215" t="s">
        <v>517</v>
      </c>
      <c r="B57" s="216"/>
      <c r="C57" s="215" t="s">
        <v>518</v>
      </c>
    </row>
    <row r="58" spans="1:3" ht="15">
      <c r="A58" s="215" t="s">
        <v>381</v>
      </c>
      <c r="B58" s="216"/>
      <c r="C58" s="215" t="s">
        <v>519</v>
      </c>
    </row>
    <row r="59" spans="1:3" ht="15">
      <c r="A59" s="215" t="s">
        <v>315</v>
      </c>
      <c r="B59" s="216"/>
      <c r="C59" s="215" t="s">
        <v>521</v>
      </c>
    </row>
    <row r="60" spans="1:3" ht="15">
      <c r="A60" s="215" t="s">
        <v>522</v>
      </c>
      <c r="B60" s="216"/>
      <c r="C60" s="215" t="s">
        <v>523</v>
      </c>
    </row>
    <row r="61" spans="1:3" ht="15">
      <c r="A61" s="215" t="s">
        <v>524</v>
      </c>
      <c r="B61" s="216"/>
      <c r="C61" s="215" t="s">
        <v>569</v>
      </c>
    </row>
    <row r="62" spans="1:3" ht="15">
      <c r="A62" s="215" t="s">
        <v>570</v>
      </c>
      <c r="B62" s="216"/>
      <c r="C62" s="215" t="s">
        <v>571</v>
      </c>
    </row>
    <row r="63" spans="1:3" ht="15">
      <c r="A63" s="215" t="s">
        <v>572</v>
      </c>
      <c r="B63" s="216"/>
      <c r="C63" s="215" t="s">
        <v>573</v>
      </c>
    </row>
    <row r="64" spans="1:3" ht="15">
      <c r="A64" s="215" t="s">
        <v>574</v>
      </c>
      <c r="B64" s="216"/>
      <c r="C64" s="215" t="s">
        <v>575</v>
      </c>
    </row>
    <row r="65" spans="1:3" ht="15">
      <c r="A65" s="215" t="s">
        <v>576</v>
      </c>
      <c r="B65" s="216"/>
      <c r="C65" s="215" t="s">
        <v>577</v>
      </c>
    </row>
    <row r="66" spans="1:3" ht="15">
      <c r="A66" s="215" t="s">
        <v>578</v>
      </c>
      <c r="B66" s="216"/>
      <c r="C66" s="215" t="s">
        <v>579</v>
      </c>
    </row>
    <row r="67" spans="1:3" ht="15">
      <c r="A67" s="215" t="s">
        <v>580</v>
      </c>
      <c r="B67" s="216"/>
      <c r="C67" s="215" t="s">
        <v>581</v>
      </c>
    </row>
    <row r="68" spans="1:3" ht="15">
      <c r="A68" s="215" t="s">
        <v>582</v>
      </c>
      <c r="B68" s="216"/>
      <c r="C68" s="215" t="s">
        <v>583</v>
      </c>
    </row>
    <row r="69" spans="1:3" ht="15">
      <c r="A69" s="215" t="s">
        <v>584</v>
      </c>
      <c r="B69" s="216"/>
      <c r="C69" s="215" t="s">
        <v>585</v>
      </c>
    </row>
    <row r="70" spans="1:3" ht="15">
      <c r="A70" s="215" t="s">
        <v>586</v>
      </c>
      <c r="B70" s="216"/>
      <c r="C70" s="215" t="s">
        <v>587</v>
      </c>
    </row>
    <row r="71" spans="1:3" ht="15">
      <c r="A71" s="215" t="s">
        <v>588</v>
      </c>
      <c r="B71" s="216"/>
      <c r="C71" s="215" t="s">
        <v>589</v>
      </c>
    </row>
    <row r="72" spans="1:3" ht="15">
      <c r="A72" s="215" t="s">
        <v>590</v>
      </c>
      <c r="B72" s="216"/>
      <c r="C72" s="215" t="s">
        <v>591</v>
      </c>
    </row>
    <row r="73" spans="1:3" ht="15">
      <c r="A73" s="215" t="s">
        <v>592</v>
      </c>
      <c r="B73" s="216"/>
      <c r="C73" s="215" t="s">
        <v>593</v>
      </c>
    </row>
    <row r="74" spans="1:3" ht="15">
      <c r="A74" s="215" t="s">
        <v>594</v>
      </c>
      <c r="B74" s="216"/>
      <c r="C74" s="215" t="s">
        <v>595</v>
      </c>
    </row>
    <row r="75" spans="1:3" ht="15">
      <c r="A75" s="218" t="s">
        <v>1570</v>
      </c>
      <c r="B75" s="216"/>
      <c r="C75" s="215" t="s">
        <v>313</v>
      </c>
    </row>
    <row r="76" spans="1:3" ht="15">
      <c r="A76" s="215" t="s">
        <v>596</v>
      </c>
      <c r="B76" s="216"/>
      <c r="C76" s="215" t="s">
        <v>597</v>
      </c>
    </row>
    <row r="77" spans="1:3" ht="15">
      <c r="A77" s="215" t="s">
        <v>598</v>
      </c>
      <c r="B77" s="216"/>
      <c r="C77" s="215" t="s">
        <v>601</v>
      </c>
    </row>
    <row r="78" spans="1:3" ht="15">
      <c r="A78" s="218" t="s">
        <v>1265</v>
      </c>
      <c r="B78" s="216"/>
      <c r="C78" s="218" t="s">
        <v>1266</v>
      </c>
    </row>
    <row r="79" spans="1:3" ht="15">
      <c r="A79" s="215" t="s">
        <v>602</v>
      </c>
      <c r="B79" s="216"/>
      <c r="C79" s="215" t="s">
        <v>603</v>
      </c>
    </row>
    <row r="80" spans="1:3" ht="15">
      <c r="A80" s="218" t="s">
        <v>1471</v>
      </c>
      <c r="B80" s="216"/>
      <c r="C80" s="218" t="s">
        <v>1472</v>
      </c>
    </row>
    <row r="81" spans="1:3" ht="15">
      <c r="A81" s="215" t="s">
        <v>604</v>
      </c>
      <c r="B81" s="216"/>
      <c r="C81" s="215" t="s">
        <v>605</v>
      </c>
    </row>
    <row r="82" spans="1:3" ht="15">
      <c r="A82" s="215" t="s">
        <v>606</v>
      </c>
      <c r="B82" s="216"/>
      <c r="C82" s="215" t="s">
        <v>607</v>
      </c>
    </row>
    <row r="83" spans="1:3" ht="15">
      <c r="A83" s="215" t="s">
        <v>608</v>
      </c>
      <c r="B83" s="216"/>
      <c r="C83" s="215" t="s">
        <v>670</v>
      </c>
    </row>
    <row r="84" spans="1:3" ht="15">
      <c r="A84" s="215" t="s">
        <v>671</v>
      </c>
      <c r="B84" s="216"/>
      <c r="C84" s="215" t="s">
        <v>671</v>
      </c>
    </row>
    <row r="85" spans="1:3" ht="15">
      <c r="A85" s="215" t="s">
        <v>672</v>
      </c>
      <c r="B85" s="216"/>
      <c r="C85" s="215" t="s">
        <v>673</v>
      </c>
    </row>
    <row r="86" spans="1:3" ht="15">
      <c r="A86" s="215" t="s">
        <v>384</v>
      </c>
      <c r="B86" s="216"/>
      <c r="C86" s="215" t="s">
        <v>680</v>
      </c>
    </row>
    <row r="87" spans="1:3" ht="15">
      <c r="A87" s="215" t="s">
        <v>681</v>
      </c>
      <c r="B87" s="216"/>
      <c r="C87" s="215" t="s">
        <v>682</v>
      </c>
    </row>
    <row r="88" spans="1:3" ht="15">
      <c r="A88" s="215" t="s">
        <v>683</v>
      </c>
      <c r="B88" s="216"/>
      <c r="C88" s="215" t="s">
        <v>684</v>
      </c>
    </row>
    <row r="89" spans="1:3" ht="15">
      <c r="A89" s="215" t="s">
        <v>685</v>
      </c>
      <c r="B89" s="216"/>
      <c r="C89" s="215" t="s">
        <v>686</v>
      </c>
    </row>
    <row r="90" spans="1:3" ht="15">
      <c r="A90" s="215" t="s">
        <v>687</v>
      </c>
      <c r="B90" s="216"/>
      <c r="C90" s="215" t="s">
        <v>690</v>
      </c>
    </row>
    <row r="91" spans="1:3" ht="15">
      <c r="A91" s="215" t="s">
        <v>691</v>
      </c>
      <c r="B91" s="216"/>
      <c r="C91" s="215" t="s">
        <v>692</v>
      </c>
    </row>
    <row r="92" spans="1:3" ht="15">
      <c r="A92" s="215" t="s">
        <v>693</v>
      </c>
      <c r="B92" s="216"/>
      <c r="C92" s="215" t="s">
        <v>694</v>
      </c>
    </row>
    <row r="93" spans="1:3" ht="15">
      <c r="A93" s="215" t="s">
        <v>695</v>
      </c>
      <c r="B93" s="216"/>
      <c r="C93" s="215" t="s">
        <v>696</v>
      </c>
    </row>
    <row r="94" spans="1:3" ht="15">
      <c r="A94" s="218" t="s">
        <v>1229</v>
      </c>
      <c r="B94" s="216"/>
      <c r="C94" s="218" t="s">
        <v>1230</v>
      </c>
    </row>
    <row r="95" spans="1:3" ht="15">
      <c r="A95" s="215" t="s">
        <v>697</v>
      </c>
      <c r="B95" s="216"/>
      <c r="C95" s="215" t="s">
        <v>698</v>
      </c>
    </row>
    <row r="96" spans="1:3" ht="15">
      <c r="A96" s="215" t="s">
        <v>699</v>
      </c>
      <c r="B96" s="216"/>
      <c r="C96" s="215" t="s">
        <v>700</v>
      </c>
    </row>
    <row r="97" spans="1:3" ht="15">
      <c r="A97" s="215" t="s">
        <v>701</v>
      </c>
      <c r="B97" s="216"/>
      <c r="C97" s="215" t="s">
        <v>702</v>
      </c>
    </row>
    <row r="98" spans="1:3" ht="15">
      <c r="A98" s="218" t="s">
        <v>1127</v>
      </c>
      <c r="B98" s="216"/>
      <c r="C98" s="218" t="s">
        <v>1590</v>
      </c>
    </row>
    <row r="99" spans="1:3" ht="15">
      <c r="A99" s="215" t="s">
        <v>703</v>
      </c>
      <c r="B99" s="216"/>
      <c r="C99" s="215" t="s">
        <v>704</v>
      </c>
    </row>
    <row r="100" spans="1:3" ht="15">
      <c r="A100" s="215" t="s">
        <v>385</v>
      </c>
      <c r="B100" s="216"/>
      <c r="C100" s="215" t="s">
        <v>705</v>
      </c>
    </row>
    <row r="101" spans="1:3" ht="15">
      <c r="A101" s="215" t="s">
        <v>706</v>
      </c>
      <c r="B101" s="216"/>
      <c r="C101" s="215" t="s">
        <v>707</v>
      </c>
    </row>
    <row r="102" spans="1:3" ht="15">
      <c r="A102" s="215" t="s">
        <v>708</v>
      </c>
      <c r="B102" s="216"/>
      <c r="C102" s="215" t="s">
        <v>709</v>
      </c>
    </row>
    <row r="103" spans="1:3" ht="15">
      <c r="A103" s="215" t="s">
        <v>710</v>
      </c>
      <c r="B103" s="216"/>
      <c r="C103" s="215" t="s">
        <v>711</v>
      </c>
    </row>
    <row r="104" spans="1:3" ht="15">
      <c r="A104" s="215" t="s">
        <v>712</v>
      </c>
      <c r="B104" s="216"/>
      <c r="C104" s="215" t="s">
        <v>713</v>
      </c>
    </row>
    <row r="105" spans="1:3" ht="15">
      <c r="A105" s="215" t="s">
        <v>714</v>
      </c>
      <c r="B105" s="216"/>
      <c r="C105" s="215" t="s">
        <v>715</v>
      </c>
    </row>
    <row r="106" spans="1:3" ht="15">
      <c r="A106" s="215" t="s">
        <v>716</v>
      </c>
      <c r="B106" s="216"/>
      <c r="C106" s="215" t="s">
        <v>717</v>
      </c>
    </row>
    <row r="107" spans="1:3" ht="15">
      <c r="A107" s="215" t="s">
        <v>718</v>
      </c>
      <c r="B107" s="216"/>
      <c r="C107" s="215" t="s">
        <v>719</v>
      </c>
    </row>
    <row r="108" spans="1:3" ht="15">
      <c r="A108" s="215" t="s">
        <v>720</v>
      </c>
      <c r="B108" s="216"/>
      <c r="C108" s="215" t="s">
        <v>721</v>
      </c>
    </row>
    <row r="109" spans="1:3" ht="15">
      <c r="A109" s="215" t="s">
        <v>722</v>
      </c>
      <c r="B109" s="216"/>
      <c r="C109" s="215" t="s">
        <v>723</v>
      </c>
    </row>
    <row r="110" spans="1:3" ht="15">
      <c r="A110" s="215" t="s">
        <v>724</v>
      </c>
      <c r="B110" s="216"/>
      <c r="C110" s="215" t="s">
        <v>725</v>
      </c>
    </row>
    <row r="111" spans="1:3" ht="15">
      <c r="A111" s="215" t="s">
        <v>726</v>
      </c>
      <c r="B111" s="216"/>
      <c r="C111" s="215" t="s">
        <v>727</v>
      </c>
    </row>
    <row r="112" spans="1:3" ht="15">
      <c r="A112" s="218" t="s">
        <v>1980</v>
      </c>
      <c r="B112" s="216"/>
      <c r="C112" s="218" t="s">
        <v>1981</v>
      </c>
    </row>
    <row r="113" spans="1:3" ht="15">
      <c r="A113" s="215" t="s">
        <v>728</v>
      </c>
      <c r="B113" s="216"/>
      <c r="C113" s="215" t="s">
        <v>729</v>
      </c>
    </row>
    <row r="114" spans="1:3" ht="15">
      <c r="A114" s="215" t="s">
        <v>730</v>
      </c>
      <c r="B114" s="216"/>
      <c r="C114" s="215" t="s">
        <v>731</v>
      </c>
    </row>
    <row r="115" spans="1:3" ht="15">
      <c r="A115" s="215" t="s">
        <v>732</v>
      </c>
      <c r="B115" s="216"/>
      <c r="C115" s="215" t="s">
        <v>733</v>
      </c>
    </row>
    <row r="116" spans="1:3" ht="15">
      <c r="A116" s="215" t="s">
        <v>734</v>
      </c>
      <c r="B116" s="216"/>
      <c r="C116" s="215" t="s">
        <v>735</v>
      </c>
    </row>
    <row r="117" spans="1:3" ht="15">
      <c r="A117" s="215" t="s">
        <v>736</v>
      </c>
      <c r="B117" s="216"/>
      <c r="C117" s="215" t="s">
        <v>737</v>
      </c>
    </row>
    <row r="118" spans="1:3" ht="15">
      <c r="A118" s="215" t="s">
        <v>738</v>
      </c>
      <c r="B118" s="216"/>
      <c r="C118" s="215" t="s">
        <v>739</v>
      </c>
    </row>
    <row r="119" spans="1:3" ht="15">
      <c r="A119" s="215" t="s">
        <v>740</v>
      </c>
      <c r="B119" s="216"/>
      <c r="C119" s="215" t="s">
        <v>741</v>
      </c>
    </row>
    <row r="120" spans="1:3" ht="15">
      <c r="A120" s="215" t="s">
        <v>742</v>
      </c>
      <c r="B120" s="216"/>
      <c r="C120" s="215" t="s">
        <v>743</v>
      </c>
    </row>
    <row r="121" spans="1:3" ht="15">
      <c r="A121" s="215" t="s">
        <v>1362</v>
      </c>
      <c r="B121" s="216"/>
      <c r="C121" s="215" t="s">
        <v>744</v>
      </c>
    </row>
    <row r="122" spans="1:3" ht="15">
      <c r="A122" s="215" t="s">
        <v>745</v>
      </c>
      <c r="B122" s="216"/>
      <c r="C122" s="215" t="s">
        <v>746</v>
      </c>
    </row>
    <row r="123" spans="1:3" ht="15">
      <c r="A123" s="215" t="s">
        <v>747</v>
      </c>
      <c r="B123" s="216"/>
      <c r="C123" s="215" t="s">
        <v>748</v>
      </c>
    </row>
    <row r="124" spans="1:3" ht="15">
      <c r="A124" s="215" t="s">
        <v>749</v>
      </c>
      <c r="B124" s="216"/>
      <c r="C124" s="215" t="s">
        <v>750</v>
      </c>
    </row>
    <row r="125" spans="1:3" ht="15">
      <c r="A125" s="215" t="s">
        <v>751</v>
      </c>
      <c r="B125" s="216"/>
      <c r="C125" s="215" t="s">
        <v>753</v>
      </c>
    </row>
    <row r="126" spans="1:3" ht="15">
      <c r="A126" s="215" t="s">
        <v>754</v>
      </c>
      <c r="B126" s="216"/>
      <c r="C126" s="215" t="s">
        <v>755</v>
      </c>
    </row>
    <row r="127" spans="1:3" ht="15">
      <c r="A127" s="215" t="s">
        <v>756</v>
      </c>
      <c r="B127" s="216"/>
      <c r="C127" s="215" t="s">
        <v>757</v>
      </c>
    </row>
    <row r="128" spans="1:3" ht="15">
      <c r="A128" s="218" t="s">
        <v>1982</v>
      </c>
      <c r="B128" s="216"/>
      <c r="C128" s="218" t="s">
        <v>1983</v>
      </c>
    </row>
    <row r="129" spans="1:3" ht="15">
      <c r="A129" s="215" t="s">
        <v>758</v>
      </c>
      <c r="B129" s="216"/>
      <c r="C129" s="215" t="s">
        <v>759</v>
      </c>
    </row>
    <row r="130" spans="1:3" ht="15">
      <c r="A130" s="215" t="s">
        <v>760</v>
      </c>
      <c r="B130" s="216"/>
      <c r="C130" s="215" t="s">
        <v>761</v>
      </c>
    </row>
    <row r="131" spans="1:3" ht="15">
      <c r="A131" s="215" t="s">
        <v>762</v>
      </c>
      <c r="B131" s="216"/>
      <c r="C131" s="215" t="s">
        <v>763</v>
      </c>
    </row>
    <row r="132" spans="1:3" ht="15">
      <c r="A132" s="215" t="s">
        <v>770</v>
      </c>
      <c r="B132" s="216"/>
      <c r="C132" s="218" t="s">
        <v>1188</v>
      </c>
    </row>
    <row r="133" spans="1:3" ht="15">
      <c r="A133" s="215" t="s">
        <v>771</v>
      </c>
      <c r="B133" s="216"/>
      <c r="C133" s="215" t="s">
        <v>772</v>
      </c>
    </row>
    <row r="134" spans="1:3" ht="15">
      <c r="A134" s="215" t="s">
        <v>773</v>
      </c>
      <c r="B134" s="216"/>
      <c r="C134" s="215" t="s">
        <v>774</v>
      </c>
    </row>
    <row r="135" spans="1:3" ht="15">
      <c r="A135" s="218" t="s">
        <v>1215</v>
      </c>
      <c r="B135" s="216"/>
      <c r="C135" s="218" t="s">
        <v>1216</v>
      </c>
    </row>
    <row r="136" spans="1:3" ht="15">
      <c r="A136" s="218" t="s">
        <v>69</v>
      </c>
      <c r="B136" s="216"/>
      <c r="C136" s="218" t="s">
        <v>70</v>
      </c>
    </row>
    <row r="137" spans="1:3" ht="15">
      <c r="A137" s="215" t="s">
        <v>775</v>
      </c>
      <c r="B137" s="216"/>
      <c r="C137" s="215" t="s">
        <v>776</v>
      </c>
    </row>
    <row r="138" spans="1:3" ht="15">
      <c r="A138" s="215" t="s">
        <v>777</v>
      </c>
      <c r="B138" s="216"/>
      <c r="C138" s="215" t="s">
        <v>778</v>
      </c>
    </row>
    <row r="139" spans="1:3" ht="15">
      <c r="A139" s="215" t="s">
        <v>779</v>
      </c>
      <c r="B139" s="216"/>
      <c r="C139" s="215" t="s">
        <v>780</v>
      </c>
    </row>
    <row r="140" spans="1:3" ht="15">
      <c r="A140" s="218" t="s">
        <v>2111</v>
      </c>
      <c r="B140" s="216"/>
      <c r="C140" s="218" t="s">
        <v>2112</v>
      </c>
    </row>
    <row r="141" spans="1:3" ht="15">
      <c r="A141" s="215" t="s">
        <v>781</v>
      </c>
      <c r="B141" s="216"/>
      <c r="C141" s="215" t="s">
        <v>782</v>
      </c>
    </row>
    <row r="142" spans="1:3" ht="15">
      <c r="A142" s="215" t="s">
        <v>783</v>
      </c>
      <c r="B142" s="216"/>
      <c r="C142" s="215" t="s">
        <v>784</v>
      </c>
    </row>
    <row r="143" spans="1:3" ht="15">
      <c r="A143" s="215" t="s">
        <v>785</v>
      </c>
      <c r="B143" s="216"/>
      <c r="C143" s="215" t="s">
        <v>786</v>
      </c>
    </row>
    <row r="144" spans="1:3" ht="15">
      <c r="A144" s="215" t="s">
        <v>787</v>
      </c>
      <c r="B144" s="216"/>
      <c r="C144" s="215" t="s">
        <v>788</v>
      </c>
    </row>
    <row r="145" spans="1:3" ht="15">
      <c r="A145" s="215" t="s">
        <v>386</v>
      </c>
      <c r="B145" s="216"/>
      <c r="C145" s="215" t="s">
        <v>789</v>
      </c>
    </row>
    <row r="146" spans="1:3" ht="15">
      <c r="A146" s="218" t="s">
        <v>599</v>
      </c>
      <c r="B146" s="216"/>
      <c r="C146" s="218" t="s">
        <v>600</v>
      </c>
    </row>
    <row r="147" spans="1:3" ht="15">
      <c r="A147" s="215" t="s">
        <v>790</v>
      </c>
      <c r="B147" s="216"/>
      <c r="C147" s="215" t="s">
        <v>791</v>
      </c>
    </row>
    <row r="148" spans="1:3" ht="15">
      <c r="A148" s="215" t="s">
        <v>792</v>
      </c>
      <c r="B148" s="216"/>
      <c r="C148" s="215" t="s">
        <v>793</v>
      </c>
    </row>
    <row r="149" spans="1:3" ht="15">
      <c r="A149" s="215" t="s">
        <v>794</v>
      </c>
      <c r="B149" s="216"/>
      <c r="C149" s="215" t="s">
        <v>795</v>
      </c>
    </row>
    <row r="150" spans="1:3" ht="15">
      <c r="A150" s="215" t="s">
        <v>796</v>
      </c>
      <c r="B150" s="216"/>
      <c r="C150" s="215" t="s">
        <v>797</v>
      </c>
    </row>
    <row r="151" spans="1:3" ht="15">
      <c r="A151" s="215" t="s">
        <v>798</v>
      </c>
      <c r="B151" s="216"/>
      <c r="C151" s="215" t="s">
        <v>799</v>
      </c>
    </row>
    <row r="152" spans="1:3" ht="15">
      <c r="A152" s="215" t="s">
        <v>800</v>
      </c>
      <c r="B152" s="216"/>
      <c r="C152" s="215" t="s">
        <v>801</v>
      </c>
    </row>
    <row r="153" spans="1:3" ht="15">
      <c r="A153" s="215" t="s">
        <v>802</v>
      </c>
      <c r="B153" s="216"/>
      <c r="C153" s="215" t="s">
        <v>803</v>
      </c>
    </row>
    <row r="154" spans="1:3" ht="15">
      <c r="A154" s="215" t="s">
        <v>804</v>
      </c>
      <c r="B154" s="216"/>
      <c r="C154" s="215" t="s">
        <v>805</v>
      </c>
    </row>
    <row r="155" spans="1:3" ht="15">
      <c r="A155" s="215" t="s">
        <v>806</v>
      </c>
      <c r="B155" s="216"/>
      <c r="C155" s="215" t="s">
        <v>808</v>
      </c>
    </row>
    <row r="156" spans="1:3" ht="15">
      <c r="A156" s="215" t="s">
        <v>809</v>
      </c>
      <c r="B156" s="216"/>
      <c r="C156" s="215" t="s">
        <v>810</v>
      </c>
    </row>
    <row r="157" spans="1:3" ht="15">
      <c r="A157" s="215" t="s">
        <v>811</v>
      </c>
      <c r="B157" s="216"/>
      <c r="C157" s="215" t="s">
        <v>812</v>
      </c>
    </row>
    <row r="158" spans="1:3" ht="15">
      <c r="A158" s="215" t="s">
        <v>813</v>
      </c>
      <c r="B158" s="216"/>
      <c r="C158" s="215" t="s">
        <v>815</v>
      </c>
    </row>
    <row r="159" spans="1:3" ht="15">
      <c r="A159" s="215" t="s">
        <v>816</v>
      </c>
      <c r="B159" s="216"/>
      <c r="C159" s="215" t="s">
        <v>817</v>
      </c>
    </row>
    <row r="160" spans="1:3" ht="15">
      <c r="A160" s="215" t="s">
        <v>818</v>
      </c>
      <c r="B160" s="216"/>
      <c r="C160" s="215" t="s">
        <v>819</v>
      </c>
    </row>
    <row r="161" spans="1:3" ht="15">
      <c r="A161" s="215" t="s">
        <v>820</v>
      </c>
      <c r="B161" s="216"/>
      <c r="C161" s="215" t="s">
        <v>821</v>
      </c>
    </row>
    <row r="162" spans="1:3" ht="15">
      <c r="A162" s="215" t="s">
        <v>822</v>
      </c>
      <c r="B162" s="216"/>
      <c r="C162" s="215" t="s">
        <v>823</v>
      </c>
    </row>
    <row r="163" spans="1:3" ht="15">
      <c r="A163" s="215" t="s">
        <v>824</v>
      </c>
      <c r="B163" s="216"/>
      <c r="C163" s="215" t="s">
        <v>827</v>
      </c>
    </row>
    <row r="164" spans="1:3" ht="15">
      <c r="A164" s="215" t="s">
        <v>828</v>
      </c>
      <c r="B164" s="216"/>
      <c r="C164" s="215" t="s">
        <v>829</v>
      </c>
    </row>
    <row r="165" spans="1:3" ht="15">
      <c r="A165" s="215" t="s">
        <v>830</v>
      </c>
      <c r="B165" s="216"/>
      <c r="C165" s="215" t="s">
        <v>831</v>
      </c>
    </row>
    <row r="166" spans="1:3" ht="15">
      <c r="A166" s="215" t="s">
        <v>832</v>
      </c>
      <c r="B166" s="216"/>
      <c r="C166" s="215" t="s">
        <v>833</v>
      </c>
    </row>
    <row r="167" spans="1:3" ht="15">
      <c r="A167" s="215" t="s">
        <v>834</v>
      </c>
      <c r="B167" s="216"/>
      <c r="C167" s="215" t="s">
        <v>835</v>
      </c>
    </row>
    <row r="168" spans="1:3" ht="15">
      <c r="A168" s="215" t="s">
        <v>836</v>
      </c>
      <c r="B168" s="216"/>
      <c r="C168" s="215" t="s">
        <v>364</v>
      </c>
    </row>
    <row r="169" spans="1:3" ht="15">
      <c r="A169" s="215" t="s">
        <v>837</v>
      </c>
      <c r="B169" s="216"/>
      <c r="C169" s="215" t="s">
        <v>838</v>
      </c>
    </row>
    <row r="170" spans="1:3" ht="15">
      <c r="A170" s="215" t="s">
        <v>839</v>
      </c>
      <c r="B170" s="216"/>
      <c r="C170" s="215" t="s">
        <v>840</v>
      </c>
    </row>
    <row r="171" spans="1:3" ht="15">
      <c r="A171" s="215" t="s">
        <v>845</v>
      </c>
      <c r="B171" s="216"/>
      <c r="C171" s="215" t="s">
        <v>363</v>
      </c>
    </row>
    <row r="172" spans="1:3" ht="15">
      <c r="A172" s="215" t="s">
        <v>846</v>
      </c>
      <c r="B172" s="216"/>
      <c r="C172" s="215" t="s">
        <v>847</v>
      </c>
    </row>
    <row r="173" spans="1:3" ht="15">
      <c r="A173" s="215" t="s">
        <v>848</v>
      </c>
      <c r="B173" s="216"/>
      <c r="C173" s="215" t="s">
        <v>849</v>
      </c>
    </row>
    <row r="174" spans="1:3" ht="15">
      <c r="A174" s="215" t="s">
        <v>850</v>
      </c>
      <c r="B174" s="216"/>
      <c r="C174" s="215" t="s">
        <v>851</v>
      </c>
    </row>
    <row r="175" spans="1:3" ht="15">
      <c r="A175" s="215" t="s">
        <v>852</v>
      </c>
      <c r="B175" s="216"/>
      <c r="C175" s="215" t="s">
        <v>853</v>
      </c>
    </row>
    <row r="176" spans="1:3" ht="15">
      <c r="A176" s="215" t="s">
        <v>854</v>
      </c>
      <c r="B176" s="216"/>
      <c r="C176" s="215" t="s">
        <v>855</v>
      </c>
    </row>
    <row r="177" spans="1:3" ht="15">
      <c r="A177" s="215" t="s">
        <v>856</v>
      </c>
      <c r="B177" s="216"/>
      <c r="C177" s="215" t="s">
        <v>857</v>
      </c>
    </row>
    <row r="178" spans="1:3" ht="15">
      <c r="A178" s="215" t="s">
        <v>858</v>
      </c>
      <c r="B178" s="216"/>
      <c r="C178" s="215" t="s">
        <v>859</v>
      </c>
    </row>
    <row r="179" spans="1:3" ht="15">
      <c r="A179" s="215" t="s">
        <v>860</v>
      </c>
      <c r="B179" s="216"/>
      <c r="C179" s="215" t="s">
        <v>861</v>
      </c>
    </row>
    <row r="180" spans="1:3" ht="15">
      <c r="A180" s="215" t="s">
        <v>862</v>
      </c>
      <c r="B180" s="216"/>
      <c r="C180" s="215" t="s">
        <v>866</v>
      </c>
    </row>
    <row r="181" spans="1:3" ht="15">
      <c r="A181" s="215" t="s">
        <v>867</v>
      </c>
      <c r="B181" s="216"/>
      <c r="C181" s="215" t="s">
        <v>868</v>
      </c>
    </row>
    <row r="182" spans="1:3" ht="15">
      <c r="A182" s="215" t="s">
        <v>869</v>
      </c>
      <c r="B182" s="216"/>
      <c r="C182" s="215" t="s">
        <v>870</v>
      </c>
    </row>
    <row r="183" spans="1:3" ht="15">
      <c r="A183" s="215" t="s">
        <v>871</v>
      </c>
      <c r="B183" s="216"/>
      <c r="C183" s="215" t="s">
        <v>868</v>
      </c>
    </row>
    <row r="184" spans="1:3" ht="15">
      <c r="A184" s="215" t="s">
        <v>387</v>
      </c>
      <c r="B184" s="216"/>
      <c r="C184" s="215" t="s">
        <v>873</v>
      </c>
    </row>
    <row r="185" spans="1:3" ht="15">
      <c r="A185" s="215" t="s">
        <v>874</v>
      </c>
      <c r="B185" s="216"/>
      <c r="C185" s="215" t="s">
        <v>875</v>
      </c>
    </row>
    <row r="186" spans="1:3" ht="15">
      <c r="A186" s="215" t="s">
        <v>876</v>
      </c>
      <c r="B186" s="216"/>
      <c r="C186" s="215" t="s">
        <v>877</v>
      </c>
    </row>
    <row r="187" spans="1:3" ht="15">
      <c r="A187" s="215" t="s">
        <v>878</v>
      </c>
      <c r="B187" s="216"/>
      <c r="C187" s="215" t="s">
        <v>879</v>
      </c>
    </row>
    <row r="188" spans="1:3" ht="15">
      <c r="A188" s="215" t="s">
        <v>880</v>
      </c>
      <c r="B188" s="216"/>
      <c r="C188" s="215" t="s">
        <v>881</v>
      </c>
    </row>
    <row r="189" spans="1:3" ht="15">
      <c r="A189" s="215" t="s">
        <v>882</v>
      </c>
      <c r="B189" s="216"/>
      <c r="C189" s="215" t="s">
        <v>883</v>
      </c>
    </row>
    <row r="190" spans="1:3" ht="15">
      <c r="A190" s="215" t="s">
        <v>884</v>
      </c>
      <c r="B190" s="216"/>
      <c r="C190" s="215" t="s">
        <v>890</v>
      </c>
    </row>
    <row r="191" spans="1:3" ht="15">
      <c r="A191" s="215" t="s">
        <v>891</v>
      </c>
      <c r="B191" s="216"/>
      <c r="C191" s="215" t="s">
        <v>892</v>
      </c>
    </row>
    <row r="192" spans="1:3" ht="15">
      <c r="A192" s="215" t="s">
        <v>893</v>
      </c>
      <c r="B192" s="216"/>
      <c r="C192" s="215" t="s">
        <v>895</v>
      </c>
    </row>
    <row r="193" spans="1:3" ht="15">
      <c r="A193" s="215" t="s">
        <v>896</v>
      </c>
      <c r="B193" s="216"/>
      <c r="C193" s="215" t="s">
        <v>897</v>
      </c>
    </row>
    <row r="194" spans="1:3" ht="15">
      <c r="A194" s="215" t="s">
        <v>898</v>
      </c>
      <c r="B194" s="216"/>
      <c r="C194" s="215" t="s">
        <v>899</v>
      </c>
    </row>
    <row r="195" spans="1:3" ht="15">
      <c r="A195" s="215" t="s">
        <v>900</v>
      </c>
      <c r="B195" s="216"/>
      <c r="C195" s="215" t="s">
        <v>901</v>
      </c>
    </row>
    <row r="196" spans="1:3" ht="15">
      <c r="A196" s="215" t="s">
        <v>388</v>
      </c>
      <c r="B196" s="216"/>
      <c r="C196" s="215" t="s">
        <v>314</v>
      </c>
    </row>
    <row r="197" spans="1:3" ht="15">
      <c r="A197" s="215" t="s">
        <v>902</v>
      </c>
      <c r="B197" s="216"/>
      <c r="C197" s="218" t="s">
        <v>71</v>
      </c>
    </row>
    <row r="198" spans="1:3" ht="15">
      <c r="A198" s="215" t="s">
        <v>903</v>
      </c>
      <c r="B198" s="216"/>
      <c r="C198" s="215" t="s">
        <v>904</v>
      </c>
    </row>
    <row r="199" spans="1:3" ht="15">
      <c r="A199" s="215" t="s">
        <v>905</v>
      </c>
      <c r="B199" s="216"/>
      <c r="C199" s="215" t="s">
        <v>907</v>
      </c>
    </row>
    <row r="200" spans="1:3" ht="15">
      <c r="A200" s="215" t="s">
        <v>908</v>
      </c>
      <c r="B200" s="216"/>
      <c r="C200" s="215" t="s">
        <v>909</v>
      </c>
    </row>
    <row r="201" spans="1:3" ht="15">
      <c r="A201" s="215" t="s">
        <v>910</v>
      </c>
      <c r="B201" s="216"/>
      <c r="C201" s="215" t="s">
        <v>911</v>
      </c>
    </row>
    <row r="202" spans="1:3" ht="15">
      <c r="A202" s="215" t="s">
        <v>912</v>
      </c>
      <c r="B202" s="216"/>
      <c r="C202" s="215" t="s">
        <v>913</v>
      </c>
    </row>
    <row r="203" spans="1:3" ht="15">
      <c r="A203" s="215" t="s">
        <v>914</v>
      </c>
      <c r="B203" s="216"/>
      <c r="C203" s="215" t="s">
        <v>915</v>
      </c>
    </row>
    <row r="204" spans="1:3" ht="15">
      <c r="A204" s="215" t="s">
        <v>916</v>
      </c>
      <c r="B204" s="216"/>
      <c r="C204" s="215" t="s">
        <v>917</v>
      </c>
    </row>
    <row r="205" spans="1:3" ht="15">
      <c r="A205" s="215" t="s">
        <v>918</v>
      </c>
      <c r="B205" s="216"/>
      <c r="C205" s="215" t="s">
        <v>919</v>
      </c>
    </row>
    <row r="206" spans="1:3" ht="15">
      <c r="A206" s="218" t="s">
        <v>1552</v>
      </c>
      <c r="B206" s="216"/>
      <c r="C206" s="218" t="s">
        <v>1588</v>
      </c>
    </row>
    <row r="207" spans="1:3" ht="15">
      <c r="A207" s="215" t="s">
        <v>920</v>
      </c>
      <c r="B207" s="216"/>
      <c r="C207" s="215" t="s">
        <v>921</v>
      </c>
    </row>
    <row r="208" spans="1:3" ht="15">
      <c r="A208" s="215" t="s">
        <v>922</v>
      </c>
      <c r="B208" s="216"/>
      <c r="C208" s="215" t="s">
        <v>923</v>
      </c>
    </row>
    <row r="209" spans="1:3" ht="15">
      <c r="A209" s="215" t="s">
        <v>924</v>
      </c>
      <c r="B209" s="216"/>
      <c r="C209" s="215" t="s">
        <v>925</v>
      </c>
    </row>
    <row r="210" spans="1:3" ht="15">
      <c r="A210" s="215" t="s">
        <v>926</v>
      </c>
      <c r="B210" s="216"/>
      <c r="C210" s="215" t="s">
        <v>927</v>
      </c>
    </row>
    <row r="211" spans="1:3" ht="15">
      <c r="A211" s="215" t="s">
        <v>928</v>
      </c>
      <c r="B211" s="216"/>
      <c r="C211" s="215" t="s">
        <v>929</v>
      </c>
    </row>
    <row r="212" spans="1:3" ht="15">
      <c r="A212" s="215" t="s">
        <v>930</v>
      </c>
      <c r="B212" s="216"/>
      <c r="C212" s="215" t="s">
        <v>931</v>
      </c>
    </row>
    <row r="213" spans="1:3" ht="15">
      <c r="A213" s="215" t="s">
        <v>932</v>
      </c>
      <c r="B213" s="216"/>
      <c r="C213" s="215" t="s">
        <v>933</v>
      </c>
    </row>
    <row r="214" spans="1:3" ht="15">
      <c r="A214" s="215" t="s">
        <v>934</v>
      </c>
      <c r="B214" s="216"/>
      <c r="C214" s="215" t="s">
        <v>365</v>
      </c>
    </row>
    <row r="215" spans="1:3" ht="15">
      <c r="A215" s="215" t="s">
        <v>935</v>
      </c>
      <c r="B215" s="216"/>
      <c r="C215" s="215" t="s">
        <v>936</v>
      </c>
    </row>
    <row r="216" spans="1:3" ht="15">
      <c r="A216" s="215" t="s">
        <v>939</v>
      </c>
      <c r="B216" s="216"/>
      <c r="C216" s="215" t="s">
        <v>940</v>
      </c>
    </row>
    <row r="217" spans="1:3" ht="15">
      <c r="A217" s="215" t="s">
        <v>941</v>
      </c>
      <c r="B217" s="216"/>
      <c r="C217" s="215" t="s">
        <v>942</v>
      </c>
    </row>
    <row r="218" spans="1:3" ht="15">
      <c r="A218" s="215" t="s">
        <v>943</v>
      </c>
      <c r="B218" s="216"/>
      <c r="C218" s="215" t="s">
        <v>944</v>
      </c>
    </row>
    <row r="219" spans="1:3" ht="15">
      <c r="A219" s="215" t="s">
        <v>945</v>
      </c>
      <c r="B219" s="216"/>
      <c r="C219" s="215" t="s">
        <v>946</v>
      </c>
    </row>
    <row r="220" spans="1:3" ht="15">
      <c r="A220" s="215" t="s">
        <v>947</v>
      </c>
      <c r="B220" s="216"/>
      <c r="C220" s="215" t="s">
        <v>948</v>
      </c>
    </row>
    <row r="221" spans="1:3" ht="15">
      <c r="A221" s="215" t="s">
        <v>949</v>
      </c>
      <c r="B221" s="216"/>
      <c r="C221" s="215" t="s">
        <v>997</v>
      </c>
    </row>
    <row r="222" spans="1:3" ht="15">
      <c r="A222" s="215" t="s">
        <v>998</v>
      </c>
      <c r="B222" s="216"/>
      <c r="C222" s="215" t="s">
        <v>999</v>
      </c>
    </row>
    <row r="223" spans="1:3" ht="15">
      <c r="A223" s="215" t="s">
        <v>1000</v>
      </c>
      <c r="B223" s="216"/>
      <c r="C223" s="215" t="s">
        <v>1001</v>
      </c>
    </row>
    <row r="224" spans="1:3" ht="15">
      <c r="A224" s="215" t="s">
        <v>1002</v>
      </c>
      <c r="B224" s="216"/>
      <c r="C224" s="215" t="s">
        <v>1003</v>
      </c>
    </row>
    <row r="225" spans="1:3" ht="15">
      <c r="A225" s="215" t="s">
        <v>1004</v>
      </c>
      <c r="B225" s="216"/>
      <c r="C225" s="215" t="s">
        <v>1005</v>
      </c>
    </row>
    <row r="226" spans="1:3" ht="15">
      <c r="A226" s="215" t="s">
        <v>1006</v>
      </c>
      <c r="B226" s="216"/>
      <c r="C226" s="215" t="s">
        <v>1007</v>
      </c>
    </row>
    <row r="227" spans="1:3" ht="15">
      <c r="A227" s="215" t="s">
        <v>1008</v>
      </c>
      <c r="B227" s="216"/>
      <c r="C227" s="215" t="s">
        <v>1009</v>
      </c>
    </row>
    <row r="228" spans="1:3" ht="15">
      <c r="A228" s="215" t="s">
        <v>1010</v>
      </c>
      <c r="B228" s="216"/>
      <c r="C228" s="215" t="s">
        <v>1027</v>
      </c>
    </row>
    <row r="229" spans="1:3" ht="15">
      <c r="A229" s="215" t="s">
        <v>1028</v>
      </c>
      <c r="B229" s="216"/>
      <c r="C229" s="215" t="s">
        <v>1029</v>
      </c>
    </row>
    <row r="230" spans="1:3" ht="15">
      <c r="A230" s="215" t="s">
        <v>1030</v>
      </c>
      <c r="B230" s="216"/>
      <c r="C230" s="215" t="s">
        <v>1053</v>
      </c>
    </row>
    <row r="231" spans="1:8" ht="15">
      <c r="A231" s="215" t="s">
        <v>1054</v>
      </c>
      <c r="B231" s="216"/>
      <c r="C231" s="215" t="s">
        <v>1055</v>
      </c>
      <c r="H231" s="215"/>
    </row>
    <row r="232" spans="1:3" ht="15">
      <c r="A232" s="215" t="s">
        <v>1056</v>
      </c>
      <c r="B232" s="216"/>
      <c r="C232" s="215" t="s">
        <v>1057</v>
      </c>
    </row>
    <row r="233" spans="1:3" ht="15">
      <c r="A233" s="215" t="s">
        <v>1058</v>
      </c>
      <c r="B233" s="216"/>
      <c r="C233" s="215" t="s">
        <v>1059</v>
      </c>
    </row>
    <row r="234" spans="1:3" ht="15">
      <c r="A234" s="215" t="s">
        <v>1060</v>
      </c>
      <c r="B234" s="216"/>
      <c r="C234" s="215" t="s">
        <v>1061</v>
      </c>
    </row>
    <row r="235" spans="1:3" ht="15">
      <c r="A235" s="215" t="s">
        <v>1062</v>
      </c>
      <c r="B235" s="216"/>
      <c r="C235" s="215" t="s">
        <v>1063</v>
      </c>
    </row>
    <row r="236" spans="1:3" ht="15">
      <c r="A236" s="215" t="s">
        <v>1064</v>
      </c>
      <c r="B236" s="216"/>
      <c r="C236" s="215" t="s">
        <v>1065</v>
      </c>
    </row>
    <row r="237" spans="1:3" ht="15">
      <c r="A237" s="215" t="s">
        <v>1066</v>
      </c>
      <c r="B237" s="216"/>
      <c r="C237" s="215" t="s">
        <v>1067</v>
      </c>
    </row>
    <row r="238" spans="1:3" ht="15">
      <c r="A238" s="215" t="s">
        <v>1068</v>
      </c>
      <c r="B238" s="216"/>
      <c r="C238" s="215" t="s">
        <v>1069</v>
      </c>
    </row>
    <row r="239" spans="1:3" ht="15">
      <c r="A239" s="215" t="s">
        <v>1070</v>
      </c>
      <c r="B239" s="216"/>
      <c r="C239" s="215" t="s">
        <v>1071</v>
      </c>
    </row>
    <row r="240" spans="1:3" ht="15">
      <c r="A240" s="215" t="s">
        <v>1072</v>
      </c>
      <c r="B240" s="216"/>
      <c r="C240" s="215" t="s">
        <v>1073</v>
      </c>
    </row>
    <row r="241" spans="1:3" ht="15">
      <c r="A241" s="215" t="s">
        <v>1074</v>
      </c>
      <c r="B241" s="216"/>
      <c r="C241" s="215" t="s">
        <v>1075</v>
      </c>
    </row>
    <row r="242" spans="1:3" ht="15">
      <c r="A242" s="218" t="s">
        <v>1168</v>
      </c>
      <c r="B242" s="216"/>
      <c r="C242" s="218" t="s">
        <v>532</v>
      </c>
    </row>
    <row r="243" spans="1:3" ht="15">
      <c r="A243" s="215" t="s">
        <v>1076</v>
      </c>
      <c r="B243" s="216"/>
      <c r="C243" s="215" t="s">
        <v>1093</v>
      </c>
    </row>
    <row r="244" spans="1:3" ht="15">
      <c r="A244" s="215" t="s">
        <v>1094</v>
      </c>
      <c r="B244" s="216"/>
      <c r="C244" s="215" t="s">
        <v>1095</v>
      </c>
    </row>
    <row r="245" spans="1:3" ht="15">
      <c r="A245" s="215" t="s">
        <v>1096</v>
      </c>
      <c r="B245" s="216"/>
      <c r="C245" s="215" t="s">
        <v>1097</v>
      </c>
    </row>
    <row r="246" spans="1:3" ht="15">
      <c r="A246" s="218" t="s">
        <v>1956</v>
      </c>
      <c r="B246" s="216"/>
      <c r="C246" s="218" t="s">
        <v>1962</v>
      </c>
    </row>
    <row r="247" spans="1:3" ht="15">
      <c r="A247" s="215" t="s">
        <v>1098</v>
      </c>
      <c r="B247" s="216"/>
      <c r="C247" s="215" t="s">
        <v>1099</v>
      </c>
    </row>
    <row r="248" spans="1:3" ht="15">
      <c r="A248" s="215" t="s">
        <v>389</v>
      </c>
      <c r="B248" s="216"/>
      <c r="C248" s="215" t="s">
        <v>1100</v>
      </c>
    </row>
    <row r="249" spans="1:3" ht="15">
      <c r="A249" s="215" t="s">
        <v>390</v>
      </c>
      <c r="B249" s="216"/>
      <c r="C249" s="215" t="s">
        <v>1101</v>
      </c>
    </row>
    <row r="250" spans="1:3" ht="15">
      <c r="A250" s="215" t="s">
        <v>1102</v>
      </c>
      <c r="B250" s="216"/>
      <c r="C250" s="215" t="s">
        <v>1103</v>
      </c>
    </row>
    <row r="251" spans="1:3" ht="15">
      <c r="A251" s="215" t="s">
        <v>1104</v>
      </c>
      <c r="B251" s="216"/>
      <c r="C251" s="215" t="s">
        <v>1105</v>
      </c>
    </row>
    <row r="252" spans="1:3" ht="15">
      <c r="A252" s="215" t="s">
        <v>1106</v>
      </c>
      <c r="B252" s="216"/>
      <c r="C252" s="215" t="s">
        <v>1107</v>
      </c>
    </row>
    <row r="253" spans="1:3" ht="15">
      <c r="A253" s="215" t="s">
        <v>1108</v>
      </c>
      <c r="B253" s="216"/>
      <c r="C253" s="215" t="s">
        <v>1109</v>
      </c>
    </row>
    <row r="254" spans="1:3" ht="15">
      <c r="A254" s="215" t="s">
        <v>1110</v>
      </c>
      <c r="B254" s="216"/>
      <c r="C254" s="215" t="s">
        <v>1111</v>
      </c>
    </row>
    <row r="255" spans="1:3" ht="15">
      <c r="A255" s="215" t="s">
        <v>1112</v>
      </c>
      <c r="B255" s="216"/>
      <c r="C255" s="215" t="s">
        <v>1113</v>
      </c>
    </row>
    <row r="256" spans="1:3" ht="15">
      <c r="A256" s="215" t="s">
        <v>1114</v>
      </c>
      <c r="B256" s="216"/>
      <c r="C256" s="215" t="s">
        <v>1116</v>
      </c>
    </row>
    <row r="257" spans="1:3" ht="15">
      <c r="A257" s="215" t="s">
        <v>1117</v>
      </c>
      <c r="B257" s="216"/>
      <c r="C257" s="215" t="s">
        <v>1121</v>
      </c>
    </row>
    <row r="258" spans="1:3" ht="15">
      <c r="A258" s="218" t="s">
        <v>2135</v>
      </c>
      <c r="B258" s="216"/>
      <c r="C258" s="218" t="s">
        <v>2136</v>
      </c>
    </row>
    <row r="259" spans="1:3" ht="15">
      <c r="A259" s="215" t="s">
        <v>1122</v>
      </c>
      <c r="B259" s="216"/>
      <c r="C259" s="215" t="s">
        <v>1123</v>
      </c>
    </row>
    <row r="260" spans="1:3" ht="15">
      <c r="A260" s="215" t="s">
        <v>1124</v>
      </c>
      <c r="B260" s="216"/>
      <c r="C260" s="215" t="s">
        <v>1128</v>
      </c>
    </row>
    <row r="261" spans="1:3" ht="15">
      <c r="A261" s="215" t="s">
        <v>1131</v>
      </c>
      <c r="B261" s="216"/>
      <c r="C261" s="215" t="s">
        <v>1136</v>
      </c>
    </row>
    <row r="262" spans="1:3" ht="15">
      <c r="A262" s="215" t="s">
        <v>1137</v>
      </c>
      <c r="B262" s="216"/>
      <c r="C262" s="215" t="s">
        <v>1140</v>
      </c>
    </row>
    <row r="263" spans="1:3" ht="15">
      <c r="A263" s="215" t="s">
        <v>1141</v>
      </c>
      <c r="B263" s="216"/>
      <c r="C263" s="215" t="s">
        <v>1142</v>
      </c>
    </row>
    <row r="264" spans="1:3" ht="15">
      <c r="A264" s="215" t="s">
        <v>1143</v>
      </c>
      <c r="B264" s="216"/>
      <c r="C264" s="215" t="s">
        <v>1144</v>
      </c>
    </row>
    <row r="265" spans="1:3" ht="15">
      <c r="A265" s="215" t="s">
        <v>1145</v>
      </c>
      <c r="B265" s="216"/>
      <c r="C265" s="215" t="s">
        <v>1155</v>
      </c>
    </row>
    <row r="266" spans="1:3" ht="15">
      <c r="A266" s="215" t="s">
        <v>1157</v>
      </c>
      <c r="B266" s="216"/>
      <c r="C266" s="215" t="s">
        <v>1158</v>
      </c>
    </row>
    <row r="267" spans="1:3" ht="15">
      <c r="A267" s="215" t="s">
        <v>391</v>
      </c>
      <c r="B267" s="216"/>
      <c r="C267" s="215" t="s">
        <v>1159</v>
      </c>
    </row>
    <row r="268" spans="1:3" ht="15">
      <c r="A268" s="215" t="s">
        <v>1160</v>
      </c>
      <c r="B268" s="216"/>
      <c r="C268" s="215" t="s">
        <v>1161</v>
      </c>
    </row>
    <row r="269" spans="1:3" ht="15">
      <c r="A269" s="215" t="s">
        <v>1162</v>
      </c>
      <c r="B269" s="216"/>
      <c r="C269" s="215" t="s">
        <v>1163</v>
      </c>
    </row>
    <row r="270" spans="1:3" ht="15">
      <c r="A270" s="215" t="s">
        <v>1164</v>
      </c>
      <c r="B270" s="216"/>
      <c r="C270" s="215" t="s">
        <v>1169</v>
      </c>
    </row>
    <row r="271" spans="1:3" ht="15">
      <c r="A271" s="215" t="s">
        <v>392</v>
      </c>
      <c r="B271" s="216"/>
      <c r="C271" s="215" t="s">
        <v>1171</v>
      </c>
    </row>
    <row r="272" spans="1:3" ht="15">
      <c r="A272" s="215" t="s">
        <v>1172</v>
      </c>
      <c r="B272" s="216"/>
      <c r="C272" s="215" t="s">
        <v>1171</v>
      </c>
    </row>
    <row r="273" spans="1:3" ht="15">
      <c r="A273" s="215" t="s">
        <v>1173</v>
      </c>
      <c r="B273" s="216"/>
      <c r="C273" s="215" t="s">
        <v>1174</v>
      </c>
    </row>
    <row r="274" spans="1:3" ht="15">
      <c r="A274" s="215" t="s">
        <v>1175</v>
      </c>
      <c r="B274" s="216"/>
      <c r="C274" s="215" t="s">
        <v>1176</v>
      </c>
    </row>
    <row r="275" spans="1:3" ht="15">
      <c r="A275" s="215" t="s">
        <v>1187</v>
      </c>
      <c r="B275" s="216"/>
      <c r="C275" s="215" t="s">
        <v>1189</v>
      </c>
    </row>
    <row r="276" spans="1:3" ht="15">
      <c r="A276" s="215" t="s">
        <v>1190</v>
      </c>
      <c r="B276" s="216"/>
      <c r="C276" s="215" t="s">
        <v>1191</v>
      </c>
    </row>
    <row r="277" spans="1:3" ht="15">
      <c r="A277" s="215" t="s">
        <v>1192</v>
      </c>
      <c r="B277" s="216"/>
      <c r="C277" s="215" t="s">
        <v>1193</v>
      </c>
    </row>
    <row r="278" spans="1:3" ht="15">
      <c r="A278" s="215" t="s">
        <v>1194</v>
      </c>
      <c r="B278" s="216"/>
      <c r="C278" s="215" t="s">
        <v>1195</v>
      </c>
    </row>
    <row r="279" spans="1:3" ht="15">
      <c r="A279" s="215" t="s">
        <v>1196</v>
      </c>
      <c r="B279" s="216"/>
      <c r="C279" s="215" t="s">
        <v>1197</v>
      </c>
    </row>
    <row r="280" spans="1:3" ht="15">
      <c r="A280" s="215" t="s">
        <v>1198</v>
      </c>
      <c r="B280" s="216"/>
      <c r="C280" s="215" t="s">
        <v>1199</v>
      </c>
    </row>
    <row r="281" spans="1:3" ht="15">
      <c r="A281" s="215" t="s">
        <v>1200</v>
      </c>
      <c r="B281" s="216"/>
      <c r="C281" s="215" t="s">
        <v>1201</v>
      </c>
    </row>
    <row r="282" spans="1:3" ht="15">
      <c r="A282" s="215" t="s">
        <v>1202</v>
      </c>
      <c r="B282" s="216"/>
      <c r="C282" s="215" t="s">
        <v>1203</v>
      </c>
    </row>
    <row r="283" spans="1:3" ht="15">
      <c r="A283" s="215" t="s">
        <v>1204</v>
      </c>
      <c r="B283" s="216"/>
      <c r="C283" s="215" t="s">
        <v>1205</v>
      </c>
    </row>
    <row r="284" spans="1:3" ht="15">
      <c r="A284" s="215" t="s">
        <v>1206</v>
      </c>
      <c r="B284" s="216"/>
      <c r="C284" s="215" t="s">
        <v>1207</v>
      </c>
    </row>
    <row r="285" spans="1:3" ht="15">
      <c r="A285" s="215" t="s">
        <v>1208</v>
      </c>
      <c r="B285" s="216"/>
      <c r="C285" s="215" t="s">
        <v>1209</v>
      </c>
    </row>
    <row r="286" spans="1:3" ht="15">
      <c r="A286" s="215" t="s">
        <v>1210</v>
      </c>
      <c r="B286" s="216"/>
      <c r="C286" s="215" t="s">
        <v>1211</v>
      </c>
    </row>
    <row r="287" spans="1:3" ht="15">
      <c r="A287" s="215" t="s">
        <v>1212</v>
      </c>
      <c r="B287" s="216"/>
      <c r="C287" s="215" t="s">
        <v>1213</v>
      </c>
    </row>
    <row r="288" spans="1:3" ht="15">
      <c r="A288" s="215" t="s">
        <v>1214</v>
      </c>
      <c r="B288" s="216"/>
      <c r="C288" s="215" t="s">
        <v>1222</v>
      </c>
    </row>
    <row r="289" spans="1:3" ht="15">
      <c r="A289" s="215" t="s">
        <v>1223</v>
      </c>
      <c r="B289" s="216"/>
      <c r="C289" s="215" t="s">
        <v>1224</v>
      </c>
    </row>
    <row r="290" spans="1:3" ht="15">
      <c r="A290" s="215" t="s">
        <v>1225</v>
      </c>
      <c r="B290" s="216"/>
      <c r="C290" s="215" t="s">
        <v>1226</v>
      </c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Q59"/>
  <sheetViews>
    <sheetView workbookViewId="0" topLeftCell="A13">
      <selection activeCell="A1" sqref="A1"/>
    </sheetView>
  </sheetViews>
  <sheetFormatPr defaultColWidth="9.140625" defaultRowHeight="12.75"/>
  <cols>
    <col min="1" max="1" width="3.7109375" style="3" customWidth="1"/>
    <col min="2" max="2" width="14.421875" style="3" customWidth="1"/>
    <col min="3" max="3" width="10.7109375" style="3" customWidth="1"/>
    <col min="4" max="4" width="16.57421875" style="3" customWidth="1"/>
    <col min="5" max="5" width="1.7109375" style="3" customWidth="1"/>
    <col min="6" max="6" width="16.57421875" style="3" customWidth="1"/>
    <col min="7" max="7" width="1.7109375" style="3" customWidth="1"/>
    <col min="8" max="8" width="16.57421875" style="3" customWidth="1"/>
    <col min="9" max="9" width="1.7109375" style="3" customWidth="1"/>
    <col min="10" max="10" width="18.421875" style="3" customWidth="1"/>
    <col min="11" max="11" width="1.7109375" style="3" customWidth="1"/>
    <col min="12" max="13" width="14.8515625" style="3" customWidth="1"/>
    <col min="14" max="15" width="15.421875" style="3" bestFit="1" customWidth="1"/>
    <col min="16" max="16" width="17.00390625" style="3" bestFit="1" customWidth="1"/>
    <col min="17" max="17" width="17.57421875" style="3" bestFit="1" customWidth="1"/>
    <col min="18" max="16384" width="9.140625" style="3" customWidth="1"/>
  </cols>
  <sheetData>
    <row r="1" spans="2:13" ht="16.5">
      <c r="B1" s="19" t="s">
        <v>1451</v>
      </c>
      <c r="C1" s="20" t="str">
        <f>+INPUT!C1</f>
        <v>June 2009</v>
      </c>
      <c r="J1" s="19" t="s">
        <v>22</v>
      </c>
      <c r="K1" s="19"/>
      <c r="L1" s="19"/>
      <c r="M1" s="19"/>
    </row>
    <row r="2" spans="10:13" ht="16.5">
      <c r="J2" s="19" t="s">
        <v>1135</v>
      </c>
      <c r="K2" s="19"/>
      <c r="L2" s="19"/>
      <c r="M2" s="19"/>
    </row>
    <row r="3" ht="16.5">
      <c r="F3" s="19" t="s">
        <v>23</v>
      </c>
    </row>
    <row r="4" ht="16.5">
      <c r="F4" s="19" t="s">
        <v>66</v>
      </c>
    </row>
    <row r="5" ht="16.5">
      <c r="F5" s="53" t="s">
        <v>184</v>
      </c>
    </row>
    <row r="6" spans="14:17" ht="15">
      <c r="N6" s="116"/>
      <c r="O6" s="116"/>
      <c r="P6" s="116"/>
      <c r="Q6" s="116"/>
    </row>
    <row r="7" spans="4:17" ht="16.5">
      <c r="D7" s="21"/>
      <c r="E7" s="22" t="s">
        <v>1312</v>
      </c>
      <c r="F7" s="21"/>
      <c r="H7" s="1023" t="s">
        <v>1453</v>
      </c>
      <c r="I7" s="1023"/>
      <c r="J7" s="1023"/>
      <c r="K7" s="270"/>
      <c r="L7" s="270"/>
      <c r="M7" s="84"/>
      <c r="N7" s="116"/>
      <c r="O7" s="116"/>
      <c r="P7" s="116"/>
      <c r="Q7" s="116"/>
    </row>
    <row r="8" spans="7:17" ht="16.5">
      <c r="G8" s="19"/>
      <c r="H8" s="1024" t="s">
        <v>68</v>
      </c>
      <c r="I8" s="1024"/>
      <c r="J8" s="1024"/>
      <c r="K8" s="445"/>
      <c r="L8" s="445"/>
      <c r="M8" s="19"/>
      <c r="N8" s="116"/>
      <c r="O8" s="116"/>
      <c r="P8" s="116"/>
      <c r="Q8" s="116"/>
    </row>
    <row r="9" spans="4:15" ht="16.5">
      <c r="D9" s="53" t="s">
        <v>1344</v>
      </c>
      <c r="E9" s="19"/>
      <c r="F9" s="53" t="s">
        <v>1294</v>
      </c>
      <c r="G9" s="19"/>
      <c r="H9" s="64" t="s">
        <v>72</v>
      </c>
      <c r="I9" s="25"/>
      <c r="J9" s="64" t="s">
        <v>73</v>
      </c>
      <c r="K9" s="64"/>
      <c r="L9" s="116"/>
      <c r="M9" s="116"/>
      <c r="N9" s="116"/>
      <c r="O9" s="116"/>
    </row>
    <row r="10" spans="2:15" ht="19.5">
      <c r="B10" s="117"/>
      <c r="C10" s="118"/>
      <c r="G10" s="19"/>
      <c r="H10" s="64" t="s">
        <v>1476</v>
      </c>
      <c r="I10" s="25"/>
      <c r="J10" s="64" t="s">
        <v>1476</v>
      </c>
      <c r="K10" s="64"/>
      <c r="L10" s="116"/>
      <c r="M10" s="116"/>
      <c r="N10" s="116"/>
      <c r="O10" s="116"/>
    </row>
    <row r="11" spans="2:15" ht="19.5">
      <c r="B11" s="117" t="s">
        <v>1233</v>
      </c>
      <c r="C11" s="118" t="s">
        <v>1504</v>
      </c>
      <c r="D11" s="22" t="s">
        <v>303</v>
      </c>
      <c r="E11" s="19"/>
      <c r="F11" s="22" t="s">
        <v>181</v>
      </c>
      <c r="G11" s="19"/>
      <c r="H11" s="22" t="s">
        <v>303</v>
      </c>
      <c r="I11" s="25"/>
      <c r="J11" s="22" t="s">
        <v>181</v>
      </c>
      <c r="K11" s="64"/>
      <c r="L11" s="116"/>
      <c r="M11" s="116"/>
      <c r="N11" s="116"/>
      <c r="O11" s="116"/>
    </row>
    <row r="12" spans="1:15" ht="16.5">
      <c r="A12" s="3" t="s">
        <v>1464</v>
      </c>
      <c r="B12" s="19" t="s">
        <v>1343</v>
      </c>
      <c r="C12" s="3" t="s">
        <v>1239</v>
      </c>
      <c r="D12" s="18">
        <f>INPUT!C88</f>
        <v>538912</v>
      </c>
      <c r="E12" s="18"/>
      <c r="F12" s="18">
        <f>INPUT!D88</f>
        <v>537219</v>
      </c>
      <c r="G12" s="18"/>
      <c r="H12" s="18">
        <f>+INPUT!E88</f>
        <v>22468236</v>
      </c>
      <c r="I12" s="18"/>
      <c r="J12" s="18">
        <f>+INPUT!F88</f>
        <v>26600502</v>
      </c>
      <c r="K12" s="18"/>
      <c r="L12" s="115">
        <f>ROUND(D17*INPUT!C5,4)</f>
        <v>538915.5392</v>
      </c>
      <c r="M12" s="115">
        <f>ROUND(F17*INPUT!C5,4)</f>
        <v>537218.4827</v>
      </c>
      <c r="N12" s="115">
        <f>ROUND(H17*INPUT!C5,4)</f>
        <v>22468236.2152</v>
      </c>
      <c r="O12" s="115">
        <f>ROUND(J17*INPUT!C5,4)</f>
        <v>26600501.9441</v>
      </c>
    </row>
    <row r="13" spans="2:15" ht="16.5">
      <c r="B13" s="19" t="s">
        <v>1744</v>
      </c>
      <c r="C13" s="3" t="s">
        <v>1240</v>
      </c>
      <c r="D13" s="18">
        <f>INPUT!C89</f>
        <v>108588</v>
      </c>
      <c r="E13" s="18"/>
      <c r="F13" s="18">
        <f>INPUT!D89</f>
        <v>108246</v>
      </c>
      <c r="G13" s="18"/>
      <c r="H13" s="18">
        <f>+INPUT!E89</f>
        <v>4527163</v>
      </c>
      <c r="I13" s="18"/>
      <c r="J13" s="18">
        <f>+INPUT!F89</f>
        <v>5359780</v>
      </c>
      <c r="K13" s="18"/>
      <c r="L13" s="115">
        <f>ROUND(D17*INPUT!C6,4)</f>
        <v>108586.9925</v>
      </c>
      <c r="M13" s="115">
        <f>ROUND(F17*INPUT!C6,4)</f>
        <v>108245.0498</v>
      </c>
      <c r="N13" s="115">
        <f>ROUND(H17*INPUT!C6,4)</f>
        <v>4527162.4599</v>
      </c>
      <c r="O13" s="115">
        <f>ROUND(J17*INPUT!C6,4)</f>
        <v>5359779.5867</v>
      </c>
    </row>
    <row r="14" spans="3:15" ht="15">
      <c r="C14" s="3" t="s">
        <v>1241</v>
      </c>
      <c r="D14" s="18">
        <f>INPUT!C90</f>
        <v>276607</v>
      </c>
      <c r="E14" s="18"/>
      <c r="F14" s="18">
        <f>INPUT!D90</f>
        <v>275733</v>
      </c>
      <c r="G14" s="18"/>
      <c r="H14" s="18">
        <f>+INPUT!E90</f>
        <v>11532104</v>
      </c>
      <c r="I14" s="18"/>
      <c r="J14" s="18">
        <f>+INPUT!F90</f>
        <v>13653041</v>
      </c>
      <c r="K14" s="18"/>
      <c r="L14" s="115">
        <f>ROUND(D17*INPUT!C7,4)</f>
        <v>276605.1491</v>
      </c>
      <c r="M14" s="115">
        <f>ROUND(F17*INPUT!C7,4)</f>
        <v>275734.1136</v>
      </c>
      <c r="N14" s="115">
        <f>ROUND(H17*INPUT!C7,4)</f>
        <v>11532103.5957</v>
      </c>
      <c r="O14" s="115">
        <f>ROUND(J17*INPUT!C7,4)</f>
        <v>13653040.7274</v>
      </c>
    </row>
    <row r="15" spans="3:15" ht="15">
      <c r="C15" s="3" t="s">
        <v>1242</v>
      </c>
      <c r="D15" s="18">
        <f>INPUT!C91</f>
        <v>354054</v>
      </c>
      <c r="E15" s="18"/>
      <c r="F15" s="18">
        <f>INPUT!D91</f>
        <v>352938</v>
      </c>
      <c r="G15" s="18"/>
      <c r="H15" s="18">
        <f>+INPUT!E91</f>
        <v>14761040</v>
      </c>
      <c r="I15" s="18"/>
      <c r="J15" s="18">
        <f>+INPUT!F91</f>
        <v>17475830</v>
      </c>
      <c r="K15" s="18"/>
      <c r="L15" s="115">
        <f>ROUND(D17*INPUT!C8,4)</f>
        <v>354053.3396</v>
      </c>
      <c r="M15" s="115">
        <f>ROUND(F17*INPUT!C8,4)</f>
        <v>352938.4181</v>
      </c>
      <c r="N15" s="115">
        <f>ROUND(H17*INPUT!C8,4)</f>
        <v>14761040.4388</v>
      </c>
      <c r="O15" s="115">
        <f>ROUND(J17*INPUT!C8,4)</f>
        <v>17475830.3735</v>
      </c>
    </row>
    <row r="16" spans="3:15" ht="15">
      <c r="C16" s="3" t="s">
        <v>1243</v>
      </c>
      <c r="D16" s="26">
        <f>INPUT!C92</f>
        <v>285817</v>
      </c>
      <c r="E16" s="18"/>
      <c r="F16" s="26">
        <f>INPUT!D92</f>
        <v>284917</v>
      </c>
      <c r="G16" s="18"/>
      <c r="H16" s="26">
        <f>+INPUT!E92</f>
        <v>11916159</v>
      </c>
      <c r="I16" s="18"/>
      <c r="J16" s="26">
        <f>+INPUT!F92</f>
        <v>14107730</v>
      </c>
      <c r="K16" s="8"/>
      <c r="L16" s="119">
        <f>ROUND(D17*INPUT!C9,4)</f>
        <v>285816.9795</v>
      </c>
      <c r="M16" s="119">
        <f>ROUND(F17*INPUT!C9,4)</f>
        <v>284916.9358</v>
      </c>
      <c r="N16" s="119">
        <f>ROUND(H17*INPUT!C9,4)</f>
        <v>11916159.2905</v>
      </c>
      <c r="O16" s="119">
        <f>ROUND(J17*INPUT!C9,4)</f>
        <v>14107730.3683</v>
      </c>
    </row>
    <row r="17" spans="3:15" ht="15">
      <c r="C17" s="3" t="s">
        <v>1348</v>
      </c>
      <c r="D17" s="18">
        <f>+INPUT!C93</f>
        <v>1563978</v>
      </c>
      <c r="E17" s="18"/>
      <c r="F17" s="18">
        <f>+INPUT!D93</f>
        <v>1559053</v>
      </c>
      <c r="G17" s="18"/>
      <c r="H17" s="18">
        <f>+INPUT!E93</f>
        <v>65204702</v>
      </c>
      <c r="I17" s="18"/>
      <c r="J17" s="18">
        <f>+INPUT!F93</f>
        <v>77196883</v>
      </c>
      <c r="K17" s="18"/>
      <c r="L17" s="115">
        <f>SUM(L12:L16)</f>
        <v>1563977.9999000002</v>
      </c>
      <c r="M17" s="115">
        <f>SUM(M12:M16)</f>
        <v>1559053</v>
      </c>
      <c r="N17" s="115">
        <f>SUM(N12:N16)</f>
        <v>65204702.000099994</v>
      </c>
      <c r="O17" s="115">
        <f>SUM(O12:O16)</f>
        <v>77196883</v>
      </c>
    </row>
    <row r="18" spans="4:15" ht="15">
      <c r="D18" s="17"/>
      <c r="E18" s="17"/>
      <c r="F18" s="17"/>
      <c r="G18" s="17"/>
      <c r="H18" s="17"/>
      <c r="I18" s="17"/>
      <c r="J18" s="17"/>
      <c r="K18" s="17"/>
      <c r="L18" s="116"/>
      <c r="M18" s="116"/>
      <c r="N18" s="115"/>
      <c r="O18" s="115"/>
    </row>
    <row r="19" spans="1:15" ht="16.5">
      <c r="A19" s="3" t="s">
        <v>1465</v>
      </c>
      <c r="B19" s="19" t="s">
        <v>74</v>
      </c>
      <c r="C19" s="3" t="s">
        <v>1239</v>
      </c>
      <c r="D19" s="18">
        <f>+INPUT!C95</f>
        <v>538563</v>
      </c>
      <c r="E19" s="18"/>
      <c r="F19" s="18">
        <f>+INPUT!D95</f>
        <v>537659</v>
      </c>
      <c r="G19" s="18"/>
      <c r="H19" s="18">
        <f>+INPUT!E95</f>
        <v>22369465</v>
      </c>
      <c r="I19" s="18"/>
      <c r="J19" s="18">
        <f>+INPUT!F95</f>
        <v>26609982</v>
      </c>
      <c r="K19" s="18"/>
      <c r="L19" s="115"/>
      <c r="M19" s="115"/>
      <c r="N19" s="115"/>
      <c r="O19" s="115"/>
    </row>
    <row r="20" spans="2:15" ht="16.5">
      <c r="B20" s="19" t="s">
        <v>75</v>
      </c>
      <c r="C20" s="3" t="s">
        <v>1240</v>
      </c>
      <c r="D20" s="18">
        <f>+INPUT!C96</f>
        <v>108516</v>
      </c>
      <c r="E20" s="18"/>
      <c r="F20" s="18">
        <f>+INPUT!D96</f>
        <v>108334</v>
      </c>
      <c r="G20" s="18"/>
      <c r="H20" s="18">
        <f>+INPUT!E96</f>
        <v>4507261</v>
      </c>
      <c r="I20" s="18"/>
      <c r="J20" s="18">
        <f>+INPUT!F96</f>
        <v>5361690</v>
      </c>
      <c r="K20" s="18"/>
      <c r="L20" s="115"/>
      <c r="M20" s="115"/>
      <c r="N20" s="115"/>
      <c r="O20" s="115"/>
    </row>
    <row r="21" spans="2:15" ht="16.5">
      <c r="B21" s="19" t="s">
        <v>1236</v>
      </c>
      <c r="C21" s="3" t="s">
        <v>1241</v>
      </c>
      <c r="D21" s="18">
        <f>+INPUT!C97</f>
        <v>276427</v>
      </c>
      <c r="E21" s="18"/>
      <c r="F21" s="18">
        <f>+INPUT!D97</f>
        <v>275961</v>
      </c>
      <c r="G21" s="18"/>
      <c r="H21" s="18">
        <f>+INPUT!E97</f>
        <v>11481408</v>
      </c>
      <c r="I21" s="18"/>
      <c r="J21" s="18">
        <f>+INPUT!F97</f>
        <v>13657907</v>
      </c>
      <c r="K21" s="18"/>
      <c r="L21" s="115"/>
      <c r="M21" s="115"/>
      <c r="N21" s="115"/>
      <c r="O21" s="115"/>
    </row>
    <row r="22" spans="3:15" ht="15">
      <c r="C22" s="3" t="s">
        <v>1242</v>
      </c>
      <c r="D22" s="18">
        <f>+INPUT!C98</f>
        <v>353823</v>
      </c>
      <c r="E22" s="18"/>
      <c r="F22" s="18">
        <f>+INPUT!D98</f>
        <v>353226</v>
      </c>
      <c r="G22" s="18"/>
      <c r="H22" s="18">
        <f>+INPUT!E98</f>
        <v>14696150</v>
      </c>
      <c r="I22" s="18"/>
      <c r="J22" s="18">
        <f>+INPUT!F98</f>
        <v>17482059</v>
      </c>
      <c r="K22" s="18"/>
      <c r="L22" s="115"/>
      <c r="M22" s="115"/>
      <c r="N22" s="115"/>
      <c r="O22" s="115"/>
    </row>
    <row r="23" spans="3:15" ht="15">
      <c r="C23" s="3" t="s">
        <v>1243</v>
      </c>
      <c r="D23" s="26">
        <f>+INPUT!C99</f>
        <v>285631</v>
      </c>
      <c r="E23" s="18"/>
      <c r="F23" s="26">
        <f>+INPUT!D99</f>
        <v>285150</v>
      </c>
      <c r="G23" s="18"/>
      <c r="H23" s="26">
        <f>+INPUT!E99</f>
        <v>11863775</v>
      </c>
      <c r="I23" s="18"/>
      <c r="J23" s="26">
        <f>+INPUT!F99</f>
        <v>14112758</v>
      </c>
      <c r="K23" s="8"/>
      <c r="L23" s="120"/>
      <c r="M23" s="120"/>
      <c r="N23" s="120"/>
      <c r="O23" s="120"/>
    </row>
    <row r="24" spans="3:15" ht="15">
      <c r="C24" s="3" t="s">
        <v>1348</v>
      </c>
      <c r="D24" s="18">
        <f>SUM(D19:D23)</f>
        <v>1562960</v>
      </c>
      <c r="E24" s="18"/>
      <c r="F24" s="18">
        <f>SUM(F19:F23)</f>
        <v>1560330</v>
      </c>
      <c r="G24" s="18"/>
      <c r="H24" s="18">
        <f>SUM(H19:H23)</f>
        <v>64918059</v>
      </c>
      <c r="I24" s="18"/>
      <c r="J24" s="18">
        <f>SUM(J19:J23)</f>
        <v>77224396</v>
      </c>
      <c r="K24" s="18"/>
      <c r="L24" s="115"/>
      <c r="M24" s="115"/>
      <c r="N24" s="115"/>
      <c r="O24" s="115"/>
    </row>
    <row r="25" spans="4:15" ht="15">
      <c r="D25" s="17"/>
      <c r="E25" s="17"/>
      <c r="F25" s="17"/>
      <c r="G25" s="17"/>
      <c r="H25" s="17"/>
      <c r="I25" s="17"/>
      <c r="J25" s="17"/>
      <c r="K25" s="17"/>
      <c r="L25" s="116"/>
      <c r="M25" s="116"/>
      <c r="N25" s="115"/>
      <c r="O25" s="115"/>
    </row>
    <row r="26" spans="1:15" ht="16.5">
      <c r="A26" s="3" t="s">
        <v>1468</v>
      </c>
      <c r="B26" s="19" t="s">
        <v>1469</v>
      </c>
      <c r="C26" s="3" t="s">
        <v>1239</v>
      </c>
      <c r="D26" s="17">
        <f>+D12-D19</f>
        <v>349</v>
      </c>
      <c r="E26" s="17"/>
      <c r="F26" s="17">
        <f>+F12-F19</f>
        <v>-440</v>
      </c>
      <c r="G26" s="17"/>
      <c r="H26" s="17">
        <f>+H12-H19</f>
        <v>98771</v>
      </c>
      <c r="I26" s="17"/>
      <c r="J26" s="17">
        <f>+J12-J19</f>
        <v>-9480</v>
      </c>
      <c r="K26" s="17"/>
      <c r="L26" s="116"/>
      <c r="M26" s="116"/>
      <c r="N26" s="115"/>
      <c r="O26" s="115"/>
    </row>
    <row r="27" spans="2:15" ht="16.5">
      <c r="B27" s="19" t="s">
        <v>77</v>
      </c>
      <c r="C27" s="3" t="s">
        <v>1240</v>
      </c>
      <c r="D27" s="17">
        <f>+D13-D20</f>
        <v>72</v>
      </c>
      <c r="E27" s="17"/>
      <c r="F27" s="17">
        <f>+F13-F20</f>
        <v>-88</v>
      </c>
      <c r="G27" s="17"/>
      <c r="H27" s="17">
        <f>+H13-H20</f>
        <v>19902</v>
      </c>
      <c r="I27" s="17"/>
      <c r="J27" s="17">
        <f>+J13-J20</f>
        <v>-1910</v>
      </c>
      <c r="K27" s="17"/>
      <c r="L27" s="116"/>
      <c r="M27" s="116"/>
      <c r="N27" s="115"/>
      <c r="O27" s="115"/>
    </row>
    <row r="28" spans="2:15" ht="16.5">
      <c r="B28" s="19" t="s">
        <v>1236</v>
      </c>
      <c r="C28" s="3" t="s">
        <v>1241</v>
      </c>
      <c r="D28" s="17">
        <f>+D14-D21</f>
        <v>180</v>
      </c>
      <c r="E28" s="17"/>
      <c r="F28" s="17">
        <f>+F14-F21</f>
        <v>-228</v>
      </c>
      <c r="G28" s="17"/>
      <c r="H28" s="17">
        <f>+H14-H21</f>
        <v>50696</v>
      </c>
      <c r="I28" s="17"/>
      <c r="J28" s="17">
        <f>+J14-J21</f>
        <v>-4866</v>
      </c>
      <c r="K28" s="17"/>
      <c r="L28" s="116"/>
      <c r="M28" s="116"/>
      <c r="N28" s="115"/>
      <c r="O28" s="115"/>
    </row>
    <row r="29" spans="2:15" ht="16.5">
      <c r="B29" s="19" t="s">
        <v>1236</v>
      </c>
      <c r="C29" s="3" t="s">
        <v>1242</v>
      </c>
      <c r="D29" s="17">
        <f>+D15-D22</f>
        <v>231</v>
      </c>
      <c r="E29" s="17"/>
      <c r="F29" s="17">
        <f>+F15-F22</f>
        <v>-288</v>
      </c>
      <c r="G29" s="17"/>
      <c r="H29" s="17">
        <f>+H15-H22</f>
        <v>64890</v>
      </c>
      <c r="I29" s="17"/>
      <c r="J29" s="17">
        <f>+J15-J22</f>
        <v>-6229</v>
      </c>
      <c r="K29" s="17"/>
      <c r="L29" s="116"/>
      <c r="M29" s="116"/>
      <c r="N29" s="115"/>
      <c r="O29" s="115"/>
    </row>
    <row r="30" spans="2:15" ht="16.5">
      <c r="B30" s="25"/>
      <c r="C30" s="3" t="s">
        <v>1243</v>
      </c>
      <c r="D30" s="27">
        <f>+D16-D23</f>
        <v>186</v>
      </c>
      <c r="E30" s="17"/>
      <c r="F30" s="27">
        <f>+F16-F23</f>
        <v>-233</v>
      </c>
      <c r="G30" s="17"/>
      <c r="H30" s="27">
        <f>+H16-H23</f>
        <v>52384</v>
      </c>
      <c r="I30" s="27"/>
      <c r="J30" s="27">
        <f>+J16-J23</f>
        <v>-5028</v>
      </c>
      <c r="K30" s="60"/>
      <c r="L30" s="116"/>
      <c r="M30" s="116"/>
      <c r="N30" s="115"/>
      <c r="O30" s="115"/>
    </row>
    <row r="31" spans="2:15" ht="16.5">
      <c r="B31" s="25"/>
      <c r="C31" s="3" t="s">
        <v>1348</v>
      </c>
      <c r="D31" s="17">
        <f>SUM(D26:D30)</f>
        <v>1018</v>
      </c>
      <c r="E31" s="17"/>
      <c r="F31" s="17">
        <f>SUM(F26:F30)</f>
        <v>-1277</v>
      </c>
      <c r="G31" s="17"/>
      <c r="H31" s="17">
        <f>SUM(H26:H30)</f>
        <v>286643</v>
      </c>
      <c r="I31" s="17"/>
      <c r="J31" s="17">
        <f>SUM(J26:J30)</f>
        <v>-27513</v>
      </c>
      <c r="K31" s="17"/>
      <c r="L31" s="116"/>
      <c r="M31" s="116"/>
      <c r="N31" s="115"/>
      <c r="O31" s="115"/>
    </row>
    <row r="32" spans="2:17" ht="16.5">
      <c r="B32" s="25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16"/>
      <c r="O32" s="116"/>
      <c r="P32" s="115"/>
      <c r="Q32" s="115"/>
    </row>
    <row r="33" spans="2:17" ht="19.5">
      <c r="B33" s="121" t="s">
        <v>91</v>
      </c>
      <c r="G33" s="19"/>
      <c r="H33" s="64" t="s">
        <v>72</v>
      </c>
      <c r="I33" s="25"/>
      <c r="J33" s="64" t="s">
        <v>73</v>
      </c>
      <c r="K33" s="64"/>
      <c r="L33" s="64"/>
      <c r="M33" s="64"/>
      <c r="N33" s="116"/>
      <c r="O33" s="116"/>
      <c r="P33" s="116"/>
      <c r="Q33" s="116"/>
    </row>
    <row r="34" spans="2:17" ht="19.5">
      <c r="B34" s="121" t="s">
        <v>129</v>
      </c>
      <c r="G34" s="19"/>
      <c r="H34" s="64" t="s">
        <v>1476</v>
      </c>
      <c r="I34" s="25"/>
      <c r="J34" s="64" t="s">
        <v>1476</v>
      </c>
      <c r="K34" s="64"/>
      <c r="L34" s="64"/>
      <c r="M34" s="64"/>
      <c r="N34" s="116"/>
      <c r="O34" s="116"/>
      <c r="P34" s="116"/>
      <c r="Q34" s="116"/>
    </row>
    <row r="35" spans="2:17" ht="19.5">
      <c r="B35" s="117" t="s">
        <v>130</v>
      </c>
      <c r="C35" s="118" t="s">
        <v>1505</v>
      </c>
      <c r="D35" s="22" t="s">
        <v>304</v>
      </c>
      <c r="E35" s="19"/>
      <c r="F35" s="22" t="s">
        <v>182</v>
      </c>
      <c r="G35" s="19"/>
      <c r="H35" s="22" t="s">
        <v>304</v>
      </c>
      <c r="I35" s="25"/>
      <c r="J35" s="22" t="s">
        <v>182</v>
      </c>
      <c r="K35" s="64"/>
      <c r="L35" s="64"/>
      <c r="M35" s="64"/>
      <c r="N35" s="116"/>
      <c r="O35" s="116"/>
      <c r="P35" s="116"/>
      <c r="Q35" s="116"/>
    </row>
    <row r="36" spans="4:17" ht="16.5">
      <c r="D36" s="64"/>
      <c r="E36" s="19"/>
      <c r="F36" s="64"/>
      <c r="G36" s="19"/>
      <c r="H36" s="64"/>
      <c r="I36" s="25"/>
      <c r="J36" s="64"/>
      <c r="K36" s="64"/>
      <c r="L36" s="64"/>
      <c r="M36" s="64"/>
      <c r="N36" s="116"/>
      <c r="O36" s="116"/>
      <c r="P36" s="116"/>
      <c r="Q36" s="116"/>
    </row>
    <row r="37" spans="1:17" ht="16.5">
      <c r="A37" s="3" t="s">
        <v>1464</v>
      </c>
      <c r="B37" s="19" t="s">
        <v>1343</v>
      </c>
      <c r="C37" s="3" t="s">
        <v>1239</v>
      </c>
      <c r="D37" s="18">
        <f>+INPUT!C104</f>
        <v>0</v>
      </c>
      <c r="E37" s="18"/>
      <c r="F37" s="18">
        <f>+INPUT!D104</f>
        <v>0</v>
      </c>
      <c r="G37" s="18"/>
      <c r="H37" s="18">
        <f>+INPUT!E104</f>
        <v>0</v>
      </c>
      <c r="I37" s="18"/>
      <c r="J37" s="18">
        <f>+INPUT!F104</f>
        <v>0</v>
      </c>
      <c r="K37" s="18"/>
      <c r="L37" s="18"/>
      <c r="M37" s="18"/>
      <c r="N37" s="115">
        <f>ROUND(D42*INPUT!C5,4)</f>
        <v>0</v>
      </c>
      <c r="O37" s="115">
        <f>ROUND(F42*INPUT!C5,4)</f>
        <v>0</v>
      </c>
      <c r="P37" s="115">
        <f>ROUND(H42*INPUT!C5,4)</f>
        <v>0</v>
      </c>
      <c r="Q37" s="115">
        <f>ROUND(J42*INPUT!C5,4)</f>
        <v>0</v>
      </c>
    </row>
    <row r="38" spans="2:17" ht="16.5">
      <c r="B38" s="19" t="s">
        <v>1744</v>
      </c>
      <c r="C38" s="3" t="s">
        <v>1240</v>
      </c>
      <c r="D38" s="18">
        <f>+INPUT!C105</f>
        <v>0</v>
      </c>
      <c r="E38" s="18"/>
      <c r="F38" s="18">
        <f>+INPUT!D105</f>
        <v>0</v>
      </c>
      <c r="G38" s="18"/>
      <c r="H38" s="18">
        <f>+INPUT!E105</f>
        <v>0</v>
      </c>
      <c r="I38" s="18"/>
      <c r="J38" s="18">
        <f>+INPUT!F105</f>
        <v>0</v>
      </c>
      <c r="K38" s="18"/>
      <c r="L38" s="18"/>
      <c r="M38" s="18"/>
      <c r="N38" s="115">
        <f>ROUND(D42*INPUT!C6,4)</f>
        <v>0</v>
      </c>
      <c r="O38" s="115">
        <f>ROUND(F42*INPUT!C6,4)</f>
        <v>0</v>
      </c>
      <c r="P38" s="115">
        <f>ROUND(H42*INPUT!C6,4)</f>
        <v>0</v>
      </c>
      <c r="Q38" s="115">
        <f>ROUND(J42*INPUT!C6,4)</f>
        <v>0</v>
      </c>
    </row>
    <row r="39" spans="3:17" ht="15">
      <c r="C39" s="3" t="s">
        <v>1241</v>
      </c>
      <c r="D39" s="18">
        <f>+INPUT!C106</f>
        <v>0</v>
      </c>
      <c r="E39" s="18"/>
      <c r="F39" s="18">
        <f>+INPUT!D106</f>
        <v>0</v>
      </c>
      <c r="G39" s="18"/>
      <c r="H39" s="18">
        <f>+INPUT!E106</f>
        <v>0</v>
      </c>
      <c r="I39" s="18"/>
      <c r="J39" s="18">
        <f>+INPUT!F106</f>
        <v>0</v>
      </c>
      <c r="K39" s="18"/>
      <c r="L39" s="18"/>
      <c r="M39" s="18"/>
      <c r="N39" s="115">
        <f>ROUND(D42*INPUT!C7,4)</f>
        <v>0</v>
      </c>
      <c r="O39" s="115">
        <f>ROUND(F42*INPUT!C7,4)</f>
        <v>0</v>
      </c>
      <c r="P39" s="115">
        <f>ROUND(H42*INPUT!C7,4)</f>
        <v>0</v>
      </c>
      <c r="Q39" s="115">
        <f>ROUND(J42*INPUT!C7,4)</f>
        <v>0</v>
      </c>
    </row>
    <row r="40" spans="3:17" ht="15">
      <c r="C40" s="3" t="s">
        <v>1242</v>
      </c>
      <c r="D40" s="18">
        <f>+INPUT!C107</f>
        <v>0</v>
      </c>
      <c r="E40" s="18"/>
      <c r="F40" s="18">
        <f>+INPUT!D107</f>
        <v>0</v>
      </c>
      <c r="G40" s="18"/>
      <c r="H40" s="18">
        <f>+INPUT!E107</f>
        <v>0</v>
      </c>
      <c r="I40" s="18"/>
      <c r="J40" s="18">
        <f>+INPUT!F107</f>
        <v>0</v>
      </c>
      <c r="K40" s="18"/>
      <c r="L40" s="18"/>
      <c r="M40" s="18"/>
      <c r="N40" s="115">
        <f>ROUND(D42*INPUT!C8,4)</f>
        <v>0</v>
      </c>
      <c r="O40" s="115">
        <f>ROUND(F42*INPUT!C8,4)</f>
        <v>0</v>
      </c>
      <c r="P40" s="115">
        <f>ROUND(H42*INPUT!C8,4)</f>
        <v>0</v>
      </c>
      <c r="Q40" s="115">
        <f>ROUND(J42*INPUT!C8,4)</f>
        <v>0</v>
      </c>
    </row>
    <row r="41" spans="3:17" ht="15">
      <c r="C41" s="3" t="s">
        <v>1243</v>
      </c>
      <c r="D41" s="26">
        <f>+INPUT!C108</f>
        <v>0</v>
      </c>
      <c r="E41" s="18"/>
      <c r="F41" s="26">
        <f>+INPUT!D108</f>
        <v>0</v>
      </c>
      <c r="G41" s="18"/>
      <c r="H41" s="26">
        <f>+INPUT!E108</f>
        <v>0</v>
      </c>
      <c r="I41" s="18"/>
      <c r="J41" s="26">
        <f>+INPUT!F108</f>
        <v>0</v>
      </c>
      <c r="K41" s="26"/>
      <c r="L41" s="8"/>
      <c r="M41" s="8"/>
      <c r="N41" s="119">
        <f>ROUND(D42*INPUT!C9,4)</f>
        <v>0</v>
      </c>
      <c r="O41" s="119">
        <f>ROUND(F42*INPUT!C9,4)</f>
        <v>0</v>
      </c>
      <c r="P41" s="119">
        <f>ROUND(H42*INPUT!C9,4)</f>
        <v>0</v>
      </c>
      <c r="Q41" s="119">
        <f>ROUND(J42*INPUT!C9,4)</f>
        <v>0</v>
      </c>
    </row>
    <row r="42" spans="3:17" ht="15">
      <c r="C42" s="3" t="s">
        <v>1348</v>
      </c>
      <c r="D42" s="18">
        <f>+INPUT!C109</f>
        <v>0</v>
      </c>
      <c r="E42" s="18"/>
      <c r="F42" s="18">
        <f>+INPUT!D109</f>
        <v>0</v>
      </c>
      <c r="G42" s="18"/>
      <c r="H42" s="18">
        <f>+INPUT!E109</f>
        <v>0</v>
      </c>
      <c r="I42" s="18"/>
      <c r="J42" s="18">
        <f>+INPUT!F109</f>
        <v>0</v>
      </c>
      <c r="K42" s="18"/>
      <c r="L42" s="18"/>
      <c r="M42" s="18"/>
      <c r="N42" s="115">
        <f>SUM(N37:N41)</f>
        <v>0</v>
      </c>
      <c r="O42" s="115">
        <f>SUM(O37:O41)</f>
        <v>0</v>
      </c>
      <c r="P42" s="115">
        <f>SUM(P37:P41)</f>
        <v>0</v>
      </c>
      <c r="Q42" s="115">
        <f>SUM(Q37:Q41)</f>
        <v>0</v>
      </c>
    </row>
    <row r="43" spans="4:17" ht="15"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16"/>
      <c r="O43" s="116"/>
      <c r="P43" s="115"/>
      <c r="Q43" s="115"/>
    </row>
    <row r="44" spans="1:17" ht="16.5">
      <c r="A44" s="3" t="s">
        <v>1465</v>
      </c>
      <c r="B44" s="19" t="s">
        <v>74</v>
      </c>
      <c r="C44" s="3" t="s">
        <v>1239</v>
      </c>
      <c r="D44" s="18">
        <f>+INPUT!C111</f>
        <v>0</v>
      </c>
      <c r="E44" s="18"/>
      <c r="F44" s="18">
        <f>+INPUT!D111</f>
        <v>0</v>
      </c>
      <c r="G44" s="18"/>
      <c r="H44" s="18">
        <f>+INPUT!E111</f>
        <v>0</v>
      </c>
      <c r="I44" s="18"/>
      <c r="J44" s="18">
        <f>+INPUT!F111</f>
        <v>0</v>
      </c>
      <c r="K44" s="18"/>
      <c r="L44" s="18"/>
      <c r="M44" s="18"/>
      <c r="N44" s="115"/>
      <c r="O44" s="115"/>
      <c r="P44" s="115"/>
      <c r="Q44" s="115"/>
    </row>
    <row r="45" spans="2:17" ht="16.5">
      <c r="B45" s="19" t="s">
        <v>75</v>
      </c>
      <c r="C45" s="3" t="s">
        <v>1240</v>
      </c>
      <c r="D45" s="18">
        <f>+INPUT!C112</f>
        <v>0</v>
      </c>
      <c r="E45" s="18"/>
      <c r="F45" s="18">
        <f>+INPUT!D112</f>
        <v>0</v>
      </c>
      <c r="G45" s="18"/>
      <c r="H45" s="18">
        <f>+INPUT!E112</f>
        <v>0</v>
      </c>
      <c r="I45" s="18"/>
      <c r="J45" s="18">
        <f>+INPUT!F112</f>
        <v>0</v>
      </c>
      <c r="K45" s="18"/>
      <c r="L45" s="18"/>
      <c r="M45" s="18"/>
      <c r="N45" s="115"/>
      <c r="O45" s="115"/>
      <c r="P45" s="115"/>
      <c r="Q45" s="115"/>
    </row>
    <row r="46" spans="2:17" ht="16.5">
      <c r="B46" s="19" t="s">
        <v>1236</v>
      </c>
      <c r="C46" s="3" t="s">
        <v>1241</v>
      </c>
      <c r="D46" s="18">
        <f>+INPUT!C113</f>
        <v>0</v>
      </c>
      <c r="E46" s="18"/>
      <c r="F46" s="18">
        <f>+INPUT!D113</f>
        <v>0</v>
      </c>
      <c r="G46" s="18"/>
      <c r="H46" s="18">
        <f>+INPUT!E113</f>
        <v>0</v>
      </c>
      <c r="I46" s="18"/>
      <c r="J46" s="18">
        <f>+INPUT!F113</f>
        <v>0</v>
      </c>
      <c r="K46" s="18"/>
      <c r="L46" s="18"/>
      <c r="M46" s="18"/>
      <c r="N46" s="115"/>
      <c r="O46" s="115"/>
      <c r="P46" s="115"/>
      <c r="Q46" s="115"/>
    </row>
    <row r="47" spans="3:17" ht="15">
      <c r="C47" s="3" t="s">
        <v>1242</v>
      </c>
      <c r="D47" s="18">
        <f>+INPUT!C114</f>
        <v>0</v>
      </c>
      <c r="E47" s="18"/>
      <c r="F47" s="18">
        <f>+INPUT!D114</f>
        <v>0</v>
      </c>
      <c r="G47" s="18"/>
      <c r="H47" s="18">
        <f>+INPUT!E114</f>
        <v>0</v>
      </c>
      <c r="I47" s="18"/>
      <c r="J47" s="18">
        <f>+INPUT!F114</f>
        <v>0</v>
      </c>
      <c r="K47" s="18"/>
      <c r="L47" s="18"/>
      <c r="M47" s="18"/>
      <c r="N47" s="115"/>
      <c r="O47" s="115"/>
      <c r="P47" s="115"/>
      <c r="Q47" s="115"/>
    </row>
    <row r="48" spans="3:17" ht="15">
      <c r="C48" s="3" t="s">
        <v>1243</v>
      </c>
      <c r="D48" s="26">
        <f>+INPUT!C115</f>
        <v>0</v>
      </c>
      <c r="E48" s="18"/>
      <c r="F48" s="26">
        <f>+INPUT!D115</f>
        <v>0</v>
      </c>
      <c r="G48" s="18"/>
      <c r="H48" s="26">
        <f>+INPUT!E115</f>
        <v>0</v>
      </c>
      <c r="I48" s="18"/>
      <c r="J48" s="26">
        <f>+INPUT!F115</f>
        <v>0</v>
      </c>
      <c r="K48" s="8"/>
      <c r="L48" s="8"/>
      <c r="M48" s="8"/>
      <c r="N48" s="120"/>
      <c r="O48" s="120"/>
      <c r="P48" s="120"/>
      <c r="Q48" s="120"/>
    </row>
    <row r="49" spans="3:17" ht="15">
      <c r="C49" s="3" t="s">
        <v>1348</v>
      </c>
      <c r="D49" s="18">
        <f>SUM(D44:D48)</f>
        <v>0</v>
      </c>
      <c r="E49" s="18"/>
      <c r="F49" s="18">
        <f>SUM(F44:F48)</f>
        <v>0</v>
      </c>
      <c r="G49" s="18"/>
      <c r="H49" s="18">
        <f>SUM(H44:H48)</f>
        <v>0</v>
      </c>
      <c r="I49" s="18"/>
      <c r="J49" s="18">
        <f>SUM(J44:J48)</f>
        <v>0</v>
      </c>
      <c r="K49" s="18"/>
      <c r="L49" s="18"/>
      <c r="M49" s="18"/>
      <c r="N49" s="115"/>
      <c r="O49" s="115"/>
      <c r="P49" s="115"/>
      <c r="Q49" s="115"/>
    </row>
    <row r="50" spans="4:17" ht="15"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16"/>
      <c r="O50" s="116"/>
      <c r="P50" s="115"/>
      <c r="Q50" s="115"/>
    </row>
    <row r="51" spans="1:17" ht="16.5">
      <c r="A51" s="3" t="s">
        <v>1468</v>
      </c>
      <c r="B51" s="19" t="s">
        <v>1469</v>
      </c>
      <c r="C51" s="3" t="s">
        <v>1239</v>
      </c>
      <c r="D51" s="17">
        <f>+D37-D44</f>
        <v>0</v>
      </c>
      <c r="E51" s="17"/>
      <c r="F51" s="17">
        <f>+F37-F44</f>
        <v>0</v>
      </c>
      <c r="G51" s="17"/>
      <c r="H51" s="17">
        <f>+H37-H44</f>
        <v>0</v>
      </c>
      <c r="I51" s="17"/>
      <c r="J51" s="17">
        <f>+J37-J44</f>
        <v>0</v>
      </c>
      <c r="K51" s="17"/>
      <c r="L51" s="17"/>
      <c r="M51" s="17"/>
      <c r="N51" s="116"/>
      <c r="O51" s="116"/>
      <c r="P51" s="115"/>
      <c r="Q51" s="115"/>
    </row>
    <row r="52" spans="2:17" ht="16.5">
      <c r="B52" s="19" t="s">
        <v>77</v>
      </c>
      <c r="C52" s="3" t="s">
        <v>1240</v>
      </c>
      <c r="D52" s="17">
        <f>+D38-D45</f>
        <v>0</v>
      </c>
      <c r="E52" s="17"/>
      <c r="F52" s="17">
        <f>+F38-F45</f>
        <v>0</v>
      </c>
      <c r="G52" s="17"/>
      <c r="H52" s="17">
        <f>+H38-H45</f>
        <v>0</v>
      </c>
      <c r="I52" s="17"/>
      <c r="J52" s="17">
        <f>+J38-J45</f>
        <v>0</v>
      </c>
      <c r="K52" s="17"/>
      <c r="L52" s="17"/>
      <c r="M52" s="17"/>
      <c r="N52" s="116"/>
      <c r="O52" s="116"/>
      <c r="P52" s="115"/>
      <c r="Q52" s="115"/>
    </row>
    <row r="53" spans="2:17" ht="16.5">
      <c r="B53" s="19" t="s">
        <v>1236</v>
      </c>
      <c r="C53" s="3" t="s">
        <v>1241</v>
      </c>
      <c r="D53" s="17">
        <f>+D39-D46</f>
        <v>0</v>
      </c>
      <c r="E53" s="17"/>
      <c r="F53" s="17">
        <f>+F39-F46</f>
        <v>0</v>
      </c>
      <c r="G53" s="17"/>
      <c r="H53" s="17">
        <f>+H39-H46</f>
        <v>0</v>
      </c>
      <c r="I53" s="17"/>
      <c r="J53" s="17">
        <f>+J39-J46</f>
        <v>0</v>
      </c>
      <c r="K53" s="17"/>
      <c r="L53" s="17"/>
      <c r="M53" s="17"/>
      <c r="N53" s="116"/>
      <c r="O53" s="116"/>
      <c r="P53" s="115"/>
      <c r="Q53" s="115"/>
    </row>
    <row r="54" spans="2:17" ht="16.5">
      <c r="B54" s="19" t="s">
        <v>1236</v>
      </c>
      <c r="C54" s="3" t="s">
        <v>1242</v>
      </c>
      <c r="D54" s="17">
        <f>+D40-D47</f>
        <v>0</v>
      </c>
      <c r="E54" s="17"/>
      <c r="F54" s="17">
        <f>+F40-F47</f>
        <v>0</v>
      </c>
      <c r="G54" s="17"/>
      <c r="H54" s="17">
        <f>+H40-H47</f>
        <v>0</v>
      </c>
      <c r="I54" s="17"/>
      <c r="J54" s="17">
        <f>+J40-J47</f>
        <v>0</v>
      </c>
      <c r="K54" s="17"/>
      <c r="L54" s="17"/>
      <c r="M54" s="17"/>
      <c r="N54" s="116"/>
      <c r="O54" s="116"/>
      <c r="P54" s="115"/>
      <c r="Q54" s="115"/>
    </row>
    <row r="55" spans="2:17" ht="16.5">
      <c r="B55" s="25"/>
      <c r="C55" s="3" t="s">
        <v>1243</v>
      </c>
      <c r="D55" s="27">
        <f>+D41-D48</f>
        <v>0</v>
      </c>
      <c r="E55" s="17"/>
      <c r="F55" s="27">
        <f>+F41-F48</f>
        <v>0</v>
      </c>
      <c r="G55" s="17"/>
      <c r="H55" s="27">
        <f>+H41-H48</f>
        <v>0</v>
      </c>
      <c r="I55" s="17"/>
      <c r="J55" s="27">
        <f>+J41-J48</f>
        <v>0</v>
      </c>
      <c r="K55" s="60"/>
      <c r="L55" s="60"/>
      <c r="M55" s="60"/>
      <c r="N55" s="116"/>
      <c r="O55" s="116"/>
      <c r="P55" s="115"/>
      <c r="Q55" s="115"/>
    </row>
    <row r="56" spans="2:17" ht="16.5">
      <c r="B56" s="25"/>
      <c r="C56" s="3" t="s">
        <v>1348</v>
      </c>
      <c r="D56" s="17">
        <f>SUM(D51:D55)</f>
        <v>0</v>
      </c>
      <c r="E56" s="17"/>
      <c r="F56" s="17">
        <f>SUM(F51:F55)</f>
        <v>0</v>
      </c>
      <c r="G56" s="17"/>
      <c r="H56" s="17">
        <f>SUM(H51:H55)</f>
        <v>0</v>
      </c>
      <c r="I56" s="17"/>
      <c r="J56" s="17">
        <f>SUM(J51:J55)</f>
        <v>0</v>
      </c>
      <c r="K56" s="17"/>
      <c r="L56" s="17"/>
      <c r="M56" s="17"/>
      <c r="N56" s="116"/>
      <c r="O56" s="116"/>
      <c r="P56" s="115"/>
      <c r="Q56" s="115"/>
    </row>
    <row r="59" ht="15">
      <c r="B59" s="73"/>
    </row>
  </sheetData>
  <mergeCells count="2">
    <mergeCell ref="H7:J7"/>
    <mergeCell ref="H8:J8"/>
  </mergeCells>
  <printOptions horizontalCentered="1"/>
  <pageMargins left="0.5" right="0.5" top="0.5" bottom="0.5" header="0" footer="0"/>
  <pageSetup fitToHeight="1" fitToWidth="1" horizontalDpi="600" verticalDpi="600" orientation="portrait" scale="8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V59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19.57421875" style="3" customWidth="1"/>
    <col min="3" max="4" width="10.7109375" style="3" customWidth="1"/>
    <col min="5" max="5" width="1.57421875" style="3" customWidth="1"/>
    <col min="6" max="6" width="20.8515625" style="3" bestFit="1" customWidth="1"/>
    <col min="7" max="7" width="1.7109375" style="3" customWidth="1"/>
    <col min="8" max="8" width="23.8515625" style="3" bestFit="1" customWidth="1"/>
    <col min="9" max="9" width="1.7109375" style="3" customWidth="1"/>
    <col min="10" max="10" width="9.00390625" style="3" bestFit="1" customWidth="1"/>
    <col min="11" max="11" width="1.7109375" style="3" customWidth="1"/>
    <col min="12" max="12" width="20.421875" style="3" customWidth="1"/>
    <col min="13" max="13" width="1.7109375" style="3" customWidth="1"/>
    <col min="14" max="14" width="20.8515625" style="3" bestFit="1" customWidth="1"/>
    <col min="15" max="15" width="1.7109375" style="3" customWidth="1"/>
    <col min="16" max="16" width="15.8515625" style="3" bestFit="1" customWidth="1"/>
    <col min="17" max="19" width="15.8515625" style="3" customWidth="1"/>
    <col min="20" max="20" width="14.7109375" style="3" bestFit="1" customWidth="1"/>
    <col min="21" max="22" width="16.8515625" style="3" bestFit="1" customWidth="1"/>
    <col min="23" max="16384" width="9.140625" style="3" customWidth="1"/>
  </cols>
  <sheetData>
    <row r="1" spans="2:14" ht="16.5">
      <c r="B1" s="19" t="s">
        <v>1451</v>
      </c>
      <c r="C1" s="1034" t="str">
        <f>+INPUT!C1</f>
        <v>June 2009</v>
      </c>
      <c r="D1" s="20"/>
      <c r="E1" s="20"/>
      <c r="F1" s="20"/>
      <c r="G1" s="20"/>
      <c r="H1" s="20"/>
      <c r="I1" s="20"/>
      <c r="N1" s="19" t="s">
        <v>22</v>
      </c>
    </row>
    <row r="2" ht="16.5">
      <c r="N2" s="19" t="s">
        <v>1134</v>
      </c>
    </row>
    <row r="4" ht="16.5">
      <c r="J4" s="19" t="s">
        <v>23</v>
      </c>
    </row>
    <row r="5" ht="16.5">
      <c r="J5" s="19" t="s">
        <v>66</v>
      </c>
    </row>
    <row r="6" ht="16.5">
      <c r="J6" s="53" t="s">
        <v>184</v>
      </c>
    </row>
    <row r="7" spans="16:22" ht="15">
      <c r="P7" s="116"/>
      <c r="Q7" s="116"/>
      <c r="R7" s="116"/>
      <c r="S7" s="116"/>
      <c r="T7" s="116"/>
      <c r="U7" s="116"/>
      <c r="V7" s="116"/>
    </row>
    <row r="8" spans="2:22" ht="19.5">
      <c r="B8" s="121"/>
      <c r="F8" s="1025" t="s">
        <v>2095</v>
      </c>
      <c r="G8" s="1025"/>
      <c r="H8" s="1025"/>
      <c r="I8" s="444"/>
      <c r="J8" s="444"/>
      <c r="K8" s="17"/>
      <c r="L8" s="1025" t="s">
        <v>865</v>
      </c>
      <c r="M8" s="1025"/>
      <c r="N8" s="1025"/>
      <c r="O8" s="444"/>
      <c r="P8" s="116"/>
      <c r="Q8" s="116"/>
      <c r="R8" s="116"/>
      <c r="S8" s="116"/>
      <c r="T8" s="116"/>
      <c r="U8" s="115"/>
      <c r="V8" s="115"/>
    </row>
    <row r="9" spans="2:20" ht="19.5">
      <c r="B9" s="121"/>
      <c r="F9" s="124" t="s">
        <v>1964</v>
      </c>
      <c r="G9" s="124"/>
      <c r="H9" s="124" t="s">
        <v>174</v>
      </c>
      <c r="I9" s="17"/>
      <c r="J9" s="124"/>
      <c r="K9" s="17"/>
      <c r="L9" s="124" t="s">
        <v>1964</v>
      </c>
      <c r="M9" s="124"/>
      <c r="N9" s="124" t="s">
        <v>174</v>
      </c>
      <c r="O9" s="116"/>
      <c r="P9" s="116"/>
      <c r="Q9" s="116"/>
      <c r="R9" s="116"/>
      <c r="S9" s="115"/>
      <c r="T9" s="115"/>
    </row>
    <row r="10" spans="2:20" ht="19.5">
      <c r="B10" s="121" t="s">
        <v>320</v>
      </c>
      <c r="F10" s="124" t="s">
        <v>1344</v>
      </c>
      <c r="G10" s="124"/>
      <c r="H10" s="124" t="s">
        <v>1298</v>
      </c>
      <c r="I10" s="17"/>
      <c r="J10" s="124"/>
      <c r="K10" s="17"/>
      <c r="L10" s="124" t="s">
        <v>1344</v>
      </c>
      <c r="M10" s="124"/>
      <c r="N10" s="124" t="s">
        <v>1298</v>
      </c>
      <c r="O10" s="116"/>
      <c r="P10" s="116"/>
      <c r="Q10" s="116"/>
      <c r="R10" s="116"/>
      <c r="S10" s="115"/>
      <c r="T10" s="115"/>
    </row>
    <row r="11" spans="2:20" ht="19.5">
      <c r="B11" s="117" t="s">
        <v>321</v>
      </c>
      <c r="C11" s="126"/>
      <c r="D11" s="126"/>
      <c r="E11" s="126"/>
      <c r="F11" s="446" t="s">
        <v>403</v>
      </c>
      <c r="G11" s="444"/>
      <c r="H11" s="446" t="s">
        <v>404</v>
      </c>
      <c r="I11" s="444"/>
      <c r="J11" s="444"/>
      <c r="K11" s="444"/>
      <c r="L11" s="446" t="s">
        <v>403</v>
      </c>
      <c r="M11" s="444"/>
      <c r="N11" s="446" t="s">
        <v>404</v>
      </c>
      <c r="O11" s="116"/>
      <c r="P11" s="116"/>
      <c r="Q11" s="116"/>
      <c r="R11" s="447"/>
      <c r="S11" s="115"/>
      <c r="T11" s="115"/>
    </row>
    <row r="12" spans="8:18" ht="15">
      <c r="H12" s="6"/>
      <c r="I12" s="6"/>
      <c r="J12" s="6"/>
      <c r="R12" s="84"/>
    </row>
    <row r="13" spans="1:20" ht="16.5">
      <c r="A13" s="3" t="s">
        <v>1464</v>
      </c>
      <c r="B13" s="19" t="s">
        <v>1343</v>
      </c>
      <c r="C13" s="3" t="s">
        <v>1239</v>
      </c>
      <c r="F13" s="17">
        <f>INPUT!B120</f>
        <v>36570</v>
      </c>
      <c r="G13" s="17"/>
      <c r="H13" s="8">
        <f>INPUT!C120</f>
        <v>36571</v>
      </c>
      <c r="I13" s="8"/>
      <c r="J13" s="17"/>
      <c r="K13" s="18"/>
      <c r="L13" s="17">
        <f>+INPUT!E120</f>
        <v>1501893</v>
      </c>
      <c r="M13" s="18"/>
      <c r="N13" s="17">
        <f>+INPUT!F120</f>
        <v>1557369</v>
      </c>
      <c r="O13" s="115"/>
      <c r="P13" s="115">
        <f>ROUND(F$18*INPUT!$C5,4)</f>
        <v>36570.62</v>
      </c>
      <c r="Q13" s="115">
        <f>ROUND(H$18*INPUT!$C5,4)</f>
        <v>36570.62</v>
      </c>
      <c r="R13" s="120"/>
      <c r="S13" s="115">
        <f>ROUND(L18*INPUT!C5,4)</f>
        <v>1501892.935</v>
      </c>
      <c r="T13" s="115">
        <f>ROUND(N18*INPUT!C5,4)</f>
        <v>1557369.2813</v>
      </c>
    </row>
    <row r="14" spans="2:20" ht="16.5">
      <c r="B14" s="19" t="s">
        <v>1744</v>
      </c>
      <c r="C14" s="3" t="s">
        <v>1240</v>
      </c>
      <c r="F14" s="17">
        <f>INPUT!B121</f>
        <v>7369</v>
      </c>
      <c r="G14" s="17"/>
      <c r="H14" s="8">
        <f>INPUT!C121</f>
        <v>7369</v>
      </c>
      <c r="I14" s="8"/>
      <c r="J14" s="17"/>
      <c r="K14" s="18"/>
      <c r="L14" s="17">
        <f>+INPUT!E121</f>
        <v>302619</v>
      </c>
      <c r="M14" s="18"/>
      <c r="N14" s="17">
        <f>+INPUT!F121</f>
        <v>313797</v>
      </c>
      <c r="O14" s="115"/>
      <c r="P14" s="115">
        <f>ROUND(F$18*INPUT!$C6,4)</f>
        <v>7368.6753</v>
      </c>
      <c r="Q14" s="115">
        <f>ROUND(H$18*INPUT!$C6,4)</f>
        <v>7368.6753</v>
      </c>
      <c r="R14" s="120"/>
      <c r="S14" s="115">
        <f>ROUND(L18*INPUT!C6,4)</f>
        <v>302618.9172</v>
      </c>
      <c r="T14" s="115">
        <f>ROUND(N18*INPUT!C6,4)</f>
        <v>313796.9389</v>
      </c>
    </row>
    <row r="15" spans="3:20" ht="15">
      <c r="C15" s="3" t="s">
        <v>1241</v>
      </c>
      <c r="F15" s="17">
        <f>INPUT!B122</f>
        <v>18770</v>
      </c>
      <c r="G15" s="17"/>
      <c r="H15" s="8">
        <f>INPUT!C122</f>
        <v>18769</v>
      </c>
      <c r="I15" s="8"/>
      <c r="J15" s="17"/>
      <c r="K15" s="18"/>
      <c r="L15" s="17">
        <f>+INPUT!E122</f>
        <v>770865</v>
      </c>
      <c r="M15" s="18"/>
      <c r="N15" s="17">
        <f>+INPUT!F122</f>
        <v>799339</v>
      </c>
      <c r="O15" s="115"/>
      <c r="P15" s="115">
        <f>ROUND(F$18*INPUT!$C7,4)</f>
        <v>18770.3287</v>
      </c>
      <c r="Q15" s="115">
        <f>ROUND(H$18*INPUT!$C7,4)</f>
        <v>18770.3287</v>
      </c>
      <c r="R15" s="120"/>
      <c r="S15" s="115">
        <f>ROUND(L18*INPUT!C7,4)</f>
        <v>770865.3563</v>
      </c>
      <c r="T15" s="115">
        <f>ROUND(N18*INPUT!C7,4)</f>
        <v>799339.2858</v>
      </c>
    </row>
    <row r="16" spans="3:20" ht="15">
      <c r="C16" s="3" t="s">
        <v>1242</v>
      </c>
      <c r="F16" s="17">
        <f>INPUT!B123</f>
        <v>24026</v>
      </c>
      <c r="G16" s="17"/>
      <c r="H16" s="8">
        <f>INPUT!C123</f>
        <v>24025</v>
      </c>
      <c r="I16" s="8"/>
      <c r="J16" s="17"/>
      <c r="K16" s="18"/>
      <c r="L16" s="17">
        <f>+INPUT!E123</f>
        <v>986704</v>
      </c>
      <c r="M16" s="18"/>
      <c r="N16" s="17">
        <f>+INPUT!F123</f>
        <v>1023151</v>
      </c>
      <c r="O16" s="115"/>
      <c r="P16" s="115">
        <f>ROUND(F$18*INPUT!$C8,4)</f>
        <v>24025.9358</v>
      </c>
      <c r="Q16" s="115">
        <f>ROUND(H$18*INPUT!$C8,4)</f>
        <v>24025.9358</v>
      </c>
      <c r="R16" s="120"/>
      <c r="S16" s="115">
        <f>ROUND(L18*INPUT!C8,4)</f>
        <v>986704.1692</v>
      </c>
      <c r="T16" s="115">
        <f>ROUND(N18*INPUT!C8,4)</f>
        <v>1023150.6701</v>
      </c>
    </row>
    <row r="17" spans="3:20" ht="15">
      <c r="C17" s="3" t="s">
        <v>1243</v>
      </c>
      <c r="F17" s="27">
        <f>INPUT!B124</f>
        <v>19396</v>
      </c>
      <c r="G17" s="17"/>
      <c r="H17" s="26">
        <f>INPUT!C124</f>
        <v>19397</v>
      </c>
      <c r="I17" s="8"/>
      <c r="J17" s="60"/>
      <c r="K17" s="18"/>
      <c r="L17" s="27">
        <f>+INPUT!E124</f>
        <v>796538</v>
      </c>
      <c r="M17" s="18"/>
      <c r="N17" s="27">
        <f>+INPUT!F124</f>
        <v>825960</v>
      </c>
      <c r="O17" s="120"/>
      <c r="P17" s="119">
        <f>ROUND(F$18*INPUT!$C9,4)</f>
        <v>19395.4403</v>
      </c>
      <c r="Q17" s="119">
        <f>ROUND(H$18*INPUT!$C9,4)</f>
        <v>19395.4403</v>
      </c>
      <c r="R17" s="120"/>
      <c r="S17" s="119">
        <f>ROUND(L18*INPUT!C9,4)</f>
        <v>796537.6223</v>
      </c>
      <c r="T17" s="119">
        <f>ROUND(N18*INPUT!C9,4)</f>
        <v>825959.824</v>
      </c>
    </row>
    <row r="18" spans="3:20" ht="15">
      <c r="C18" s="3" t="s">
        <v>1348</v>
      </c>
      <c r="F18" s="17">
        <f>INPUT!B125</f>
        <v>106131</v>
      </c>
      <c r="G18" s="17"/>
      <c r="H18" s="8">
        <f>INPUT!C125</f>
        <v>106131</v>
      </c>
      <c r="I18" s="6"/>
      <c r="J18" s="60"/>
      <c r="L18" s="17">
        <f>+INPUT!E125</f>
        <v>4358619</v>
      </c>
      <c r="N18" s="17">
        <f>+INPUT!F125</f>
        <v>4519616</v>
      </c>
      <c r="O18" s="115"/>
      <c r="P18" s="115">
        <f>SUM(P13:P17)</f>
        <v>106131.0001</v>
      </c>
      <c r="Q18" s="115">
        <f>SUM(Q13:Q17)</f>
        <v>106131.0001</v>
      </c>
      <c r="R18" s="120"/>
      <c r="S18" s="115">
        <f>SUM(S13:S17)</f>
        <v>4358619</v>
      </c>
      <c r="T18" s="115">
        <f>SUM(T13:T17)</f>
        <v>4519616.0001</v>
      </c>
    </row>
    <row r="19" spans="6:20" ht="15">
      <c r="F19" s="17"/>
      <c r="G19" s="17"/>
      <c r="H19" s="8"/>
      <c r="I19" s="6"/>
      <c r="J19" s="8"/>
      <c r="L19" s="17"/>
      <c r="N19" s="17"/>
      <c r="O19" s="120"/>
      <c r="P19" s="120">
        <f>SUM(F13:F17)</f>
        <v>106131</v>
      </c>
      <c r="Q19" s="120">
        <f>SUM(H13:H17)</f>
        <v>106131</v>
      </c>
      <c r="R19" s="120"/>
      <c r="S19" s="115">
        <f>SUM(L13:L17)</f>
        <v>4358619</v>
      </c>
      <c r="T19" s="115">
        <f>SUM(N13:N17)</f>
        <v>4519616</v>
      </c>
    </row>
    <row r="20" spans="1:20" ht="16.5">
      <c r="A20" s="3" t="s">
        <v>1465</v>
      </c>
      <c r="B20" s="19" t="s">
        <v>74</v>
      </c>
      <c r="C20" s="3" t="s">
        <v>1239</v>
      </c>
      <c r="F20" s="17">
        <f>INPUT!B127</f>
        <v>36525</v>
      </c>
      <c r="G20" s="17"/>
      <c r="H20" s="8">
        <f>INPUT!C127</f>
        <v>36525</v>
      </c>
      <c r="I20" s="8"/>
      <c r="J20" s="8"/>
      <c r="K20" s="18"/>
      <c r="L20" s="18">
        <f>+INPUT!E127</f>
        <v>1497338</v>
      </c>
      <c r="M20" s="18"/>
      <c r="N20" s="18">
        <f>+INPUT!F127</f>
        <v>1555651</v>
      </c>
      <c r="O20" s="115"/>
      <c r="P20" s="115"/>
      <c r="Q20" s="115"/>
      <c r="R20" s="115"/>
      <c r="S20" s="115"/>
      <c r="T20" s="115"/>
    </row>
    <row r="21" spans="2:20" ht="16.5">
      <c r="B21" s="19" t="s">
        <v>75</v>
      </c>
      <c r="C21" s="3" t="s">
        <v>1240</v>
      </c>
      <c r="F21" s="17">
        <f>INPUT!B128</f>
        <v>7360</v>
      </c>
      <c r="G21" s="17"/>
      <c r="H21" s="8">
        <f>INPUT!C128</f>
        <v>7360</v>
      </c>
      <c r="I21" s="8"/>
      <c r="J21" s="8"/>
      <c r="K21" s="18"/>
      <c r="L21" s="18">
        <f>+INPUT!E128</f>
        <v>301701</v>
      </c>
      <c r="M21" s="18"/>
      <c r="N21" s="18">
        <f>+INPUT!F128</f>
        <v>313451</v>
      </c>
      <c r="O21" s="115"/>
      <c r="P21" s="115"/>
      <c r="Q21" s="115"/>
      <c r="R21" s="115"/>
      <c r="S21" s="115"/>
      <c r="T21" s="115"/>
    </row>
    <row r="22" spans="2:20" ht="16.5">
      <c r="B22" s="19" t="s">
        <v>1236</v>
      </c>
      <c r="C22" s="3" t="s">
        <v>1241</v>
      </c>
      <c r="F22" s="17">
        <f>INPUT!B129</f>
        <v>18747</v>
      </c>
      <c r="G22" s="17"/>
      <c r="H22" s="8">
        <f>INPUT!C129</f>
        <v>18746</v>
      </c>
      <c r="I22" s="8"/>
      <c r="J22" s="8"/>
      <c r="K22" s="18"/>
      <c r="L22" s="18">
        <f>+INPUT!E129</f>
        <v>768527</v>
      </c>
      <c r="M22" s="18"/>
      <c r="N22" s="18">
        <f>+INPUT!F129</f>
        <v>798457</v>
      </c>
      <c r="O22" s="115"/>
      <c r="P22" s="115"/>
      <c r="Q22" s="115"/>
      <c r="R22" s="115"/>
      <c r="S22" s="115"/>
      <c r="T22" s="115"/>
    </row>
    <row r="23" spans="3:20" ht="15">
      <c r="C23" s="3" t="s">
        <v>1242</v>
      </c>
      <c r="F23" s="17">
        <f>INPUT!B130</f>
        <v>23996</v>
      </c>
      <c r="G23" s="17"/>
      <c r="H23" s="8">
        <f>INPUT!C130</f>
        <v>23996</v>
      </c>
      <c r="I23" s="8"/>
      <c r="J23" s="8"/>
      <c r="K23" s="18"/>
      <c r="L23" s="18">
        <f>+INPUT!E130</f>
        <v>983712</v>
      </c>
      <c r="M23" s="18"/>
      <c r="N23" s="18">
        <f>+INPUT!F130</f>
        <v>1022022</v>
      </c>
      <c r="O23" s="115"/>
      <c r="P23" s="115"/>
      <c r="Q23" s="115"/>
      <c r="R23" s="115"/>
      <c r="S23" s="115"/>
      <c r="T23" s="115"/>
    </row>
    <row r="24" spans="3:20" ht="15">
      <c r="C24" s="3" t="s">
        <v>1243</v>
      </c>
      <c r="F24" s="27">
        <f>INPUT!B131</f>
        <v>19372</v>
      </c>
      <c r="G24" s="27"/>
      <c r="H24" s="26">
        <f>INPUT!C131</f>
        <v>19373</v>
      </c>
      <c r="I24" s="8"/>
      <c r="J24" s="8"/>
      <c r="K24" s="18"/>
      <c r="L24" s="26">
        <f>+INPUT!E131</f>
        <v>794122</v>
      </c>
      <c r="M24" s="18"/>
      <c r="N24" s="26">
        <f>+INPUT!F131</f>
        <v>825049</v>
      </c>
      <c r="O24" s="120"/>
      <c r="P24" s="120"/>
      <c r="Q24" s="120"/>
      <c r="R24" s="120"/>
      <c r="S24" s="120"/>
      <c r="T24" s="120"/>
    </row>
    <row r="25" spans="3:20" ht="15">
      <c r="C25" s="3" t="s">
        <v>1348</v>
      </c>
      <c r="F25" s="18">
        <f>SUM(F20:F24)</f>
        <v>106000</v>
      </c>
      <c r="G25" s="17"/>
      <c r="H25" s="18">
        <f>SUM(H20:H24)</f>
        <v>106000</v>
      </c>
      <c r="I25" s="8"/>
      <c r="J25" s="8"/>
      <c r="K25" s="18"/>
      <c r="L25" s="18">
        <f>SUM(L20:L24)</f>
        <v>4345400</v>
      </c>
      <c r="M25" s="18"/>
      <c r="N25" s="18">
        <f>SUM(N20:N24)</f>
        <v>4514630</v>
      </c>
      <c r="O25" s="115"/>
      <c r="P25" s="115"/>
      <c r="Q25" s="115"/>
      <c r="R25" s="115"/>
      <c r="S25" s="115"/>
      <c r="T25" s="115"/>
    </row>
    <row r="26" spans="6:20" ht="15">
      <c r="F26" s="17"/>
      <c r="G26" s="17"/>
      <c r="H26" s="8"/>
      <c r="I26" s="8"/>
      <c r="J26" s="8"/>
      <c r="K26" s="18"/>
      <c r="L26" s="18"/>
      <c r="M26" s="18"/>
      <c r="N26" s="18"/>
      <c r="O26" s="116"/>
      <c r="P26" s="116"/>
      <c r="Q26" s="116"/>
      <c r="R26" s="116"/>
      <c r="S26" s="115"/>
      <c r="T26" s="115"/>
    </row>
    <row r="27" spans="1:20" ht="16.5">
      <c r="A27" s="3" t="s">
        <v>1468</v>
      </c>
      <c r="B27" s="19" t="s">
        <v>1469</v>
      </c>
      <c r="C27" s="3" t="s">
        <v>1239</v>
      </c>
      <c r="F27" s="17">
        <f>+F13-F20</f>
        <v>45</v>
      </c>
      <c r="G27" s="17"/>
      <c r="H27" s="17">
        <f>+H13-H20</f>
        <v>46</v>
      </c>
      <c r="I27" s="8"/>
      <c r="J27" s="60"/>
      <c r="K27" s="17"/>
      <c r="L27" s="17">
        <f>+L13-L20</f>
        <v>4555</v>
      </c>
      <c r="M27" s="17"/>
      <c r="N27" s="17">
        <f>+N13-N20</f>
        <v>1718</v>
      </c>
      <c r="O27" s="116"/>
      <c r="P27" s="116"/>
      <c r="Q27" s="116"/>
      <c r="R27" s="116"/>
      <c r="S27" s="115"/>
      <c r="T27" s="115"/>
    </row>
    <row r="28" spans="2:20" ht="16.5">
      <c r="B28" s="19" t="s">
        <v>77</v>
      </c>
      <c r="C28" s="3" t="s">
        <v>1240</v>
      </c>
      <c r="F28" s="17">
        <f>+F14-F21</f>
        <v>9</v>
      </c>
      <c r="G28" s="17"/>
      <c r="H28" s="17">
        <f>+H14-H21</f>
        <v>9</v>
      </c>
      <c r="I28" s="8"/>
      <c r="J28" s="60"/>
      <c r="K28" s="17"/>
      <c r="L28" s="17">
        <f>+L14-L21</f>
        <v>918</v>
      </c>
      <c r="M28" s="17"/>
      <c r="N28" s="17">
        <f>+N14-N21</f>
        <v>346</v>
      </c>
      <c r="O28" s="116"/>
      <c r="P28" s="116"/>
      <c r="Q28" s="116"/>
      <c r="R28" s="116"/>
      <c r="S28" s="115"/>
      <c r="T28" s="115"/>
    </row>
    <row r="29" spans="2:20" ht="16.5">
      <c r="B29" s="19" t="s">
        <v>1236</v>
      </c>
      <c r="C29" s="3" t="s">
        <v>1241</v>
      </c>
      <c r="F29" s="17">
        <f>+F15-F22</f>
        <v>23</v>
      </c>
      <c r="G29" s="17"/>
      <c r="H29" s="17">
        <f>+H15-H22</f>
        <v>23</v>
      </c>
      <c r="I29" s="8"/>
      <c r="J29" s="60"/>
      <c r="K29" s="17"/>
      <c r="L29" s="17">
        <f>+L15-L22</f>
        <v>2338</v>
      </c>
      <c r="M29" s="17"/>
      <c r="N29" s="17">
        <f>+N15-N22</f>
        <v>882</v>
      </c>
      <c r="O29" s="116"/>
      <c r="P29" s="116"/>
      <c r="Q29" s="116"/>
      <c r="R29" s="116"/>
      <c r="S29" s="115"/>
      <c r="T29" s="115"/>
    </row>
    <row r="30" spans="2:20" ht="16.5">
      <c r="B30" s="19" t="s">
        <v>1236</v>
      </c>
      <c r="C30" s="3" t="s">
        <v>1242</v>
      </c>
      <c r="F30" s="17">
        <f>+F16-F23</f>
        <v>30</v>
      </c>
      <c r="G30" s="17"/>
      <c r="H30" s="17">
        <f>+H16-H23</f>
        <v>29</v>
      </c>
      <c r="I30" s="8"/>
      <c r="J30" s="60"/>
      <c r="K30" s="17"/>
      <c r="L30" s="17">
        <f>+L16-L23</f>
        <v>2992</v>
      </c>
      <c r="M30" s="17"/>
      <c r="N30" s="17">
        <f>+N16-N23</f>
        <v>1129</v>
      </c>
      <c r="O30" s="116"/>
      <c r="P30" s="116"/>
      <c r="Q30" s="116"/>
      <c r="R30" s="116"/>
      <c r="S30" s="115"/>
      <c r="T30" s="115"/>
    </row>
    <row r="31" spans="2:20" ht="16.5">
      <c r="B31" s="25"/>
      <c r="C31" s="3" t="s">
        <v>1243</v>
      </c>
      <c r="F31" s="27">
        <f>+F17-F24</f>
        <v>24</v>
      </c>
      <c r="G31" s="17"/>
      <c r="H31" s="27">
        <f>+H17-H24</f>
        <v>24</v>
      </c>
      <c r="I31" s="8"/>
      <c r="J31" s="60"/>
      <c r="K31" s="17"/>
      <c r="L31" s="27">
        <f>+L17-L24</f>
        <v>2416</v>
      </c>
      <c r="M31" s="17"/>
      <c r="N31" s="27">
        <f>+N17-N24</f>
        <v>911</v>
      </c>
      <c r="O31" s="116"/>
      <c r="P31" s="116"/>
      <c r="Q31" s="116"/>
      <c r="R31" s="116"/>
      <c r="S31" s="115"/>
      <c r="T31" s="115"/>
    </row>
    <row r="32" spans="2:20" ht="16.5">
      <c r="B32" s="25"/>
      <c r="C32" s="3" t="s">
        <v>1348</v>
      </c>
      <c r="F32" s="17">
        <f>SUM(F27:F31)</f>
        <v>131</v>
      </c>
      <c r="G32" s="17"/>
      <c r="H32" s="17">
        <f>SUM(H27:H31)</f>
        <v>131</v>
      </c>
      <c r="I32" s="8"/>
      <c r="J32" s="60"/>
      <c r="K32" s="17"/>
      <c r="L32" s="17">
        <f>SUM(L27:L31)</f>
        <v>13219</v>
      </c>
      <c r="M32" s="17"/>
      <c r="N32" s="17">
        <f>SUM(N27:N31)</f>
        <v>4986</v>
      </c>
      <c r="O32" s="116"/>
      <c r="P32" s="116"/>
      <c r="Q32" s="116"/>
      <c r="R32" s="116"/>
      <c r="S32" s="115"/>
      <c r="T32" s="115"/>
    </row>
    <row r="33" spans="10:22" ht="15">
      <c r="J33" s="6"/>
      <c r="K33" s="6"/>
      <c r="L33" s="6"/>
      <c r="N33" s="17"/>
      <c r="P33" s="120"/>
      <c r="Q33" s="120"/>
      <c r="R33" s="120"/>
      <c r="S33" s="120"/>
      <c r="T33" s="120"/>
      <c r="U33" s="115"/>
      <c r="V33" s="115"/>
    </row>
    <row r="34" spans="2:22" ht="16.5">
      <c r="B34" s="25"/>
      <c r="J34" s="8"/>
      <c r="K34" s="8"/>
      <c r="L34" s="8"/>
      <c r="M34" s="17"/>
      <c r="N34" s="60"/>
      <c r="O34" s="252"/>
      <c r="P34" s="116"/>
      <c r="Q34" s="116"/>
      <c r="R34" s="116"/>
      <c r="S34" s="116"/>
      <c r="T34" s="116"/>
      <c r="U34" s="115"/>
      <c r="V34" s="115"/>
    </row>
    <row r="35" spans="2:20" ht="16.5">
      <c r="B35" s="25"/>
      <c r="F35" s="444" t="s">
        <v>865</v>
      </c>
      <c r="J35" s="8"/>
      <c r="K35" s="8"/>
      <c r="L35" s="27"/>
      <c r="M35" s="79" t="s">
        <v>865</v>
      </c>
      <c r="N35" s="27"/>
      <c r="O35" s="116"/>
      <c r="P35" s="116"/>
      <c r="Q35" s="116"/>
      <c r="R35" s="116"/>
      <c r="S35" s="115"/>
      <c r="T35" s="115"/>
    </row>
    <row r="36" spans="2:20" ht="19.5">
      <c r="B36" s="121" t="s">
        <v>100</v>
      </c>
      <c r="F36" s="124" t="s">
        <v>1595</v>
      </c>
      <c r="J36" s="8"/>
      <c r="K36" s="8"/>
      <c r="L36" s="124" t="s">
        <v>102</v>
      </c>
      <c r="M36" s="124"/>
      <c r="N36" s="124" t="s">
        <v>1294</v>
      </c>
      <c r="O36" s="116"/>
      <c r="P36" s="116"/>
      <c r="Q36" s="116"/>
      <c r="R36" s="116"/>
      <c r="S36" s="115"/>
      <c r="T36" s="115"/>
    </row>
    <row r="37" spans="2:20" ht="19.5">
      <c r="B37" s="117" t="s">
        <v>101</v>
      </c>
      <c r="C37" s="118" t="s">
        <v>1506</v>
      </c>
      <c r="D37" s="118"/>
      <c r="E37" s="118"/>
      <c r="F37" s="124" t="s">
        <v>1596</v>
      </c>
      <c r="G37" s="118"/>
      <c r="I37" s="118"/>
      <c r="J37" s="17"/>
      <c r="K37" s="17"/>
      <c r="L37" s="124" t="s">
        <v>1345</v>
      </c>
      <c r="M37" s="124"/>
      <c r="N37" s="124" t="s">
        <v>1298</v>
      </c>
      <c r="O37" s="116"/>
      <c r="P37" s="116"/>
      <c r="Q37" s="116"/>
      <c r="R37" s="116"/>
      <c r="S37" s="115"/>
      <c r="T37" s="115"/>
    </row>
    <row r="38" spans="2:20" ht="16.5">
      <c r="B38" s="25"/>
      <c r="F38" s="79" t="s">
        <v>1597</v>
      </c>
      <c r="J38" s="17"/>
      <c r="K38" s="17"/>
      <c r="L38" s="79" t="s">
        <v>303</v>
      </c>
      <c r="M38" s="124"/>
      <c r="N38" s="79" t="s">
        <v>181</v>
      </c>
      <c r="O38" s="116"/>
      <c r="P38" s="116"/>
      <c r="Q38" s="116"/>
      <c r="R38" s="116"/>
      <c r="S38" s="115"/>
      <c r="T38" s="115"/>
    </row>
    <row r="40" spans="1:20" ht="16.5">
      <c r="A40" s="3" t="s">
        <v>1464</v>
      </c>
      <c r="B40" s="19" t="s">
        <v>1343</v>
      </c>
      <c r="C40" s="3" t="s">
        <v>1239</v>
      </c>
      <c r="F40" s="60">
        <f>INPUT!D135</f>
        <v>0</v>
      </c>
      <c r="J40" s="8"/>
      <c r="K40" s="8"/>
      <c r="L40" s="17">
        <f>+INPUT!E135</f>
        <v>25835</v>
      </c>
      <c r="M40" s="18"/>
      <c r="N40" s="17">
        <f>+INPUT!F135</f>
        <v>-27620</v>
      </c>
      <c r="O40" s="120"/>
      <c r="P40" s="120"/>
      <c r="Q40" s="120"/>
      <c r="R40" s="120"/>
      <c r="S40" s="115">
        <f>ROUND(L45*INPUT!C5,4)</f>
        <v>25837.6421</v>
      </c>
      <c r="T40" s="115">
        <f>ROUND(N45*INPUT!C5,4)</f>
        <v>-27624.2894</v>
      </c>
    </row>
    <row r="41" spans="2:20" ht="16.5">
      <c r="B41" s="19" t="s">
        <v>1744</v>
      </c>
      <c r="C41" s="19" t="s">
        <v>1240</v>
      </c>
      <c r="F41" s="1035">
        <f>INPUT!D136</f>
        <v>0</v>
      </c>
      <c r="J41" s="14">
        <f>+N41-L41</f>
        <v>-10770</v>
      </c>
      <c r="K41" s="8"/>
      <c r="L41" s="17">
        <f>+INPUT!E136</f>
        <v>5203</v>
      </c>
      <c r="M41" s="18"/>
      <c r="N41" s="17">
        <f>+INPUT!F136</f>
        <v>-5567</v>
      </c>
      <c r="O41" s="120"/>
      <c r="P41" s="120"/>
      <c r="Q41" s="120"/>
      <c r="R41" s="120"/>
      <c r="S41" s="115">
        <f>ROUND(L45*INPUT!C6,4)</f>
        <v>5206.0697</v>
      </c>
      <c r="T41" s="115">
        <f>ROUND(N45*INPUT!C6,4)</f>
        <v>-5566.0642</v>
      </c>
    </row>
    <row r="42" spans="3:20" ht="15">
      <c r="C42" s="3" t="s">
        <v>1241</v>
      </c>
      <c r="F42" s="60">
        <f>INPUT!D137</f>
        <v>0</v>
      </c>
      <c r="J42" s="8"/>
      <c r="K42" s="8"/>
      <c r="L42" s="17">
        <f>+INPUT!E137</f>
        <v>13265</v>
      </c>
      <c r="M42" s="18"/>
      <c r="N42" s="17">
        <f>+INPUT!F137</f>
        <v>-14179</v>
      </c>
      <c r="O42" s="120"/>
      <c r="P42" s="120"/>
      <c r="Q42" s="120"/>
      <c r="R42" s="120"/>
      <c r="S42" s="115">
        <f>ROUND(L45*INPUT!C7,4)</f>
        <v>13261.4934</v>
      </c>
      <c r="T42" s="115">
        <f>ROUND(N45*INPUT!C7,4)</f>
        <v>-14178.5125</v>
      </c>
    </row>
    <row r="43" spans="3:20" ht="15">
      <c r="C43" s="3" t="s">
        <v>1242</v>
      </c>
      <c r="F43" s="60">
        <f>INPUT!D138</f>
        <v>0</v>
      </c>
      <c r="J43" s="8"/>
      <c r="K43" s="8"/>
      <c r="L43" s="17">
        <f>+INPUT!E138</f>
        <v>16977</v>
      </c>
      <c r="M43" s="18"/>
      <c r="N43" s="17">
        <f>+INPUT!F138</f>
        <v>-18153</v>
      </c>
      <c r="O43" s="120"/>
      <c r="P43" s="120"/>
      <c r="Q43" s="120"/>
      <c r="R43" s="120"/>
      <c r="S43" s="115">
        <f>ROUND(L45*INPUT!C8,4)</f>
        <v>16974.6515</v>
      </c>
      <c r="T43" s="115">
        <f>ROUND(N45*INPUT!C8,4)</f>
        <v>-18148.4318</v>
      </c>
    </row>
    <row r="44" spans="3:20" ht="15">
      <c r="C44" s="3" t="s">
        <v>1243</v>
      </c>
      <c r="F44" s="27">
        <f>INPUT!D139</f>
        <v>0</v>
      </c>
      <c r="J44" s="8"/>
      <c r="K44" s="8"/>
      <c r="L44" s="27">
        <f>+INPUT!E139</f>
        <v>13703</v>
      </c>
      <c r="M44" s="18"/>
      <c r="N44" s="27">
        <f>+INPUT!F139</f>
        <v>-14649</v>
      </c>
      <c r="O44" s="120"/>
      <c r="P44" s="120"/>
      <c r="Q44" s="120"/>
      <c r="R44" s="120"/>
      <c r="S44" s="119">
        <f>ROUND(L45*INPUT!C9,4)</f>
        <v>13703.1433</v>
      </c>
      <c r="T44" s="119">
        <f>ROUND(N45*INPUT!C9,4)</f>
        <v>-14650.702</v>
      </c>
    </row>
    <row r="45" spans="3:20" ht="15">
      <c r="C45" s="3" t="s">
        <v>1348</v>
      </c>
      <c r="F45" s="17">
        <f>SUM(F40:F44)</f>
        <v>0</v>
      </c>
      <c r="L45" s="17">
        <f>+INPUT!E140</f>
        <v>74983</v>
      </c>
      <c r="N45" s="17">
        <f>+INPUT!F140</f>
        <v>-80168</v>
      </c>
      <c r="O45" s="120"/>
      <c r="P45" s="120"/>
      <c r="Q45" s="120"/>
      <c r="R45" s="120"/>
      <c r="S45" s="115">
        <f>SUM(S40:S44)</f>
        <v>74983</v>
      </c>
      <c r="T45" s="115">
        <f>SUM(T40:T44)</f>
        <v>-80167.9999</v>
      </c>
    </row>
    <row r="46" spans="19:20" ht="15">
      <c r="S46" s="115">
        <f>SUM(L40:L44)</f>
        <v>74983</v>
      </c>
      <c r="T46" s="115">
        <f>SUM(N40:N44)</f>
        <v>-80168</v>
      </c>
    </row>
    <row r="47" spans="1:20" ht="16.5">
      <c r="A47" s="3" t="s">
        <v>1465</v>
      </c>
      <c r="B47" s="19" t="s">
        <v>74</v>
      </c>
      <c r="C47" s="3" t="s">
        <v>1239</v>
      </c>
      <c r="F47" s="8">
        <f>INPUT!D142</f>
        <v>0</v>
      </c>
      <c r="J47" s="8"/>
      <c r="K47" s="8"/>
      <c r="L47" s="18">
        <f>+INPUT!E142</f>
        <v>21299</v>
      </c>
      <c r="M47" s="18"/>
      <c r="N47" s="18">
        <f>+INPUT!F142</f>
        <v>-20490</v>
      </c>
      <c r="O47" s="115"/>
      <c r="P47" s="115"/>
      <c r="Q47" s="115"/>
      <c r="R47" s="115"/>
      <c r="S47" s="115"/>
      <c r="T47" s="115"/>
    </row>
    <row r="48" spans="2:20" ht="16.5">
      <c r="B48" s="19" t="s">
        <v>75</v>
      </c>
      <c r="C48" s="19" t="s">
        <v>1240</v>
      </c>
      <c r="F48" s="14">
        <f>INPUT!D143</f>
        <v>0</v>
      </c>
      <c r="J48" s="14">
        <f>+N48-L48</f>
        <v>-8420</v>
      </c>
      <c r="K48" s="8"/>
      <c r="L48" s="18">
        <f>+INPUT!E143</f>
        <v>4291</v>
      </c>
      <c r="M48" s="18"/>
      <c r="N48" s="18">
        <f>+INPUT!F143</f>
        <v>-4129</v>
      </c>
      <c r="O48" s="115"/>
      <c r="P48" s="115"/>
      <c r="Q48" s="115"/>
      <c r="R48" s="115"/>
      <c r="S48" s="115"/>
      <c r="T48" s="115"/>
    </row>
    <row r="49" spans="2:20" ht="16.5">
      <c r="B49" s="19" t="s">
        <v>1236</v>
      </c>
      <c r="C49" s="3" t="s">
        <v>1241</v>
      </c>
      <c r="F49" s="8">
        <f>INPUT!D144</f>
        <v>0</v>
      </c>
      <c r="J49" s="8"/>
      <c r="K49" s="8"/>
      <c r="L49" s="18">
        <f>+INPUT!E144</f>
        <v>10932</v>
      </c>
      <c r="M49" s="18"/>
      <c r="N49" s="18">
        <f>+INPUT!F144</f>
        <v>-10519</v>
      </c>
      <c r="O49" s="115"/>
      <c r="P49" s="115"/>
      <c r="Q49" s="115"/>
      <c r="R49" s="115"/>
      <c r="S49" s="115"/>
      <c r="T49" s="115"/>
    </row>
    <row r="50" spans="3:20" ht="15">
      <c r="C50" s="3" t="s">
        <v>1242</v>
      </c>
      <c r="F50" s="8">
        <f>INPUT!D145</f>
        <v>0</v>
      </c>
      <c r="J50" s="8"/>
      <c r="K50" s="8"/>
      <c r="L50" s="18">
        <f>+INPUT!E145</f>
        <v>13993</v>
      </c>
      <c r="M50" s="18"/>
      <c r="N50" s="18">
        <f>+INPUT!F145</f>
        <v>-13466</v>
      </c>
      <c r="O50" s="115"/>
      <c r="P50" s="115"/>
      <c r="Q50" s="115"/>
      <c r="R50" s="115"/>
      <c r="S50" s="115"/>
      <c r="T50" s="115"/>
    </row>
    <row r="51" spans="3:20" ht="15">
      <c r="C51" s="3" t="s">
        <v>1243</v>
      </c>
      <c r="F51" s="26">
        <f>INPUT!D146</f>
        <v>0</v>
      </c>
      <c r="J51" s="8"/>
      <c r="K51" s="8"/>
      <c r="L51" s="26">
        <f>+INPUT!E146</f>
        <v>11293</v>
      </c>
      <c r="M51" s="18"/>
      <c r="N51" s="26">
        <f>+INPUT!F146</f>
        <v>-10870</v>
      </c>
      <c r="O51" s="120"/>
      <c r="P51" s="120"/>
      <c r="Q51" s="120"/>
      <c r="R51" s="120"/>
      <c r="S51" s="120"/>
      <c r="T51" s="120"/>
    </row>
    <row r="52" spans="3:20" ht="15">
      <c r="C52" s="3" t="s">
        <v>1348</v>
      </c>
      <c r="F52" s="18">
        <f>SUM(F47:F51)</f>
        <v>0</v>
      </c>
      <c r="J52" s="8"/>
      <c r="K52" s="8"/>
      <c r="L52" s="18">
        <f>SUM(L47:L51)</f>
        <v>61808</v>
      </c>
      <c r="M52" s="18"/>
      <c r="N52" s="18">
        <f>SUM(N47:N51)</f>
        <v>-59474</v>
      </c>
      <c r="O52" s="115"/>
      <c r="P52" s="115"/>
      <c r="Q52" s="115"/>
      <c r="R52" s="115"/>
      <c r="S52" s="115"/>
      <c r="T52" s="115"/>
    </row>
    <row r="53" spans="6:20" ht="15">
      <c r="F53" s="17"/>
      <c r="J53" s="8"/>
      <c r="K53" s="8"/>
      <c r="L53" s="17"/>
      <c r="M53" s="17"/>
      <c r="N53" s="17"/>
      <c r="O53" s="116"/>
      <c r="P53" s="116"/>
      <c r="Q53" s="116"/>
      <c r="R53" s="116"/>
      <c r="S53" s="115"/>
      <c r="T53" s="115"/>
    </row>
    <row r="54" spans="1:20" ht="16.5">
      <c r="A54" s="3" t="s">
        <v>1468</v>
      </c>
      <c r="B54" s="19" t="s">
        <v>1469</v>
      </c>
      <c r="C54" s="3" t="s">
        <v>1239</v>
      </c>
      <c r="F54" s="17">
        <f>+F40-F47</f>
        <v>0</v>
      </c>
      <c r="J54" s="8"/>
      <c r="K54" s="8"/>
      <c r="L54" s="17">
        <f>+L40-L47</f>
        <v>4536</v>
      </c>
      <c r="M54" s="17"/>
      <c r="N54" s="17">
        <f>+N40-N47</f>
        <v>-7130</v>
      </c>
      <c r="O54" s="116"/>
      <c r="P54" s="116"/>
      <c r="Q54" s="116"/>
      <c r="R54" s="116"/>
      <c r="S54" s="115"/>
      <c r="T54" s="115"/>
    </row>
    <row r="55" spans="2:20" ht="16.5">
      <c r="B55" s="19" t="s">
        <v>77</v>
      </c>
      <c r="C55" s="19" t="s">
        <v>1240</v>
      </c>
      <c r="F55" s="1036">
        <f>+F41-F48</f>
        <v>0</v>
      </c>
      <c r="J55" s="14">
        <f>+N55-L55</f>
        <v>-2350</v>
      </c>
      <c r="K55" s="8"/>
      <c r="L55" s="17">
        <f>+L41-L48</f>
        <v>912</v>
      </c>
      <c r="M55" s="17"/>
      <c r="N55" s="17">
        <f>+N41-N48</f>
        <v>-1438</v>
      </c>
      <c r="O55" s="116"/>
      <c r="P55" s="116"/>
      <c r="Q55" s="116"/>
      <c r="R55" s="116"/>
      <c r="S55" s="115"/>
      <c r="T55" s="115"/>
    </row>
    <row r="56" spans="2:20" ht="16.5">
      <c r="B56" s="19" t="s">
        <v>1236</v>
      </c>
      <c r="C56" s="3" t="s">
        <v>1241</v>
      </c>
      <c r="F56" s="17">
        <f>+F42-F49</f>
        <v>0</v>
      </c>
      <c r="J56" s="8"/>
      <c r="K56" s="8"/>
      <c r="L56" s="17">
        <f>+L42-L49</f>
        <v>2333</v>
      </c>
      <c r="M56" s="17"/>
      <c r="N56" s="17">
        <f>+N42-N49</f>
        <v>-3660</v>
      </c>
      <c r="O56" s="116"/>
      <c r="P56" s="116"/>
      <c r="Q56" s="116"/>
      <c r="R56" s="116"/>
      <c r="S56" s="115"/>
      <c r="T56" s="115"/>
    </row>
    <row r="57" spans="2:20" ht="16.5">
      <c r="B57" s="19" t="s">
        <v>1236</v>
      </c>
      <c r="C57" s="3" t="s">
        <v>1242</v>
      </c>
      <c r="F57" s="17">
        <f>+F43-F50</f>
        <v>0</v>
      </c>
      <c r="J57" s="8"/>
      <c r="K57" s="8"/>
      <c r="L57" s="17">
        <f>+L43-L50</f>
        <v>2984</v>
      </c>
      <c r="M57" s="17"/>
      <c r="N57" s="17">
        <f>+N43-N50</f>
        <v>-4687</v>
      </c>
      <c r="O57" s="116"/>
      <c r="P57" s="116"/>
      <c r="Q57" s="116"/>
      <c r="R57" s="116"/>
      <c r="S57" s="115"/>
      <c r="T57" s="115"/>
    </row>
    <row r="58" spans="2:20" ht="16.5">
      <c r="B58" s="25"/>
      <c r="C58" s="3" t="s">
        <v>1243</v>
      </c>
      <c r="F58" s="27">
        <f>+F44-F51</f>
        <v>0</v>
      </c>
      <c r="J58" s="8"/>
      <c r="K58" s="8"/>
      <c r="L58" s="27">
        <f>+L44-L51</f>
        <v>2410</v>
      </c>
      <c r="M58" s="17"/>
      <c r="N58" s="27">
        <f>+N44-N51</f>
        <v>-3779</v>
      </c>
      <c r="O58" s="116"/>
      <c r="P58" s="116"/>
      <c r="Q58" s="116"/>
      <c r="R58" s="116"/>
      <c r="S58" s="115"/>
      <c r="T58" s="115"/>
    </row>
    <row r="59" spans="2:20" ht="16.5">
      <c r="B59" s="25"/>
      <c r="C59" s="3" t="s">
        <v>1348</v>
      </c>
      <c r="F59" s="17">
        <f>SUM(F54:F58)</f>
        <v>0</v>
      </c>
      <c r="J59" s="8"/>
      <c r="K59" s="8"/>
      <c r="L59" s="17">
        <f>SUM(L54:L58)</f>
        <v>13175</v>
      </c>
      <c r="M59" s="17"/>
      <c r="N59" s="17">
        <f>SUM(N54:N58)</f>
        <v>-20694</v>
      </c>
      <c r="O59" s="116"/>
      <c r="P59" s="116"/>
      <c r="Q59" s="116"/>
      <c r="R59" s="116"/>
      <c r="S59" s="115"/>
      <c r="T59" s="115"/>
    </row>
  </sheetData>
  <mergeCells count="2">
    <mergeCell ref="F8:H8"/>
    <mergeCell ref="L8:N8"/>
  </mergeCells>
  <printOptions horizontalCentered="1" verticalCentered="1"/>
  <pageMargins left="0.5" right="0" top="0" bottom="0" header="0" footer="0"/>
  <pageSetup fitToHeight="1" fitToWidth="1" horizontalDpi="600" verticalDpi="600" orientation="portrait" scale="6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U81"/>
  <sheetViews>
    <sheetView workbookViewId="0" topLeftCell="A1">
      <selection activeCell="A1" sqref="A1"/>
    </sheetView>
  </sheetViews>
  <sheetFormatPr defaultColWidth="9.140625" defaultRowHeight="12.75"/>
  <cols>
    <col min="1" max="1" width="4.421875" style="3" customWidth="1"/>
    <col min="2" max="2" width="15.140625" style="3" customWidth="1"/>
    <col min="3" max="3" width="9.140625" style="3" customWidth="1"/>
    <col min="4" max="4" width="15.421875" style="3" bestFit="1" customWidth="1"/>
    <col min="5" max="5" width="17.7109375" style="3" customWidth="1"/>
    <col min="6" max="6" width="16.7109375" style="3" customWidth="1"/>
    <col min="7" max="8" width="15.421875" style="3" bestFit="1" customWidth="1"/>
    <col min="9" max="9" width="17.8515625" style="3" bestFit="1" customWidth="1"/>
    <col min="10" max="11" width="15.421875" style="3" bestFit="1" customWidth="1"/>
    <col min="12" max="12" width="15.421875" style="3" customWidth="1"/>
    <col min="13" max="17" width="15.421875" style="3" bestFit="1" customWidth="1"/>
    <col min="18" max="18" width="21.8515625" style="3" bestFit="1" customWidth="1"/>
    <col min="19" max="21" width="15.421875" style="3" bestFit="1" customWidth="1"/>
    <col min="22" max="22" width="16.7109375" style="3" bestFit="1" customWidth="1"/>
    <col min="23" max="16384" width="9.140625" style="3" customWidth="1"/>
  </cols>
  <sheetData>
    <row r="1" spans="2:9" ht="16.5">
      <c r="B1" s="19" t="s">
        <v>1451</v>
      </c>
      <c r="C1" s="20" t="str">
        <f>INPUT!C1</f>
        <v>June 2009</v>
      </c>
      <c r="D1" s="73"/>
      <c r="I1" s="19" t="s">
        <v>22</v>
      </c>
    </row>
    <row r="2" ht="16.5">
      <c r="I2" s="19" t="s">
        <v>1133</v>
      </c>
    </row>
    <row r="3" ht="16.5">
      <c r="F3" s="19" t="s">
        <v>23</v>
      </c>
    </row>
    <row r="4" ht="16.5">
      <c r="F4" s="19" t="s">
        <v>66</v>
      </c>
    </row>
    <row r="5" spans="6:9" ht="16.5">
      <c r="F5" s="53" t="s">
        <v>184</v>
      </c>
      <c r="I5" s="463"/>
    </row>
    <row r="6" spans="9:10" ht="15">
      <c r="I6" s="116"/>
      <c r="J6" s="116"/>
    </row>
    <row r="7" spans="2:10" ht="19.5">
      <c r="B7" s="321" t="s">
        <v>338</v>
      </c>
      <c r="D7" s="1027" t="s">
        <v>290</v>
      </c>
      <c r="E7" s="1027"/>
      <c r="G7" s="121" t="s">
        <v>106</v>
      </c>
      <c r="H7" s="1015" t="s">
        <v>1453</v>
      </c>
      <c r="I7" s="1015"/>
      <c r="J7" s="1015"/>
    </row>
    <row r="8" spans="2:10" ht="19.5">
      <c r="B8" s="322" t="s">
        <v>1233</v>
      </c>
      <c r="D8" s="445" t="s">
        <v>1257</v>
      </c>
      <c r="E8" s="445" t="s">
        <v>1281</v>
      </c>
      <c r="G8" s="117" t="s">
        <v>1085</v>
      </c>
      <c r="H8" s="1028" t="s">
        <v>1170</v>
      </c>
      <c r="I8" s="1028"/>
      <c r="J8" s="1028"/>
    </row>
    <row r="9" spans="3:10" ht="19.5">
      <c r="C9" s="118"/>
      <c r="D9" s="64" t="s">
        <v>72</v>
      </c>
      <c r="E9" s="64" t="s">
        <v>1115</v>
      </c>
      <c r="G9" s="64"/>
      <c r="H9" s="64" t="s">
        <v>1987</v>
      </c>
      <c r="I9" s="64" t="s">
        <v>107</v>
      </c>
      <c r="J9" s="64" t="s">
        <v>107</v>
      </c>
    </row>
    <row r="10" spans="2:10" ht="19.5">
      <c r="B10" s="117"/>
      <c r="C10" s="118"/>
      <c r="D10" s="64" t="s">
        <v>1476</v>
      </c>
      <c r="E10" s="64" t="s">
        <v>1476</v>
      </c>
      <c r="G10" s="64"/>
      <c r="H10" s="64" t="s">
        <v>1476</v>
      </c>
      <c r="I10" s="64" t="s">
        <v>1476</v>
      </c>
      <c r="J10" s="64" t="s">
        <v>1476</v>
      </c>
    </row>
    <row r="11" spans="2:10" ht="19.5">
      <c r="B11" s="117"/>
      <c r="C11" s="118"/>
      <c r="D11" s="22" t="s">
        <v>1026</v>
      </c>
      <c r="E11" s="22" t="s">
        <v>1026</v>
      </c>
      <c r="G11" s="64"/>
      <c r="H11" s="22" t="s">
        <v>1013</v>
      </c>
      <c r="I11" s="22" t="s">
        <v>1025</v>
      </c>
      <c r="J11" s="22" t="s">
        <v>1024</v>
      </c>
    </row>
    <row r="12" spans="1:14" ht="16.5">
      <c r="A12" s="3" t="s">
        <v>1464</v>
      </c>
      <c r="B12" s="19" t="s">
        <v>1343</v>
      </c>
      <c r="C12" s="3" t="s">
        <v>1239</v>
      </c>
      <c r="D12" s="18">
        <f>INPUT!A168</f>
        <v>0</v>
      </c>
      <c r="E12" s="18">
        <f>INPUT!B168</f>
        <v>0</v>
      </c>
      <c r="G12" s="8"/>
      <c r="H12" s="17">
        <f>INPUT!C151</f>
        <v>20713</v>
      </c>
      <c r="I12" s="17">
        <f>INPUT!D151</f>
        <v>463172</v>
      </c>
      <c r="J12" s="18">
        <f>INPUT!E151</f>
        <v>-2051518</v>
      </c>
      <c r="N12" s="115"/>
    </row>
    <row r="13" spans="2:14" ht="16.5">
      <c r="B13" s="19" t="s">
        <v>1744</v>
      </c>
      <c r="C13" s="3" t="s">
        <v>1240</v>
      </c>
      <c r="D13" s="18">
        <f>INPUT!A169</f>
        <v>0</v>
      </c>
      <c r="E13" s="18">
        <f>INPUT!B169</f>
        <v>0</v>
      </c>
      <c r="G13" s="8"/>
      <c r="H13" s="17">
        <f>INPUT!C152</f>
        <v>4173</v>
      </c>
      <c r="I13" s="17">
        <f>INPUT!D152</f>
        <v>93326</v>
      </c>
      <c r="J13" s="18">
        <f>INPUT!E152</f>
        <v>-413364</v>
      </c>
      <c r="N13" s="115"/>
    </row>
    <row r="14" spans="3:14" ht="15">
      <c r="C14" s="3" t="s">
        <v>1241</v>
      </c>
      <c r="D14" s="18">
        <f>INPUT!A170</f>
        <v>0</v>
      </c>
      <c r="E14" s="18">
        <f>INPUT!B170</f>
        <v>0</v>
      </c>
      <c r="G14" s="8"/>
      <c r="H14" s="17">
        <f>INPUT!C153</f>
        <v>10631</v>
      </c>
      <c r="I14" s="17">
        <f>INPUT!D153</f>
        <v>237729</v>
      </c>
      <c r="J14" s="18">
        <f>INPUT!E153</f>
        <v>-1052967</v>
      </c>
      <c r="N14" s="115"/>
    </row>
    <row r="15" spans="3:14" ht="15">
      <c r="C15" s="3" t="s">
        <v>1242</v>
      </c>
      <c r="D15" s="18">
        <f>INPUT!A171</f>
        <v>0</v>
      </c>
      <c r="E15" s="18">
        <f>INPUT!B171</f>
        <v>0</v>
      </c>
      <c r="G15" s="8"/>
      <c r="H15" s="17">
        <f>INPUT!C154</f>
        <v>13607</v>
      </c>
      <c r="I15" s="17">
        <f>INPUT!D154</f>
        <v>304292</v>
      </c>
      <c r="J15" s="18">
        <f>INPUT!E154</f>
        <v>-1347793</v>
      </c>
      <c r="N15" s="115"/>
    </row>
    <row r="16" spans="3:14" ht="15">
      <c r="C16" s="3" t="s">
        <v>1243</v>
      </c>
      <c r="D16" s="26">
        <f>INPUT!A172</f>
        <v>0</v>
      </c>
      <c r="E16" s="26">
        <f>INPUT!B172</f>
        <v>0</v>
      </c>
      <c r="G16" s="8"/>
      <c r="H16" s="27">
        <f>INPUT!C155</f>
        <v>10985</v>
      </c>
      <c r="I16" s="27">
        <f>INPUT!D155</f>
        <v>245646</v>
      </c>
      <c r="J16" s="26">
        <f>INPUT!E155</f>
        <v>-1088034</v>
      </c>
      <c r="N16" s="120"/>
    </row>
    <row r="17" spans="3:14" ht="15">
      <c r="C17" s="3" t="s">
        <v>1348</v>
      </c>
      <c r="D17" s="18">
        <f>SUM(D12:D16)</f>
        <v>0</v>
      </c>
      <c r="E17" s="18">
        <f>SUM(E12:E16)</f>
        <v>0</v>
      </c>
      <c r="G17" s="8"/>
      <c r="H17" s="17">
        <f>SUM(H12:H16)</f>
        <v>60109</v>
      </c>
      <c r="I17" s="17">
        <f>SUM(I12:I16)</f>
        <v>1344165</v>
      </c>
      <c r="J17" s="18">
        <f>SUM(J12:J16)</f>
        <v>-5953676</v>
      </c>
      <c r="N17" s="120"/>
    </row>
    <row r="18" spans="7:14" ht="15">
      <c r="G18" s="60"/>
      <c r="J18" s="17"/>
      <c r="N18" s="39"/>
    </row>
    <row r="19" spans="1:16" ht="16.5">
      <c r="A19" s="3" t="s">
        <v>1465</v>
      </c>
      <c r="B19" s="19" t="s">
        <v>74</v>
      </c>
      <c r="C19" s="3" t="s">
        <v>1239</v>
      </c>
      <c r="D19" s="60">
        <f>INPUT!A175</f>
        <v>0</v>
      </c>
      <c r="E19" s="60">
        <f>INPUT!B175</f>
        <v>0</v>
      </c>
      <c r="G19" s="8"/>
      <c r="H19" s="17">
        <f>INPUT!C158</f>
        <v>20713</v>
      </c>
      <c r="I19" s="17">
        <f>INPUT!D158</f>
        <v>462648</v>
      </c>
      <c r="J19" s="18">
        <f>INPUT!E158</f>
        <v>-2051456</v>
      </c>
      <c r="M19" s="115"/>
      <c r="N19" s="115"/>
      <c r="O19" s="115"/>
      <c r="P19" s="115"/>
    </row>
    <row r="20" spans="2:16" ht="16.5">
      <c r="B20" s="19" t="s">
        <v>75</v>
      </c>
      <c r="C20" s="3" t="s">
        <v>1240</v>
      </c>
      <c r="D20" s="60">
        <f>INPUT!A176</f>
        <v>0</v>
      </c>
      <c r="E20" s="60">
        <f>INPUT!B176</f>
        <v>0</v>
      </c>
      <c r="G20" s="8"/>
      <c r="H20" s="17">
        <f>INPUT!C159</f>
        <v>4173</v>
      </c>
      <c r="I20" s="17">
        <f>INPUT!D159</f>
        <v>93220</v>
      </c>
      <c r="J20" s="18">
        <f>INPUT!E159</f>
        <v>-413351</v>
      </c>
      <c r="M20" s="115"/>
      <c r="N20" s="115"/>
      <c r="O20" s="115"/>
      <c r="P20" s="115"/>
    </row>
    <row r="21" spans="2:16" ht="16.5">
      <c r="B21" s="19" t="s">
        <v>1236</v>
      </c>
      <c r="C21" s="3" t="s">
        <v>1241</v>
      </c>
      <c r="D21" s="60">
        <f>INPUT!A177</f>
        <v>0</v>
      </c>
      <c r="E21" s="60">
        <f>INPUT!B177</f>
        <v>0</v>
      </c>
      <c r="G21" s="8"/>
      <c r="H21" s="17">
        <f>INPUT!C160</f>
        <v>10631</v>
      </c>
      <c r="I21" s="17">
        <f>INPUT!D160</f>
        <v>237460</v>
      </c>
      <c r="J21" s="18">
        <f>INPUT!E160</f>
        <v>-1052935</v>
      </c>
      <c r="M21" s="115"/>
      <c r="N21" s="115"/>
      <c r="O21" s="115"/>
      <c r="P21" s="115"/>
    </row>
    <row r="22" spans="3:16" ht="15">
      <c r="C22" s="3" t="s">
        <v>1242</v>
      </c>
      <c r="D22" s="60">
        <f>INPUT!A178</f>
        <v>0</v>
      </c>
      <c r="E22" s="60">
        <f>INPUT!B178</f>
        <v>0</v>
      </c>
      <c r="G22" s="8"/>
      <c r="H22" s="17">
        <f>INPUT!C161</f>
        <v>13607</v>
      </c>
      <c r="I22" s="17">
        <f>INPUT!D161</f>
        <v>303947</v>
      </c>
      <c r="J22" s="18">
        <f>INPUT!E161</f>
        <v>-1347752</v>
      </c>
      <c r="M22" s="115"/>
      <c r="N22" s="115"/>
      <c r="O22" s="115"/>
      <c r="P22" s="115"/>
    </row>
    <row r="23" spans="3:16" ht="15">
      <c r="C23" s="3" t="s">
        <v>1243</v>
      </c>
      <c r="D23" s="27">
        <f>INPUT!A179</f>
        <v>0</v>
      </c>
      <c r="E23" s="27">
        <f>INPUT!B179</f>
        <v>0</v>
      </c>
      <c r="G23" s="8"/>
      <c r="H23" s="27">
        <f>INPUT!C162</f>
        <v>10985</v>
      </c>
      <c r="I23" s="27">
        <f>INPUT!D162</f>
        <v>245368</v>
      </c>
      <c r="J23" s="26">
        <f>INPUT!E162</f>
        <v>-1088002</v>
      </c>
      <c r="M23" s="120"/>
      <c r="N23" s="120"/>
      <c r="O23" s="120"/>
      <c r="P23" s="120"/>
    </row>
    <row r="24" spans="3:16" ht="15">
      <c r="C24" s="3" t="s">
        <v>1348</v>
      </c>
      <c r="D24" s="18">
        <f>SUM(D19:D23)</f>
        <v>0</v>
      </c>
      <c r="E24" s="18">
        <f>SUM(E19:E23)</f>
        <v>0</v>
      </c>
      <c r="G24" s="8"/>
      <c r="H24" s="18">
        <f>SUM(H19:H23)</f>
        <v>60109</v>
      </c>
      <c r="I24" s="18">
        <f>SUM(I19:I23)</f>
        <v>1342643</v>
      </c>
      <c r="J24" s="18">
        <f>SUM(J19:J23)</f>
        <v>-5953496</v>
      </c>
      <c r="M24" s="115"/>
      <c r="N24" s="115"/>
      <c r="O24" s="115"/>
      <c r="P24" s="115"/>
    </row>
    <row r="25" spans="7:10" ht="15">
      <c r="G25" s="60"/>
      <c r="J25" s="17"/>
    </row>
    <row r="26" spans="1:10" ht="16.5">
      <c r="A26" s="3" t="s">
        <v>1468</v>
      </c>
      <c r="B26" s="19" t="s">
        <v>1469</v>
      </c>
      <c r="C26" s="3" t="s">
        <v>1239</v>
      </c>
      <c r="D26" s="17">
        <f aca="true" t="shared" si="0" ref="D26:E30">D12-D19</f>
        <v>0</v>
      </c>
      <c r="E26" s="17">
        <f t="shared" si="0"/>
        <v>0</v>
      </c>
      <c r="G26" s="60"/>
      <c r="H26" s="17">
        <f aca="true" t="shared" si="1" ref="H26:I30">H12-H19</f>
        <v>0</v>
      </c>
      <c r="I26" s="17">
        <f t="shared" si="1"/>
        <v>524</v>
      </c>
      <c r="J26" s="17">
        <f>+J12-J19</f>
        <v>-62</v>
      </c>
    </row>
    <row r="27" spans="2:10" ht="16.5">
      <c r="B27" s="19" t="s">
        <v>77</v>
      </c>
      <c r="C27" s="3" t="s">
        <v>1240</v>
      </c>
      <c r="D27" s="17">
        <f t="shared" si="0"/>
        <v>0</v>
      </c>
      <c r="E27" s="17">
        <f t="shared" si="0"/>
        <v>0</v>
      </c>
      <c r="G27" s="60"/>
      <c r="H27" s="17">
        <f t="shared" si="1"/>
        <v>0</v>
      </c>
      <c r="I27" s="17">
        <f t="shared" si="1"/>
        <v>106</v>
      </c>
      <c r="J27" s="17">
        <f>+J13-J20</f>
        <v>-13</v>
      </c>
    </row>
    <row r="28" spans="2:10" ht="16.5">
      <c r="B28" s="19"/>
      <c r="C28" s="3" t="s">
        <v>1241</v>
      </c>
      <c r="D28" s="17">
        <f t="shared" si="0"/>
        <v>0</v>
      </c>
      <c r="E28" s="17">
        <f t="shared" si="0"/>
        <v>0</v>
      </c>
      <c r="G28" s="60"/>
      <c r="H28" s="17">
        <f t="shared" si="1"/>
        <v>0</v>
      </c>
      <c r="I28" s="17">
        <f t="shared" si="1"/>
        <v>269</v>
      </c>
      <c r="J28" s="17">
        <f>+J14-J21</f>
        <v>-32</v>
      </c>
    </row>
    <row r="29" spans="2:10" ht="16.5">
      <c r="B29" s="25"/>
      <c r="C29" s="3" t="s">
        <v>1242</v>
      </c>
      <c r="D29" s="17">
        <f t="shared" si="0"/>
        <v>0</v>
      </c>
      <c r="E29" s="17">
        <f t="shared" si="0"/>
        <v>0</v>
      </c>
      <c r="G29" s="60"/>
      <c r="H29" s="17">
        <f t="shared" si="1"/>
        <v>0</v>
      </c>
      <c r="I29" s="17">
        <f t="shared" si="1"/>
        <v>345</v>
      </c>
      <c r="J29" s="17">
        <f>+J15-J22</f>
        <v>-41</v>
      </c>
    </row>
    <row r="30" spans="2:10" ht="16.5">
      <c r="B30" s="25"/>
      <c r="C30" s="3" t="s">
        <v>1243</v>
      </c>
      <c r="D30" s="27">
        <f t="shared" si="0"/>
        <v>0</v>
      </c>
      <c r="E30" s="27">
        <f t="shared" si="0"/>
        <v>0</v>
      </c>
      <c r="G30" s="60"/>
      <c r="H30" s="27">
        <f t="shared" si="1"/>
        <v>0</v>
      </c>
      <c r="I30" s="27">
        <f t="shared" si="1"/>
        <v>278</v>
      </c>
      <c r="J30" s="27">
        <f>+J16-J23</f>
        <v>-32</v>
      </c>
    </row>
    <row r="31" spans="2:10" ht="16.5">
      <c r="B31" s="25"/>
      <c r="C31" s="3" t="s">
        <v>1348</v>
      </c>
      <c r="D31" s="17">
        <f>SUM(D26:D30)</f>
        <v>0</v>
      </c>
      <c r="E31" s="17">
        <f>SUM(E26:E30)</f>
        <v>0</v>
      </c>
      <c r="G31" s="60"/>
      <c r="H31" s="17">
        <f>SUM(H26:H30)</f>
        <v>0</v>
      </c>
      <c r="I31" s="17">
        <f>SUM(I26:I30)</f>
        <v>1522</v>
      </c>
      <c r="J31" s="17">
        <f>SUM(J26:J30)</f>
        <v>-180</v>
      </c>
    </row>
    <row r="32" spans="1:10" ht="19.5">
      <c r="A32" s="84"/>
      <c r="B32" s="271"/>
      <c r="C32" s="272"/>
      <c r="D32" s="84"/>
      <c r="E32" s="84"/>
      <c r="F32" s="64"/>
      <c r="G32" s="64"/>
      <c r="H32" s="64"/>
      <c r="I32" s="116"/>
      <c r="J32" s="116"/>
    </row>
    <row r="33" spans="4:12" ht="16.5">
      <c r="D33" s="1015" t="s">
        <v>339</v>
      </c>
      <c r="E33" s="1015"/>
      <c r="F33" s="1015"/>
      <c r="G33" s="1015"/>
      <c r="H33" s="1015"/>
      <c r="I33" s="1015"/>
      <c r="J33" s="1015"/>
      <c r="K33" s="1015"/>
      <c r="L33" s="19"/>
    </row>
    <row r="34" spans="4:12" ht="16.5">
      <c r="D34" s="1028" t="s">
        <v>340</v>
      </c>
      <c r="E34" s="1028"/>
      <c r="F34" s="1028"/>
      <c r="G34" s="1028"/>
      <c r="H34" s="1028"/>
      <c r="I34" s="1028"/>
      <c r="J34" s="1028"/>
      <c r="K34" s="1028"/>
      <c r="L34" s="53"/>
    </row>
    <row r="36" spans="8:14" ht="16.5">
      <c r="H36" s="526"/>
      <c r="I36" s="526"/>
      <c r="J36" s="526"/>
      <c r="K36" s="526"/>
      <c r="L36" s="526"/>
      <c r="M36" s="526"/>
      <c r="N36" s="526"/>
    </row>
    <row r="37" spans="2:21" ht="19.5">
      <c r="B37" s="321" t="s">
        <v>338</v>
      </c>
      <c r="D37" s="1014" t="s">
        <v>1312</v>
      </c>
      <c r="E37" s="1014"/>
      <c r="F37" s="1014"/>
      <c r="G37" s="1014"/>
      <c r="H37" s="1014"/>
      <c r="I37" s="1026" t="s">
        <v>1453</v>
      </c>
      <c r="J37" s="1023"/>
      <c r="K37" s="1023"/>
      <c r="L37" s="1023"/>
      <c r="M37" s="1023"/>
      <c r="N37" s="1023"/>
      <c r="O37" s="1023"/>
      <c r="P37" s="1023"/>
      <c r="Q37" s="1023"/>
      <c r="R37" s="1023"/>
      <c r="S37" s="1023"/>
      <c r="T37" s="1023"/>
      <c r="U37" s="1023"/>
    </row>
    <row r="38" spans="2:21" ht="19.5">
      <c r="B38" s="322" t="s">
        <v>1233</v>
      </c>
      <c r="C38" s="118"/>
      <c r="D38" s="53" t="s">
        <v>1344</v>
      </c>
      <c r="E38" s="53" t="s">
        <v>1344</v>
      </c>
      <c r="F38" s="53" t="s">
        <v>1344</v>
      </c>
      <c r="G38" s="53" t="s">
        <v>1294</v>
      </c>
      <c r="H38" s="53" t="s">
        <v>1294</v>
      </c>
      <c r="I38" s="527" t="s">
        <v>1598</v>
      </c>
      <c r="J38" s="64" t="s">
        <v>1345</v>
      </c>
      <c r="K38" s="64" t="s">
        <v>1345</v>
      </c>
      <c r="L38" s="64" t="s">
        <v>1345</v>
      </c>
      <c r="M38" s="64" t="s">
        <v>1345</v>
      </c>
      <c r="N38" s="64" t="s">
        <v>1345</v>
      </c>
      <c r="O38" s="64" t="s">
        <v>1345</v>
      </c>
      <c r="P38" s="64" t="s">
        <v>1345</v>
      </c>
      <c r="Q38" s="64" t="s">
        <v>1345</v>
      </c>
      <c r="R38" s="64" t="s">
        <v>1298</v>
      </c>
      <c r="S38" s="64" t="s">
        <v>1298</v>
      </c>
      <c r="T38" s="64" t="s">
        <v>1298</v>
      </c>
      <c r="U38" s="64" t="s">
        <v>1346</v>
      </c>
    </row>
    <row r="39" spans="2:21" ht="19.5">
      <c r="B39" s="117"/>
      <c r="C39" s="118"/>
      <c r="D39" s="2"/>
      <c r="E39" s="2"/>
      <c r="F39" s="2"/>
      <c r="G39" s="2"/>
      <c r="H39" s="2"/>
      <c r="I39" s="528" t="s">
        <v>1599</v>
      </c>
      <c r="J39" s="15" t="s">
        <v>1476</v>
      </c>
      <c r="K39" s="15" t="s">
        <v>1476</v>
      </c>
      <c r="L39" s="15" t="s">
        <v>1476</v>
      </c>
      <c r="M39" s="15" t="s">
        <v>1476</v>
      </c>
      <c r="N39" s="15" t="s">
        <v>1476</v>
      </c>
      <c r="O39" s="15" t="s">
        <v>1476</v>
      </c>
      <c r="P39" s="15" t="s">
        <v>1476</v>
      </c>
      <c r="Q39" s="15" t="s">
        <v>1476</v>
      </c>
      <c r="R39" s="15" t="s">
        <v>1476</v>
      </c>
      <c r="S39" s="15" t="s">
        <v>1476</v>
      </c>
      <c r="T39" s="15" t="s">
        <v>1476</v>
      </c>
      <c r="U39" s="15" t="s">
        <v>1476</v>
      </c>
    </row>
    <row r="40" spans="2:21" ht="19.5">
      <c r="B40" s="117"/>
      <c r="C40" s="118"/>
      <c r="D40" s="313" t="s">
        <v>1852</v>
      </c>
      <c r="E40" s="313" t="s">
        <v>1013</v>
      </c>
      <c r="F40" s="313" t="s">
        <v>1014</v>
      </c>
      <c r="G40" s="313" t="s">
        <v>1015</v>
      </c>
      <c r="H40" s="22" t="s">
        <v>1016</v>
      </c>
      <c r="I40" s="529" t="s">
        <v>1017</v>
      </c>
      <c r="J40" s="22" t="s">
        <v>1852</v>
      </c>
      <c r="K40" s="22" t="s">
        <v>1018</v>
      </c>
      <c r="L40" s="313" t="s">
        <v>1851</v>
      </c>
      <c r="M40" s="22" t="s">
        <v>1013</v>
      </c>
      <c r="N40" s="22" t="s">
        <v>1019</v>
      </c>
      <c r="O40" s="22" t="s">
        <v>1020</v>
      </c>
      <c r="P40" s="22" t="s">
        <v>1014</v>
      </c>
      <c r="Q40" s="22" t="s">
        <v>1021</v>
      </c>
      <c r="R40" s="22" t="s">
        <v>1015</v>
      </c>
      <c r="S40" s="22" t="s">
        <v>1016</v>
      </c>
      <c r="T40" s="22" t="s">
        <v>1022</v>
      </c>
      <c r="U40" s="22" t="s">
        <v>1023</v>
      </c>
    </row>
    <row r="41" spans="1:21" ht="16.5">
      <c r="A41" s="3" t="s">
        <v>1464</v>
      </c>
      <c r="B41" s="19" t="s">
        <v>1343</v>
      </c>
      <c r="C41" s="3" t="s">
        <v>1239</v>
      </c>
      <c r="D41" s="18">
        <f>INPUT!C168</f>
        <v>0</v>
      </c>
      <c r="E41" s="18">
        <f>INPUT!D168</f>
        <v>139262</v>
      </c>
      <c r="F41" s="18">
        <f>INPUT!E168</f>
        <v>3</v>
      </c>
      <c r="G41" s="18">
        <f>INPUT!F168</f>
        <v>270</v>
      </c>
      <c r="H41" s="18">
        <f>INPUT!G168</f>
        <v>138899</v>
      </c>
      <c r="I41" s="530">
        <f>INPUT!H168</f>
        <v>0</v>
      </c>
      <c r="J41" s="8">
        <f>INPUT!A185</f>
        <v>685620</v>
      </c>
      <c r="K41" s="8">
        <f>INPUT!B185</f>
        <v>54189</v>
      </c>
      <c r="L41" s="8">
        <f>INPUT!C185</f>
        <v>335966</v>
      </c>
      <c r="M41" s="8">
        <f>INPUT!D185</f>
        <v>4438783</v>
      </c>
      <c r="N41" s="8">
        <f>INPUT!E185</f>
        <v>167609</v>
      </c>
      <c r="O41" s="8">
        <f>INPUT!F185</f>
        <v>4820</v>
      </c>
      <c r="P41" s="8">
        <f>INPUT!G185</f>
        <v>328</v>
      </c>
      <c r="Q41" s="8">
        <f>INPUT!H185</f>
        <v>14493</v>
      </c>
      <c r="R41" s="8">
        <f>INPUT!A202</f>
        <v>-1454</v>
      </c>
      <c r="S41" s="8">
        <f>INPUT!B202</f>
        <v>9867889</v>
      </c>
      <c r="T41" s="8">
        <f>INPUT!C202</f>
        <v>7737</v>
      </c>
      <c r="U41" s="8">
        <f>INPUT!D202</f>
        <v>0</v>
      </c>
    </row>
    <row r="42" spans="2:21" ht="16.5">
      <c r="B42" s="19" t="s">
        <v>1744</v>
      </c>
      <c r="C42" s="3" t="s">
        <v>1240</v>
      </c>
      <c r="D42" s="18">
        <f>INPUT!C169</f>
        <v>0</v>
      </c>
      <c r="E42" s="18">
        <f>INPUT!D169</f>
        <v>28061</v>
      </c>
      <c r="F42" s="18">
        <f>INPUT!E169</f>
        <v>0</v>
      </c>
      <c r="G42" s="18">
        <f>INPUT!F169</f>
        <v>54</v>
      </c>
      <c r="H42" s="18">
        <f>INPUT!G169</f>
        <v>27987</v>
      </c>
      <c r="I42" s="530">
        <f>INPUT!H169</f>
        <v>0</v>
      </c>
      <c r="J42" s="8">
        <f>INPUT!A186</f>
        <v>138147</v>
      </c>
      <c r="K42" s="8">
        <f>INPUT!B186</f>
        <v>10918</v>
      </c>
      <c r="L42" s="8">
        <f>INPUT!C186</f>
        <v>67694</v>
      </c>
      <c r="M42" s="8">
        <f>INPUT!D186</f>
        <v>894378</v>
      </c>
      <c r="N42" s="8">
        <f>INPUT!E186</f>
        <v>33772</v>
      </c>
      <c r="O42" s="8">
        <f>INPUT!F186</f>
        <v>971</v>
      </c>
      <c r="P42" s="8">
        <f>INPUT!G186</f>
        <v>66</v>
      </c>
      <c r="Q42" s="8">
        <f>INPUT!H186</f>
        <v>2920</v>
      </c>
      <c r="R42" s="8">
        <f>INPUT!A203</f>
        <v>-293</v>
      </c>
      <c r="S42" s="8">
        <f>INPUT!B203</f>
        <v>1988297</v>
      </c>
      <c r="T42" s="8">
        <f>INPUT!C203</f>
        <v>1559</v>
      </c>
      <c r="U42" s="8">
        <f>INPUT!D203</f>
        <v>0</v>
      </c>
    </row>
    <row r="43" spans="3:21" ht="15">
      <c r="C43" s="3" t="s">
        <v>1241</v>
      </c>
      <c r="D43" s="18">
        <f>INPUT!C170</f>
        <v>0</v>
      </c>
      <c r="E43" s="18">
        <f>INPUT!D170</f>
        <v>71479</v>
      </c>
      <c r="F43" s="18">
        <f>INPUT!E170</f>
        <v>1</v>
      </c>
      <c r="G43" s="18">
        <f>INPUT!F170</f>
        <v>138</v>
      </c>
      <c r="H43" s="18">
        <f>INPUT!G170</f>
        <v>71291</v>
      </c>
      <c r="I43" s="530">
        <f>INPUT!H170</f>
        <v>0</v>
      </c>
      <c r="J43" s="8">
        <f>INPUT!A187</f>
        <v>351903</v>
      </c>
      <c r="K43" s="8">
        <f>INPUT!B187</f>
        <v>27813</v>
      </c>
      <c r="L43" s="8">
        <f>INPUT!C187</f>
        <v>172439</v>
      </c>
      <c r="M43" s="8">
        <f>INPUT!D187</f>
        <v>2278261</v>
      </c>
      <c r="N43" s="8">
        <f>INPUT!E187</f>
        <v>86027</v>
      </c>
      <c r="O43" s="8">
        <f>INPUT!F187</f>
        <v>2474</v>
      </c>
      <c r="P43" s="8">
        <f>INPUT!G187</f>
        <v>168</v>
      </c>
      <c r="Q43" s="8">
        <f>INPUT!H187</f>
        <v>7438</v>
      </c>
      <c r="R43" s="8">
        <f>INPUT!A204</f>
        <v>-746</v>
      </c>
      <c r="S43" s="8">
        <f>INPUT!B204</f>
        <v>5064817</v>
      </c>
      <c r="T43" s="8">
        <f>INPUT!C204</f>
        <v>3971</v>
      </c>
      <c r="U43" s="8">
        <f>INPUT!D204</f>
        <v>0</v>
      </c>
    </row>
    <row r="44" spans="3:21" ht="15">
      <c r="C44" s="3" t="s">
        <v>1242</v>
      </c>
      <c r="D44" s="18">
        <f>INPUT!C171</f>
        <v>0</v>
      </c>
      <c r="E44" s="18">
        <f>INPUT!D171</f>
        <v>91492</v>
      </c>
      <c r="F44" s="18">
        <f>INPUT!E171</f>
        <v>2</v>
      </c>
      <c r="G44" s="18">
        <f>INPUT!F171</f>
        <v>177</v>
      </c>
      <c r="H44" s="18">
        <f>INPUT!G171</f>
        <v>91253</v>
      </c>
      <c r="I44" s="530">
        <f>INPUT!H171</f>
        <v>0</v>
      </c>
      <c r="J44" s="8">
        <f>INPUT!A188</f>
        <v>450435</v>
      </c>
      <c r="K44" s="8">
        <f>INPUT!B188</f>
        <v>35601</v>
      </c>
      <c r="L44" s="8">
        <f>INPUT!C188</f>
        <v>220720</v>
      </c>
      <c r="M44" s="8">
        <f>INPUT!D188</f>
        <v>2916163</v>
      </c>
      <c r="N44" s="8">
        <f>INPUT!E188</f>
        <v>110115</v>
      </c>
      <c r="O44" s="8">
        <f>INPUT!F188</f>
        <v>3167</v>
      </c>
      <c r="P44" s="8">
        <f>INPUT!G188</f>
        <v>215</v>
      </c>
      <c r="Q44" s="8">
        <f>INPUT!H188</f>
        <v>9521</v>
      </c>
      <c r="R44" s="8">
        <f>INPUT!A205</f>
        <v>-955</v>
      </c>
      <c r="S44" s="8">
        <f>INPUT!B205</f>
        <v>6482943</v>
      </c>
      <c r="T44" s="8">
        <f>INPUT!C205</f>
        <v>5083</v>
      </c>
      <c r="U44" s="8">
        <f>INPUT!D205</f>
        <v>0</v>
      </c>
    </row>
    <row r="45" spans="3:21" ht="15">
      <c r="C45" s="3" t="s">
        <v>1243</v>
      </c>
      <c r="D45" s="26">
        <f>INPUT!C172</f>
        <v>0</v>
      </c>
      <c r="E45" s="26">
        <f>INPUT!D172</f>
        <v>73859</v>
      </c>
      <c r="F45" s="26">
        <f>INPUT!E172</f>
        <v>1</v>
      </c>
      <c r="G45" s="26">
        <f>INPUT!F172</f>
        <v>143</v>
      </c>
      <c r="H45" s="26">
        <f>INPUT!G172</f>
        <v>73666</v>
      </c>
      <c r="I45" s="531">
        <f>INPUT!H172</f>
        <v>0</v>
      </c>
      <c r="J45" s="26">
        <f>INPUT!A189</f>
        <v>363623</v>
      </c>
      <c r="K45" s="26">
        <f>INPUT!B189</f>
        <v>28739</v>
      </c>
      <c r="L45" s="26">
        <f>INPUT!C189</f>
        <v>178181</v>
      </c>
      <c r="M45" s="26">
        <f>INPUT!D189</f>
        <v>2354134</v>
      </c>
      <c r="N45" s="26">
        <f>INPUT!E189</f>
        <v>88892</v>
      </c>
      <c r="O45" s="26">
        <f>INPUT!F189</f>
        <v>2556</v>
      </c>
      <c r="P45" s="26">
        <f>INPUT!G189</f>
        <v>174</v>
      </c>
      <c r="Q45" s="26">
        <f>INPUT!H189</f>
        <v>7686</v>
      </c>
      <c r="R45" s="26">
        <f>INPUT!A206</f>
        <v>-771</v>
      </c>
      <c r="S45" s="26">
        <f>INPUT!B206</f>
        <v>5233492</v>
      </c>
      <c r="T45" s="26">
        <f>INPUT!C206</f>
        <v>4103</v>
      </c>
      <c r="U45" s="26">
        <f>INPUT!D206</f>
        <v>0</v>
      </c>
    </row>
    <row r="46" spans="3:21" ht="15">
      <c r="C46" s="3" t="s">
        <v>1348</v>
      </c>
      <c r="D46" s="18">
        <f aca="true" t="shared" si="2" ref="D46:U46">SUM(D41:D45)</f>
        <v>0</v>
      </c>
      <c r="E46" s="18">
        <f t="shared" si="2"/>
        <v>404153</v>
      </c>
      <c r="F46" s="18">
        <f t="shared" si="2"/>
        <v>7</v>
      </c>
      <c r="G46" s="18">
        <f t="shared" si="2"/>
        <v>782</v>
      </c>
      <c r="H46" s="18">
        <f t="shared" si="2"/>
        <v>403096</v>
      </c>
      <c r="I46" s="530">
        <f t="shared" si="2"/>
        <v>0</v>
      </c>
      <c r="J46" s="8">
        <f t="shared" si="2"/>
        <v>1989728</v>
      </c>
      <c r="K46" s="8">
        <f t="shared" si="2"/>
        <v>157260</v>
      </c>
      <c r="L46" s="8">
        <f t="shared" si="2"/>
        <v>975000</v>
      </c>
      <c r="M46" s="8">
        <f t="shared" si="2"/>
        <v>12881719</v>
      </c>
      <c r="N46" s="8">
        <f t="shared" si="2"/>
        <v>486415</v>
      </c>
      <c r="O46" s="8">
        <f t="shared" si="2"/>
        <v>13988</v>
      </c>
      <c r="P46" s="8">
        <f t="shared" si="2"/>
        <v>951</v>
      </c>
      <c r="Q46" s="8">
        <f t="shared" si="2"/>
        <v>42058</v>
      </c>
      <c r="R46" s="8">
        <f t="shared" si="2"/>
        <v>-4219</v>
      </c>
      <c r="S46" s="8">
        <f t="shared" si="2"/>
        <v>28637438</v>
      </c>
      <c r="T46" s="8">
        <f t="shared" si="2"/>
        <v>22453</v>
      </c>
      <c r="U46" s="8">
        <f t="shared" si="2"/>
        <v>0</v>
      </c>
    </row>
    <row r="47" spans="4:21" ht="15">
      <c r="D47" s="17"/>
      <c r="E47" s="17"/>
      <c r="F47" s="17"/>
      <c r="G47" s="17"/>
      <c r="H47" s="17"/>
      <c r="I47" s="532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</row>
    <row r="48" spans="1:21" ht="16.5">
      <c r="A48" s="3" t="s">
        <v>1465</v>
      </c>
      <c r="B48" s="19" t="s">
        <v>74</v>
      </c>
      <c r="C48" s="3" t="s">
        <v>1239</v>
      </c>
      <c r="D48" s="8">
        <f>INPUT!C175</f>
        <v>0</v>
      </c>
      <c r="E48" s="8">
        <f>INPUT!D175</f>
        <v>139390</v>
      </c>
      <c r="F48" s="8">
        <f>INPUT!E175</f>
        <v>3</v>
      </c>
      <c r="G48" s="8">
        <f>INPUT!F175</f>
        <v>277</v>
      </c>
      <c r="H48" s="8">
        <f>INPUT!G175</f>
        <v>138949</v>
      </c>
      <c r="I48" s="530">
        <f>INPUT!H175</f>
        <v>0</v>
      </c>
      <c r="J48" s="8">
        <f>INPUT!A192</f>
        <v>561691</v>
      </c>
      <c r="K48" s="8">
        <f>INPUT!B192</f>
        <v>335966</v>
      </c>
      <c r="L48" s="8">
        <f>INPUT!C192</f>
        <v>0</v>
      </c>
      <c r="M48" s="8">
        <f>INPUT!D192</f>
        <v>4433979</v>
      </c>
      <c r="N48" s="8">
        <f>INPUT!E192</f>
        <v>164275</v>
      </c>
      <c r="O48" s="8">
        <f>INPUT!F192</f>
        <v>0</v>
      </c>
      <c r="P48" s="8">
        <f>INPUT!G192</f>
        <v>60</v>
      </c>
      <c r="Q48" s="8">
        <f>INPUT!H192</f>
        <v>131865</v>
      </c>
      <c r="R48" s="8">
        <f>INPUT!A209</f>
        <v>-6750</v>
      </c>
      <c r="S48" s="8">
        <f>INPUT!B209</f>
        <v>9917895</v>
      </c>
      <c r="T48" s="8">
        <f>INPUT!C209</f>
        <v>7655</v>
      </c>
      <c r="U48" s="8">
        <f>INPUT!D209</f>
        <v>0</v>
      </c>
    </row>
    <row r="49" spans="2:21" ht="16.5">
      <c r="B49" s="19" t="s">
        <v>75</v>
      </c>
      <c r="C49" s="3" t="s">
        <v>1240</v>
      </c>
      <c r="D49" s="8">
        <f>INPUT!C176</f>
        <v>0</v>
      </c>
      <c r="E49" s="8">
        <f>INPUT!D176</f>
        <v>28085</v>
      </c>
      <c r="F49" s="8">
        <f>INPUT!E176</f>
        <v>0</v>
      </c>
      <c r="G49" s="8">
        <f>INPUT!F176</f>
        <v>56</v>
      </c>
      <c r="H49" s="8">
        <f>INPUT!G176</f>
        <v>27997</v>
      </c>
      <c r="I49" s="530">
        <f>INPUT!H176</f>
        <v>0</v>
      </c>
      <c r="J49" s="8">
        <f>INPUT!A193</f>
        <v>113176</v>
      </c>
      <c r="K49" s="8">
        <f>INPUT!B193</f>
        <v>67694</v>
      </c>
      <c r="L49" s="8">
        <f>INPUT!C193</f>
        <v>0</v>
      </c>
      <c r="M49" s="8">
        <f>INPUT!D193</f>
        <v>893410</v>
      </c>
      <c r="N49" s="8">
        <f>INPUT!E193</f>
        <v>33100</v>
      </c>
      <c r="O49" s="8">
        <f>INPUT!F193</f>
        <v>0</v>
      </c>
      <c r="P49" s="8">
        <f>INPUT!G193</f>
        <v>12</v>
      </c>
      <c r="Q49" s="8">
        <f>INPUT!H193</f>
        <v>26570</v>
      </c>
      <c r="R49" s="8">
        <f>INPUT!A210</f>
        <v>-1360</v>
      </c>
      <c r="S49" s="8">
        <f>INPUT!B210</f>
        <v>1998373</v>
      </c>
      <c r="T49" s="8">
        <f>INPUT!C210</f>
        <v>1543</v>
      </c>
      <c r="U49" s="8">
        <f>INPUT!D210</f>
        <v>0</v>
      </c>
    </row>
    <row r="50" spans="2:21" ht="16.5">
      <c r="B50" s="19"/>
      <c r="C50" s="3" t="s">
        <v>1241</v>
      </c>
      <c r="D50" s="8">
        <f>INPUT!C177</f>
        <v>0</v>
      </c>
      <c r="E50" s="8">
        <f>INPUT!D177</f>
        <v>71543</v>
      </c>
      <c r="F50" s="8">
        <f>INPUT!E177</f>
        <v>1</v>
      </c>
      <c r="G50" s="8">
        <f>INPUT!F177</f>
        <v>143</v>
      </c>
      <c r="H50" s="8">
        <f>INPUT!G177</f>
        <v>71318</v>
      </c>
      <c r="I50" s="530">
        <f>INPUT!H177</f>
        <v>0</v>
      </c>
      <c r="J50" s="8">
        <f>INPUT!A194</f>
        <v>288295</v>
      </c>
      <c r="K50" s="8">
        <f>INPUT!B194</f>
        <v>172439</v>
      </c>
      <c r="L50" s="8">
        <f>INPUT!C194</f>
        <v>0</v>
      </c>
      <c r="M50" s="8">
        <f>INPUT!D194</f>
        <v>2275796</v>
      </c>
      <c r="N50" s="8">
        <f>INPUT!E194</f>
        <v>84316</v>
      </c>
      <c r="O50" s="8">
        <f>INPUT!F194</f>
        <v>0</v>
      </c>
      <c r="P50" s="8">
        <f>INPUT!G194</f>
        <v>31</v>
      </c>
      <c r="Q50" s="8">
        <f>INPUT!H194</f>
        <v>67682</v>
      </c>
      <c r="R50" s="8">
        <f>INPUT!A211</f>
        <v>-3465</v>
      </c>
      <c r="S50" s="8">
        <f>INPUT!B211</f>
        <v>5090484</v>
      </c>
      <c r="T50" s="8">
        <f>INPUT!C211</f>
        <v>3929</v>
      </c>
      <c r="U50" s="8">
        <f>INPUT!D211</f>
        <v>0</v>
      </c>
    </row>
    <row r="51" spans="3:21" ht="15">
      <c r="C51" s="3" t="s">
        <v>1242</v>
      </c>
      <c r="D51" s="8">
        <f>INPUT!C178</f>
        <v>0</v>
      </c>
      <c r="E51" s="8">
        <f>INPUT!D178</f>
        <v>91575</v>
      </c>
      <c r="F51" s="8">
        <f>INPUT!E178</f>
        <v>2</v>
      </c>
      <c r="G51" s="8">
        <f>INPUT!F178</f>
        <v>183</v>
      </c>
      <c r="H51" s="8">
        <f>INPUT!G178</f>
        <v>91287</v>
      </c>
      <c r="I51" s="530">
        <f>INPUT!H178</f>
        <v>0</v>
      </c>
      <c r="J51" s="8">
        <f>INPUT!A195</f>
        <v>369017</v>
      </c>
      <c r="K51" s="8">
        <f>INPUT!B195</f>
        <v>220720</v>
      </c>
      <c r="L51" s="8">
        <f>INPUT!C195</f>
        <v>0</v>
      </c>
      <c r="M51" s="8">
        <f>INPUT!D195</f>
        <v>2913008</v>
      </c>
      <c r="N51" s="8">
        <f>INPUT!E195</f>
        <v>107924</v>
      </c>
      <c r="O51" s="8">
        <f>INPUT!F195</f>
        <v>0</v>
      </c>
      <c r="P51" s="8">
        <f>INPUT!G195</f>
        <v>40</v>
      </c>
      <c r="Q51" s="8">
        <f>INPUT!H195</f>
        <v>86632</v>
      </c>
      <c r="R51" s="8">
        <f>INPUT!A212</f>
        <v>-4434</v>
      </c>
      <c r="S51" s="8">
        <f>INPUT!B212</f>
        <v>6515796</v>
      </c>
      <c r="T51" s="8">
        <f>INPUT!C212</f>
        <v>5029</v>
      </c>
      <c r="U51" s="8">
        <f>INPUT!D212</f>
        <v>0</v>
      </c>
    </row>
    <row r="52" spans="3:21" ht="15">
      <c r="C52" s="3" t="s">
        <v>1243</v>
      </c>
      <c r="D52" s="26">
        <f>INPUT!C179</f>
        <v>0</v>
      </c>
      <c r="E52" s="26">
        <f>INPUT!D179</f>
        <v>73925</v>
      </c>
      <c r="F52" s="26">
        <f>INPUT!E179</f>
        <v>1</v>
      </c>
      <c r="G52" s="26">
        <f>INPUT!F179</f>
        <v>147</v>
      </c>
      <c r="H52" s="26">
        <f>INPUT!G179</f>
        <v>73694</v>
      </c>
      <c r="I52" s="531">
        <f>INPUT!H179</f>
        <v>0</v>
      </c>
      <c r="J52" s="26">
        <f>INPUT!A196</f>
        <v>297896</v>
      </c>
      <c r="K52" s="26">
        <f>INPUT!B196</f>
        <v>178181</v>
      </c>
      <c r="L52" s="26">
        <f>INPUT!C196</f>
        <v>0</v>
      </c>
      <c r="M52" s="26">
        <f>INPUT!D196</f>
        <v>2351587</v>
      </c>
      <c r="N52" s="26">
        <f>INPUT!E196</f>
        <v>87124</v>
      </c>
      <c r="O52" s="26">
        <f>INPUT!F196</f>
        <v>0</v>
      </c>
      <c r="P52" s="26">
        <f>INPUT!G196</f>
        <v>32</v>
      </c>
      <c r="Q52" s="26">
        <f>INPUT!H196</f>
        <v>69936</v>
      </c>
      <c r="R52" s="26">
        <f>INPUT!A213</f>
        <v>-3580</v>
      </c>
      <c r="S52" s="26">
        <f>INPUT!B213</f>
        <v>5260013</v>
      </c>
      <c r="T52" s="26">
        <f>INPUT!C213</f>
        <v>4060</v>
      </c>
      <c r="U52" s="26">
        <f>INPUT!D213</f>
        <v>0</v>
      </c>
    </row>
    <row r="53" spans="3:21" ht="15">
      <c r="C53" s="3" t="s">
        <v>1348</v>
      </c>
      <c r="D53" s="18">
        <f aca="true" t="shared" si="3" ref="D53:U53">SUM(D48:D52)</f>
        <v>0</v>
      </c>
      <c r="E53" s="18">
        <f t="shared" si="3"/>
        <v>404518</v>
      </c>
      <c r="F53" s="18">
        <f t="shared" si="3"/>
        <v>7</v>
      </c>
      <c r="G53" s="18">
        <f t="shared" si="3"/>
        <v>806</v>
      </c>
      <c r="H53" s="18">
        <f t="shared" si="3"/>
        <v>403245</v>
      </c>
      <c r="I53" s="530">
        <f t="shared" si="3"/>
        <v>0</v>
      </c>
      <c r="J53" s="8">
        <f t="shared" si="3"/>
        <v>1630075</v>
      </c>
      <c r="K53" s="8">
        <f t="shared" si="3"/>
        <v>975000</v>
      </c>
      <c r="L53" s="8">
        <f t="shared" si="3"/>
        <v>0</v>
      </c>
      <c r="M53" s="8">
        <f t="shared" si="3"/>
        <v>12867780</v>
      </c>
      <c r="N53" s="8">
        <f t="shared" si="3"/>
        <v>476739</v>
      </c>
      <c r="O53" s="8">
        <f t="shared" si="3"/>
        <v>0</v>
      </c>
      <c r="P53" s="8">
        <f t="shared" si="3"/>
        <v>175</v>
      </c>
      <c r="Q53" s="8">
        <f t="shared" si="3"/>
        <v>382685</v>
      </c>
      <c r="R53" s="8">
        <f t="shared" si="3"/>
        <v>-19589</v>
      </c>
      <c r="S53" s="8">
        <f t="shared" si="3"/>
        <v>28782561</v>
      </c>
      <c r="T53" s="8">
        <f t="shared" si="3"/>
        <v>22216</v>
      </c>
      <c r="U53" s="8">
        <f t="shared" si="3"/>
        <v>0</v>
      </c>
    </row>
    <row r="54" spans="4:21" ht="15">
      <c r="D54" s="17"/>
      <c r="E54" s="17"/>
      <c r="F54" s="17"/>
      <c r="G54" s="17"/>
      <c r="H54" s="17"/>
      <c r="I54" s="532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</row>
    <row r="55" spans="1:21" ht="16.5">
      <c r="A55" s="3" t="s">
        <v>1468</v>
      </c>
      <c r="B55" s="19" t="s">
        <v>1469</v>
      </c>
      <c r="C55" s="3" t="s">
        <v>1239</v>
      </c>
      <c r="D55" s="17">
        <f aca="true" t="shared" si="4" ref="D55:U55">+D41-D48</f>
        <v>0</v>
      </c>
      <c r="E55" s="17">
        <f t="shared" si="4"/>
        <v>-128</v>
      </c>
      <c r="F55" s="17">
        <f t="shared" si="4"/>
        <v>0</v>
      </c>
      <c r="G55" s="17">
        <f t="shared" si="4"/>
        <v>-7</v>
      </c>
      <c r="H55" s="17">
        <f t="shared" si="4"/>
        <v>-50</v>
      </c>
      <c r="I55" s="532">
        <f t="shared" si="4"/>
        <v>0</v>
      </c>
      <c r="J55" s="8">
        <f t="shared" si="4"/>
        <v>123929</v>
      </c>
      <c r="K55" s="60">
        <f t="shared" si="4"/>
        <v>-281777</v>
      </c>
      <c r="L55" s="8">
        <f>+L41-L48</f>
        <v>335966</v>
      </c>
      <c r="M55" s="60">
        <f t="shared" si="4"/>
        <v>4804</v>
      </c>
      <c r="N55" s="60">
        <f t="shared" si="4"/>
        <v>3334</v>
      </c>
      <c r="O55" s="60">
        <f t="shared" si="4"/>
        <v>4820</v>
      </c>
      <c r="P55" s="60">
        <f t="shared" si="4"/>
        <v>268</v>
      </c>
      <c r="Q55" s="60">
        <f t="shared" si="4"/>
        <v>-117372</v>
      </c>
      <c r="R55" s="60">
        <f t="shared" si="4"/>
        <v>5296</v>
      </c>
      <c r="S55" s="60">
        <f t="shared" si="4"/>
        <v>-50006</v>
      </c>
      <c r="T55" s="60">
        <f t="shared" si="4"/>
        <v>82</v>
      </c>
      <c r="U55" s="60">
        <f t="shared" si="4"/>
        <v>0</v>
      </c>
    </row>
    <row r="56" spans="2:21" ht="16.5">
      <c r="B56" s="19" t="s">
        <v>77</v>
      </c>
      <c r="C56" s="3" t="s">
        <v>1240</v>
      </c>
      <c r="D56" s="60">
        <f aca="true" t="shared" si="5" ref="D56:U56">+D42-D49</f>
        <v>0</v>
      </c>
      <c r="E56" s="60">
        <f t="shared" si="5"/>
        <v>-24</v>
      </c>
      <c r="F56" s="60">
        <f t="shared" si="5"/>
        <v>0</v>
      </c>
      <c r="G56" s="60">
        <f t="shared" si="5"/>
        <v>-2</v>
      </c>
      <c r="H56" s="60">
        <f t="shared" si="5"/>
        <v>-10</v>
      </c>
      <c r="I56" s="532">
        <f t="shared" si="5"/>
        <v>0</v>
      </c>
      <c r="J56" s="8">
        <f t="shared" si="5"/>
        <v>24971</v>
      </c>
      <c r="K56" s="60">
        <f t="shared" si="5"/>
        <v>-56776</v>
      </c>
      <c r="L56" s="8">
        <f>+L42-L49</f>
        <v>67694</v>
      </c>
      <c r="M56" s="60">
        <f t="shared" si="5"/>
        <v>968</v>
      </c>
      <c r="N56" s="60">
        <f t="shared" si="5"/>
        <v>672</v>
      </c>
      <c r="O56" s="60">
        <f t="shared" si="5"/>
        <v>971</v>
      </c>
      <c r="P56" s="60">
        <f t="shared" si="5"/>
        <v>54</v>
      </c>
      <c r="Q56" s="60">
        <f t="shared" si="5"/>
        <v>-23650</v>
      </c>
      <c r="R56" s="60">
        <f t="shared" si="5"/>
        <v>1067</v>
      </c>
      <c r="S56" s="60">
        <f t="shared" si="5"/>
        <v>-10076</v>
      </c>
      <c r="T56" s="60">
        <f t="shared" si="5"/>
        <v>16</v>
      </c>
      <c r="U56" s="60">
        <f t="shared" si="5"/>
        <v>0</v>
      </c>
    </row>
    <row r="57" spans="2:21" ht="16.5">
      <c r="B57" s="19"/>
      <c r="C57" s="3" t="s">
        <v>1241</v>
      </c>
      <c r="D57" s="60">
        <f aca="true" t="shared" si="6" ref="D57:U57">+D43-D50</f>
        <v>0</v>
      </c>
      <c r="E57" s="60">
        <f t="shared" si="6"/>
        <v>-64</v>
      </c>
      <c r="F57" s="60">
        <f t="shared" si="6"/>
        <v>0</v>
      </c>
      <c r="G57" s="60">
        <f t="shared" si="6"/>
        <v>-5</v>
      </c>
      <c r="H57" s="60">
        <f t="shared" si="6"/>
        <v>-27</v>
      </c>
      <c r="I57" s="532">
        <f t="shared" si="6"/>
        <v>0</v>
      </c>
      <c r="J57" s="8">
        <f t="shared" si="6"/>
        <v>63608</v>
      </c>
      <c r="K57" s="60">
        <f t="shared" si="6"/>
        <v>-144626</v>
      </c>
      <c r="L57" s="8">
        <f>+L43-L50</f>
        <v>172439</v>
      </c>
      <c r="M57" s="60">
        <f t="shared" si="6"/>
        <v>2465</v>
      </c>
      <c r="N57" s="60">
        <f t="shared" si="6"/>
        <v>1711</v>
      </c>
      <c r="O57" s="60">
        <f t="shared" si="6"/>
        <v>2474</v>
      </c>
      <c r="P57" s="60">
        <f t="shared" si="6"/>
        <v>137</v>
      </c>
      <c r="Q57" s="60">
        <f t="shared" si="6"/>
        <v>-60244</v>
      </c>
      <c r="R57" s="60">
        <f t="shared" si="6"/>
        <v>2719</v>
      </c>
      <c r="S57" s="60">
        <f t="shared" si="6"/>
        <v>-25667</v>
      </c>
      <c r="T57" s="60">
        <f t="shared" si="6"/>
        <v>42</v>
      </c>
      <c r="U57" s="60">
        <f t="shared" si="6"/>
        <v>0</v>
      </c>
    </row>
    <row r="58" spans="2:21" ht="16.5">
      <c r="B58" s="25"/>
      <c r="C58" s="3" t="s">
        <v>1242</v>
      </c>
      <c r="D58" s="60">
        <f aca="true" t="shared" si="7" ref="D58:U58">+D44-D51</f>
        <v>0</v>
      </c>
      <c r="E58" s="60">
        <f t="shared" si="7"/>
        <v>-83</v>
      </c>
      <c r="F58" s="60">
        <f t="shared" si="7"/>
        <v>0</v>
      </c>
      <c r="G58" s="60">
        <f t="shared" si="7"/>
        <v>-6</v>
      </c>
      <c r="H58" s="60">
        <f t="shared" si="7"/>
        <v>-34</v>
      </c>
      <c r="I58" s="532">
        <f t="shared" si="7"/>
        <v>0</v>
      </c>
      <c r="J58" s="8">
        <f t="shared" si="7"/>
        <v>81418</v>
      </c>
      <c r="K58" s="60">
        <f t="shared" si="7"/>
        <v>-185119</v>
      </c>
      <c r="L58" s="8">
        <f>+L44-L51</f>
        <v>220720</v>
      </c>
      <c r="M58" s="60">
        <f t="shared" si="7"/>
        <v>3155</v>
      </c>
      <c r="N58" s="60">
        <f t="shared" si="7"/>
        <v>2191</v>
      </c>
      <c r="O58" s="60">
        <f t="shared" si="7"/>
        <v>3167</v>
      </c>
      <c r="P58" s="60">
        <f t="shared" si="7"/>
        <v>175</v>
      </c>
      <c r="Q58" s="60">
        <f t="shared" si="7"/>
        <v>-77111</v>
      </c>
      <c r="R58" s="60">
        <f t="shared" si="7"/>
        <v>3479</v>
      </c>
      <c r="S58" s="60">
        <f t="shared" si="7"/>
        <v>-32853</v>
      </c>
      <c r="T58" s="60">
        <f t="shared" si="7"/>
        <v>54</v>
      </c>
      <c r="U58" s="60">
        <f t="shared" si="7"/>
        <v>0</v>
      </c>
    </row>
    <row r="59" spans="2:21" ht="16.5">
      <c r="B59" s="25"/>
      <c r="C59" s="3" t="s">
        <v>1243</v>
      </c>
      <c r="D59" s="27">
        <f aca="true" t="shared" si="8" ref="D59:U59">+D45-D52</f>
        <v>0</v>
      </c>
      <c r="E59" s="27">
        <f t="shared" si="8"/>
        <v>-66</v>
      </c>
      <c r="F59" s="27">
        <f t="shared" si="8"/>
        <v>0</v>
      </c>
      <c r="G59" s="27">
        <f t="shared" si="8"/>
        <v>-4</v>
      </c>
      <c r="H59" s="27">
        <f t="shared" si="8"/>
        <v>-28</v>
      </c>
      <c r="I59" s="533">
        <f t="shared" si="8"/>
        <v>0</v>
      </c>
      <c r="J59" s="26">
        <f t="shared" si="8"/>
        <v>65727</v>
      </c>
      <c r="K59" s="27">
        <f t="shared" si="8"/>
        <v>-149442</v>
      </c>
      <c r="L59" s="26">
        <f>+L45-L52</f>
        <v>178181</v>
      </c>
      <c r="M59" s="27">
        <f t="shared" si="8"/>
        <v>2547</v>
      </c>
      <c r="N59" s="27">
        <f t="shared" si="8"/>
        <v>1768</v>
      </c>
      <c r="O59" s="27">
        <f t="shared" si="8"/>
        <v>2556</v>
      </c>
      <c r="P59" s="27">
        <f t="shared" si="8"/>
        <v>142</v>
      </c>
      <c r="Q59" s="27">
        <f t="shared" si="8"/>
        <v>-62250</v>
      </c>
      <c r="R59" s="27">
        <f t="shared" si="8"/>
        <v>2809</v>
      </c>
      <c r="S59" s="27">
        <f t="shared" si="8"/>
        <v>-26521</v>
      </c>
      <c r="T59" s="27">
        <f t="shared" si="8"/>
        <v>43</v>
      </c>
      <c r="U59" s="27">
        <f t="shared" si="8"/>
        <v>0</v>
      </c>
    </row>
    <row r="60" spans="2:21" ht="16.5">
      <c r="B60" s="25"/>
      <c r="C60" s="3" t="s">
        <v>1348</v>
      </c>
      <c r="D60" s="17">
        <f aca="true" t="shared" si="9" ref="D60:U60">SUM(D55:D59)</f>
        <v>0</v>
      </c>
      <c r="E60" s="17">
        <f t="shared" si="9"/>
        <v>-365</v>
      </c>
      <c r="F60" s="17">
        <f t="shared" si="9"/>
        <v>0</v>
      </c>
      <c r="G60" s="17">
        <f t="shared" si="9"/>
        <v>-24</v>
      </c>
      <c r="H60" s="17">
        <f t="shared" si="9"/>
        <v>-149</v>
      </c>
      <c r="I60" s="532">
        <f t="shared" si="9"/>
        <v>0</v>
      </c>
      <c r="J60" s="8">
        <f t="shared" si="9"/>
        <v>359653</v>
      </c>
      <c r="K60" s="60">
        <f t="shared" si="9"/>
        <v>-817740</v>
      </c>
      <c r="L60" s="8">
        <f t="shared" si="9"/>
        <v>975000</v>
      </c>
      <c r="M60" s="60">
        <f t="shared" si="9"/>
        <v>13939</v>
      </c>
      <c r="N60" s="60">
        <f t="shared" si="9"/>
        <v>9676</v>
      </c>
      <c r="O60" s="60">
        <f t="shared" si="9"/>
        <v>13988</v>
      </c>
      <c r="P60" s="60">
        <f t="shared" si="9"/>
        <v>776</v>
      </c>
      <c r="Q60" s="60">
        <f t="shared" si="9"/>
        <v>-340627</v>
      </c>
      <c r="R60" s="60">
        <f t="shared" si="9"/>
        <v>15370</v>
      </c>
      <c r="S60" s="60">
        <f t="shared" si="9"/>
        <v>-145123</v>
      </c>
      <c r="T60" s="60">
        <f t="shared" si="9"/>
        <v>237</v>
      </c>
      <c r="U60" s="60">
        <f t="shared" si="9"/>
        <v>0</v>
      </c>
    </row>
    <row r="61" spans="18:19" ht="15">
      <c r="R61" s="534"/>
      <c r="S61" s="534"/>
    </row>
    <row r="62" spans="18:19" ht="15">
      <c r="R62" s="534"/>
      <c r="S62" s="534"/>
    </row>
    <row r="63" ht="15">
      <c r="S63" s="534"/>
    </row>
    <row r="64" spans="13:19" ht="15">
      <c r="M64" s="17"/>
      <c r="N64" s="17"/>
      <c r="O64" s="17"/>
      <c r="P64" s="17"/>
      <c r="R64" s="534"/>
      <c r="S64" s="534"/>
    </row>
    <row r="65" spans="16:19" ht="15">
      <c r="P65" s="534"/>
      <c r="R65" s="534"/>
      <c r="S65" s="534"/>
    </row>
    <row r="66" spans="16:19" ht="15">
      <c r="P66" s="534"/>
      <c r="S66" s="534"/>
    </row>
    <row r="67" spans="16:19" ht="15">
      <c r="P67" s="534"/>
      <c r="R67" s="534"/>
      <c r="S67" s="534"/>
    </row>
    <row r="68" spans="16:19" ht="15">
      <c r="P68" s="534"/>
      <c r="R68" s="534"/>
      <c r="S68" s="534"/>
    </row>
    <row r="69" spans="16:19" ht="15">
      <c r="P69" s="534"/>
      <c r="S69" s="534"/>
    </row>
    <row r="70" spans="18:19" ht="15">
      <c r="R70" s="534"/>
      <c r="S70" s="534"/>
    </row>
    <row r="71" spans="18:19" ht="15">
      <c r="R71" s="534"/>
      <c r="S71" s="534"/>
    </row>
    <row r="72" ht="15">
      <c r="S72" s="534"/>
    </row>
    <row r="73" spans="18:19" ht="15">
      <c r="R73" s="534"/>
      <c r="S73" s="534"/>
    </row>
    <row r="74" spans="18:19" ht="15">
      <c r="R74" s="534"/>
      <c r="S74" s="534"/>
    </row>
    <row r="75" ht="15">
      <c r="S75" s="534"/>
    </row>
    <row r="76" spans="18:19" ht="15">
      <c r="R76" s="534"/>
      <c r="S76" s="534"/>
    </row>
    <row r="77" spans="18:19" ht="15">
      <c r="R77" s="534"/>
      <c r="S77" s="534"/>
    </row>
    <row r="78" spans="18:19" ht="15">
      <c r="R78" s="534"/>
      <c r="S78" s="534"/>
    </row>
    <row r="79" spans="18:19" ht="15">
      <c r="R79" s="534"/>
      <c r="S79" s="534"/>
    </row>
    <row r="80" spans="18:19" ht="15">
      <c r="R80" s="534"/>
      <c r="S80" s="534"/>
    </row>
    <row r="81" spans="18:19" ht="15">
      <c r="R81" s="534"/>
      <c r="S81" s="534"/>
    </row>
  </sheetData>
  <mergeCells count="7">
    <mergeCell ref="D37:H37"/>
    <mergeCell ref="I37:U37"/>
    <mergeCell ref="D7:E7"/>
    <mergeCell ref="D33:K33"/>
    <mergeCell ref="D34:K34"/>
    <mergeCell ref="H8:J8"/>
    <mergeCell ref="H7:J7"/>
  </mergeCells>
  <printOptions horizontalCentered="1" verticalCentered="1"/>
  <pageMargins left="0.25" right="0.25" top="0.25" bottom="0.25" header="0" footer="0"/>
  <pageSetup fitToWidth="2" fitToHeight="1" horizontalDpi="600" verticalDpi="600" orientation="landscape" scale="5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Q71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29" customWidth="1"/>
    <col min="2" max="2" width="17.28125" style="29" customWidth="1"/>
    <col min="3" max="3" width="12.57421875" style="29" customWidth="1"/>
    <col min="4" max="4" width="0.9921875" style="29" customWidth="1"/>
    <col min="5" max="5" width="12.57421875" style="29" customWidth="1"/>
    <col min="6" max="6" width="0.9921875" style="29" customWidth="1"/>
    <col min="7" max="7" width="12.57421875" style="29" customWidth="1"/>
    <col min="8" max="8" width="0.9921875" style="29" customWidth="1"/>
    <col min="9" max="9" width="12.57421875" style="29" customWidth="1"/>
    <col min="10" max="10" width="0.9921875" style="29" customWidth="1"/>
    <col min="11" max="11" width="12.57421875" style="29" customWidth="1"/>
    <col min="12" max="12" width="0.9921875" style="29" customWidth="1"/>
    <col min="13" max="13" width="12.7109375" style="29" customWidth="1"/>
    <col min="14" max="14" width="10.8515625" style="3" bestFit="1" customWidth="1"/>
    <col min="15" max="15" width="11.28125" style="3" bestFit="1" customWidth="1"/>
    <col min="16" max="16384" width="9.140625" style="3" customWidth="1"/>
  </cols>
  <sheetData>
    <row r="1" spans="1:13" ht="15">
      <c r="A1" s="30" t="s">
        <v>1451</v>
      </c>
      <c r="B1" s="31" t="str">
        <f>+INPUT!C1</f>
        <v>June 2009</v>
      </c>
      <c r="M1" s="30" t="s">
        <v>22</v>
      </c>
    </row>
    <row r="2" ht="15">
      <c r="M2" s="30" t="s">
        <v>1132</v>
      </c>
    </row>
    <row r="3" ht="15">
      <c r="F3" s="30" t="s">
        <v>23</v>
      </c>
    </row>
    <row r="4" ht="15">
      <c r="F4" s="30" t="s">
        <v>66</v>
      </c>
    </row>
    <row r="5" ht="15">
      <c r="F5" s="85" t="s">
        <v>67</v>
      </c>
    </row>
    <row r="7" spans="3:13" ht="15">
      <c r="C7" s="47"/>
      <c r="D7" s="34" t="s">
        <v>11</v>
      </c>
      <c r="E7" s="47"/>
      <c r="G7" s="47"/>
      <c r="H7" s="34" t="s">
        <v>1350</v>
      </c>
      <c r="I7" s="47"/>
      <c r="K7" s="47"/>
      <c r="L7" s="34" t="s">
        <v>12</v>
      </c>
      <c r="M7" s="47"/>
    </row>
    <row r="8" spans="3:13" ht="15">
      <c r="C8" s="30" t="s">
        <v>1458</v>
      </c>
      <c r="D8" s="30"/>
      <c r="E8" s="30" t="s">
        <v>1458</v>
      </c>
      <c r="F8" s="30"/>
      <c r="G8" s="30" t="s">
        <v>1458</v>
      </c>
      <c r="H8" s="30"/>
      <c r="I8" s="30" t="s">
        <v>1458</v>
      </c>
      <c r="K8" s="30" t="s">
        <v>1458</v>
      </c>
      <c r="L8" s="30"/>
      <c r="M8" s="30" t="s">
        <v>1458</v>
      </c>
    </row>
    <row r="9" spans="2:13" ht="15">
      <c r="B9" s="86"/>
      <c r="C9" s="30" t="s">
        <v>1459</v>
      </c>
      <c r="D9" s="30"/>
      <c r="E9" s="30" t="s">
        <v>1460</v>
      </c>
      <c r="F9" s="30"/>
      <c r="G9" s="30" t="s">
        <v>1459</v>
      </c>
      <c r="H9" s="30"/>
      <c r="I9" s="30" t="s">
        <v>1460</v>
      </c>
      <c r="K9" s="30" t="s">
        <v>1459</v>
      </c>
      <c r="L9" s="30"/>
      <c r="M9" s="30" t="s">
        <v>1460</v>
      </c>
    </row>
    <row r="10" spans="1:13" ht="15">
      <c r="A10" s="85"/>
      <c r="B10" s="86"/>
      <c r="C10" s="34" t="s">
        <v>1953</v>
      </c>
      <c r="D10" s="30"/>
      <c r="E10" s="34" t="s">
        <v>1954</v>
      </c>
      <c r="F10" s="30"/>
      <c r="G10" s="34" t="s">
        <v>1953</v>
      </c>
      <c r="H10" s="30"/>
      <c r="I10" s="34" t="s">
        <v>1954</v>
      </c>
      <c r="K10" s="34" t="s">
        <v>1953</v>
      </c>
      <c r="L10" s="30"/>
      <c r="M10" s="34" t="s">
        <v>1954</v>
      </c>
    </row>
    <row r="12" spans="1:13" ht="15">
      <c r="A12" s="96" t="s">
        <v>1291</v>
      </c>
      <c r="B12" s="29" t="s">
        <v>1239</v>
      </c>
      <c r="C12" s="41">
        <f>IF('APPVII PG1'!J12-'APPVII PG1'!H12&gt;=0,0,'APPVII PG1'!J12-'APPVII PG1'!H12)*-1</f>
        <v>0</v>
      </c>
      <c r="D12" s="41"/>
      <c r="E12" s="41">
        <f>IF('APPVII PG1'!J12-'APPVII PG1'!H12&gt;=0,'APPVII PG1'!J12-'APPVII PG1'!H12,0)</f>
        <v>4132266</v>
      </c>
      <c r="F12" s="41"/>
      <c r="G12" s="41">
        <f>IF('APPVII PG1'!J19-'APPVII PG1'!H19&gt;=0,0,'APPVII PG1'!J19-'APPVII PG1'!H19)*-1</f>
        <v>0</v>
      </c>
      <c r="H12" s="41"/>
      <c r="I12" s="41">
        <f>IF('APPVII PG1'!J19-'APPVII PG1'!H19&gt;=0,'APPVII PG1'!J19-'APPVII PG1'!H19,0)</f>
        <v>4240517</v>
      </c>
      <c r="K12" s="41">
        <f>IF('APPVII PG1'!J26-'APPVII PG1'!H26&gt;=0,0,'APPVII PG1'!J26-'APPVII PG1'!H26)*-1</f>
        <v>108251</v>
      </c>
      <c r="L12" s="41"/>
      <c r="M12" s="41">
        <f>IF('APPVII PG1'!J26-'APPVII PG1'!H26&gt;=0,'APPVII PG1'!J26-'APPVII PG1'!H26,0)</f>
        <v>0</v>
      </c>
    </row>
    <row r="13" spans="1:13" ht="15">
      <c r="A13" s="96" t="s">
        <v>185</v>
      </c>
      <c r="B13" s="29" t="s">
        <v>1240</v>
      </c>
      <c r="C13" s="41">
        <f>IF('APPVII PG1'!J13-'APPVII PG1'!H13&gt;=0,0,'APPVII PG1'!J13-'APPVII PG1'!H13)*-1</f>
        <v>0</v>
      </c>
      <c r="D13" s="41"/>
      <c r="E13" s="41">
        <f>IF('APPVII PG1'!J13-'APPVII PG1'!H13&gt;=0,'APPVII PG1'!J13-'APPVII PG1'!H13,0)</f>
        <v>832617</v>
      </c>
      <c r="F13" s="41"/>
      <c r="G13" s="41">
        <f>IF('APPVII PG1'!J20-'APPVII PG1'!H20&gt;=0,0,'APPVII PG1'!J20-'APPVII PG1'!H20)*-1</f>
        <v>0</v>
      </c>
      <c r="H13" s="41"/>
      <c r="I13" s="41">
        <f>IF('APPVII PG1'!J20-'APPVII PG1'!H20&gt;=0,'APPVII PG1'!J20-'APPVII PG1'!H20,0)</f>
        <v>854429</v>
      </c>
      <c r="K13" s="41">
        <f>IF('APPVII PG1'!J27-'APPVII PG1'!H27&gt;=0,0,'APPVII PG1'!J27-'APPVII PG1'!H27)*-1</f>
        <v>21812</v>
      </c>
      <c r="L13" s="41"/>
      <c r="M13" s="41">
        <f>IF('APPVII PG1'!J27-'APPVII PG1'!H27&gt;=0,'APPVII PG1'!J27-'APPVII PG1'!H27,0)</f>
        <v>0</v>
      </c>
    </row>
    <row r="14" spans="1:13" ht="15">
      <c r="A14" s="97"/>
      <c r="B14" s="29" t="s">
        <v>1241</v>
      </c>
      <c r="C14" s="41">
        <f>IF('APPVII PG1'!J14-'APPVII PG1'!H14&gt;=0,0,'APPVII PG1'!J14-'APPVII PG1'!H14)*-1</f>
        <v>0</v>
      </c>
      <c r="D14" s="41"/>
      <c r="E14" s="41">
        <f>IF('APPVII PG1'!J14-'APPVII PG1'!H14&gt;=0,'APPVII PG1'!J14-'APPVII PG1'!H14,0)</f>
        <v>2120937</v>
      </c>
      <c r="F14" s="41"/>
      <c r="G14" s="41">
        <f>IF('APPVII PG1'!J21-'APPVII PG1'!H21&gt;=0,0,'APPVII PG1'!J21-'APPVII PG1'!H21)*-1</f>
        <v>0</v>
      </c>
      <c r="H14" s="41"/>
      <c r="I14" s="41">
        <f>IF('APPVII PG1'!J21-'APPVII PG1'!H21&gt;=0,'APPVII PG1'!J21-'APPVII PG1'!H21,0)</f>
        <v>2176499</v>
      </c>
      <c r="K14" s="41">
        <f>IF('APPVII PG1'!J28-'APPVII PG1'!H28&gt;=0,0,'APPVII PG1'!J28-'APPVII PG1'!H28)*-1</f>
        <v>55562</v>
      </c>
      <c r="L14" s="41"/>
      <c r="M14" s="41">
        <f>IF('APPVII PG1'!J28-'APPVII PG1'!H28&gt;=0,'APPVII PG1'!J28-'APPVII PG1'!H28,0)</f>
        <v>0</v>
      </c>
    </row>
    <row r="15" spans="1:13" ht="15">
      <c r="A15" s="97"/>
      <c r="B15" s="29" t="s">
        <v>1242</v>
      </c>
      <c r="C15" s="41">
        <f>IF('APPVII PG1'!J15-'APPVII PG1'!H15&gt;=0,0,'APPVII PG1'!J15-'APPVII PG1'!H15)*-1</f>
        <v>0</v>
      </c>
      <c r="D15" s="41"/>
      <c r="E15" s="41">
        <f>IF('APPVII PG1'!J15-'APPVII PG1'!H15&gt;=0,'APPVII PG1'!J15-'APPVII PG1'!H15,0)</f>
        <v>2714790</v>
      </c>
      <c r="F15" s="41"/>
      <c r="G15" s="41">
        <f>IF('APPVII PG1'!J22-'APPVII PG1'!H22&gt;=0,0,'APPVII PG1'!J22-'APPVII PG1'!H22)*-1</f>
        <v>0</v>
      </c>
      <c r="H15" s="41"/>
      <c r="I15" s="41">
        <f>IF('APPVII PG1'!J22-'APPVII PG1'!H22&gt;=0,'APPVII PG1'!J22-'APPVII PG1'!H22,0)</f>
        <v>2785909</v>
      </c>
      <c r="K15" s="41">
        <f>IF('APPVII PG1'!J29-'APPVII PG1'!H29&gt;=0,0,'APPVII PG1'!J29-'APPVII PG1'!H29)*-1</f>
        <v>71119</v>
      </c>
      <c r="L15" s="41"/>
      <c r="M15" s="41">
        <f>IF('APPVII PG1'!J29-'APPVII PG1'!H29&gt;=0,'APPVII PG1'!J29-'APPVII PG1'!H29,0)</f>
        <v>0</v>
      </c>
    </row>
    <row r="16" spans="1:13" ht="15">
      <c r="A16" s="97"/>
      <c r="B16" s="29" t="s">
        <v>1243</v>
      </c>
      <c r="C16" s="41">
        <f>IF('APPVII PG1'!J16-'APPVII PG1'!H16&gt;=0,0,'APPVII PG1'!J16-'APPVII PG1'!H16)*-1</f>
        <v>0</v>
      </c>
      <c r="D16" s="43"/>
      <c r="E16" s="41">
        <f>IF('APPVII PG1'!J16-'APPVII PG1'!H16&gt;=0,'APPVII PG1'!J16-'APPVII PG1'!H16,0)</f>
        <v>2191571</v>
      </c>
      <c r="F16" s="43"/>
      <c r="G16" s="41">
        <f>IF('APPVII PG1'!J23-'APPVII PG1'!H23&gt;=0,0,'APPVII PG1'!J23-'APPVII PG1'!H23)*-1</f>
        <v>0</v>
      </c>
      <c r="H16" s="43"/>
      <c r="I16" s="41">
        <f>IF('APPVII PG1'!J23-'APPVII PG1'!H23&gt;=0,'APPVII PG1'!J23-'APPVII PG1'!H23,0)</f>
        <v>2248983</v>
      </c>
      <c r="J16" s="45"/>
      <c r="K16" s="41">
        <f>IF('APPVII PG1'!J30-'APPVII PG1'!H30&gt;=0,0,'APPVII PG1'!J30-'APPVII PG1'!H30)*-1</f>
        <v>57412</v>
      </c>
      <c r="L16" s="43"/>
      <c r="M16" s="41">
        <f>IF('APPVII PG1'!J30-'APPVII PG1'!H30&gt;=0,'APPVII PG1'!J30-'APPVII PG1'!H30,0)</f>
        <v>0</v>
      </c>
    </row>
    <row r="17" spans="1:13" ht="15">
      <c r="A17" s="97"/>
      <c r="B17" s="29" t="s">
        <v>1395</v>
      </c>
      <c r="C17" s="42">
        <f>IF(SUM(E12:E16)&lt;=0,0,SUM(E12:E16))</f>
        <v>11992181</v>
      </c>
      <c r="D17" s="41"/>
      <c r="E17" s="42">
        <f>IF(SUM(C12:C16)&lt;=0,0,SUM(C12:C16))</f>
        <v>0</v>
      </c>
      <c r="F17" s="41"/>
      <c r="G17" s="42">
        <f>IF(SUM(I12:I16)&lt;=0,0,SUM(I12:I16))</f>
        <v>12306337</v>
      </c>
      <c r="H17" s="41"/>
      <c r="I17" s="42">
        <f>IF(SUM(G12:G16)&lt;=0,0,SUM(G12:G16))</f>
        <v>0</v>
      </c>
      <c r="K17" s="42">
        <f>IF(SUM(M12:M16)&lt;=0,0,SUM(M12:M16))</f>
        <v>0</v>
      </c>
      <c r="L17" s="41"/>
      <c r="M17" s="42">
        <f>IF(SUM(K12:K16)&lt;=0,0,SUM(K12:K16))</f>
        <v>314156</v>
      </c>
    </row>
    <row r="18" spans="1:16" ht="15">
      <c r="A18" s="97"/>
      <c r="B18" s="29" t="s">
        <v>1348</v>
      </c>
      <c r="C18" s="41">
        <f>SUM(C12:C17)</f>
        <v>11992181</v>
      </c>
      <c r="D18" s="41"/>
      <c r="E18" s="41">
        <f>SUM(E12:E17)</f>
        <v>11992181</v>
      </c>
      <c r="F18" s="41"/>
      <c r="G18" s="41">
        <f>SUM(G12:G17)</f>
        <v>12306337</v>
      </c>
      <c r="H18" s="41"/>
      <c r="I18" s="41">
        <f>SUM(I12:I17)</f>
        <v>12306337</v>
      </c>
      <c r="K18" s="41">
        <f>SUM(K12:K17)</f>
        <v>314156</v>
      </c>
      <c r="L18" s="41"/>
      <c r="M18" s="41">
        <f>SUM(M12:M17)</f>
        <v>314156</v>
      </c>
      <c r="N18" s="550" t="s">
        <v>144</v>
      </c>
      <c r="O18" s="39">
        <f>ABS(C18-G18)</f>
        <v>314156</v>
      </c>
      <c r="P18" s="17"/>
    </row>
    <row r="19" spans="1:13" ht="15">
      <c r="A19" s="97"/>
      <c r="C19" s="41"/>
      <c r="D19" s="41"/>
      <c r="E19" s="41"/>
      <c r="F19" s="41"/>
      <c r="G19" s="41"/>
      <c r="H19" s="41"/>
      <c r="I19" s="41"/>
      <c r="K19" s="41"/>
      <c r="L19" s="41"/>
      <c r="M19" s="41"/>
    </row>
    <row r="20" spans="1:13" ht="15">
      <c r="A20" s="96" t="s">
        <v>92</v>
      </c>
      <c r="B20" s="29" t="s">
        <v>1239</v>
      </c>
      <c r="C20" s="41">
        <f>IF('APPVII PG1'!J37-'APPVII PG1'!H37&gt;=0,0,'APPVII PG1'!J37-'APPVII PG1'!H37)*-1</f>
        <v>0</v>
      </c>
      <c r="D20" s="41"/>
      <c r="E20" s="41">
        <f>IF('APPVII PG1'!J37-'APPVII PG1'!H37&gt;=0,'APPVII PG1'!J37-'APPVII PG1'!H37,0)</f>
        <v>0</v>
      </c>
      <c r="F20" s="41"/>
      <c r="G20" s="41">
        <f>IF('APPVII PG1'!J44-'APPVII PG1'!H44&gt;=0,0,'APPVII PG1'!J44-'APPVII PG1'!H44)*-1</f>
        <v>0</v>
      </c>
      <c r="H20" s="41"/>
      <c r="I20" s="41">
        <f>IF('APPVII PG1'!J44-'APPVII PG1'!H44&gt;=0,'APPVII PG1'!J44-'APPVII PG1'!H44,0)</f>
        <v>0</v>
      </c>
      <c r="K20" s="41">
        <f>IF('APPVII PG1'!J51-'APPVII PG1'!H51&gt;=0,0,'APPVII PG1'!J51-'APPVII PG1'!H51)*-1</f>
        <v>0</v>
      </c>
      <c r="L20" s="41"/>
      <c r="M20" s="41">
        <f>IF('APPVII PG1'!J51-'APPVII PG1'!H51&gt;=0,'APPVII PG1'!J51-'APPVII PG1'!H51,0)</f>
        <v>0</v>
      </c>
    </row>
    <row r="21" spans="1:13" ht="15">
      <c r="A21" s="96" t="s">
        <v>108</v>
      </c>
      <c r="B21" s="29" t="s">
        <v>1240</v>
      </c>
      <c r="C21" s="41">
        <f>IF('APPVII PG1'!J38-'APPVII PG1'!H38&gt;=0,0,'APPVII PG1'!J38-'APPVII PG1'!H38)*-1</f>
        <v>0</v>
      </c>
      <c r="D21" s="41"/>
      <c r="E21" s="41">
        <f>IF('APPVII PG1'!J38-'APPVII PG1'!H38&gt;=0,'APPVII PG1'!J38-'APPVII PG1'!H38,0)</f>
        <v>0</v>
      </c>
      <c r="F21" s="41"/>
      <c r="G21" s="41">
        <f>IF('APPVII PG1'!J45-'APPVII PG1'!H45&gt;=0,0,'APPVII PG1'!J45-'APPVII PG1'!H45)*-1</f>
        <v>0</v>
      </c>
      <c r="H21" s="41"/>
      <c r="I21" s="41">
        <f>IF('APPVII PG1'!J45-'APPVII PG1'!H45&gt;=0,'APPVII PG1'!J45-'APPVII PG1'!H45,0)</f>
        <v>0</v>
      </c>
      <c r="K21" s="41">
        <f>IF('APPVII PG1'!J52-'APPVII PG1'!H52&gt;=0,0,'APPVII PG1'!J52-'APPVII PG1'!H52)*-1</f>
        <v>0</v>
      </c>
      <c r="L21" s="41"/>
      <c r="M21" s="41">
        <f>IF('APPVII PG1'!J52-'APPVII PG1'!H52&gt;=0,'APPVII PG1'!J52-'APPVII PG1'!H52,0)</f>
        <v>0</v>
      </c>
    </row>
    <row r="22" spans="1:13" ht="15">
      <c r="A22" s="96"/>
      <c r="B22" s="29" t="s">
        <v>1241</v>
      </c>
      <c r="C22" s="41">
        <f>IF('APPVII PG1'!J39-'APPVII PG1'!H39&gt;=0,0,'APPVII PG1'!J39-'APPVII PG1'!H39)*-1</f>
        <v>0</v>
      </c>
      <c r="D22" s="41"/>
      <c r="E22" s="41">
        <f>IF('APPVII PG1'!J39-'APPVII PG1'!H39&gt;=0,'APPVII PG1'!J39-'APPVII PG1'!H39,0)</f>
        <v>0</v>
      </c>
      <c r="F22" s="41"/>
      <c r="G22" s="41">
        <f>IF('APPVII PG1'!J46-'APPVII PG1'!H46&gt;=0,0,'APPVII PG1'!J46-'APPVII PG1'!H46)*-1</f>
        <v>0</v>
      </c>
      <c r="H22" s="41"/>
      <c r="I22" s="41">
        <f>IF('APPVII PG1'!J46-'APPVII PG1'!H46&gt;=0,'APPVII PG1'!J46-'APPVII PG1'!H46,0)</f>
        <v>0</v>
      </c>
      <c r="K22" s="41">
        <f>IF('APPVII PG1'!J53-'APPVII PG1'!H53&gt;=0,0,'APPVII PG1'!J53-'APPVII PG1'!H53)*-1</f>
        <v>0</v>
      </c>
      <c r="L22" s="41"/>
      <c r="M22" s="41">
        <f>IF('APPVII PG1'!J53-'APPVII PG1'!H53&gt;=0,'APPVII PG1'!J53-'APPVII PG1'!H53,0)</f>
        <v>0</v>
      </c>
    </row>
    <row r="23" spans="1:13" ht="15">
      <c r="A23" s="97"/>
      <c r="B23" s="29" t="s">
        <v>1242</v>
      </c>
      <c r="C23" s="41">
        <f>IF('APPVII PG1'!J40-'APPVII PG1'!H40&gt;=0,0,'APPVII PG1'!J40-'APPVII PG1'!H40)*-1</f>
        <v>0</v>
      </c>
      <c r="D23" s="41"/>
      <c r="E23" s="41">
        <f>IF('APPVII PG1'!J40-'APPVII PG1'!H40&gt;=0,'APPVII PG1'!J40-'APPVII PG1'!H40,0)</f>
        <v>0</v>
      </c>
      <c r="F23" s="41"/>
      <c r="G23" s="41">
        <f>IF('APPVII PG1'!J47-'APPVII PG1'!H47&gt;=0,0,'APPVII PG1'!J47-'APPVII PG1'!H47)*-1</f>
        <v>0</v>
      </c>
      <c r="H23" s="41"/>
      <c r="I23" s="41">
        <f>IF('APPVII PG1'!J47-'APPVII PG1'!H47&gt;=0,'APPVII PG1'!J47-'APPVII PG1'!H47,0)</f>
        <v>0</v>
      </c>
      <c r="K23" s="41">
        <f>IF('APPVII PG1'!J54-'APPVII PG1'!H54&gt;=0,0,'APPVII PG1'!J54-'APPVII PG1'!H54)*-1</f>
        <v>0</v>
      </c>
      <c r="L23" s="41"/>
      <c r="M23" s="41">
        <f>IF('APPVII PG1'!J54-'APPVII PG1'!H54&gt;=0,'APPVII PG1'!J54-'APPVII PG1'!H54,0)</f>
        <v>0</v>
      </c>
    </row>
    <row r="24" spans="1:13" ht="15">
      <c r="A24" s="97"/>
      <c r="B24" s="29" t="s">
        <v>1243</v>
      </c>
      <c r="C24" s="43">
        <f>IF('APPVII PG1'!J41-'APPVII PG1'!H41&gt;=0,0,'APPVII PG1'!J41-'APPVII PG1'!H41)*-1</f>
        <v>0</v>
      </c>
      <c r="D24" s="43"/>
      <c r="E24" s="43">
        <f>IF('APPVII PG1'!J41-'APPVII PG1'!H41&gt;=0,'APPVII PG1'!J41-'APPVII PG1'!H41,0)</f>
        <v>0</v>
      </c>
      <c r="F24" s="43"/>
      <c r="G24" s="43">
        <f>IF('APPVII PG1'!J48-'APPVII PG1'!H48&gt;=0,0,'APPVII PG1'!J48-'APPVII PG1'!H48)*-1</f>
        <v>0</v>
      </c>
      <c r="H24" s="43"/>
      <c r="I24" s="43">
        <f>IF('APPVII PG1'!J48-'APPVII PG1'!H48&gt;=0,'APPVII PG1'!J48-'APPVII PG1'!H48,0)</f>
        <v>0</v>
      </c>
      <c r="J24" s="45"/>
      <c r="K24" s="41">
        <f>IF('APPVII PG1'!J55-'APPVII PG1'!H55&gt;=0,0,'APPVII PG1'!J55-'APPVII PG1'!H55)*-1</f>
        <v>0</v>
      </c>
      <c r="L24" s="43"/>
      <c r="M24" s="41">
        <f>IF('APPVII PG1'!J55-'APPVII PG1'!H55&gt;=0,'APPVII PG1'!J55-'APPVII PG1'!H55,0)</f>
        <v>0</v>
      </c>
    </row>
    <row r="25" spans="1:13" ht="15">
      <c r="A25" s="97"/>
      <c r="B25" s="29" t="s">
        <v>1395</v>
      </c>
      <c r="C25" s="42">
        <f>IF(SUM(E20:E24)&lt;=0,0,SUM(E20:E24))</f>
        <v>0</v>
      </c>
      <c r="D25" s="41"/>
      <c r="E25" s="42">
        <f>IF(SUM(C20:C24)&lt;=0,0,SUM(C20:C24))</f>
        <v>0</v>
      </c>
      <c r="F25" s="41"/>
      <c r="G25" s="42">
        <f>IF(SUM(I20:I24)&lt;=0,0,SUM(I20:I24))</f>
        <v>0</v>
      </c>
      <c r="H25" s="41"/>
      <c r="I25" s="42">
        <f>IF(SUM(G20:G24)&lt;=0,0,SUM(G20:G24))</f>
        <v>0</v>
      </c>
      <c r="K25" s="42">
        <f>IF(SUM(M20:M24)&lt;=0,0,SUM(M20:M24))</f>
        <v>0</v>
      </c>
      <c r="L25" s="41"/>
      <c r="M25" s="42">
        <f>IF(SUM(K20:K24)&lt;=0,0,SUM(K20:K24))</f>
        <v>0</v>
      </c>
    </row>
    <row r="26" spans="1:15" ht="15">
      <c r="A26" s="97"/>
      <c r="B26" s="29" t="s">
        <v>1348</v>
      </c>
      <c r="C26" s="41">
        <f>SUM(C20:C25)</f>
        <v>0</v>
      </c>
      <c r="D26" s="41"/>
      <c r="E26" s="41">
        <f>SUM(E20:E25)</f>
        <v>0</v>
      </c>
      <c r="F26" s="41"/>
      <c r="G26" s="41">
        <f>SUM(G20:G25)</f>
        <v>0</v>
      </c>
      <c r="H26" s="41"/>
      <c r="I26" s="41">
        <f>SUM(I20:I25)</f>
        <v>0</v>
      </c>
      <c r="K26" s="41">
        <f>SUM(K20:K25)</f>
        <v>0</v>
      </c>
      <c r="L26" s="41"/>
      <c r="M26" s="41">
        <f>SUM(M20:M25)</f>
        <v>0</v>
      </c>
      <c r="N26" s="550" t="s">
        <v>144</v>
      </c>
      <c r="O26" s="39">
        <f>ABS(C26-G26)</f>
        <v>0</v>
      </c>
    </row>
    <row r="27" spans="1:13" ht="15">
      <c r="A27" s="97"/>
      <c r="C27" s="41"/>
      <c r="D27" s="41"/>
      <c r="E27" s="41"/>
      <c r="F27" s="41"/>
      <c r="G27" s="41"/>
      <c r="H27" s="41"/>
      <c r="I27" s="41"/>
      <c r="J27" s="51"/>
      <c r="K27" s="41"/>
      <c r="L27" s="41"/>
      <c r="M27" s="41"/>
    </row>
    <row r="28" spans="1:14" ht="15">
      <c r="A28" s="96" t="s">
        <v>316</v>
      </c>
      <c r="B28" s="51" t="s">
        <v>1239</v>
      </c>
      <c r="C28" s="41">
        <f>IF('APPVII PG2'!N13-('APPVII PG2'!J13+'APPVII PG2'!L13)&gt;=0,0,'APPVII PG2'!N13-('APPVII PG2'!J13+'APPVII PG2'!L13))*-1</f>
        <v>0</v>
      </c>
      <c r="D28" s="41"/>
      <c r="E28" s="41">
        <f>IF('APPVII PG2'!N13-('APPVII PG2'!J13+'APPVII PG2'!L13)&lt;=0,0,'APPVII PG2'!N13-('APPVII PG2'!J13+'APPVII PG2'!L13))</f>
        <v>55476</v>
      </c>
      <c r="F28" s="41"/>
      <c r="G28" s="41">
        <f>IF('APPVII PG2'!N20-('APPVII PG2'!J20+'APPVII PG2'!L20)&gt;=0,0,'APPVII PG2'!N20-('APPVII PG2'!J20+'APPVII PG2'!L20))*-1</f>
        <v>0</v>
      </c>
      <c r="H28" s="41"/>
      <c r="I28" s="41">
        <f>IF('APPVII PG2'!N20-('APPVII PG2'!J20+'APPVII PG2'!L20)&gt;=0,'APPVII PG2'!N20-('APPVII PG2'!J20+'APPVII PG2'!L20),0)</f>
        <v>58313</v>
      </c>
      <c r="J28" s="51"/>
      <c r="K28" s="41">
        <f>IF('APPVII PG2'!N27-('APPVII PG2'!J27+'APPVII PG2'!L27)&gt;=0,0,'APPVII PG2'!N27-('APPVII PG2'!J27+'APPVII PG2'!L27))*-1</f>
        <v>2837</v>
      </c>
      <c r="L28" s="41"/>
      <c r="M28" s="41">
        <f>IF('APPVII PG2'!N27-('APPVII PG2'!J27+'APPVII PG2'!L27)&gt;=0,'APPVII PG2'!N27-('APPVII PG2'!J27+'APPVII PG2'!L27),0)</f>
        <v>0</v>
      </c>
      <c r="N28" s="260"/>
    </row>
    <row r="29" spans="1:14" ht="15">
      <c r="A29" s="96"/>
      <c r="B29" s="51" t="s">
        <v>1240</v>
      </c>
      <c r="C29" s="41">
        <f>IF('APPVII PG2'!N14-('APPVII PG2'!J14+'APPVII PG2'!L14)&gt;=0,0,'APPVII PG2'!N14-('APPVII PG2'!J14+'APPVII PG2'!L14))*-1</f>
        <v>0</v>
      </c>
      <c r="D29" s="41"/>
      <c r="E29" s="41">
        <f>IF('APPVII PG2'!N14-('APPVII PG2'!J14+'APPVII PG2'!L14)&lt;=0,0,'APPVII PG2'!N14-('APPVII PG2'!J14+'APPVII PG2'!L14))</f>
        <v>11178</v>
      </c>
      <c r="F29" s="41"/>
      <c r="G29" s="41">
        <f>IF('APPVII PG2'!N21-('APPVII PG2'!J21+'APPVII PG2'!L21)&gt;=0,0,'APPVII PG2'!N21-('APPVII PG2'!J21+'APPVII PG2'!L21))*-1</f>
        <v>0</v>
      </c>
      <c r="H29" s="41"/>
      <c r="I29" s="41">
        <f>IF('APPVII PG2'!N21-('APPVII PG2'!J21+'APPVII PG2'!L21)&gt;=0,'APPVII PG2'!N21-('APPVII PG2'!J21+'APPVII PG2'!L21),0)</f>
        <v>11750</v>
      </c>
      <c r="J29" s="51"/>
      <c r="K29" s="41">
        <f>IF('APPVII PG2'!N28-('APPVII PG2'!J28+'APPVII PG2'!L28)&gt;=0,0,'APPVII PG2'!N28-('APPVII PG2'!J28+'APPVII PG2'!L28))*-1</f>
        <v>572</v>
      </c>
      <c r="L29" s="41"/>
      <c r="M29" s="41">
        <f>IF('APPVII PG2'!N28-('APPVII PG2'!J28+'APPVII PG2'!L28)&gt;=0,'APPVII PG2'!N28-('APPVII PG2'!J28+'APPVII PG2'!L28),0)</f>
        <v>0</v>
      </c>
      <c r="N29" s="2"/>
    </row>
    <row r="30" spans="1:14" ht="15">
      <c r="A30" s="96" t="s">
        <v>1236</v>
      </c>
      <c r="B30" s="51" t="s">
        <v>1241</v>
      </c>
      <c r="C30" s="41">
        <f>IF('APPVII PG2'!N15-('APPVII PG2'!J15+'APPVII PG2'!L15)&gt;=0,0,'APPVII PG2'!N15-('APPVII PG2'!J15+'APPVII PG2'!L15))*-1</f>
        <v>0</v>
      </c>
      <c r="D30" s="41"/>
      <c r="E30" s="41">
        <f>IF('APPVII PG2'!N15-('APPVII PG2'!J15+'APPVII PG2'!L15)&lt;=0,0,'APPVII PG2'!N15-('APPVII PG2'!J15+'APPVII PG2'!L15))</f>
        <v>28474</v>
      </c>
      <c r="F30" s="41"/>
      <c r="G30" s="41">
        <f>IF('APPVII PG2'!N22-('APPVII PG2'!J22+'APPVII PG2'!L22)&gt;=0,0,'APPVII PG2'!N22-('APPVII PG2'!J22+'APPVII PG2'!L22))*-1</f>
        <v>0</v>
      </c>
      <c r="H30" s="41"/>
      <c r="I30" s="41">
        <f>IF('APPVII PG2'!N22-('APPVII PG2'!J22+'APPVII PG2'!L22)&gt;=0,'APPVII PG2'!N22-('APPVII PG2'!J22+'APPVII PG2'!L22),0)</f>
        <v>29930</v>
      </c>
      <c r="J30" s="51"/>
      <c r="K30" s="41">
        <f>IF('APPVII PG2'!N29-('APPVII PG2'!J29+'APPVII PG2'!L29)&gt;=0,0,'APPVII PG2'!N29-('APPVII PG2'!J29+'APPVII PG2'!L29))*-1</f>
        <v>1456</v>
      </c>
      <c r="L30" s="41"/>
      <c r="M30" s="41">
        <f>IF('APPVII PG2'!N29-('APPVII PG2'!J29+'APPVII PG2'!L29)&gt;=0,'APPVII PG2'!N29-('APPVII PG2'!J29+'APPVII PG2'!L29),0)</f>
        <v>0</v>
      </c>
      <c r="N30" s="2"/>
    </row>
    <row r="31" spans="1:14" ht="15">
      <c r="A31" s="97"/>
      <c r="B31" s="51" t="s">
        <v>1242</v>
      </c>
      <c r="C31" s="41">
        <f>IF('APPVII PG2'!N16-('APPVII PG2'!J16+'APPVII PG2'!L16)&gt;=0,0,'APPVII PG2'!N16-('APPVII PG2'!J16+'APPVII PG2'!L16))*-1</f>
        <v>0</v>
      </c>
      <c r="D31" s="41"/>
      <c r="E31" s="41">
        <f>IF('APPVII PG2'!N16-('APPVII PG2'!J16+'APPVII PG2'!L16)&lt;=0,0,'APPVII PG2'!N16-('APPVII PG2'!J16+'APPVII PG2'!L16))</f>
        <v>36447</v>
      </c>
      <c r="F31" s="41"/>
      <c r="G31" s="41">
        <f>IF('APPVII PG2'!N23-('APPVII PG2'!J23+'APPVII PG2'!L23)&gt;=0,0,'APPVII PG2'!N23-('APPVII PG2'!J23+'APPVII PG2'!L23))*-1</f>
        <v>0</v>
      </c>
      <c r="H31" s="41"/>
      <c r="I31" s="41">
        <f>IF('APPVII PG2'!N23-('APPVII PG2'!J23+'APPVII PG2'!L23)&gt;=0,'APPVII PG2'!N23-('APPVII PG2'!J23+'APPVII PG2'!L23),0)</f>
        <v>38310</v>
      </c>
      <c r="J31" s="51"/>
      <c r="K31" s="41">
        <f>IF('APPVII PG2'!N30-('APPVII PG2'!J30+'APPVII PG2'!L30)&gt;=0,0,'APPVII PG2'!N30-('APPVII PG2'!J30+'APPVII PG2'!L30))*-1</f>
        <v>1863</v>
      </c>
      <c r="L31" s="41"/>
      <c r="M31" s="41">
        <f>IF('APPVII PG2'!N30-('APPVII PG2'!J30+'APPVII PG2'!L30)&gt;=0,'APPVII PG2'!N30-('APPVII PG2'!J30+'APPVII PG2'!L30),0)</f>
        <v>0</v>
      </c>
      <c r="N31" s="2"/>
    </row>
    <row r="32" spans="1:14" ht="15">
      <c r="A32" s="97"/>
      <c r="B32" s="51" t="s">
        <v>1243</v>
      </c>
      <c r="C32" s="41">
        <f>IF('APPVII PG2'!N17-('APPVII PG2'!J17+'APPVII PG2'!L17)&gt;=0,0,'APPVII PG2'!N17-('APPVII PG2'!J17+'APPVII PG2'!L17))*-1</f>
        <v>0</v>
      </c>
      <c r="D32" s="41"/>
      <c r="E32" s="41">
        <f>IF('APPVII PG2'!N17-('APPVII PG2'!J17+'APPVII PG2'!L17)&lt;=0,0,'APPVII PG2'!N17-('APPVII PG2'!J17+'APPVII PG2'!L17))</f>
        <v>29422</v>
      </c>
      <c r="F32" s="41"/>
      <c r="G32" s="41">
        <f>IF('APPVII PG2'!N24-('APPVII PG2'!J24+'APPVII PG2'!L24)&gt;=0,0,'APPVII PG2'!N24-('APPVII PG2'!J24+'APPVII PG2'!L24))*-1</f>
        <v>0</v>
      </c>
      <c r="H32" s="41"/>
      <c r="I32" s="41">
        <f>IF('APPVII PG2'!N24-('APPVII PG2'!J24+'APPVII PG2'!L24)&gt;=0,'APPVII PG2'!N24-('APPVII PG2'!J24+'APPVII PG2'!L24),0)</f>
        <v>30927</v>
      </c>
      <c r="J32" s="51"/>
      <c r="K32" s="41">
        <f>IF('APPVII PG2'!N31-('APPVII PG2'!J31+'APPVII PG2'!L31)&gt;=0,0,'APPVII PG2'!N31-('APPVII PG2'!J31+'APPVII PG2'!L31))*-1</f>
        <v>1505</v>
      </c>
      <c r="L32" s="41"/>
      <c r="M32" s="41">
        <f>IF('APPVII PG2'!N31-('APPVII PG2'!J31+'APPVII PG2'!L31)&gt;=0,'APPVII PG2'!N31-('APPVII PG2'!J31+'APPVII PG2'!L31),0)</f>
        <v>0</v>
      </c>
      <c r="N32" s="2"/>
    </row>
    <row r="33" spans="1:14" ht="15">
      <c r="A33" s="97"/>
      <c r="B33" s="29" t="s">
        <v>1395</v>
      </c>
      <c r="C33" s="42">
        <f>IF(SUM(E28:E32)&lt;=0,0,SUM(E28:E32))</f>
        <v>160997</v>
      </c>
      <c r="D33" s="43"/>
      <c r="E33" s="42">
        <f>IF(SUM(C28:C32)&lt;=0,0,SUM(C28:C32))</f>
        <v>0</v>
      </c>
      <c r="F33" s="43"/>
      <c r="G33" s="42">
        <f>IF(SUM(I28:I32)&lt;=0,0,SUM(I28:I32))</f>
        <v>169230</v>
      </c>
      <c r="H33" s="43"/>
      <c r="I33" s="42">
        <f>IF(SUM(G28:G32)&lt;=0,0,SUM(G28:G32))</f>
        <v>0</v>
      </c>
      <c r="J33" s="227"/>
      <c r="K33" s="42">
        <f>IF(SUM(M28:M32)&lt;=0,0,SUM(M28:M32))</f>
        <v>0</v>
      </c>
      <c r="L33" s="43"/>
      <c r="M33" s="42">
        <f>IF(SUM(K28:K32)&lt;=0,0,SUM(K28:K32))</f>
        <v>8233</v>
      </c>
      <c r="N33" s="2"/>
    </row>
    <row r="34" spans="1:15" ht="15">
      <c r="A34" s="97"/>
      <c r="B34" s="29" t="s">
        <v>1348</v>
      </c>
      <c r="C34" s="43">
        <f>SUM(C28:C33)</f>
        <v>160997</v>
      </c>
      <c r="D34" s="43"/>
      <c r="E34" s="43">
        <f>SUM(E28:E33)</f>
        <v>160997</v>
      </c>
      <c r="F34" s="43">
        <f>SUM(F28:F33)</f>
        <v>0</v>
      </c>
      <c r="G34" s="43">
        <f>SUM(G28:G33)</f>
        <v>169230</v>
      </c>
      <c r="H34" s="43"/>
      <c r="I34" s="43">
        <f>SUM(I28:I33)</f>
        <v>169230</v>
      </c>
      <c r="J34" s="227"/>
      <c r="K34" s="43">
        <f>SUM(K28:K33)</f>
        <v>8233</v>
      </c>
      <c r="L34" s="43"/>
      <c r="M34" s="43">
        <f>SUM(M28:M33)</f>
        <v>8233</v>
      </c>
      <c r="N34" s="550" t="s">
        <v>144</v>
      </c>
      <c r="O34" s="39">
        <f>ABS(C34-G34)</f>
        <v>8233</v>
      </c>
    </row>
    <row r="35" spans="1:13" ht="15">
      <c r="A35" s="97"/>
      <c r="C35" s="41"/>
      <c r="D35" s="41"/>
      <c r="E35" s="41"/>
      <c r="F35" s="41"/>
      <c r="G35" s="41"/>
      <c r="H35" s="41"/>
      <c r="I35" s="41"/>
      <c r="K35" s="41"/>
      <c r="L35" s="41"/>
      <c r="M35" s="41"/>
    </row>
    <row r="36" spans="1:14" ht="15">
      <c r="A36" s="96" t="s">
        <v>100</v>
      </c>
      <c r="B36" s="29" t="s">
        <v>1239</v>
      </c>
      <c r="C36" s="41">
        <f>IF('APPVII PG2'!N40-'APPVII PG2'!L40-'APPVII PG2'!F40&gt;=0,0,'APPVII PG2'!N40-'APPVII PG2'!L40-'APPVII PG2'!F40)*-1</f>
        <v>53455</v>
      </c>
      <c r="D36" s="41"/>
      <c r="E36" s="41">
        <f>IF('APPVII PG2'!N40-'APPVII PG2'!L40-'APPVII PG2'!F40&lt;=0,0,'APPVII PG2'!N40-'APPVII PG2'!L40-'APPVII PG2'!F40)</f>
        <v>0</v>
      </c>
      <c r="F36" s="41"/>
      <c r="G36" s="41">
        <f>IF('APPVII PG2'!N47-'APPVII PG2'!L47-'APPVII PG2'!F47&gt;=0,0,'APPVII PG2'!N47-'APPVII PG2'!L47-'APPVII PG2'!F47)*-1</f>
        <v>41789</v>
      </c>
      <c r="H36" s="41"/>
      <c r="I36" s="41">
        <f>IF('APPVII PG2'!N47-'APPVII PG2'!L47-'APPVII PG2'!F47&gt;=0,'APPVII PG2'!N47-'APPVII PG2'!L47-'APPVII PG2'!F47,0)</f>
        <v>0</v>
      </c>
      <c r="J36" s="51"/>
      <c r="K36" s="41">
        <f>IF('APPVII PG2'!N54-'APPVII PG2'!L54-'APPVII PG2'!F54&gt;=0,0,'APPVII PG2'!N54-'APPVII PG2'!L54-'APPVII PG2'!F54)*-1</f>
        <v>11666</v>
      </c>
      <c r="L36" s="41"/>
      <c r="M36" s="41">
        <f>IF('APPVII PG2'!N54-'APPVII PG2'!L54-'APPVII PG2'!F54&gt;=0,'APPVII PG2'!N54-'APPVII PG2'!L54-'APPVII PG2'!F54,0)</f>
        <v>0</v>
      </c>
      <c r="N36" s="2"/>
    </row>
    <row r="37" spans="1:14" ht="15">
      <c r="A37" s="96" t="s">
        <v>349</v>
      </c>
      <c r="B37" s="29" t="s">
        <v>1240</v>
      </c>
      <c r="C37" s="41">
        <f>IF('APPVII PG2'!N41-'APPVII PG2'!L41-'APPVII PG2'!F41&gt;=0,0,'APPVII PG2'!N41-'APPVII PG2'!L41-'APPVII PG2'!F41)*-1</f>
        <v>10770</v>
      </c>
      <c r="D37" s="41"/>
      <c r="E37" s="41">
        <f>IF('APPVII PG2'!N41-'APPVII PG2'!L41-'APPVII PG2'!F41&lt;=0,0,'APPVII PG2'!N41-'APPVII PG2'!L41-'APPVII PG2'!F41)</f>
        <v>0</v>
      </c>
      <c r="F37" s="41"/>
      <c r="G37" s="41">
        <f>IF('APPVII PG2'!N48-'APPVII PG2'!L48-'APPVII PG2'!F48&gt;=0,0,'APPVII PG2'!N48-'APPVII PG2'!L48-'APPVII PG2'!F48)*-1</f>
        <v>8420</v>
      </c>
      <c r="H37" s="41"/>
      <c r="I37" s="41">
        <f>IF('APPVII PG2'!N48-'APPVII PG2'!L48-'APPVII PG2'!F48&gt;=0,'APPVII PG2'!N48-'APPVII PG2'!L48-'APPVII PG2'!F48,0)</f>
        <v>0</v>
      </c>
      <c r="J37" s="51"/>
      <c r="K37" s="41">
        <f>IF('APPVII PG2'!N55-'APPVII PG2'!L55-'APPVII PG2'!F55&gt;=0,0,'APPVII PG2'!N55-'APPVII PG2'!L55-'APPVII PG2'!F55)*-1</f>
        <v>2350</v>
      </c>
      <c r="L37" s="41"/>
      <c r="M37" s="41">
        <f>IF('APPVII PG2'!N55-'APPVII PG2'!L55-'APPVII PG2'!F55&gt;=0,'APPVII PG2'!N55-'APPVII PG2'!L55-'APPVII PG2'!F55,0)</f>
        <v>0</v>
      </c>
      <c r="N37" s="2"/>
    </row>
    <row r="38" spans="1:14" ht="15">
      <c r="A38" s="125"/>
      <c r="B38" s="29" t="s">
        <v>1241</v>
      </c>
      <c r="C38" s="41">
        <f>IF('APPVII PG2'!N42-'APPVII PG2'!L42-'APPVII PG2'!F42&gt;=0,0,'APPVII PG2'!N42-'APPVII PG2'!L42-'APPVII PG2'!F42)*-1</f>
        <v>27444</v>
      </c>
      <c r="D38" s="41"/>
      <c r="E38" s="41">
        <f>IF('APPVII PG2'!N42-'APPVII PG2'!L42-'APPVII PG2'!F42&lt;=0,0,'APPVII PG2'!N42-'APPVII PG2'!L42-'APPVII PG2'!F42)</f>
        <v>0</v>
      </c>
      <c r="F38" s="41"/>
      <c r="G38" s="41">
        <f>IF('APPVII PG2'!N49-'APPVII PG2'!L49-'APPVII PG2'!F49&gt;=0,0,'APPVII PG2'!N49-'APPVII PG2'!L49-'APPVII PG2'!F49)*-1</f>
        <v>21451</v>
      </c>
      <c r="H38" s="41"/>
      <c r="I38" s="41">
        <f>IF('APPVII PG2'!N49-'APPVII PG2'!L49-'APPVII PG2'!F49&gt;=0,'APPVII PG2'!N49-'APPVII PG2'!L49-'APPVII PG2'!F49,0)</f>
        <v>0</v>
      </c>
      <c r="J38" s="51"/>
      <c r="K38" s="41">
        <f>IF('APPVII PG2'!N56-'APPVII PG2'!L56-'APPVII PG2'!F56&gt;=0,0,'APPVII PG2'!N56-'APPVII PG2'!L56-'APPVII PG2'!F56)*-1</f>
        <v>5993</v>
      </c>
      <c r="L38" s="41"/>
      <c r="M38" s="41">
        <f>IF('APPVII PG2'!N56-'APPVII PG2'!L56-'APPVII PG2'!F56&gt;=0,'APPVII PG2'!N56-'APPVII PG2'!L56-'APPVII PG2'!F56,0)</f>
        <v>0</v>
      </c>
      <c r="N38" s="2"/>
    </row>
    <row r="39" spans="1:14" ht="15">
      <c r="A39" s="97"/>
      <c r="B39" s="29" t="s">
        <v>1242</v>
      </c>
      <c r="C39" s="41">
        <f>IF('APPVII PG2'!N43-'APPVII PG2'!L43-'APPVII PG2'!F43&gt;=0,0,'APPVII PG2'!N43-'APPVII PG2'!L43-'APPVII PG2'!F43)*-1</f>
        <v>35130</v>
      </c>
      <c r="D39" s="41"/>
      <c r="E39" s="41">
        <f>IF('APPVII PG2'!N43-'APPVII PG2'!L43-'APPVII PG2'!F43&lt;=0,0,'APPVII PG2'!N43-'APPVII PG2'!L43-'APPVII PG2'!F43)</f>
        <v>0</v>
      </c>
      <c r="F39" s="41"/>
      <c r="G39" s="41">
        <f>IF('APPVII PG2'!N50-'APPVII PG2'!L50-'APPVII PG2'!F50&gt;=0,0,'APPVII PG2'!N50-'APPVII PG2'!L50-'APPVII PG2'!F50)*-1</f>
        <v>27459</v>
      </c>
      <c r="H39" s="41"/>
      <c r="I39" s="41">
        <f>IF('APPVII PG2'!N50-'APPVII PG2'!L50-'APPVII PG2'!F50&gt;=0,'APPVII PG2'!N50-'APPVII PG2'!L50-'APPVII PG2'!F50,0)</f>
        <v>0</v>
      </c>
      <c r="J39" s="51"/>
      <c r="K39" s="41">
        <f>IF('APPVII PG2'!N57-'APPVII PG2'!L57-'APPVII PG2'!F57&gt;=0,0,'APPVII PG2'!N57-'APPVII PG2'!L57-'APPVII PG2'!F57)*-1</f>
        <v>7671</v>
      </c>
      <c r="L39" s="41"/>
      <c r="M39" s="41">
        <f>IF('APPVII PG2'!N57-'APPVII PG2'!L57-'APPVII PG2'!F57&gt;=0,'APPVII PG2'!N57-'APPVII PG2'!L57-'APPVII PG2'!F57,0)</f>
        <v>0</v>
      </c>
      <c r="N39" s="2"/>
    </row>
    <row r="40" spans="1:14" ht="15">
      <c r="A40" s="97"/>
      <c r="B40" s="29" t="s">
        <v>1243</v>
      </c>
      <c r="C40" s="41">
        <f>IF('APPVII PG2'!N44-'APPVII PG2'!L44-'APPVII PG2'!F44&gt;=0,0,'APPVII PG2'!N44-'APPVII PG2'!L44-'APPVII PG2'!F44)*-1</f>
        <v>28352</v>
      </c>
      <c r="D40" s="41"/>
      <c r="E40" s="41">
        <f>IF('APPVII PG2'!N44-'APPVII PG2'!L44-'APPVII PG2'!F44&lt;=0,0,'APPVII PG2'!N44-'APPVII PG2'!L44-'APPVII PG2'!F44)</f>
        <v>0</v>
      </c>
      <c r="F40" s="43"/>
      <c r="G40" s="41">
        <f>IF('APPVII PG2'!N51-'APPVII PG2'!L51-'APPVII PG2'!F51&gt;=0,0,'APPVII PG2'!N51-'APPVII PG2'!L51-'APPVII PG2'!F51)*-1</f>
        <v>22163</v>
      </c>
      <c r="H40" s="41"/>
      <c r="I40" s="41">
        <f>IF('APPVII PG2'!N51-'APPVII PG2'!L51-'APPVII PG2'!F51&gt;=0,'APPVII PG2'!N51-'APPVII PG2'!L51-'APPVII PG2'!F51,0)</f>
        <v>0</v>
      </c>
      <c r="J40" s="227"/>
      <c r="K40" s="41">
        <f>IF('APPVII PG2'!N58-'APPVII PG2'!L58-'APPVII PG2'!F58&gt;=0,0,'APPVII PG2'!N58-'APPVII PG2'!L58-'APPVII PG2'!F58)*-1</f>
        <v>6189</v>
      </c>
      <c r="L40" s="41"/>
      <c r="M40" s="41">
        <f>IF('APPVII PG2'!N58-'APPVII PG2'!L58-'APPVII PG2'!F58&gt;=0,'APPVII PG2'!N58-'APPVII PG2'!L58-'APPVII PG2'!F58,0)</f>
        <v>0</v>
      </c>
      <c r="N40" s="2"/>
    </row>
    <row r="41" spans="1:14" ht="15">
      <c r="A41" s="97"/>
      <c r="B41" s="29" t="s">
        <v>1395</v>
      </c>
      <c r="C41" s="42">
        <f>IF(SUM(E36:E40)&lt;=0,0,SUM(E36:E40))</f>
        <v>0</v>
      </c>
      <c r="D41" s="41"/>
      <c r="E41" s="42">
        <f>IF(SUM(C36:C40)&lt;=0,0,SUM(C36:C40))</f>
        <v>155151</v>
      </c>
      <c r="F41" s="41"/>
      <c r="G41" s="42">
        <f>IF(SUM(I36:I40)&lt;=0,0,SUM(I36:I40))</f>
        <v>0</v>
      </c>
      <c r="H41" s="41"/>
      <c r="I41" s="42">
        <f>IF(SUM(G36:G40)&lt;=0,0,SUM(G36:G40))</f>
        <v>121282</v>
      </c>
      <c r="J41" s="51"/>
      <c r="K41" s="42">
        <f>IF(SUM(M36:M40)&lt;=0,0,SUM(M36:M40))</f>
        <v>0</v>
      </c>
      <c r="L41" s="41"/>
      <c r="M41" s="42">
        <f>IF(SUM(K36:K40)&lt;=0,0,SUM(K36:K40))</f>
        <v>33869</v>
      </c>
      <c r="N41" s="2"/>
    </row>
    <row r="42" spans="1:15" ht="15">
      <c r="A42" s="97"/>
      <c r="B42" s="29" t="s">
        <v>1348</v>
      </c>
      <c r="C42" s="41">
        <f>SUM(C36:C41)</f>
        <v>155151</v>
      </c>
      <c r="D42" s="41"/>
      <c r="E42" s="41">
        <f>SUM(E36:E41)</f>
        <v>155151</v>
      </c>
      <c r="F42" s="41"/>
      <c r="G42" s="41">
        <f>SUM(G36:G41)</f>
        <v>121282</v>
      </c>
      <c r="H42" s="41"/>
      <c r="I42" s="41">
        <f>SUM(I36:I41)</f>
        <v>121282</v>
      </c>
      <c r="J42" s="51"/>
      <c r="K42" s="41">
        <f>SUM(K36:K41)</f>
        <v>33869</v>
      </c>
      <c r="L42" s="41"/>
      <c r="M42" s="41">
        <f>SUM(M36:M41)</f>
        <v>33869</v>
      </c>
      <c r="N42" s="550" t="s">
        <v>144</v>
      </c>
      <c r="O42" s="39">
        <f>ABS(C42-G42)</f>
        <v>33869</v>
      </c>
    </row>
    <row r="43" spans="1:13" ht="15">
      <c r="A43" s="97"/>
      <c r="C43" s="41"/>
      <c r="D43" s="41"/>
      <c r="E43" s="41"/>
      <c r="F43" s="41"/>
      <c r="G43" s="41"/>
      <c r="H43" s="41"/>
      <c r="I43" s="41"/>
      <c r="K43" s="41"/>
      <c r="L43" s="41"/>
      <c r="M43" s="41"/>
    </row>
    <row r="44" spans="1:13" ht="15">
      <c r="A44" s="96" t="s">
        <v>1077</v>
      </c>
      <c r="B44" s="29" t="s">
        <v>1239</v>
      </c>
      <c r="C44" s="41">
        <f>IF(-'APPVII PG3'!H12+'APPVII PG3'!I12+'APPVII PG3'!J12&gt;=0,0,-'APPVII PG3'!H12+'APPVII PG3'!I12+'APPVII PG3'!J12)*-1</f>
        <v>1609059</v>
      </c>
      <c r="D44" s="41"/>
      <c r="E44" s="41">
        <f>IF(-'APPVII PG3'!H12+'APPVII PG3'!I12+'APPVII PG3'!J12&gt;=0,-'APPVII PG3'!H12+'APPVII PG3'!I12+'APPVII PG3'!J12,0)</f>
        <v>0</v>
      </c>
      <c r="F44" s="41"/>
      <c r="G44" s="41">
        <f>IF(-'APPVII PG3'!H19+'APPVII PG3'!I19+'APPVII PG3'!J19&gt;=0,0,-'APPVII PG3'!H19+'APPVII PG3'!I19+'APPVII PG3'!J19)*-1</f>
        <v>1609521</v>
      </c>
      <c r="H44" s="41"/>
      <c r="I44" s="41">
        <f>IF(-'APPVII PG3'!H19+'APPVII PG3'!I19+'APPVII PG3'!J19&gt;=0,-'APPVII PG3'!H19+'APPVII PG3'!I19+'APPVII PG3'!J19,0)</f>
        <v>0</v>
      </c>
      <c r="K44" s="41">
        <f>IF(-'APPVII PG3'!H26+'APPVII PG3'!I26+'APPVII PG3'!J26&gt;=0,0,-'APPVII PG3'!H26+'APPVII PG3'!I26+'APPVII PG3'!J26)*-1</f>
        <v>0</v>
      </c>
      <c r="L44" s="41"/>
      <c r="M44" s="41">
        <f>IF(-'APPVII PG3'!H26+'APPVII PG3'!I26+'APPVII PG3'!J26&gt;=0,-'APPVII PG3'!H26+'APPVII PG3'!I26+'APPVII PG3'!J26,0)</f>
        <v>462</v>
      </c>
    </row>
    <row r="45" spans="1:13" ht="15">
      <c r="A45" s="125"/>
      <c r="B45" s="29" t="s">
        <v>1240</v>
      </c>
      <c r="C45" s="41">
        <f>IF(-'APPVII PG3'!H13+'APPVII PG3'!I13+'APPVII PG3'!J13&gt;=0,0,-'APPVII PG3'!H13+'APPVII PG3'!I13+'APPVII PG3'!J13)*-1</f>
        <v>324211</v>
      </c>
      <c r="D45" s="41"/>
      <c r="E45" s="41">
        <f>IF(-'APPVII PG3'!H13+'APPVII PG3'!I13+'APPVII PG3'!J13&gt;=0,-'APPVII PG3'!H13+'APPVII PG3'!I13+'APPVII PG3'!J13,0)</f>
        <v>0</v>
      </c>
      <c r="F45" s="41"/>
      <c r="G45" s="41">
        <f>IF(-'APPVII PG3'!H20+'APPVII PG3'!I20+'APPVII PG3'!J20&gt;=0,0,-'APPVII PG3'!H20+'APPVII PG3'!I20+'APPVII PG3'!J20)*-1</f>
        <v>324304</v>
      </c>
      <c r="H45" s="41"/>
      <c r="I45" s="41">
        <f>IF(-'APPVII PG3'!H20+'APPVII PG3'!I20+'APPVII PG3'!J20&gt;=0,-'APPVII PG3'!H20+'APPVII PG3'!I20+'APPVII PG3'!J20,0)</f>
        <v>0</v>
      </c>
      <c r="K45" s="41">
        <f>IF(-'APPVII PG3'!H27+'APPVII PG3'!I27+'APPVII PG3'!J27&gt;=0,0,-'APPVII PG3'!H27+'APPVII PG3'!I27+'APPVII PG3'!J27)*-1</f>
        <v>0</v>
      </c>
      <c r="L45" s="41"/>
      <c r="M45" s="41">
        <f>IF(-'APPVII PG3'!H27+'APPVII PG3'!I27+'APPVII PG3'!J27&gt;=0,-'APPVII PG3'!H27+'APPVII PG3'!I27+'APPVII PG3'!J27,0)</f>
        <v>93</v>
      </c>
    </row>
    <row r="46" spans="1:13" ht="15">
      <c r="A46" s="97"/>
      <c r="B46" s="29" t="s">
        <v>1241</v>
      </c>
      <c r="C46" s="41">
        <f>IF(-'APPVII PG3'!H14+'APPVII PG3'!I14+'APPVII PG3'!J14&gt;=0,0,-'APPVII PG3'!H14+'APPVII PG3'!I14+'APPVII PG3'!J14)*-1</f>
        <v>825869</v>
      </c>
      <c r="D46" s="41"/>
      <c r="E46" s="41">
        <f>IF(-'APPVII PG3'!H14+'APPVII PG3'!I14+'APPVII PG3'!J14&gt;=0,-'APPVII PG3'!H14+'APPVII PG3'!I14+'APPVII PG3'!J14,0)</f>
        <v>0</v>
      </c>
      <c r="F46" s="41"/>
      <c r="G46" s="41">
        <f>IF(-'APPVII PG3'!H21+'APPVII PG3'!I21+'APPVII PG3'!J21&gt;=0,0,-'APPVII PG3'!H21+'APPVII PG3'!I21+'APPVII PG3'!J21)*-1</f>
        <v>826106</v>
      </c>
      <c r="H46" s="41"/>
      <c r="I46" s="41">
        <f>IF(-'APPVII PG3'!H21+'APPVII PG3'!I21+'APPVII PG3'!J21&gt;=0,-'APPVII PG3'!H21+'APPVII PG3'!I21+'APPVII PG3'!J21,0)</f>
        <v>0</v>
      </c>
      <c r="K46" s="41">
        <f>IF(-'APPVII PG3'!H28+'APPVII PG3'!I28+'APPVII PG3'!J28&gt;=0,0,-'APPVII PG3'!H28+'APPVII PG3'!I28+'APPVII PG3'!J28)*-1</f>
        <v>0</v>
      </c>
      <c r="L46" s="41"/>
      <c r="M46" s="41">
        <f>IF(-'APPVII PG3'!H28+'APPVII PG3'!I28+'APPVII PG3'!J28&gt;=0,-'APPVII PG3'!H28+'APPVII PG3'!I28+'APPVII PG3'!J28,0)</f>
        <v>237</v>
      </c>
    </row>
    <row r="47" spans="1:13" ht="15">
      <c r="A47" s="97"/>
      <c r="B47" s="29" t="s">
        <v>1242</v>
      </c>
      <c r="C47" s="41">
        <f>IF(-'APPVII PG3'!H15+'APPVII PG3'!I15+'APPVII PG3'!J15&gt;=0,0,-'APPVII PG3'!H15+'APPVII PG3'!I15+'APPVII PG3'!J15)*-1</f>
        <v>1057108</v>
      </c>
      <c r="D47" s="41"/>
      <c r="E47" s="41">
        <f>IF(-'APPVII PG3'!H15+'APPVII PG3'!I15+'APPVII PG3'!J15&gt;=0,-'APPVII PG3'!H15+'APPVII PG3'!I15+'APPVII PG3'!J15,0)</f>
        <v>0</v>
      </c>
      <c r="F47" s="41"/>
      <c r="G47" s="41">
        <f>IF(-'APPVII PG3'!H22+'APPVII PG3'!I22+'APPVII PG3'!J22&gt;=0,0,-'APPVII PG3'!H22+'APPVII PG3'!I22+'APPVII PG3'!J22)*-1</f>
        <v>1057412</v>
      </c>
      <c r="H47" s="41"/>
      <c r="I47" s="41">
        <f>IF(-'APPVII PG3'!H22+'APPVII PG3'!I22+'APPVII PG3'!J22&gt;=0,-'APPVII PG3'!H22+'APPVII PG3'!I22+'APPVII PG3'!J22,0)</f>
        <v>0</v>
      </c>
      <c r="K47" s="41">
        <f>IF(-'APPVII PG3'!H29+'APPVII PG3'!I29+'APPVII PG3'!J29&gt;=0,0,-'APPVII PG3'!H29+'APPVII PG3'!I29+'APPVII PG3'!J29)*-1</f>
        <v>0</v>
      </c>
      <c r="L47" s="41"/>
      <c r="M47" s="41">
        <f>IF(-'APPVII PG3'!H29+'APPVII PG3'!I29+'APPVII PG3'!J29&gt;=0,-'APPVII PG3'!H29+'APPVII PG3'!I29+'APPVII PG3'!J29,0)</f>
        <v>304</v>
      </c>
    </row>
    <row r="48" spans="1:13" ht="15">
      <c r="A48" s="97"/>
      <c r="B48" s="29" t="s">
        <v>1243</v>
      </c>
      <c r="C48" s="41">
        <f>IF(-'APPVII PG3'!H16+'APPVII PG3'!I16+'APPVII PG3'!J16&gt;=0,0,-'APPVII PG3'!H16+'APPVII PG3'!I16+'APPVII PG3'!J16)*-1</f>
        <v>853373</v>
      </c>
      <c r="D48" s="41"/>
      <c r="E48" s="41">
        <f>IF(-'APPVII PG3'!H16+'APPVII PG3'!I16+'APPVII PG3'!J16&gt;=0,-'APPVII PG3'!H16+'APPVII PG3'!I16+'APPVII PG3'!J16,0)</f>
        <v>0</v>
      </c>
      <c r="F48" s="41"/>
      <c r="G48" s="41">
        <f>IF(-'APPVII PG3'!H23+'APPVII PG3'!I23+'APPVII PG3'!J23&gt;=0,0,-'APPVII PG3'!H23+'APPVII PG3'!I23+'APPVII PG3'!J23)*-1</f>
        <v>853619</v>
      </c>
      <c r="H48" s="41"/>
      <c r="I48" s="41">
        <f>IF(-'APPVII PG3'!H23+'APPVII PG3'!I23+'APPVII PG3'!J23&gt;=0,-'APPVII PG3'!H23+'APPVII PG3'!I23+'APPVII PG3'!J23,0)</f>
        <v>0</v>
      </c>
      <c r="K48" s="41">
        <f>IF(-'APPVII PG3'!H30+'APPVII PG3'!I30+'APPVII PG3'!J30&gt;=0,0,-'APPVII PG3'!H30+'APPVII PG3'!I30+'APPVII PG3'!J30)*-1</f>
        <v>0</v>
      </c>
      <c r="L48" s="41"/>
      <c r="M48" s="41">
        <f>IF(-'APPVII PG3'!H30+'APPVII PG3'!I30+'APPVII PG3'!J30&gt;=0,-'APPVII PG3'!H30+'APPVII PG3'!I30+'APPVII PG3'!J30,0)</f>
        <v>246</v>
      </c>
    </row>
    <row r="49" spans="1:13" ht="15">
      <c r="A49" s="97"/>
      <c r="B49" s="29" t="s">
        <v>1395</v>
      </c>
      <c r="C49" s="42">
        <f>IF(SUM(E44:E48)&lt;=0,0,SUM(E44:E48))</f>
        <v>0</v>
      </c>
      <c r="D49" s="41"/>
      <c r="E49" s="42">
        <f>IF(SUM(C44:C48)&lt;=0,0,SUM(C44:C48))</f>
        <v>4669620</v>
      </c>
      <c r="F49" s="41"/>
      <c r="G49" s="42">
        <f>IF(SUM(I44:I48)&lt;=0,0,SUM(I44:I48))</f>
        <v>0</v>
      </c>
      <c r="H49" s="41"/>
      <c r="I49" s="42">
        <f>IF(SUM(G44:G48)&lt;=0,0,SUM(G44:G48))</f>
        <v>4670962</v>
      </c>
      <c r="J49" s="51"/>
      <c r="K49" s="42">
        <f>IF(SUM(M44:M48)&lt;=0,0,SUM(M44:M48))</f>
        <v>1342</v>
      </c>
      <c r="L49" s="41"/>
      <c r="M49" s="42">
        <f>IF(SUM(K44:K48)&lt;=0,0,SUM(K44:K48))</f>
        <v>0</v>
      </c>
    </row>
    <row r="50" spans="1:15" ht="15">
      <c r="A50" s="97"/>
      <c r="B50" s="29" t="s">
        <v>1348</v>
      </c>
      <c r="C50" s="41">
        <f>SUM(C44:C49)</f>
        <v>4669620</v>
      </c>
      <c r="D50" s="41"/>
      <c r="E50" s="41">
        <f>SUM(E44:E49)</f>
        <v>4669620</v>
      </c>
      <c r="F50" s="41"/>
      <c r="G50" s="41">
        <f>SUM(G44:G49)</f>
        <v>4670962</v>
      </c>
      <c r="H50" s="41"/>
      <c r="I50" s="41">
        <f>SUM(I44:I49)</f>
        <v>4670962</v>
      </c>
      <c r="K50" s="41">
        <f>SUM(K44:K49)</f>
        <v>1342</v>
      </c>
      <c r="L50" s="41"/>
      <c r="M50" s="41">
        <f>SUM(M44:M49)</f>
        <v>1342</v>
      </c>
      <c r="N50" s="550" t="s">
        <v>144</v>
      </c>
      <c r="O50" s="39">
        <f>ABS(C50-G50)</f>
        <v>1342</v>
      </c>
    </row>
    <row r="51" spans="1:13" ht="15">
      <c r="A51" s="97"/>
      <c r="C51" s="41"/>
      <c r="D51" s="41"/>
      <c r="E51" s="41"/>
      <c r="F51" s="41"/>
      <c r="G51" s="41"/>
      <c r="H51" s="41"/>
      <c r="I51" s="41"/>
      <c r="K51" s="41"/>
      <c r="L51" s="41"/>
      <c r="M51" s="41"/>
    </row>
    <row r="52" spans="1:14" ht="15">
      <c r="A52" s="327" t="s">
        <v>1594</v>
      </c>
      <c r="B52" s="29" t="s">
        <v>1239</v>
      </c>
      <c r="C52" s="41">
        <f>IF('APPVII PG3'!U41+'APPVII PG3'!T41+'APPVII PG3'!S41+'APPVII PG3'!R41-'APPVII PG3'!Q41-'APPVII PG3'!P41-'APPVII PG3'!O41-'APPVII PG3'!N41-'APPVII PG3'!M41-'APPVII PG3'!L41-'APPVII PG3'!K41-'APPVII PG3'!J41-'APPVII PG3'!I41-'APPVII PG3'!E12&gt;=0,0,'APPVII PG3'!U41+'APPVII PG3'!T41+'APPVII PG3'!S41+'APPVII PG3'!R41-'APPVII PG3'!Q41-'APPVII PG3'!P41-'APPVII PG3'!O41-'APPVII PG3'!N41-'APPVII PG3'!M41-'APPVII PG3'!L41-'APPVII PG3'!K41-'APPVII PG3'!J41-'APPVII PG3'!I41-'APPVII PG3'!E12)*-1</f>
        <v>0</v>
      </c>
      <c r="D52" s="41"/>
      <c r="E52" s="41">
        <f>IF('APPVII PG3'!U41+'APPVII PG3'!T41+'APPVII PG3'!S41+'APPVII PG3'!R41-'APPVII PG3'!Q41-'APPVII PG3'!P41-'APPVII PG3'!O41-'APPVII PG3'!N41-'APPVII PG3'!M41-'APPVII PG3'!L41-'APPVII PG3'!K41-'APPVII PG3'!J41-'APPVII PG3'!I41-'APPVII PG3'!E12&lt;=0,0,'APPVII PG3'!U41+'APPVII PG3'!T41+'APPVII PG3'!S41+'APPVII PG3'!R41-'APPVII PG3'!Q41-'APPVII PG3'!P41-'APPVII PG3'!O41-'APPVII PG3'!N41-'APPVII PG3'!M41-'APPVII PG3'!L41-'APPVII PG3'!K41-'APPVII PG3'!J41-'APPVII PG3'!I41-'APPVII PG3'!E12)</f>
        <v>4172364</v>
      </c>
      <c r="F52" s="41"/>
      <c r="G52" s="41">
        <f>IF('APPVII PG3'!U48+'APPVII PG3'!T48+'APPVII PG3'!S48+'APPVII PG3'!R48-'APPVII PG3'!Q48-'APPVII PG3'!P48-'APPVII PG3'!O48-'APPVII PG3'!N48-'APPVII PG3'!M48-'APPVII PG3'!L48-'APPVII PG3'!K48-'APPVII PG3'!J48-'APPVII PG3'!I48-'APPVII PG3'!E19&gt;=0,0,'APPVII PG3'!U48+'APPVII PG3'!T48+'APPVII PG3'!S48+'APPVII PG3'!R48-'APPVII PG3'!Q48-'APPVII PG3'!P48-'APPVII PG3'!O48-'APPVII PG3'!N48-'APPVII PG3'!M48-'APPVII PG3'!L48-'APPVII PG3'!K48-'APPVII PG3'!J48-'APPVII PG3'!I48-'APPVII PG3'!E19)*-1</f>
        <v>0</v>
      </c>
      <c r="H52" s="41"/>
      <c r="I52" s="41">
        <f>IF('APPVII PG3'!U48+'APPVII PG3'!T48+'APPVII PG3'!S48+'APPVII PG3'!R48-'APPVII PG3'!Q48-'APPVII PG3'!P48-'APPVII PG3'!O48-'APPVII PG3'!N48-'APPVII PG3'!M48-'APPVII PG3'!L48-'APPVII PG3'!K48-'APPVII PG3'!J48-'APPVII PG3'!I48-'APPVII PG3'!E19&lt;=0,0,'APPVII PG3'!U48+'APPVII PG3'!T48+'APPVII PG3'!S48+'APPVII PG3'!R48-'APPVII PG3'!Q48-'APPVII PG3'!P48-'APPVII PG3'!O48-'APPVII PG3'!N48-'APPVII PG3'!M48-'APPVII PG3'!L48-'APPVII PG3'!K48-'APPVII PG3'!J48-'APPVII PG3'!I48-'APPVII PG3'!E19)</f>
        <v>4290964</v>
      </c>
      <c r="J52" s="51"/>
      <c r="K52" s="41">
        <f>IF('APPVII PG3'!U55+'APPVII PG3'!T55+'APPVII PG3'!S55+'APPVII PG3'!R55-'APPVII PG3'!Q55-'APPVII PG3'!P55-'APPVII PG3'!O55-'APPVII PG3'!N55-'APPVII PG3'!M55-'APPVII PG3'!L55-'APPVII PG3'!K55-'APPVII PG3'!J55-'APPVII PG3'!I55-'APPVII PG3'!E26&gt;=0,0,'APPVII PG3'!U55+'APPVII PG3'!T55+'APPVII PG3'!S55+'APPVII PG3'!R55-'APPVII PG3'!Q55-'APPVII PG3'!P55-'APPVII PG3'!O55-'APPVII PG3'!N55-'APPVII PG3'!M55-'APPVII PG3'!L55-'APPVII PG3'!K55-'APPVII PG3'!J55-'APPVII PG3'!I55-'APPVII PG3'!E26)*-1</f>
        <v>118600</v>
      </c>
      <c r="L52" s="41"/>
      <c r="M52" s="41">
        <f>IF('APPVII PG3'!U55+'APPVII PG3'!T55+'APPVII PG3'!S55+'APPVII PG3'!R55-'APPVII PG3'!Q55-'APPVII PG3'!P55-'APPVII PG3'!O55-'APPVII PG3'!N55-'APPVII PG3'!M55-'APPVII PG3'!L55-'APPVII PG3'!K55-'APPVII PG3'!J55-'APPVII PG3'!I55-'APPVII PG3'!E26&lt;=0,0,'APPVII PG3'!U55+'APPVII PG3'!T55+'APPVII PG3'!S55+'APPVII PG3'!R55-'APPVII PG3'!Q55-'APPVII PG3'!P55-'APPVII PG3'!O55-'APPVII PG3'!N55-'APPVII PG3'!M55-'APPVII PG3'!L55-'APPVII PG3'!K55-'APPVII PG3'!J55-'APPVII PG3'!I55-'APPVII PG3'!E26)</f>
        <v>0</v>
      </c>
      <c r="N52" s="17"/>
    </row>
    <row r="53" spans="1:14" ht="15">
      <c r="A53" s="327" t="s">
        <v>765</v>
      </c>
      <c r="B53" s="29" t="s">
        <v>1240</v>
      </c>
      <c r="C53" s="41">
        <f>IF('APPVII PG3'!U42+'APPVII PG3'!T42+'APPVII PG3'!S42+'APPVII PG3'!R42-'APPVII PG3'!Q42-'APPVII PG3'!P42-'APPVII PG3'!O42-'APPVII PG3'!N42-'APPVII PG3'!M42-'APPVII PG3'!L42-'APPVII PG3'!K42-'APPVII PG3'!J42-'APPVII PG3'!I42-'APPVII PG3'!E13&gt;=0,0,'APPVII PG3'!U42+'APPVII PG3'!T42+'APPVII PG3'!S42+'APPVII PG3'!R42-'APPVII PG3'!Q42-'APPVII PG3'!P42-'APPVII PG3'!O42-'APPVII PG3'!N42-'APPVII PG3'!M42-'APPVII PG3'!L42-'APPVII PG3'!K42-'APPVII PG3'!J42-'APPVII PG3'!I42-'APPVII PG3'!E13)*-1</f>
        <v>0</v>
      </c>
      <c r="D53" s="41"/>
      <c r="E53" s="41">
        <f>IF('APPVII PG3'!U42+'APPVII PG3'!T42+'APPVII PG3'!S42+'APPVII PG3'!R42-'APPVII PG3'!Q42-'APPVII PG3'!P42-'APPVII PG3'!O42-'APPVII PG3'!N42-'APPVII PG3'!M42-'APPVII PG3'!L42-'APPVII PG3'!K42-'APPVII PG3'!J42-'APPVII PG3'!I42-'APPVII PG3'!E13&lt;=0,0,'APPVII PG3'!U42+'APPVII PG3'!T42+'APPVII PG3'!S42+'APPVII PG3'!R42-'APPVII PG3'!Q42-'APPVII PG3'!P42-'APPVII PG3'!O42-'APPVII PG3'!N42-'APPVII PG3'!M42-'APPVII PG3'!L42-'APPVII PG3'!K42-'APPVII PG3'!J42-'APPVII PG3'!I42-'APPVII PG3'!E13)</f>
        <v>840697</v>
      </c>
      <c r="F53" s="41"/>
      <c r="G53" s="41">
        <f>IF('APPVII PG3'!U49+'APPVII PG3'!T49+'APPVII PG3'!S49+'APPVII PG3'!R49-'APPVII PG3'!Q49-'APPVII PG3'!P49-'APPVII PG3'!O49-'APPVII PG3'!N49-'APPVII PG3'!M49-'APPVII PG3'!L49-'APPVII PG3'!K49-'APPVII PG3'!J49-'APPVII PG3'!I49-'APPVII PG3'!E20&gt;=0,0,'APPVII PG3'!U49+'APPVII PG3'!T49+'APPVII PG3'!S49+'APPVII PG3'!R49-'APPVII PG3'!Q49-'APPVII PG3'!P49-'APPVII PG3'!O49-'APPVII PG3'!N49-'APPVII PG3'!M49-'APPVII PG3'!L49-'APPVII PG3'!K49-'APPVII PG3'!J49-'APPVII PG3'!I49-'APPVII PG3'!E20)*-1</f>
        <v>0</v>
      </c>
      <c r="H53" s="41"/>
      <c r="I53" s="41">
        <f>IF('APPVII PG3'!U49+'APPVII PG3'!T49+'APPVII PG3'!S49+'APPVII PG3'!R49-'APPVII PG3'!Q49-'APPVII PG3'!P49-'APPVII PG3'!O49-'APPVII PG3'!N49-'APPVII PG3'!M49-'APPVII PG3'!L49-'APPVII PG3'!K49-'APPVII PG3'!J49-'APPVII PG3'!I49-'APPVII PG3'!E20&lt;=0,0,'APPVII PG3'!U49+'APPVII PG3'!T49+'APPVII PG3'!S49+'APPVII PG3'!R49-'APPVII PG3'!Q49-'APPVII PG3'!P49-'APPVII PG3'!O49-'APPVII PG3'!N49-'APPVII PG3'!M49-'APPVII PG3'!L49-'APPVII PG3'!K49-'APPVII PG3'!J49-'APPVII PG3'!I49-'APPVII PG3'!E20)</f>
        <v>864594</v>
      </c>
      <c r="J53" s="51"/>
      <c r="K53" s="41">
        <f>IF('APPVII PG3'!U56+'APPVII PG3'!T56+'APPVII PG3'!S56+'APPVII PG3'!R56-'APPVII PG3'!Q56-'APPVII PG3'!P56-'APPVII PG3'!O56-'APPVII PG3'!N56-'APPVII PG3'!M56-'APPVII PG3'!L56-'APPVII PG3'!K56-'APPVII PG3'!J56-'APPVII PG3'!I56-'APPVII PG3'!E27&gt;=0,0,'APPVII PG3'!U56+'APPVII PG3'!T56+'APPVII PG3'!S56+'APPVII PG3'!R56-'APPVII PG3'!Q56-'APPVII PG3'!P56-'APPVII PG3'!O56-'APPVII PG3'!N56-'APPVII PG3'!M56-'APPVII PG3'!L56-'APPVII PG3'!K56-'APPVII PG3'!J56-'APPVII PG3'!I56-'APPVII PG3'!E27)*-1</f>
        <v>23897</v>
      </c>
      <c r="L53" s="41"/>
      <c r="M53" s="41">
        <f>IF('APPVII PG3'!U56+'APPVII PG3'!T56+'APPVII PG3'!S56+'APPVII PG3'!R56-'APPVII PG3'!Q56-'APPVII PG3'!P56-'APPVII PG3'!O56-'APPVII PG3'!N56-'APPVII PG3'!M56-'APPVII PG3'!L56-'APPVII PG3'!K56-'APPVII PG3'!J56-'APPVII PG3'!I56-'APPVII PG3'!E27&lt;=0,0,'APPVII PG3'!U56+'APPVII PG3'!T56+'APPVII PG3'!S56+'APPVII PG3'!R56-'APPVII PG3'!Q56-'APPVII PG3'!P56-'APPVII PG3'!O56-'APPVII PG3'!N56-'APPVII PG3'!M56-'APPVII PG3'!L56-'APPVII PG3'!K56-'APPVII PG3'!J56-'APPVII PG3'!I56-'APPVII PG3'!E27)</f>
        <v>0</v>
      </c>
      <c r="N53" s="17"/>
    </row>
    <row r="54" spans="1:14" ht="15">
      <c r="A54" s="97"/>
      <c r="B54" s="29" t="s">
        <v>1241</v>
      </c>
      <c r="C54" s="41">
        <f>IF('APPVII PG3'!U43+'APPVII PG3'!T43+'APPVII PG3'!S43+'APPVII PG3'!R43-'APPVII PG3'!Q43-'APPVII PG3'!P43-'APPVII PG3'!O43-'APPVII PG3'!N43-'APPVII PG3'!M43-'APPVII PG3'!L43-'APPVII PG3'!K43-'APPVII PG3'!J43-'APPVII PG3'!I43-'APPVII PG3'!E14&gt;=0,0,'APPVII PG3'!U43+'APPVII PG3'!T43+'APPVII PG3'!S43+'APPVII PG3'!R43-'APPVII PG3'!Q43-'APPVII PG3'!P43-'APPVII PG3'!O43-'APPVII PG3'!N43-'APPVII PG3'!M43-'APPVII PG3'!L43-'APPVII PG3'!K43-'APPVII PG3'!J43-'APPVII PG3'!I43-'APPVII PG3'!E14)*-1</f>
        <v>0</v>
      </c>
      <c r="D54" s="41"/>
      <c r="E54" s="41">
        <f>IF('APPVII PG3'!U43+'APPVII PG3'!T43+'APPVII PG3'!S43+'APPVII PG3'!R43-'APPVII PG3'!Q43-'APPVII PG3'!P43-'APPVII PG3'!O43-'APPVII PG3'!N43-'APPVII PG3'!M43-'APPVII PG3'!L43-'APPVII PG3'!K43-'APPVII PG3'!J43-'APPVII PG3'!I43-'APPVII PG3'!E14&lt;=0,0,'APPVII PG3'!U43+'APPVII PG3'!T43+'APPVII PG3'!S43+'APPVII PG3'!R43-'APPVII PG3'!Q43-'APPVII PG3'!P43-'APPVII PG3'!O43-'APPVII PG3'!N43-'APPVII PG3'!M43-'APPVII PG3'!L43-'APPVII PG3'!K43-'APPVII PG3'!J43-'APPVII PG3'!I43-'APPVII PG3'!E14)</f>
        <v>2141519</v>
      </c>
      <c r="F54" s="41"/>
      <c r="G54" s="41">
        <f>IF('APPVII PG3'!U50+'APPVII PG3'!T50+'APPVII PG3'!S50+'APPVII PG3'!R50-'APPVII PG3'!Q50-'APPVII PG3'!P50-'APPVII PG3'!O50-'APPVII PG3'!N50-'APPVII PG3'!M50-'APPVII PG3'!L50-'APPVII PG3'!K50-'APPVII PG3'!J50-'APPVII PG3'!I50-'APPVII PG3'!E21&gt;=0,0,'APPVII PG3'!U50+'APPVII PG3'!T50+'APPVII PG3'!S50+'APPVII PG3'!R50-'APPVII PG3'!Q50-'APPVII PG3'!P50-'APPVII PG3'!O50-'APPVII PG3'!N50-'APPVII PG3'!M50-'APPVII PG3'!L50-'APPVII PG3'!K50-'APPVII PG3'!J50-'APPVII PG3'!I50-'APPVII PG3'!E21)*-1</f>
        <v>0</v>
      </c>
      <c r="H54" s="41"/>
      <c r="I54" s="41">
        <f>IF('APPVII PG3'!U50+'APPVII PG3'!T50+'APPVII PG3'!S50+'APPVII PG3'!R50-'APPVII PG3'!Q50-'APPVII PG3'!P50-'APPVII PG3'!O50-'APPVII PG3'!N50-'APPVII PG3'!M50-'APPVII PG3'!L50-'APPVII PG3'!K50-'APPVII PG3'!J50-'APPVII PG3'!I50-'APPVII PG3'!E21&lt;=0,0,'APPVII PG3'!U50+'APPVII PG3'!T50+'APPVII PG3'!S50+'APPVII PG3'!R50-'APPVII PG3'!Q50-'APPVII PG3'!P50-'APPVII PG3'!O50-'APPVII PG3'!N50-'APPVII PG3'!M50-'APPVII PG3'!L50-'APPVII PG3'!K50-'APPVII PG3'!J50-'APPVII PG3'!I50-'APPVII PG3'!E21)</f>
        <v>2202389</v>
      </c>
      <c r="J54" s="51"/>
      <c r="K54" s="41">
        <f>IF('APPVII PG3'!U57+'APPVII PG3'!T57+'APPVII PG3'!S57+'APPVII PG3'!R57-'APPVII PG3'!Q57-'APPVII PG3'!P57-'APPVII PG3'!O57-'APPVII PG3'!N57-'APPVII PG3'!M57-'APPVII PG3'!L57-'APPVII PG3'!K57-'APPVII PG3'!J57-'APPVII PG3'!I57-'APPVII PG3'!E28&gt;=0,0,'APPVII PG3'!U57+'APPVII PG3'!T57+'APPVII PG3'!S57+'APPVII PG3'!R57-'APPVII PG3'!Q57-'APPVII PG3'!P57-'APPVII PG3'!O57-'APPVII PG3'!N57-'APPVII PG3'!M57-'APPVII PG3'!L57-'APPVII PG3'!K57-'APPVII PG3'!J57-'APPVII PG3'!I57-'APPVII PG3'!E28)*-1</f>
        <v>60870</v>
      </c>
      <c r="L54" s="41"/>
      <c r="M54" s="41">
        <f>IF('APPVII PG3'!U57+'APPVII PG3'!T57+'APPVII PG3'!S57+'APPVII PG3'!R57-'APPVII PG3'!Q57-'APPVII PG3'!P57-'APPVII PG3'!O57-'APPVII PG3'!N57-'APPVII PG3'!M57-'APPVII PG3'!L57-'APPVII PG3'!K57-'APPVII PG3'!J57-'APPVII PG3'!I57-'APPVII PG3'!E28&lt;=0,0,'APPVII PG3'!U57+'APPVII PG3'!T57+'APPVII PG3'!S57+'APPVII PG3'!R57-'APPVII PG3'!Q57-'APPVII PG3'!P57-'APPVII PG3'!O57-'APPVII PG3'!N57-'APPVII PG3'!M57-'APPVII PG3'!L57-'APPVII PG3'!K57-'APPVII PG3'!J57-'APPVII PG3'!I57-'APPVII PG3'!E28)</f>
        <v>0</v>
      </c>
      <c r="N54" s="17"/>
    </row>
    <row r="55" spans="1:14" ht="15">
      <c r="A55" s="97"/>
      <c r="B55" s="29" t="s">
        <v>1242</v>
      </c>
      <c r="C55" s="41">
        <f>IF('APPVII PG3'!U44+'APPVII PG3'!T44+'APPVII PG3'!S44+'APPVII PG3'!R44-'APPVII PG3'!Q44-'APPVII PG3'!P44-'APPVII PG3'!O44-'APPVII PG3'!N44-'APPVII PG3'!M44-'APPVII PG3'!L44-'APPVII PG3'!K44-'APPVII PG3'!J44-'APPVII PG3'!I44-'APPVII PG3'!E15&gt;=0,0,'APPVII PG3'!U44+'APPVII PG3'!T44+'APPVII PG3'!S44+'APPVII PG3'!R44-'APPVII PG3'!Q44-'APPVII PG3'!P44-'APPVII PG3'!O44-'APPVII PG3'!N44-'APPVII PG3'!M44-'APPVII PG3'!L44-'APPVII PG3'!K44-'APPVII PG3'!J44-'APPVII PG3'!I44-'APPVII PG3'!E15)*-1</f>
        <v>0</v>
      </c>
      <c r="D55" s="41"/>
      <c r="E55" s="41">
        <f>IF('APPVII PG3'!U44+'APPVII PG3'!T44+'APPVII PG3'!S44+'APPVII PG3'!R44-'APPVII PG3'!Q44-'APPVII PG3'!P44-'APPVII PG3'!O44-'APPVII PG3'!N44-'APPVII PG3'!M44-'APPVII PG3'!L44-'APPVII PG3'!K44-'APPVII PG3'!J44-'APPVII PG3'!I44-'APPVII PG3'!E15&lt;=0,0,'APPVII PG3'!U44+'APPVII PG3'!T44+'APPVII PG3'!S44+'APPVII PG3'!R44-'APPVII PG3'!Q44-'APPVII PG3'!P44-'APPVII PG3'!O44-'APPVII PG3'!N44-'APPVII PG3'!M44-'APPVII PG3'!L44-'APPVII PG3'!K44-'APPVII PG3'!J44-'APPVII PG3'!I44-'APPVII PG3'!E15)</f>
        <v>2741134</v>
      </c>
      <c r="F55" s="41"/>
      <c r="G55" s="41">
        <f>IF('APPVII PG3'!U51+'APPVII PG3'!T51+'APPVII PG3'!S51+'APPVII PG3'!R51-'APPVII PG3'!Q51-'APPVII PG3'!P51-'APPVII PG3'!O51-'APPVII PG3'!N51-'APPVII PG3'!M51-'APPVII PG3'!L51-'APPVII PG3'!K51-'APPVII PG3'!J51-'APPVII PG3'!I51-'APPVII PG3'!E22&gt;=0,0,'APPVII PG3'!U51+'APPVII PG3'!T51+'APPVII PG3'!S51+'APPVII PG3'!R51-'APPVII PG3'!Q51-'APPVII PG3'!P51-'APPVII PG3'!O51-'APPVII PG3'!N51-'APPVII PG3'!M51-'APPVII PG3'!L51-'APPVII PG3'!K51-'APPVII PG3'!J51-'APPVII PG3'!I51-'APPVII PG3'!E22)*-1</f>
        <v>0</v>
      </c>
      <c r="H55" s="41"/>
      <c r="I55" s="41">
        <f>IF('APPVII PG3'!U51+'APPVII PG3'!T51+'APPVII PG3'!S51+'APPVII PG3'!R51-'APPVII PG3'!Q51-'APPVII PG3'!P51-'APPVII PG3'!O51-'APPVII PG3'!N51-'APPVII PG3'!M51-'APPVII PG3'!L51-'APPVII PG3'!K51-'APPVII PG3'!J51-'APPVII PG3'!I51-'APPVII PG3'!E22&lt;=0,0,'APPVII PG3'!U51+'APPVII PG3'!T51+'APPVII PG3'!S51+'APPVII PG3'!R51-'APPVII PG3'!Q51-'APPVII PG3'!P51-'APPVII PG3'!O51-'APPVII PG3'!N51-'APPVII PG3'!M51-'APPVII PG3'!L51-'APPVII PG3'!K51-'APPVII PG3'!J51-'APPVII PG3'!I51-'APPVII PG3'!E22)</f>
        <v>2819050</v>
      </c>
      <c r="J55" s="51"/>
      <c r="K55" s="41">
        <f>IF('APPVII PG3'!U58+'APPVII PG3'!T58+'APPVII PG3'!S58+'APPVII PG3'!R58-'APPVII PG3'!Q58-'APPVII PG3'!P58-'APPVII PG3'!O58-'APPVII PG3'!N58-'APPVII PG3'!M58-'APPVII PG3'!L58-'APPVII PG3'!K58-'APPVII PG3'!J58-'APPVII PG3'!I58-'APPVII PG3'!E29&gt;=0,0,'APPVII PG3'!U58+'APPVII PG3'!T58+'APPVII PG3'!S58+'APPVII PG3'!R58-'APPVII PG3'!Q58-'APPVII PG3'!P58-'APPVII PG3'!O58-'APPVII PG3'!N58-'APPVII PG3'!M58-'APPVII PG3'!L58-'APPVII PG3'!K58-'APPVII PG3'!J58-'APPVII PG3'!I58-'APPVII PG3'!E29)*-1</f>
        <v>77916</v>
      </c>
      <c r="L55" s="41"/>
      <c r="M55" s="41">
        <f>IF('APPVII PG3'!U58+'APPVII PG3'!T58+'APPVII PG3'!S58+'APPVII PG3'!R58-'APPVII PG3'!Q58-'APPVII PG3'!P58-'APPVII PG3'!O58-'APPVII PG3'!N58-'APPVII PG3'!M58-'APPVII PG3'!L58-'APPVII PG3'!K58-'APPVII PG3'!J58-'APPVII PG3'!I58-'APPVII PG3'!E29&lt;=0,0,'APPVII PG3'!U58+'APPVII PG3'!T58+'APPVII PG3'!S58+'APPVII PG3'!R58-'APPVII PG3'!Q58-'APPVII PG3'!P58-'APPVII PG3'!O58-'APPVII PG3'!N58-'APPVII PG3'!M58-'APPVII PG3'!L58-'APPVII PG3'!K58-'APPVII PG3'!J58-'APPVII PG3'!I58-'APPVII PG3'!E29)</f>
        <v>0</v>
      </c>
      <c r="N55" s="17"/>
    </row>
    <row r="56" spans="1:14" ht="15">
      <c r="A56" s="97"/>
      <c r="B56" s="29" t="s">
        <v>1243</v>
      </c>
      <c r="C56" s="41">
        <f>IF('APPVII PG3'!U45+'APPVII PG3'!T45+'APPVII PG3'!S45+'APPVII PG3'!R45-'APPVII PG3'!Q45-'APPVII PG3'!P45-'APPVII PG3'!O45-'APPVII PG3'!N45-'APPVII PG3'!M45-'APPVII PG3'!L45-'APPVII PG3'!K45-'APPVII PG3'!J45-'APPVII PG3'!I45-'APPVII PG3'!E16&gt;=0,0,'APPVII PG3'!U45+'APPVII PG3'!T45+'APPVII PG3'!S45+'APPVII PG3'!R45-'APPVII PG3'!Q45-'APPVII PG3'!P45-'APPVII PG3'!O45-'APPVII PG3'!N45-'APPVII PG3'!M45-'APPVII PG3'!L45-'APPVII PG3'!K45-'APPVII PG3'!J45-'APPVII PG3'!I45-'APPVII PG3'!E16)*-1</f>
        <v>0</v>
      </c>
      <c r="D56" s="41"/>
      <c r="E56" s="41">
        <f>IF('APPVII PG3'!U45+'APPVII PG3'!T45+'APPVII PG3'!S45+'APPVII PG3'!R45-'APPVII PG3'!Q45-'APPVII PG3'!P45-'APPVII PG3'!O45-'APPVII PG3'!N45-'APPVII PG3'!M45-'APPVII PG3'!L45-'APPVII PG3'!K45-'APPVII PG3'!J45-'APPVII PG3'!I45-'APPVII PG3'!E16&lt;=0,0,'APPVII PG3'!U45+'APPVII PG3'!T45+'APPVII PG3'!S45+'APPVII PG3'!R45-'APPVII PG3'!Q45-'APPVII PG3'!P45-'APPVII PG3'!O45-'APPVII PG3'!N45-'APPVII PG3'!M45-'APPVII PG3'!L45-'APPVII PG3'!K45-'APPVII PG3'!J45-'APPVII PG3'!I45-'APPVII PG3'!E16)</f>
        <v>2212839</v>
      </c>
      <c r="F56" s="41"/>
      <c r="G56" s="41">
        <f>IF('APPVII PG3'!U52+'APPVII PG3'!T52+'APPVII PG3'!S52+'APPVII PG3'!R52-'APPVII PG3'!Q52-'APPVII PG3'!P52-'APPVII PG3'!O52-'APPVII PG3'!N52-'APPVII PG3'!M52-'APPVII PG3'!L52-'APPVII PG3'!K52-'APPVII PG3'!J52-'APPVII PG3'!I52-'APPVII PG3'!E23&gt;=0,0,'APPVII PG3'!U52+'APPVII PG3'!T52+'APPVII PG3'!S52+'APPVII PG3'!R52-'APPVII PG3'!Q52-'APPVII PG3'!P52-'APPVII PG3'!O52-'APPVII PG3'!N52-'APPVII PG3'!M52-'APPVII PG3'!L52-'APPVII PG3'!K52-'APPVII PG3'!J52-'APPVII PG3'!I52-'APPVII PG3'!E23)*-1</f>
        <v>0</v>
      </c>
      <c r="H56" s="41"/>
      <c r="I56" s="41">
        <f>IF('APPVII PG3'!U52+'APPVII PG3'!T52+'APPVII PG3'!S52+'APPVII PG3'!R52-'APPVII PG3'!Q52-'APPVII PG3'!P52-'APPVII PG3'!O52-'APPVII PG3'!N52-'APPVII PG3'!M52-'APPVII PG3'!L52-'APPVII PG3'!K52-'APPVII PG3'!J52-'APPVII PG3'!I52-'APPVII PG3'!E23&lt;=0,0,'APPVII PG3'!U52+'APPVII PG3'!T52+'APPVII PG3'!S52+'APPVII PG3'!R52-'APPVII PG3'!Q52-'APPVII PG3'!P52-'APPVII PG3'!O52-'APPVII PG3'!N52-'APPVII PG3'!M52-'APPVII PG3'!L52-'APPVII PG3'!K52-'APPVII PG3'!J52-'APPVII PG3'!I52-'APPVII PG3'!E23)</f>
        <v>2275737</v>
      </c>
      <c r="J56" s="51"/>
      <c r="K56" s="41">
        <f>IF('APPVII PG3'!U59+'APPVII PG3'!T59+'APPVII PG3'!S59+'APPVII PG3'!R59-'APPVII PG3'!Q59-'APPVII PG3'!P59-'APPVII PG3'!O59-'APPVII PG3'!N59-'APPVII PG3'!M59-'APPVII PG3'!L59-'APPVII PG3'!K59-'APPVII PG3'!J59-'APPVII PG3'!I59-'APPVII PG3'!E30&gt;=0,0,'APPVII PG3'!U59+'APPVII PG3'!T59+'APPVII PG3'!S59+'APPVII PG3'!R59-'APPVII PG3'!Q59-'APPVII PG3'!P59-'APPVII PG3'!O59-'APPVII PG3'!N59-'APPVII PG3'!M59-'APPVII PG3'!L59-'APPVII PG3'!K59-'APPVII PG3'!J59-'APPVII PG3'!I59-'APPVII PG3'!E30)*-1</f>
        <v>62898</v>
      </c>
      <c r="L56" s="41"/>
      <c r="M56" s="41">
        <f>IF('APPVII PG3'!U59+'APPVII PG3'!T59+'APPVII PG3'!S59+'APPVII PG3'!R59-'APPVII PG3'!Q59-'APPVII PG3'!P59-'APPVII PG3'!O59-'APPVII PG3'!N59-'APPVII PG3'!M59-'APPVII PG3'!L59-'APPVII PG3'!K59-'APPVII PG3'!J59-'APPVII PG3'!I59-'APPVII PG3'!E30&lt;=0,0,'APPVII PG3'!U59+'APPVII PG3'!T59+'APPVII PG3'!S59+'APPVII PG3'!R59-'APPVII PG3'!Q59-'APPVII PG3'!P59-'APPVII PG3'!O59-'APPVII PG3'!N59-'APPVII PG3'!M59-'APPVII PG3'!L59-'APPVII PG3'!K59-'APPVII PG3'!J59-'APPVII PG3'!I59-'APPVII PG3'!E30)</f>
        <v>0</v>
      </c>
      <c r="N56" s="17"/>
    </row>
    <row r="57" spans="1:13" ht="15">
      <c r="A57" s="97"/>
      <c r="B57" s="29" t="s">
        <v>1395</v>
      </c>
      <c r="C57" s="42">
        <f>IF(SUM(E52:E56)&lt;=0,0,SUM(E52:E56))</f>
        <v>12108553</v>
      </c>
      <c r="D57" s="41"/>
      <c r="E57" s="42">
        <f>IF(SUM(C52:C56)&lt;=0,0,SUM(C52:C56))</f>
        <v>0</v>
      </c>
      <c r="F57" s="41"/>
      <c r="G57" s="42">
        <f>IF(SUM(I52:I56)&lt;=0,0,SUM(I52:I56))</f>
        <v>12452734</v>
      </c>
      <c r="H57" s="41"/>
      <c r="I57" s="42">
        <f>IF(SUM(G52:G56)&lt;=0,0,SUM(G52:G56))</f>
        <v>0</v>
      </c>
      <c r="J57" s="51"/>
      <c r="K57" s="42">
        <f>IF(SUM(M52:M56)&lt;=0,0,SUM(M52:M56))</f>
        <v>0</v>
      </c>
      <c r="L57" s="41"/>
      <c r="M57" s="42">
        <f>IF(SUM(K52:K56)&lt;=0,0,SUM(K52:K56))</f>
        <v>344181</v>
      </c>
    </row>
    <row r="58" spans="1:15" ht="15">
      <c r="A58" s="97"/>
      <c r="B58" s="29" t="s">
        <v>1348</v>
      </c>
      <c r="C58" s="41">
        <f>SUM(C52:C57)</f>
        <v>12108553</v>
      </c>
      <c r="D58" s="41"/>
      <c r="E58" s="41">
        <f>SUM(E52:E57)</f>
        <v>12108553</v>
      </c>
      <c r="F58" s="41"/>
      <c r="G58" s="41">
        <f>SUM(G52:G57)</f>
        <v>12452734</v>
      </c>
      <c r="H58" s="41"/>
      <c r="I58" s="41">
        <f>SUM(I52:I57)</f>
        <v>12452734</v>
      </c>
      <c r="K58" s="41">
        <f>SUM(K52:K57)</f>
        <v>344181</v>
      </c>
      <c r="L58" s="41"/>
      <c r="M58" s="41">
        <f>SUM(M52:M57)</f>
        <v>344181</v>
      </c>
      <c r="N58" s="550" t="s">
        <v>144</v>
      </c>
      <c r="O58" s="39">
        <f>ABS(C58-G58)</f>
        <v>344181</v>
      </c>
    </row>
    <row r="59" spans="1:13" ht="15">
      <c r="A59" s="97"/>
      <c r="C59" s="41"/>
      <c r="D59" s="41"/>
      <c r="E59" s="41"/>
      <c r="F59" s="41"/>
      <c r="G59" s="41"/>
      <c r="H59" s="41"/>
      <c r="I59" s="41"/>
      <c r="K59" s="41"/>
      <c r="L59" s="41"/>
      <c r="M59" s="41"/>
    </row>
    <row r="60" spans="1:15" ht="15">
      <c r="A60" s="96" t="s">
        <v>170</v>
      </c>
      <c r="B60" s="29" t="s">
        <v>1239</v>
      </c>
      <c r="C60" s="114">
        <f aca="true" t="shared" si="0" ref="C60:C65">+C12+C20+C28+C36+C44+C52</f>
        <v>1662514</v>
      </c>
      <c r="D60" s="39"/>
      <c r="E60" s="39">
        <f aca="true" t="shared" si="1" ref="E60:E65">+E12+E20+E28+E36+E44+E52</f>
        <v>8360106</v>
      </c>
      <c r="F60" s="39"/>
      <c r="G60" s="114">
        <f>+G12+G20+G28+G36+G44+G52</f>
        <v>1651310</v>
      </c>
      <c r="H60" s="39"/>
      <c r="I60" s="114">
        <f>+I12+I20+I28+I36+I44+I52</f>
        <v>8589794</v>
      </c>
      <c r="K60" s="114">
        <f aca="true" t="shared" si="2" ref="K60:K65">+K12+K20+K28+K36+K44+K52</f>
        <v>241354</v>
      </c>
      <c r="L60" s="39"/>
      <c r="M60" s="114">
        <f aca="true" t="shared" si="3" ref="M60:M65">+M12+M20+M28+M36+M44+M52</f>
        <v>462</v>
      </c>
      <c r="N60" s="17"/>
      <c r="O60" s="17"/>
    </row>
    <row r="61" spans="1:15" ht="15">
      <c r="A61" s="96" t="s">
        <v>175</v>
      </c>
      <c r="B61" s="29" t="s">
        <v>1240</v>
      </c>
      <c r="C61" s="114">
        <f t="shared" si="0"/>
        <v>334981</v>
      </c>
      <c r="D61" s="39"/>
      <c r="E61" s="39">
        <f t="shared" si="1"/>
        <v>1684492</v>
      </c>
      <c r="F61" s="39"/>
      <c r="G61" s="114">
        <f aca="true" t="shared" si="4" ref="G61:I65">+G13+G21+G29+G37+G45+G53</f>
        <v>332724</v>
      </c>
      <c r="H61" s="39"/>
      <c r="I61" s="114">
        <f t="shared" si="4"/>
        <v>1730773</v>
      </c>
      <c r="K61" s="114">
        <f t="shared" si="2"/>
        <v>48631</v>
      </c>
      <c r="L61" s="39"/>
      <c r="M61" s="114">
        <f t="shared" si="3"/>
        <v>93</v>
      </c>
      <c r="N61" s="17"/>
      <c r="O61" s="17"/>
    </row>
    <row r="62" spans="1:15" ht="15">
      <c r="A62" s="96" t="s">
        <v>100</v>
      </c>
      <c r="B62" s="29" t="s">
        <v>1241</v>
      </c>
      <c r="C62" s="114">
        <f t="shared" si="0"/>
        <v>853313</v>
      </c>
      <c r="D62" s="39"/>
      <c r="E62" s="39">
        <f t="shared" si="1"/>
        <v>4290930</v>
      </c>
      <c r="F62" s="39"/>
      <c r="G62" s="114">
        <f t="shared" si="4"/>
        <v>847557</v>
      </c>
      <c r="H62" s="39"/>
      <c r="I62" s="114">
        <f t="shared" si="4"/>
        <v>4408818</v>
      </c>
      <c r="K62" s="114">
        <f t="shared" si="2"/>
        <v>123881</v>
      </c>
      <c r="L62" s="39"/>
      <c r="M62" s="114">
        <f t="shared" si="3"/>
        <v>237</v>
      </c>
      <c r="N62" s="17"/>
      <c r="O62" s="17"/>
    </row>
    <row r="63" spans="1:15" ht="15">
      <c r="A63" s="96" t="s">
        <v>176</v>
      </c>
      <c r="B63" s="29" t="s">
        <v>1242</v>
      </c>
      <c r="C63" s="114">
        <f t="shared" si="0"/>
        <v>1092238</v>
      </c>
      <c r="D63" s="39"/>
      <c r="E63" s="39">
        <f t="shared" si="1"/>
        <v>5492371</v>
      </c>
      <c r="F63" s="39"/>
      <c r="G63" s="114">
        <f t="shared" si="4"/>
        <v>1084871</v>
      </c>
      <c r="H63" s="39"/>
      <c r="I63" s="114">
        <f t="shared" si="4"/>
        <v>5643269</v>
      </c>
      <c r="K63" s="114">
        <f t="shared" si="2"/>
        <v>158569</v>
      </c>
      <c r="L63" s="39"/>
      <c r="M63" s="114">
        <f t="shared" si="3"/>
        <v>304</v>
      </c>
      <c r="N63" s="17"/>
      <c r="O63" s="17"/>
    </row>
    <row r="64" spans="1:15" ht="15">
      <c r="A64" s="96" t="s">
        <v>766</v>
      </c>
      <c r="B64" s="29" t="s">
        <v>1243</v>
      </c>
      <c r="C64" s="114">
        <f t="shared" si="0"/>
        <v>881725</v>
      </c>
      <c r="D64" s="39"/>
      <c r="E64" s="39">
        <f t="shared" si="1"/>
        <v>4433832</v>
      </c>
      <c r="F64" s="39"/>
      <c r="G64" s="114">
        <f t="shared" si="4"/>
        <v>875782</v>
      </c>
      <c r="H64" s="39"/>
      <c r="I64" s="114">
        <f t="shared" si="4"/>
        <v>4555647</v>
      </c>
      <c r="K64" s="114">
        <f t="shared" si="2"/>
        <v>128004</v>
      </c>
      <c r="L64" s="39"/>
      <c r="M64" s="114">
        <f t="shared" si="3"/>
        <v>246</v>
      </c>
      <c r="N64" s="17"/>
      <c r="O64" s="17"/>
    </row>
    <row r="65" spans="1:15" ht="15">
      <c r="A65" s="96" t="s">
        <v>765</v>
      </c>
      <c r="B65" s="29" t="s">
        <v>1395</v>
      </c>
      <c r="C65" s="44">
        <f t="shared" si="0"/>
        <v>24261731</v>
      </c>
      <c r="D65" s="39"/>
      <c r="E65" s="44">
        <f t="shared" si="1"/>
        <v>4824771</v>
      </c>
      <c r="F65" s="39"/>
      <c r="G65" s="44">
        <f t="shared" si="4"/>
        <v>24928301</v>
      </c>
      <c r="H65" s="39"/>
      <c r="I65" s="44">
        <f t="shared" si="4"/>
        <v>4792244</v>
      </c>
      <c r="K65" s="44">
        <f t="shared" si="2"/>
        <v>1342</v>
      </c>
      <c r="L65" s="39"/>
      <c r="M65" s="44">
        <f t="shared" si="3"/>
        <v>700439</v>
      </c>
      <c r="N65" s="17"/>
      <c r="O65" s="17"/>
    </row>
    <row r="66" spans="1:17" ht="15">
      <c r="A66" s="37"/>
      <c r="B66" s="29" t="s">
        <v>1348</v>
      </c>
      <c r="C66" s="39">
        <f>SUM(C60:C65)</f>
        <v>29086502</v>
      </c>
      <c r="D66" s="39"/>
      <c r="E66" s="39">
        <f>SUM(E60:E65)</f>
        <v>29086502</v>
      </c>
      <c r="F66" s="39"/>
      <c r="G66" s="39">
        <f>SUM(G60:G65)</f>
        <v>29720545</v>
      </c>
      <c r="H66" s="39"/>
      <c r="I66" s="39">
        <f>SUM(I60:I65)</f>
        <v>29720545</v>
      </c>
      <c r="K66" s="39">
        <f>SUM(K60:K65)</f>
        <v>701781</v>
      </c>
      <c r="L66" s="39"/>
      <c r="M66" s="39">
        <f>SUM(M60:M65)</f>
        <v>701781</v>
      </c>
      <c r="N66" s="550"/>
      <c r="O66" s="39"/>
      <c r="P66" s="39"/>
      <c r="Q66" s="39"/>
    </row>
    <row r="67" spans="1:13" ht="15">
      <c r="A67" s="37"/>
      <c r="C67" s="39"/>
      <c r="D67" s="39"/>
      <c r="E67" s="39"/>
      <c r="F67" s="39"/>
      <c r="G67" s="39"/>
      <c r="H67" s="39"/>
      <c r="I67" s="39"/>
      <c r="M67" s="39"/>
    </row>
    <row r="68" ht="15">
      <c r="A68" s="29" t="s">
        <v>1354</v>
      </c>
    </row>
    <row r="69" ht="15">
      <c r="A69" s="86" t="s">
        <v>90</v>
      </c>
    </row>
    <row r="70" spans="1:5" ht="15">
      <c r="A70" s="86" t="s">
        <v>183</v>
      </c>
      <c r="E70" s="31" t="str">
        <f>+INPUT!C1</f>
        <v>June 2009</v>
      </c>
    </row>
    <row r="71" spans="1:5" ht="15">
      <c r="A71" s="86" t="s">
        <v>525</v>
      </c>
      <c r="D71" s="31"/>
      <c r="E71" s="31" t="str">
        <f>+INPUT!C1</f>
        <v>June 2009</v>
      </c>
    </row>
  </sheetData>
  <printOptions horizontalCentered="1"/>
  <pageMargins left="0.5" right="0.5" top="0.25" bottom="0.25" header="0" footer="0"/>
  <pageSetup fitToHeight="1" fitToWidth="1" horizontalDpi="600" verticalDpi="600" orientation="portrait" scale="7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L173"/>
  <sheetViews>
    <sheetView workbookViewId="0" topLeftCell="A1">
      <selection activeCell="A1" sqref="A1"/>
    </sheetView>
  </sheetViews>
  <sheetFormatPr defaultColWidth="9.140625" defaultRowHeight="12.75"/>
  <cols>
    <col min="1" max="1" width="58.8515625" style="0" customWidth="1"/>
    <col min="2" max="2" width="28.28125" style="0" bestFit="1" customWidth="1"/>
    <col min="3" max="3" width="20.140625" style="0" bestFit="1" customWidth="1"/>
    <col min="4" max="4" width="15.8515625" style="0" customWidth="1"/>
    <col min="5" max="5" width="19.421875" style="0" bestFit="1" customWidth="1"/>
    <col min="6" max="6" width="4.421875" style="0" hidden="1" customWidth="1"/>
    <col min="7" max="7" width="19.140625" style="0" bestFit="1" customWidth="1"/>
    <col min="8" max="8" width="52.28125" style="0" hidden="1" customWidth="1"/>
    <col min="9" max="9" width="16.421875" style="0" hidden="1" customWidth="1"/>
    <col min="10" max="10" width="28.28125" style="0" hidden="1" customWidth="1"/>
    <col min="11" max="11" width="10.7109375" style="0" bestFit="1" customWidth="1"/>
    <col min="12" max="12" width="11.7109375" style="0" bestFit="1" customWidth="1"/>
  </cols>
  <sheetData>
    <row r="1" spans="1:7" ht="12.75">
      <c r="A1" s="240" t="s">
        <v>1451</v>
      </c>
      <c r="B1" s="349" t="str">
        <f>INPUT!C1</f>
        <v>June 2009</v>
      </c>
      <c r="C1" s="158"/>
      <c r="D1" s="158"/>
      <c r="E1" s="158"/>
      <c r="F1" s="158"/>
      <c r="G1" s="157" t="s">
        <v>342</v>
      </c>
    </row>
    <row r="2" spans="1:7" ht="12.75">
      <c r="A2" s="158"/>
      <c r="B2" s="158"/>
      <c r="C2" s="158"/>
      <c r="D2" s="158"/>
      <c r="E2" s="158"/>
      <c r="F2" s="158"/>
      <c r="G2" s="157" t="s">
        <v>62</v>
      </c>
    </row>
    <row r="3" spans="1:4" ht="20.25">
      <c r="A3" s="964" t="s">
        <v>1410</v>
      </c>
      <c r="B3" s="524"/>
      <c r="C3" s="524"/>
      <c r="D3" s="524"/>
    </row>
    <row r="4" ht="20.25">
      <c r="A4" s="964" t="s">
        <v>1411</v>
      </c>
    </row>
    <row r="6" spans="1:9" ht="12.75">
      <c r="A6" s="156"/>
      <c r="B6" s="156"/>
      <c r="C6" s="350" t="s">
        <v>1677</v>
      </c>
      <c r="D6" s="350" t="s">
        <v>1678</v>
      </c>
      <c r="E6" s="350" t="s">
        <v>367</v>
      </c>
      <c r="F6" s="350"/>
      <c r="G6" s="350" t="s">
        <v>1680</v>
      </c>
      <c r="H6" s="241"/>
      <c r="I6" s="350" t="s">
        <v>641</v>
      </c>
    </row>
    <row r="7" spans="1:10" ht="12.75">
      <c r="A7" s="149" t="s">
        <v>1676</v>
      </c>
      <c r="B7" s="149" t="s">
        <v>337</v>
      </c>
      <c r="C7" s="351" t="s">
        <v>1679</v>
      </c>
      <c r="D7" s="351" t="s">
        <v>1679</v>
      </c>
      <c r="E7" s="351" t="s">
        <v>1679</v>
      </c>
      <c r="F7" s="351"/>
      <c r="G7" s="351" t="s">
        <v>1681</v>
      </c>
      <c r="H7" s="351" t="s">
        <v>609</v>
      </c>
      <c r="I7" s="351" t="s">
        <v>642</v>
      </c>
      <c r="J7" s="351" t="s">
        <v>643</v>
      </c>
    </row>
    <row r="9" ht="15.75">
      <c r="A9" s="406" t="s">
        <v>619</v>
      </c>
    </row>
    <row r="10" spans="1:7" s="241" customFormat="1" ht="12.75">
      <c r="A10" s="241" t="s">
        <v>1694</v>
      </c>
      <c r="B10" s="302" t="s">
        <v>634</v>
      </c>
      <c r="C10" s="427">
        <v>18165156</v>
      </c>
      <c r="D10" s="427">
        <v>706318</v>
      </c>
      <c r="E10" s="427">
        <f aca="true" t="shared" si="0" ref="E10:E17">SUM(C10:D10)</f>
        <v>18871474</v>
      </c>
      <c r="F10" s="244"/>
      <c r="G10" s="427">
        <v>0</v>
      </c>
    </row>
    <row r="11" spans="1:10" s="241" customFormat="1" ht="12.75">
      <c r="A11" s="241" t="s">
        <v>1454</v>
      </c>
      <c r="B11" s="302"/>
      <c r="C11" s="427">
        <v>59296</v>
      </c>
      <c r="D11" s="427">
        <v>-947</v>
      </c>
      <c r="E11" s="427">
        <f t="shared" si="0"/>
        <v>58349</v>
      </c>
      <c r="F11" s="244"/>
      <c r="G11" s="427">
        <v>0</v>
      </c>
      <c r="H11" s="241" t="s">
        <v>621</v>
      </c>
      <c r="I11" s="241" t="s">
        <v>645</v>
      </c>
      <c r="J11" s="241" t="s">
        <v>644</v>
      </c>
    </row>
    <row r="12" spans="1:7" s="241" customFormat="1" ht="12.75">
      <c r="A12" s="241" t="s">
        <v>1571</v>
      </c>
      <c r="B12" s="302">
        <v>4470.002</v>
      </c>
      <c r="C12" s="427">
        <v>0</v>
      </c>
      <c r="D12" s="427">
        <v>0</v>
      </c>
      <c r="E12" s="427">
        <f t="shared" si="0"/>
        <v>0</v>
      </c>
      <c r="F12" s="244"/>
      <c r="G12" s="427">
        <v>0</v>
      </c>
    </row>
    <row r="13" spans="1:7" s="241" customFormat="1" ht="12.75">
      <c r="A13" s="241" t="s">
        <v>319</v>
      </c>
      <c r="B13" s="302" t="s">
        <v>640</v>
      </c>
      <c r="C13" s="427">
        <v>46121</v>
      </c>
      <c r="D13" s="427">
        <v>0</v>
      </c>
      <c r="E13" s="427">
        <f t="shared" si="0"/>
        <v>46121</v>
      </c>
      <c r="F13" s="244"/>
      <c r="G13" s="427">
        <v>0</v>
      </c>
    </row>
    <row r="14" spans="1:7" s="241" customFormat="1" ht="12.75">
      <c r="A14" s="241" t="s">
        <v>154</v>
      </c>
      <c r="B14" s="302" t="s">
        <v>640</v>
      </c>
      <c r="C14" s="427">
        <v>26554</v>
      </c>
      <c r="D14" s="427">
        <v>0</v>
      </c>
      <c r="E14" s="427">
        <f t="shared" si="0"/>
        <v>26554</v>
      </c>
      <c r="F14" s="244"/>
      <c r="G14" s="427">
        <v>0</v>
      </c>
    </row>
    <row r="15" spans="1:10" s="241" customFormat="1" ht="12.75">
      <c r="A15" s="911" t="s">
        <v>24</v>
      </c>
      <c r="B15" s="302" t="s">
        <v>640</v>
      </c>
      <c r="C15" s="427">
        <v>1009760</v>
      </c>
      <c r="D15" s="427">
        <v>0</v>
      </c>
      <c r="E15" s="427">
        <f t="shared" si="0"/>
        <v>1009760</v>
      </c>
      <c r="F15" s="244"/>
      <c r="G15" s="427">
        <v>0</v>
      </c>
      <c r="H15" s="241" t="s">
        <v>629</v>
      </c>
      <c r="I15" s="241" t="s">
        <v>645</v>
      </c>
      <c r="J15" s="241" t="s">
        <v>646</v>
      </c>
    </row>
    <row r="16" spans="1:10" s="241" customFormat="1" ht="12.75">
      <c r="A16" s="241" t="s">
        <v>1695</v>
      </c>
      <c r="B16" s="302">
        <v>5550.032</v>
      </c>
      <c r="C16" s="427">
        <v>-300641</v>
      </c>
      <c r="D16" s="427">
        <v>0</v>
      </c>
      <c r="E16" s="427">
        <f t="shared" si="0"/>
        <v>-300641</v>
      </c>
      <c r="F16" s="244"/>
      <c r="G16" s="427">
        <v>0</v>
      </c>
      <c r="H16" s="241" t="s">
        <v>629</v>
      </c>
      <c r="I16" s="241" t="s">
        <v>645</v>
      </c>
      <c r="J16" s="241" t="s">
        <v>646</v>
      </c>
    </row>
    <row r="17" spans="1:10" s="241" customFormat="1" ht="12.75">
      <c r="A17" s="241" t="s">
        <v>306</v>
      </c>
      <c r="B17" s="302" t="s">
        <v>661</v>
      </c>
      <c r="C17" s="427">
        <v>-2691175</v>
      </c>
      <c r="D17" s="427">
        <v>-1284219</v>
      </c>
      <c r="E17" s="427">
        <f t="shared" si="0"/>
        <v>-3975394</v>
      </c>
      <c r="F17" s="427"/>
      <c r="G17" s="427">
        <v>0</v>
      </c>
      <c r="H17" s="241" t="s">
        <v>630</v>
      </c>
      <c r="I17" s="241" t="s">
        <v>647</v>
      </c>
      <c r="J17" s="241" t="s">
        <v>648</v>
      </c>
    </row>
    <row r="18" spans="2:10" s="241" customFormat="1" ht="12.75">
      <c r="B18" s="302" t="s">
        <v>1455</v>
      </c>
      <c r="C18" s="427"/>
      <c r="D18" s="427"/>
      <c r="E18" s="427"/>
      <c r="F18" s="427"/>
      <c r="G18" s="427"/>
      <c r="H18" s="241" t="s">
        <v>631</v>
      </c>
      <c r="I18" s="241" t="s">
        <v>647</v>
      </c>
      <c r="J18" s="241" t="s">
        <v>648</v>
      </c>
    </row>
    <row r="19" spans="1:7" s="241" customFormat="1" ht="12.75">
      <c r="A19" s="241" t="s">
        <v>155</v>
      </c>
      <c r="B19" s="302" t="s">
        <v>661</v>
      </c>
      <c r="C19" s="427">
        <v>303750</v>
      </c>
      <c r="D19" s="427">
        <v>-303750</v>
      </c>
      <c r="E19" s="427">
        <f>SUM(C19:D19)</f>
        <v>0</v>
      </c>
      <c r="F19" s="427"/>
      <c r="G19" s="427">
        <v>0</v>
      </c>
    </row>
    <row r="20" spans="2:7" s="241" customFormat="1" ht="12.75">
      <c r="B20" s="302" t="s">
        <v>26</v>
      </c>
      <c r="C20" s="427"/>
      <c r="D20" s="427"/>
      <c r="E20" s="427"/>
      <c r="F20" s="427"/>
      <c r="G20" s="427"/>
    </row>
    <row r="21" spans="1:10" s="241" customFormat="1" ht="12.75">
      <c r="A21" s="241" t="s">
        <v>938</v>
      </c>
      <c r="B21" s="302" t="s">
        <v>937</v>
      </c>
      <c r="C21" s="427">
        <v>0</v>
      </c>
      <c r="D21" s="427">
        <v>641169</v>
      </c>
      <c r="E21" s="427">
        <f aca="true" t="shared" si="1" ref="E21:E51">SUM(C21:D21)</f>
        <v>641169</v>
      </c>
      <c r="F21" s="427"/>
      <c r="G21" s="427">
        <v>0</v>
      </c>
      <c r="I21" s="241" t="s">
        <v>647</v>
      </c>
      <c r="J21" s="241" t="s">
        <v>648</v>
      </c>
    </row>
    <row r="22" spans="1:7" s="241" customFormat="1" ht="12.75">
      <c r="A22" s="241" t="s">
        <v>1683</v>
      </c>
      <c r="B22" s="302" t="s">
        <v>1682</v>
      </c>
      <c r="C22" s="427">
        <v>0</v>
      </c>
      <c r="D22" s="427">
        <v>0</v>
      </c>
      <c r="E22" s="427">
        <f t="shared" si="1"/>
        <v>0</v>
      </c>
      <c r="F22" s="427"/>
      <c r="G22" s="427">
        <v>0</v>
      </c>
    </row>
    <row r="23" spans="1:7" s="241" customFormat="1" ht="12.75">
      <c r="A23" s="241" t="s">
        <v>1555</v>
      </c>
      <c r="B23" s="302">
        <v>4470.099</v>
      </c>
      <c r="C23" s="427">
        <v>0</v>
      </c>
      <c r="D23" s="427">
        <v>0</v>
      </c>
      <c r="E23" s="427">
        <f t="shared" si="1"/>
        <v>0</v>
      </c>
      <c r="F23" s="427"/>
      <c r="G23" s="427">
        <v>0</v>
      </c>
    </row>
    <row r="24" spans="1:10" s="241" customFormat="1" ht="12.75">
      <c r="A24" s="241" t="s">
        <v>1684</v>
      </c>
      <c r="B24" s="302" t="s">
        <v>1682</v>
      </c>
      <c r="C24" s="427">
        <v>822297</v>
      </c>
      <c r="D24" s="427">
        <v>0</v>
      </c>
      <c r="E24" s="427">
        <f t="shared" si="1"/>
        <v>822297</v>
      </c>
      <c r="F24" s="427"/>
      <c r="G24" s="427">
        <v>0</v>
      </c>
      <c r="H24" s="241" t="s">
        <v>632</v>
      </c>
      <c r="I24" s="241" t="s">
        <v>649</v>
      </c>
      <c r="J24" s="241" t="s">
        <v>650</v>
      </c>
    </row>
    <row r="25" spans="1:10" s="241" customFormat="1" ht="12.75">
      <c r="A25" s="241" t="s">
        <v>1032</v>
      </c>
      <c r="B25" s="302" t="s">
        <v>1682</v>
      </c>
      <c r="C25" s="427">
        <v>0</v>
      </c>
      <c r="D25" s="427">
        <v>0</v>
      </c>
      <c r="E25" s="427">
        <f t="shared" si="1"/>
        <v>0</v>
      </c>
      <c r="F25" s="427"/>
      <c r="G25" s="427">
        <v>0</v>
      </c>
      <c r="H25" s="241" t="s">
        <v>632</v>
      </c>
      <c r="I25" s="241" t="s">
        <v>651</v>
      </c>
      <c r="J25" s="241" t="s">
        <v>652</v>
      </c>
    </row>
    <row r="26" spans="1:7" s="241" customFormat="1" ht="12.75">
      <c r="A26" s="241" t="s">
        <v>530</v>
      </c>
      <c r="B26" s="302">
        <v>4470.002</v>
      </c>
      <c r="C26" s="427">
        <v>-2677</v>
      </c>
      <c r="D26" s="427">
        <v>0</v>
      </c>
      <c r="E26" s="427">
        <f t="shared" si="1"/>
        <v>-2677</v>
      </c>
      <c r="F26" s="427"/>
      <c r="G26" s="427">
        <v>0</v>
      </c>
    </row>
    <row r="27" spans="1:10" s="241" customFormat="1" ht="12.75">
      <c r="A27" s="241" t="s">
        <v>675</v>
      </c>
      <c r="B27" s="302" t="s">
        <v>1682</v>
      </c>
      <c r="C27" s="427">
        <v>3185083</v>
      </c>
      <c r="D27" s="427">
        <v>0</v>
      </c>
      <c r="E27" s="427">
        <f t="shared" si="1"/>
        <v>3185083</v>
      </c>
      <c r="F27" s="427"/>
      <c r="G27" s="427">
        <v>0</v>
      </c>
      <c r="H27" s="241" t="s">
        <v>632</v>
      </c>
      <c r="I27" s="241" t="s">
        <v>651</v>
      </c>
      <c r="J27" s="241" t="s">
        <v>652</v>
      </c>
    </row>
    <row r="28" spans="1:7" s="241" customFormat="1" ht="12.75">
      <c r="A28" s="241" t="s">
        <v>676</v>
      </c>
      <c r="B28" s="302" t="s">
        <v>1682</v>
      </c>
      <c r="C28" s="427">
        <v>-220473</v>
      </c>
      <c r="D28" s="427">
        <v>0</v>
      </c>
      <c r="E28" s="427">
        <f t="shared" si="1"/>
        <v>-220473</v>
      </c>
      <c r="F28" s="427"/>
      <c r="G28" s="427">
        <v>0</v>
      </c>
    </row>
    <row r="29" spans="1:12" s="241" customFormat="1" ht="14.25" customHeight="1">
      <c r="A29" s="241" t="s">
        <v>677</v>
      </c>
      <c r="B29" s="302">
        <v>4470.125</v>
      </c>
      <c r="C29" s="427">
        <v>-50217</v>
      </c>
      <c r="D29" s="427">
        <v>0</v>
      </c>
      <c r="E29" s="427">
        <f t="shared" si="1"/>
        <v>-50217</v>
      </c>
      <c r="F29" s="427"/>
      <c r="G29" s="427">
        <v>0</v>
      </c>
      <c r="H29" s="241" t="s">
        <v>632</v>
      </c>
      <c r="I29" s="241" t="s">
        <v>651</v>
      </c>
      <c r="J29" s="241" t="s">
        <v>652</v>
      </c>
      <c r="K29" s="427"/>
      <c r="L29" s="244"/>
    </row>
    <row r="30" spans="1:7" s="241" customFormat="1" ht="12.75">
      <c r="A30" s="241" t="s">
        <v>1902</v>
      </c>
      <c r="B30" s="302">
        <v>4470.206</v>
      </c>
      <c r="C30" s="427">
        <v>0</v>
      </c>
      <c r="D30" s="427">
        <v>0</v>
      </c>
      <c r="E30" s="427">
        <f t="shared" si="1"/>
        <v>0</v>
      </c>
      <c r="F30" s="427"/>
      <c r="G30" s="427">
        <v>0</v>
      </c>
    </row>
    <row r="31" spans="1:7" s="241" customFormat="1" ht="12.75">
      <c r="A31" s="241" t="s">
        <v>1412</v>
      </c>
      <c r="B31" s="302" t="s">
        <v>1413</v>
      </c>
      <c r="C31" s="427">
        <v>618155</v>
      </c>
      <c r="D31" s="427">
        <v>0</v>
      </c>
      <c r="E31" s="427">
        <f t="shared" si="1"/>
        <v>618155</v>
      </c>
      <c r="F31" s="427"/>
      <c r="G31" s="427">
        <v>0</v>
      </c>
    </row>
    <row r="32" spans="1:10" s="241" customFormat="1" ht="12.75">
      <c r="A32" s="241" t="s">
        <v>678</v>
      </c>
      <c r="B32" s="302" t="s">
        <v>215</v>
      </c>
      <c r="C32" s="427">
        <v>300</v>
      </c>
      <c r="D32" s="427">
        <v>0</v>
      </c>
      <c r="E32" s="427">
        <f t="shared" si="1"/>
        <v>300</v>
      </c>
      <c r="F32" s="427"/>
      <c r="G32" s="427">
        <v>0</v>
      </c>
      <c r="H32" s="241" t="s">
        <v>632</v>
      </c>
      <c r="I32" s="241" t="s">
        <v>651</v>
      </c>
      <c r="J32" s="241" t="s">
        <v>652</v>
      </c>
    </row>
    <row r="33" spans="1:7" s="241" customFormat="1" ht="12.75">
      <c r="A33" s="241" t="s">
        <v>1593</v>
      </c>
      <c r="B33" s="302" t="s">
        <v>1591</v>
      </c>
      <c r="C33" s="427">
        <v>0</v>
      </c>
      <c r="D33" s="427">
        <v>0</v>
      </c>
      <c r="E33" s="427">
        <f t="shared" si="1"/>
        <v>0</v>
      </c>
      <c r="F33" s="427"/>
      <c r="G33" s="427">
        <v>0</v>
      </c>
    </row>
    <row r="34" spans="1:7" s="241" customFormat="1" ht="12.75">
      <c r="A34" s="241" t="s">
        <v>1414</v>
      </c>
      <c r="B34" s="302">
        <v>4470.124</v>
      </c>
      <c r="C34" s="427">
        <v>-38</v>
      </c>
      <c r="D34" s="427">
        <v>0</v>
      </c>
      <c r="E34" s="427">
        <f t="shared" si="1"/>
        <v>-38</v>
      </c>
      <c r="F34" s="427"/>
      <c r="G34" s="427">
        <v>0</v>
      </c>
    </row>
    <row r="35" spans="1:7" s="241" customFormat="1" ht="12.75">
      <c r="A35" s="241" t="s">
        <v>1685</v>
      </c>
      <c r="B35" s="302" t="s">
        <v>1556</v>
      </c>
      <c r="C35" s="427">
        <v>7</v>
      </c>
      <c r="D35" s="427">
        <v>0</v>
      </c>
      <c r="E35" s="427">
        <f t="shared" si="1"/>
        <v>7</v>
      </c>
      <c r="F35" s="427"/>
      <c r="G35" s="427">
        <v>0</v>
      </c>
    </row>
    <row r="36" spans="1:7" s="241" customFormat="1" ht="12.75">
      <c r="A36" s="241" t="s">
        <v>1558</v>
      </c>
      <c r="B36" s="302" t="s">
        <v>1569</v>
      </c>
      <c r="C36" s="427">
        <v>125648</v>
      </c>
      <c r="D36" s="427">
        <v>0</v>
      </c>
      <c r="E36" s="427">
        <f t="shared" si="1"/>
        <v>125648</v>
      </c>
      <c r="F36" s="427"/>
      <c r="G36" s="427">
        <v>0</v>
      </c>
    </row>
    <row r="37" spans="1:7" s="241" customFormat="1" ht="12.75">
      <c r="A37" s="241" t="s">
        <v>317</v>
      </c>
      <c r="B37" s="302">
        <v>5614.008</v>
      </c>
      <c r="C37" s="427">
        <v>-18310</v>
      </c>
      <c r="D37" s="427">
        <v>0</v>
      </c>
      <c r="E37" s="427">
        <f t="shared" si="1"/>
        <v>-18310</v>
      </c>
      <c r="F37" s="427"/>
      <c r="G37" s="427">
        <v>0</v>
      </c>
    </row>
    <row r="38" spans="1:10" s="241" customFormat="1" ht="12.75">
      <c r="A38" s="241" t="s">
        <v>1335</v>
      </c>
      <c r="B38" s="352">
        <v>5757</v>
      </c>
      <c r="C38" s="427">
        <v>0</v>
      </c>
      <c r="D38" s="427">
        <v>0</v>
      </c>
      <c r="E38" s="427">
        <f t="shared" si="1"/>
        <v>0</v>
      </c>
      <c r="F38" s="427"/>
      <c r="G38" s="427">
        <v>0</v>
      </c>
      <c r="H38" s="241" t="s">
        <v>633</v>
      </c>
      <c r="I38" s="241" t="s">
        <v>653</v>
      </c>
      <c r="J38" s="241" t="s">
        <v>1686</v>
      </c>
    </row>
    <row r="39" spans="1:7" s="241" customFormat="1" ht="12.75">
      <c r="A39" s="241" t="s">
        <v>1336</v>
      </c>
      <c r="B39" s="302">
        <v>4470.143</v>
      </c>
      <c r="C39" s="427">
        <v>0</v>
      </c>
      <c r="D39" s="427">
        <v>0</v>
      </c>
      <c r="E39" s="427">
        <f t="shared" si="1"/>
        <v>0</v>
      </c>
      <c r="F39" s="427"/>
      <c r="G39" s="427">
        <v>0</v>
      </c>
    </row>
    <row r="40" spans="1:7" s="241" customFormat="1" ht="12.75">
      <c r="A40" s="241" t="s">
        <v>1415</v>
      </c>
      <c r="B40" s="352" t="s">
        <v>1682</v>
      </c>
      <c r="C40" s="427">
        <v>0</v>
      </c>
      <c r="D40" s="427">
        <v>-93393</v>
      </c>
      <c r="E40" s="427">
        <f t="shared" si="1"/>
        <v>-93393</v>
      </c>
      <c r="F40" s="427"/>
      <c r="G40" s="427">
        <v>0</v>
      </c>
    </row>
    <row r="41" spans="1:10" s="241" customFormat="1" ht="12.75">
      <c r="A41" s="241" t="s">
        <v>114</v>
      </c>
      <c r="B41" s="352" t="s">
        <v>27</v>
      </c>
      <c r="C41" s="427">
        <v>0</v>
      </c>
      <c r="D41" s="427">
        <v>-33</v>
      </c>
      <c r="E41" s="427">
        <f t="shared" si="1"/>
        <v>-33</v>
      </c>
      <c r="F41" s="427"/>
      <c r="G41" s="427">
        <v>0</v>
      </c>
      <c r="H41" s="241" t="s">
        <v>663</v>
      </c>
      <c r="I41" s="241" t="s">
        <v>645</v>
      </c>
      <c r="J41" s="241" t="s">
        <v>654</v>
      </c>
    </row>
    <row r="42" spans="1:7" s="241" customFormat="1" ht="12.75">
      <c r="A42" s="241" t="s">
        <v>115</v>
      </c>
      <c r="B42" s="352" t="s">
        <v>28</v>
      </c>
      <c r="C42" s="427">
        <v>0</v>
      </c>
      <c r="D42" s="427">
        <v>-1</v>
      </c>
      <c r="E42" s="427">
        <f t="shared" si="1"/>
        <v>-1</v>
      </c>
      <c r="F42" s="427"/>
      <c r="G42" s="427">
        <v>0</v>
      </c>
    </row>
    <row r="43" spans="1:7" s="241" customFormat="1" ht="12.75">
      <c r="A43" s="241" t="s">
        <v>529</v>
      </c>
      <c r="B43" s="352" t="s">
        <v>1682</v>
      </c>
      <c r="C43" s="427">
        <v>0</v>
      </c>
      <c r="D43" s="427">
        <v>-8916</v>
      </c>
      <c r="E43" s="427">
        <f t="shared" si="1"/>
        <v>-8916</v>
      </c>
      <c r="F43" s="427"/>
      <c r="G43" s="427">
        <v>0</v>
      </c>
    </row>
    <row r="44" spans="1:7" s="241" customFormat="1" ht="12.75">
      <c r="A44" s="241" t="s">
        <v>1051</v>
      </c>
      <c r="B44" s="352">
        <v>4470.154</v>
      </c>
      <c r="C44" s="427">
        <v>0</v>
      </c>
      <c r="D44" s="427">
        <v>441415</v>
      </c>
      <c r="E44" s="427">
        <f t="shared" si="1"/>
        <v>441415</v>
      </c>
      <c r="F44" s="427"/>
      <c r="G44" s="427">
        <v>0</v>
      </c>
    </row>
    <row r="45" spans="1:7" s="241" customFormat="1" ht="12.75">
      <c r="A45" s="241" t="s">
        <v>1052</v>
      </c>
      <c r="B45" s="352">
        <v>4470.152</v>
      </c>
      <c r="C45" s="427">
        <v>0</v>
      </c>
      <c r="D45" s="427">
        <v>-1287774</v>
      </c>
      <c r="E45" s="427">
        <f t="shared" si="1"/>
        <v>-1287774</v>
      </c>
      <c r="F45" s="427"/>
      <c r="G45" s="427">
        <v>0</v>
      </c>
    </row>
    <row r="46" spans="1:7" s="241" customFormat="1" ht="12.75">
      <c r="A46" s="241" t="s">
        <v>1687</v>
      </c>
      <c r="B46" s="302">
        <v>4470.081</v>
      </c>
      <c r="C46" s="427">
        <v>0</v>
      </c>
      <c r="D46" s="427">
        <v>0</v>
      </c>
      <c r="E46" s="427">
        <f t="shared" si="1"/>
        <v>0</v>
      </c>
      <c r="F46" s="427"/>
      <c r="G46" s="427">
        <v>0</v>
      </c>
    </row>
    <row r="47" spans="1:7" s="241" customFormat="1" ht="12.75">
      <c r="A47" s="241" t="s">
        <v>1691</v>
      </c>
      <c r="B47" s="302">
        <v>4470.081</v>
      </c>
      <c r="C47" s="427">
        <v>672313</v>
      </c>
      <c r="D47" s="427">
        <v>1732040</v>
      </c>
      <c r="E47" s="427">
        <f t="shared" si="1"/>
        <v>2404353</v>
      </c>
      <c r="F47" s="427"/>
      <c r="G47" s="427">
        <v>9363</v>
      </c>
    </row>
    <row r="48" spans="1:7" s="241" customFormat="1" ht="12.75">
      <c r="A48" s="241" t="s">
        <v>1692</v>
      </c>
      <c r="B48" s="302">
        <v>4470.081</v>
      </c>
      <c r="C48" s="427">
        <v>0</v>
      </c>
      <c r="D48" s="427">
        <v>0</v>
      </c>
      <c r="E48" s="427">
        <f t="shared" si="1"/>
        <v>0</v>
      </c>
      <c r="F48" s="427"/>
      <c r="G48" s="427">
        <v>-150</v>
      </c>
    </row>
    <row r="49" spans="1:10" s="241" customFormat="1" ht="12.75">
      <c r="A49" s="241" t="s">
        <v>1031</v>
      </c>
      <c r="B49" s="302">
        <v>4470.081</v>
      </c>
      <c r="C49" s="427">
        <v>0</v>
      </c>
      <c r="D49" s="427">
        <v>0</v>
      </c>
      <c r="E49" s="427">
        <f t="shared" si="1"/>
        <v>0</v>
      </c>
      <c r="F49" s="427"/>
      <c r="G49" s="427">
        <v>0</v>
      </c>
      <c r="I49" s="241" t="s">
        <v>645</v>
      </c>
      <c r="J49" s="241" t="s">
        <v>655</v>
      </c>
    </row>
    <row r="50" spans="1:7" s="241" customFormat="1" ht="12.75">
      <c r="A50" s="241" t="s">
        <v>1688</v>
      </c>
      <c r="B50" s="302">
        <v>4470.132</v>
      </c>
      <c r="C50" s="427">
        <v>0</v>
      </c>
      <c r="D50" s="427">
        <v>0</v>
      </c>
      <c r="E50" s="427">
        <f t="shared" si="1"/>
        <v>0</v>
      </c>
      <c r="F50" s="427"/>
      <c r="G50" s="427">
        <v>0</v>
      </c>
    </row>
    <row r="51" spans="1:7" s="241" customFormat="1" ht="12.75">
      <c r="A51" s="241" t="s">
        <v>1689</v>
      </c>
      <c r="B51" s="302">
        <v>4470.132</v>
      </c>
      <c r="C51" s="427">
        <v>0</v>
      </c>
      <c r="D51" s="427">
        <v>0</v>
      </c>
      <c r="E51" s="427">
        <f t="shared" si="1"/>
        <v>0</v>
      </c>
      <c r="F51" s="427"/>
      <c r="G51" s="427">
        <v>0</v>
      </c>
    </row>
    <row r="52" spans="1:10" s="241" customFormat="1" ht="12.75">
      <c r="A52" s="241" t="s">
        <v>1690</v>
      </c>
      <c r="B52" s="302">
        <v>4470.132</v>
      </c>
      <c r="C52" s="427">
        <v>0</v>
      </c>
      <c r="D52" s="427">
        <v>0</v>
      </c>
      <c r="E52" s="427">
        <v>0</v>
      </c>
      <c r="F52" s="427"/>
      <c r="G52" s="427">
        <v>0</v>
      </c>
      <c r="I52" s="241" t="s">
        <v>645</v>
      </c>
      <c r="J52" s="241" t="s">
        <v>655</v>
      </c>
    </row>
    <row r="53" spans="1:7" s="241" customFormat="1" ht="12.75">
      <c r="A53" s="241" t="s">
        <v>1693</v>
      </c>
      <c r="B53" s="302">
        <v>4470.082</v>
      </c>
      <c r="C53" s="427">
        <v>0</v>
      </c>
      <c r="D53" s="427">
        <v>0</v>
      </c>
      <c r="E53" s="427">
        <f aca="true" t="shared" si="2" ref="E53:E61">SUM(C53:D53)</f>
        <v>0</v>
      </c>
      <c r="F53" s="427"/>
      <c r="G53" s="427">
        <v>0</v>
      </c>
    </row>
    <row r="54" spans="1:7" s="241" customFormat="1" ht="12.75">
      <c r="A54" s="241" t="s">
        <v>1397</v>
      </c>
      <c r="B54" s="302">
        <v>4470.082</v>
      </c>
      <c r="C54" s="427">
        <v>0</v>
      </c>
      <c r="D54" s="427">
        <v>0</v>
      </c>
      <c r="E54" s="427">
        <f t="shared" si="2"/>
        <v>0</v>
      </c>
      <c r="F54" s="427"/>
      <c r="G54" s="427">
        <v>0</v>
      </c>
    </row>
    <row r="55" spans="1:7" s="241" customFormat="1" ht="12.75">
      <c r="A55" s="241" t="s">
        <v>1416</v>
      </c>
      <c r="B55" s="151">
        <v>4470.143</v>
      </c>
      <c r="C55" s="427">
        <v>1533651</v>
      </c>
      <c r="D55" s="427">
        <v>0</v>
      </c>
      <c r="E55" s="427">
        <f t="shared" si="2"/>
        <v>1533651</v>
      </c>
      <c r="F55" s="427"/>
      <c r="G55" s="427">
        <v>0</v>
      </c>
    </row>
    <row r="56" spans="1:7" s="241" customFormat="1" ht="12.75">
      <c r="A56" s="241" t="s">
        <v>1416</v>
      </c>
      <c r="B56" s="302">
        <v>5550.099</v>
      </c>
      <c r="C56" s="427">
        <v>-2331347</v>
      </c>
      <c r="D56" s="427">
        <v>0</v>
      </c>
      <c r="E56" s="427">
        <f t="shared" si="2"/>
        <v>-2331347</v>
      </c>
      <c r="F56" s="427"/>
      <c r="G56" s="427">
        <v>0</v>
      </c>
    </row>
    <row r="57" spans="1:7" s="241" customFormat="1" ht="12.75">
      <c r="A57" s="241" t="s">
        <v>1416</v>
      </c>
      <c r="B57" s="151">
        <v>4470.082</v>
      </c>
      <c r="C57" s="427">
        <v>-6450633</v>
      </c>
      <c r="D57" s="427">
        <v>0</v>
      </c>
      <c r="E57" s="427">
        <f t="shared" si="2"/>
        <v>-6450633</v>
      </c>
      <c r="F57" s="427"/>
      <c r="G57" s="427">
        <v>0</v>
      </c>
    </row>
    <row r="58" spans="1:7" s="241" customFormat="1" ht="12.75">
      <c r="A58" t="s">
        <v>1417</v>
      </c>
      <c r="B58" s="151">
        <v>4470.081</v>
      </c>
      <c r="C58" s="427">
        <v>-1042968</v>
      </c>
      <c r="D58" s="427">
        <v>-177740</v>
      </c>
      <c r="E58" s="427">
        <f t="shared" si="2"/>
        <v>-1220708</v>
      </c>
      <c r="F58" s="427"/>
      <c r="G58" s="427">
        <v>175930</v>
      </c>
    </row>
    <row r="59" spans="1:7" s="241" customFormat="1" ht="12.75">
      <c r="A59" t="s">
        <v>1417</v>
      </c>
      <c r="B59" s="302">
        <v>4470.082</v>
      </c>
      <c r="C59" s="427">
        <v>1551076</v>
      </c>
      <c r="D59" s="427">
        <v>0</v>
      </c>
      <c r="E59" s="427">
        <f t="shared" si="2"/>
        <v>1551076</v>
      </c>
      <c r="F59" s="427"/>
      <c r="G59" s="427">
        <v>0</v>
      </c>
    </row>
    <row r="60" spans="1:10" s="241" customFormat="1" ht="12.75">
      <c r="A60" s="241" t="s">
        <v>156</v>
      </c>
      <c r="B60" s="302">
        <v>5570.007</v>
      </c>
      <c r="C60" s="427">
        <v>0</v>
      </c>
      <c r="D60" s="427">
        <v>0</v>
      </c>
      <c r="E60" s="427">
        <f t="shared" si="2"/>
        <v>0</v>
      </c>
      <c r="F60" s="427"/>
      <c r="G60" s="427">
        <v>0</v>
      </c>
      <c r="H60" s="241" t="s">
        <v>635</v>
      </c>
      <c r="I60" s="241" t="s">
        <v>649</v>
      </c>
      <c r="J60" s="241" t="s">
        <v>656</v>
      </c>
    </row>
    <row r="61" spans="1:10" s="241" customFormat="1" ht="12.75">
      <c r="A61" s="241" t="s">
        <v>318</v>
      </c>
      <c r="B61" s="302">
        <v>5570.007</v>
      </c>
      <c r="C61" s="427">
        <v>0</v>
      </c>
      <c r="D61" s="427">
        <v>0</v>
      </c>
      <c r="E61" s="427">
        <f t="shared" si="2"/>
        <v>0</v>
      </c>
      <c r="F61" s="427"/>
      <c r="G61" s="427">
        <v>0</v>
      </c>
      <c r="I61" s="241" t="s">
        <v>657</v>
      </c>
      <c r="J61" s="241" t="s">
        <v>658</v>
      </c>
    </row>
    <row r="62" spans="1:10" s="241" customFormat="1" ht="12.75">
      <c r="A62" s="241" t="s">
        <v>659</v>
      </c>
      <c r="B62" s="352">
        <v>4470.01</v>
      </c>
      <c r="C62" s="427">
        <v>0</v>
      </c>
      <c r="D62" s="427">
        <v>0</v>
      </c>
      <c r="E62" s="427">
        <f>+C62+D62</f>
        <v>0</v>
      </c>
      <c r="F62" s="427"/>
      <c r="G62" s="427">
        <v>-7921982</v>
      </c>
      <c r="H62" s="241" t="s">
        <v>636</v>
      </c>
      <c r="I62" s="241" t="s">
        <v>649</v>
      </c>
      <c r="J62" s="241" t="s">
        <v>656</v>
      </c>
    </row>
    <row r="63" spans="1:10" s="241" customFormat="1" ht="12.75">
      <c r="A63" s="241" t="s">
        <v>668</v>
      </c>
      <c r="B63" s="352">
        <v>4470.01</v>
      </c>
      <c r="C63" s="427">
        <v>0</v>
      </c>
      <c r="D63" s="427">
        <v>-9</v>
      </c>
      <c r="E63" s="427">
        <f>+C63+D63</f>
        <v>-9</v>
      </c>
      <c r="F63" s="427"/>
      <c r="G63" s="427">
        <v>-4069</v>
      </c>
      <c r="H63" s="241" t="s">
        <v>639</v>
      </c>
      <c r="I63" s="241" t="s">
        <v>649</v>
      </c>
      <c r="J63" s="241" t="s">
        <v>656</v>
      </c>
    </row>
    <row r="64" spans="1:7" s="241" customFormat="1" ht="12.75">
      <c r="A64" s="241" t="s">
        <v>660</v>
      </c>
      <c r="B64" s="302">
        <v>4470.006</v>
      </c>
      <c r="C64" s="427">
        <v>0</v>
      </c>
      <c r="D64" s="427">
        <v>0</v>
      </c>
      <c r="E64" s="427">
        <f>+C64+D64</f>
        <v>0</v>
      </c>
      <c r="F64" s="427"/>
      <c r="G64" s="427">
        <v>7593375</v>
      </c>
    </row>
    <row r="65" spans="1:7" s="241" customFormat="1" ht="12.75">
      <c r="A65" s="241" t="s">
        <v>669</v>
      </c>
      <c r="B65" s="302">
        <v>4470.006</v>
      </c>
      <c r="C65" s="427">
        <v>0</v>
      </c>
      <c r="D65" s="427">
        <v>0</v>
      </c>
      <c r="E65" s="427">
        <f>+C65+D65</f>
        <v>0</v>
      </c>
      <c r="F65" s="427"/>
      <c r="G65" s="427">
        <v>-1075</v>
      </c>
    </row>
    <row r="66" spans="1:7" s="241" customFormat="1" ht="12.75">
      <c r="A66" t="s">
        <v>1418</v>
      </c>
      <c r="B66" s="965">
        <v>4470.01</v>
      </c>
      <c r="C66" s="427">
        <v>-57282721</v>
      </c>
      <c r="D66" s="427">
        <v>-46206</v>
      </c>
      <c r="E66" s="427">
        <f aca="true" t="shared" si="3" ref="E66:E91">SUM(C66:D66)</f>
        <v>-57328927</v>
      </c>
      <c r="F66" s="427"/>
      <c r="G66" s="427">
        <v>0</v>
      </c>
    </row>
    <row r="67" spans="1:7" s="241" customFormat="1" ht="12.75">
      <c r="A67" t="s">
        <v>1418</v>
      </c>
      <c r="B67" s="151">
        <v>4470.131</v>
      </c>
      <c r="C67" s="427">
        <v>-951</v>
      </c>
      <c r="D67" s="427">
        <v>0</v>
      </c>
      <c r="E67" s="427">
        <f t="shared" si="3"/>
        <v>-951</v>
      </c>
      <c r="F67" s="427"/>
      <c r="G67" s="427">
        <v>0</v>
      </c>
    </row>
    <row r="68" spans="1:7" s="241" customFormat="1" ht="12.75">
      <c r="A68" s="241" t="s">
        <v>1554</v>
      </c>
      <c r="B68" s="151">
        <v>4470.099</v>
      </c>
      <c r="C68" s="966">
        <v>-42059</v>
      </c>
      <c r="D68" s="427">
        <v>0</v>
      </c>
      <c r="E68" s="427">
        <f t="shared" si="3"/>
        <v>-42059</v>
      </c>
      <c r="F68" s="427"/>
      <c r="G68" s="427">
        <v>0</v>
      </c>
    </row>
    <row r="69" spans="1:7" s="241" customFormat="1" ht="12.75">
      <c r="A69" t="s">
        <v>1418</v>
      </c>
      <c r="B69" s="965">
        <v>5550.035</v>
      </c>
      <c r="C69" s="427">
        <v>0</v>
      </c>
      <c r="D69" s="427">
        <v>0</v>
      </c>
      <c r="E69" s="427">
        <f t="shared" si="3"/>
        <v>0</v>
      </c>
      <c r="F69" s="427"/>
      <c r="G69" s="427">
        <v>0</v>
      </c>
    </row>
    <row r="70" spans="1:7" s="241" customFormat="1" ht="12.75">
      <c r="A70" s="241" t="s">
        <v>1553</v>
      </c>
      <c r="B70" s="965">
        <v>5550.088</v>
      </c>
      <c r="C70" s="427">
        <v>-157260</v>
      </c>
      <c r="D70" s="427">
        <v>0</v>
      </c>
      <c r="E70" s="427">
        <f t="shared" si="3"/>
        <v>-157260</v>
      </c>
      <c r="F70" s="427"/>
      <c r="G70" s="427">
        <v>0</v>
      </c>
    </row>
    <row r="71" spans="1:7" s="241" customFormat="1" ht="12.75">
      <c r="A71" s="241" t="s">
        <v>216</v>
      </c>
      <c r="B71" s="352">
        <v>5550.099</v>
      </c>
      <c r="C71" s="427">
        <v>-12881719</v>
      </c>
      <c r="D71" s="427">
        <v>0</v>
      </c>
      <c r="E71" s="427">
        <f t="shared" si="3"/>
        <v>-12881719</v>
      </c>
      <c r="F71" s="427"/>
      <c r="G71" s="427">
        <v>0</v>
      </c>
    </row>
    <row r="72" spans="1:7" s="241" customFormat="1" ht="12.75">
      <c r="A72" s="241" t="s">
        <v>217</v>
      </c>
      <c r="B72" s="352">
        <v>5550.1</v>
      </c>
      <c r="C72" s="427">
        <v>-486415</v>
      </c>
      <c r="D72" s="427">
        <v>0</v>
      </c>
      <c r="E72" s="427">
        <f t="shared" si="3"/>
        <v>-486415</v>
      </c>
      <c r="F72" s="427"/>
      <c r="G72" s="427">
        <v>0</v>
      </c>
    </row>
    <row r="73" spans="1:7" s="241" customFormat="1" ht="12.75">
      <c r="A73" s="241" t="s">
        <v>1419</v>
      </c>
      <c r="B73" s="352">
        <v>5550.107</v>
      </c>
      <c r="C73" s="427">
        <v>-1989727</v>
      </c>
      <c r="D73" s="427">
        <v>0</v>
      </c>
      <c r="E73" s="427">
        <f t="shared" si="3"/>
        <v>-1989727</v>
      </c>
      <c r="F73" s="427"/>
      <c r="G73" s="427">
        <v>0</v>
      </c>
    </row>
    <row r="74" spans="1:7" s="241" customFormat="1" ht="12.75">
      <c r="A74" s="241" t="s">
        <v>1568</v>
      </c>
      <c r="B74" s="352">
        <v>5614.008</v>
      </c>
      <c r="C74" s="427">
        <v>-13988</v>
      </c>
      <c r="D74" s="427">
        <v>0</v>
      </c>
      <c r="E74" s="427">
        <f t="shared" si="3"/>
        <v>-13988</v>
      </c>
      <c r="F74" s="427"/>
      <c r="G74" s="427">
        <v>0</v>
      </c>
    </row>
    <row r="75" spans="1:7" s="241" customFormat="1" ht="12.75">
      <c r="A75" t="s">
        <v>116</v>
      </c>
      <c r="B75" s="965">
        <v>4470.146</v>
      </c>
      <c r="C75" s="427">
        <v>0</v>
      </c>
      <c r="D75" s="427">
        <v>-3219723</v>
      </c>
      <c r="E75" s="427">
        <f t="shared" si="3"/>
        <v>-3219723</v>
      </c>
      <c r="F75" s="427"/>
      <c r="G75" s="427">
        <v>0</v>
      </c>
    </row>
    <row r="76" spans="1:7" s="241" customFormat="1" ht="12.75">
      <c r="A76" t="s">
        <v>610</v>
      </c>
      <c r="B76" s="352">
        <v>4470.01</v>
      </c>
      <c r="C76" s="427">
        <v>-70904</v>
      </c>
      <c r="D76" s="427">
        <v>0</v>
      </c>
      <c r="E76" s="427">
        <f t="shared" si="3"/>
        <v>-70904</v>
      </c>
      <c r="F76" s="427"/>
      <c r="G76" s="427">
        <v>0</v>
      </c>
    </row>
    <row r="77" spans="1:7" s="241" customFormat="1" ht="12.75">
      <c r="A77" t="s">
        <v>1420</v>
      </c>
      <c r="B77" s="151">
        <v>4470.006</v>
      </c>
      <c r="C77" s="427">
        <v>69603508</v>
      </c>
      <c r="D77" s="427">
        <v>78</v>
      </c>
      <c r="E77" s="427">
        <f t="shared" si="3"/>
        <v>69603586</v>
      </c>
      <c r="F77" s="427"/>
      <c r="G77" s="427">
        <v>0</v>
      </c>
    </row>
    <row r="78" spans="1:7" s="241" customFormat="1" ht="12.75">
      <c r="A78" t="s">
        <v>1420</v>
      </c>
      <c r="B78" s="151">
        <v>4470.112</v>
      </c>
      <c r="C78" s="427">
        <v>-4219</v>
      </c>
      <c r="D78" s="427">
        <v>0</v>
      </c>
      <c r="E78" s="427">
        <f t="shared" si="3"/>
        <v>-4219</v>
      </c>
      <c r="F78" s="427"/>
      <c r="G78" s="427">
        <v>0</v>
      </c>
    </row>
    <row r="79" spans="1:7" s="241" customFormat="1" ht="12.75">
      <c r="A79" s="241" t="s">
        <v>1421</v>
      </c>
      <c r="B79" s="302">
        <v>4470.112</v>
      </c>
      <c r="C79" s="427">
        <v>570795</v>
      </c>
      <c r="D79" s="427">
        <v>0</v>
      </c>
      <c r="E79" s="427">
        <f t="shared" si="3"/>
        <v>570795</v>
      </c>
      <c r="F79" s="427"/>
      <c r="G79" s="427">
        <v>0</v>
      </c>
    </row>
    <row r="80" spans="1:7" s="241" customFormat="1" ht="12.75">
      <c r="A80" t="s">
        <v>1592</v>
      </c>
      <c r="B80" s="965">
        <v>4470.167</v>
      </c>
      <c r="C80" s="427">
        <v>22454</v>
      </c>
      <c r="D80" s="427">
        <v>0</v>
      </c>
      <c r="E80" s="427">
        <f t="shared" si="3"/>
        <v>22454</v>
      </c>
      <c r="F80" s="427"/>
      <c r="G80" s="427">
        <v>0</v>
      </c>
    </row>
    <row r="81" spans="1:7" s="241" customFormat="1" ht="12.75">
      <c r="A81" s="241" t="s">
        <v>218</v>
      </c>
      <c r="B81" s="352">
        <v>4470.17</v>
      </c>
      <c r="C81" s="427">
        <v>28637438</v>
      </c>
      <c r="D81" s="427">
        <v>0</v>
      </c>
      <c r="E81" s="427">
        <f t="shared" si="3"/>
        <v>28637438</v>
      </c>
      <c r="F81" s="427"/>
      <c r="G81" s="427">
        <v>0</v>
      </c>
    </row>
    <row r="82" spans="1:7" s="241" customFormat="1" ht="12.75">
      <c r="A82" t="s">
        <v>117</v>
      </c>
      <c r="B82" s="151">
        <v>4470.148</v>
      </c>
      <c r="C82" s="427">
        <v>0</v>
      </c>
      <c r="D82" s="427">
        <v>2525547</v>
      </c>
      <c r="E82" s="427">
        <f t="shared" si="3"/>
        <v>2525547</v>
      </c>
      <c r="F82" s="427"/>
      <c r="G82" s="427">
        <v>0</v>
      </c>
    </row>
    <row r="83" spans="1:7" s="241" customFormat="1" ht="12.75">
      <c r="A83" t="s">
        <v>611</v>
      </c>
      <c r="B83" s="151">
        <v>4470.006</v>
      </c>
      <c r="C83" s="427">
        <v>-79093</v>
      </c>
      <c r="D83" s="427">
        <v>0</v>
      </c>
      <c r="E83" s="427">
        <f t="shared" si="3"/>
        <v>-79093</v>
      </c>
      <c r="F83" s="427"/>
      <c r="G83" s="427">
        <v>0</v>
      </c>
    </row>
    <row r="84" spans="1:7" s="241" customFormat="1" ht="12.75">
      <c r="A84" t="s">
        <v>612</v>
      </c>
      <c r="B84" s="151">
        <v>4470.007</v>
      </c>
      <c r="C84" s="427">
        <v>0</v>
      </c>
      <c r="D84" s="427">
        <v>0</v>
      </c>
      <c r="E84" s="427">
        <f t="shared" si="3"/>
        <v>0</v>
      </c>
      <c r="F84" s="427"/>
      <c r="G84" s="427">
        <v>0</v>
      </c>
    </row>
    <row r="85" spans="1:7" s="241" customFormat="1" ht="12.75">
      <c r="A85" t="s">
        <v>613</v>
      </c>
      <c r="B85" s="151">
        <v>4470.011</v>
      </c>
      <c r="C85" s="427">
        <v>0</v>
      </c>
      <c r="D85" s="427">
        <v>0</v>
      </c>
      <c r="E85" s="427">
        <f t="shared" si="3"/>
        <v>0</v>
      </c>
      <c r="F85" s="427"/>
      <c r="G85" s="427">
        <v>0</v>
      </c>
    </row>
    <row r="86" spans="1:7" ht="12.75">
      <c r="A86" t="s">
        <v>614</v>
      </c>
      <c r="B86" s="151">
        <v>4470.082</v>
      </c>
      <c r="C86" s="427">
        <v>-5953676</v>
      </c>
      <c r="D86" s="427">
        <v>0</v>
      </c>
      <c r="E86" s="427">
        <f t="shared" si="3"/>
        <v>-5953676</v>
      </c>
      <c r="F86" s="427"/>
      <c r="G86" s="427">
        <v>0</v>
      </c>
    </row>
    <row r="87" spans="1:7" ht="12.75">
      <c r="A87" t="s">
        <v>615</v>
      </c>
      <c r="B87" s="151">
        <v>4470.143</v>
      </c>
      <c r="C87" s="427">
        <v>1344165</v>
      </c>
      <c r="D87" s="427">
        <v>0</v>
      </c>
      <c r="E87" s="427">
        <f t="shared" si="3"/>
        <v>1344165</v>
      </c>
      <c r="F87" s="427"/>
      <c r="G87" s="427">
        <v>0</v>
      </c>
    </row>
    <row r="88" spans="1:7" ht="12.75">
      <c r="A88" t="s">
        <v>274</v>
      </c>
      <c r="B88" s="151">
        <v>5550.035</v>
      </c>
      <c r="C88" s="427">
        <v>0</v>
      </c>
      <c r="D88" s="427">
        <v>0</v>
      </c>
      <c r="E88" s="427">
        <f t="shared" si="3"/>
        <v>0</v>
      </c>
      <c r="F88" s="427"/>
      <c r="G88" s="427">
        <v>0</v>
      </c>
    </row>
    <row r="89" spans="1:7" ht="12.75">
      <c r="A89" s="241" t="s">
        <v>219</v>
      </c>
      <c r="B89" s="302">
        <v>5550.099</v>
      </c>
      <c r="C89" s="427">
        <v>-60109</v>
      </c>
      <c r="D89" s="427">
        <v>0</v>
      </c>
      <c r="E89" s="427">
        <f t="shared" si="3"/>
        <v>-60109</v>
      </c>
      <c r="F89" s="427"/>
      <c r="G89" s="427">
        <v>0</v>
      </c>
    </row>
    <row r="90" spans="1:7" ht="12.75">
      <c r="A90" t="s">
        <v>662</v>
      </c>
      <c r="B90" s="151">
        <v>4470.007</v>
      </c>
      <c r="C90" s="427">
        <v>0</v>
      </c>
      <c r="D90" s="427">
        <v>0</v>
      </c>
      <c r="E90" s="427">
        <f t="shared" si="3"/>
        <v>0</v>
      </c>
      <c r="F90" s="427"/>
      <c r="G90" s="427">
        <v>0</v>
      </c>
    </row>
    <row r="91" spans="1:7" ht="12.75">
      <c r="A91" t="s">
        <v>667</v>
      </c>
      <c r="B91" s="151">
        <v>4470.011</v>
      </c>
      <c r="C91" s="427">
        <v>0</v>
      </c>
      <c r="D91" s="427">
        <v>0</v>
      </c>
      <c r="E91" s="427">
        <f t="shared" si="3"/>
        <v>0</v>
      </c>
      <c r="F91" s="427"/>
      <c r="G91" s="427">
        <v>0</v>
      </c>
    </row>
    <row r="92" spans="1:7" ht="15.75">
      <c r="A92" s="406" t="s">
        <v>616</v>
      </c>
      <c r="C92" s="244"/>
      <c r="D92" s="244"/>
      <c r="E92" s="244"/>
      <c r="F92" s="244"/>
      <c r="G92" s="244"/>
    </row>
    <row r="93" spans="1:7" ht="12.75">
      <c r="A93" t="s">
        <v>617</v>
      </c>
      <c r="B93" s="151">
        <v>4210.032</v>
      </c>
      <c r="C93" s="427">
        <v>0</v>
      </c>
      <c r="D93" s="427">
        <v>0</v>
      </c>
      <c r="E93" s="427">
        <f>SUM(C93:D93)</f>
        <v>0</v>
      </c>
      <c r="F93" s="427"/>
      <c r="G93" s="427">
        <v>-4358619</v>
      </c>
    </row>
    <row r="94" spans="1:7" ht="12.75">
      <c r="A94" t="s">
        <v>618</v>
      </c>
      <c r="B94" s="151">
        <v>4210.031</v>
      </c>
      <c r="C94" s="427">
        <v>0</v>
      </c>
      <c r="D94" s="427">
        <v>0</v>
      </c>
      <c r="E94" s="427">
        <f>SUM(C94:D94)</f>
        <v>0</v>
      </c>
      <c r="F94" s="427"/>
      <c r="G94" s="427">
        <v>4519616</v>
      </c>
    </row>
    <row r="95" spans="2:7" ht="12.75">
      <c r="B95" s="156" t="s">
        <v>367</v>
      </c>
      <c r="C95" s="434">
        <f>SUM(C10:C94)</f>
        <v>36166207</v>
      </c>
      <c r="D95" s="434">
        <f>SUM(D10:D94)</f>
        <v>-376144</v>
      </c>
      <c r="E95" s="434">
        <f>SUM(C95:D95)</f>
        <v>35790063</v>
      </c>
      <c r="F95" s="244"/>
      <c r="G95" s="434">
        <f>SUM(G10:G94)</f>
        <v>12389</v>
      </c>
    </row>
    <row r="96" spans="3:7" ht="12.75">
      <c r="C96" s="237"/>
      <c r="D96" s="237"/>
      <c r="E96" s="237"/>
      <c r="G96" s="237"/>
    </row>
    <row r="98" spans="3:7" ht="12.75">
      <c r="C98" s="237"/>
      <c r="D98" s="237"/>
      <c r="E98" s="237"/>
      <c r="G98" s="237"/>
    </row>
    <row r="100" spans="3:7" ht="12.75">
      <c r="C100" s="237"/>
      <c r="D100" s="237"/>
      <c r="E100" s="237"/>
      <c r="G100" s="237"/>
    </row>
    <row r="102" spans="3:7" ht="12.75">
      <c r="C102" s="237"/>
      <c r="D102" s="237"/>
      <c r="E102" s="237"/>
      <c r="G102" s="237"/>
    </row>
    <row r="104" spans="3:7" ht="12.75">
      <c r="C104" s="237"/>
      <c r="D104" s="237"/>
      <c r="E104" s="237"/>
      <c r="G104" s="237"/>
    </row>
    <row r="106" spans="3:7" ht="12.75">
      <c r="C106" s="237"/>
      <c r="D106" s="237"/>
      <c r="E106" s="237"/>
      <c r="G106" s="237"/>
    </row>
    <row r="109" spans="3:7" ht="12.75">
      <c r="C109" s="237"/>
      <c r="D109" s="237"/>
      <c r="E109" s="237"/>
      <c r="G109" s="237"/>
    </row>
    <row r="111" spans="3:7" ht="12.75">
      <c r="C111" s="237"/>
      <c r="D111" s="237"/>
      <c r="E111" s="237"/>
      <c r="G111" s="237"/>
    </row>
    <row r="113" spans="3:7" ht="12.75">
      <c r="C113" s="237"/>
      <c r="D113" s="237"/>
      <c r="E113" s="237"/>
      <c r="G113" s="237"/>
    </row>
    <row r="115" spans="3:7" ht="12.75">
      <c r="C115" s="237"/>
      <c r="D115" s="237"/>
      <c r="E115" s="237"/>
      <c r="G115" s="237"/>
    </row>
    <row r="117" spans="3:7" ht="12.75">
      <c r="C117" s="237"/>
      <c r="D117" s="237"/>
      <c r="E117" s="237"/>
      <c r="G117" s="237"/>
    </row>
    <row r="119" spans="3:7" ht="12.75">
      <c r="C119" s="237"/>
      <c r="D119" s="237"/>
      <c r="E119" s="237"/>
      <c r="G119" s="237"/>
    </row>
    <row r="121" spans="3:7" ht="12.75">
      <c r="C121" s="237"/>
      <c r="D121" s="237"/>
      <c r="E121" s="237"/>
      <c r="G121" s="237"/>
    </row>
    <row r="123" spans="3:7" ht="12.75">
      <c r="C123" s="237"/>
      <c r="D123" s="237"/>
      <c r="E123" s="237"/>
      <c r="G123" s="237"/>
    </row>
    <row r="125" spans="3:7" ht="12.75">
      <c r="C125" s="237"/>
      <c r="D125" s="237"/>
      <c r="E125" s="237"/>
      <c r="G125" s="237"/>
    </row>
    <row r="128" spans="3:7" ht="12.75">
      <c r="C128" s="237"/>
      <c r="D128" s="237"/>
      <c r="E128" s="237"/>
      <c r="G128" s="237"/>
    </row>
    <row r="131" spans="3:7" ht="12.75">
      <c r="C131" s="237"/>
      <c r="D131" s="237"/>
      <c r="E131" s="237"/>
      <c r="G131" s="237"/>
    </row>
    <row r="133" spans="3:7" ht="12.75">
      <c r="C133" s="237"/>
      <c r="D133" s="237"/>
      <c r="E133" s="237"/>
      <c r="G133" s="237"/>
    </row>
    <row r="135" spans="3:7" ht="12.75">
      <c r="C135" s="237"/>
      <c r="D135" s="237"/>
      <c r="E135" s="237"/>
      <c r="G135" s="237"/>
    </row>
    <row r="137" spans="3:7" ht="12.75">
      <c r="C137" s="237"/>
      <c r="D137" s="237"/>
      <c r="E137" s="237"/>
      <c r="G137" s="237"/>
    </row>
    <row r="140" spans="3:7" ht="12.75">
      <c r="C140" s="237"/>
      <c r="D140" s="237"/>
      <c r="E140" s="237"/>
      <c r="G140" s="237"/>
    </row>
    <row r="143" spans="3:7" ht="12.75">
      <c r="C143" s="237"/>
      <c r="D143" s="237"/>
      <c r="E143" s="237"/>
      <c r="G143" s="237"/>
    </row>
    <row r="146" spans="3:7" ht="12.75">
      <c r="C146" s="237"/>
      <c r="D146" s="237"/>
      <c r="E146" s="237"/>
      <c r="G146" s="237"/>
    </row>
    <row r="149" spans="3:7" ht="12.75">
      <c r="C149" s="237"/>
      <c r="D149" s="237"/>
      <c r="E149" s="237"/>
      <c r="G149" s="237"/>
    </row>
    <row r="152" spans="3:7" ht="12.75">
      <c r="C152" s="237"/>
      <c r="D152" s="237"/>
      <c r="E152" s="237"/>
      <c r="G152" s="237"/>
    </row>
    <row r="154" spans="3:7" ht="12.75">
      <c r="C154" s="237"/>
      <c r="D154" s="237"/>
      <c r="E154" s="237"/>
      <c r="G154" s="237"/>
    </row>
    <row r="156" spans="3:7" ht="12.75">
      <c r="C156" s="237"/>
      <c r="D156" s="237"/>
      <c r="E156" s="237"/>
      <c r="G156" s="237"/>
    </row>
    <row r="158" spans="3:7" ht="12.75">
      <c r="C158" s="237"/>
      <c r="D158" s="237"/>
      <c r="E158" s="237"/>
      <c r="G158" s="237"/>
    </row>
    <row r="160" spans="3:7" ht="12.75">
      <c r="C160" s="237"/>
      <c r="D160" s="237"/>
      <c r="E160" s="237"/>
      <c r="G160" s="237"/>
    </row>
    <row r="165" spans="3:7" ht="12.75">
      <c r="C165" s="237"/>
      <c r="D165" s="237"/>
      <c r="E165" s="237"/>
      <c r="G165" s="237"/>
    </row>
    <row r="167" spans="3:7" ht="12.75">
      <c r="C167" s="237"/>
      <c r="D167" s="237"/>
      <c r="E167" s="237"/>
      <c r="G167" s="237"/>
    </row>
    <row r="171" spans="3:7" ht="12.75">
      <c r="C171" s="237"/>
      <c r="D171" s="237"/>
      <c r="E171" s="237"/>
      <c r="G171" s="237"/>
    </row>
    <row r="173" spans="3:4" ht="12.75">
      <c r="C173" s="537"/>
      <c r="D173" s="537"/>
    </row>
  </sheetData>
  <printOptions gridLines="1" horizontalCentered="1" verticalCentered="1"/>
  <pageMargins left="0" right="0" top="0" bottom="0" header="0" footer="0"/>
  <pageSetup fitToHeight="1" fitToWidth="1" horizontalDpi="600" verticalDpi="600" orientation="portrait" scale="57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I53"/>
  <sheetViews>
    <sheetView workbookViewId="0" topLeftCell="A1">
      <selection activeCell="A1" sqref="A1"/>
    </sheetView>
  </sheetViews>
  <sheetFormatPr defaultColWidth="9.140625" defaultRowHeight="12.75"/>
  <cols>
    <col min="1" max="2" width="17.421875" style="0" customWidth="1"/>
    <col min="3" max="8" width="15.7109375" style="0" customWidth="1"/>
    <col min="9" max="9" width="14.00390625" style="0" bestFit="1" customWidth="1"/>
  </cols>
  <sheetData>
    <row r="1" spans="1:8" ht="12.75">
      <c r="A1" s="240" t="s">
        <v>1451</v>
      </c>
      <c r="B1" s="349" t="str">
        <f>INPUT!C1</f>
        <v>June 2009</v>
      </c>
      <c r="C1" s="158"/>
      <c r="D1" s="158"/>
      <c r="E1" s="158"/>
      <c r="F1" s="158"/>
      <c r="G1" s="158"/>
      <c r="H1" s="157" t="s">
        <v>342</v>
      </c>
    </row>
    <row r="2" spans="1:8" ht="12.75">
      <c r="A2" s="158"/>
      <c r="B2" s="158"/>
      <c r="C2" s="158"/>
      <c r="D2" s="158"/>
      <c r="E2" s="158"/>
      <c r="F2" s="158"/>
      <c r="G2" s="158"/>
      <c r="H2" s="157" t="s">
        <v>202</v>
      </c>
    </row>
    <row r="4" ht="18">
      <c r="A4" s="155" t="s">
        <v>29</v>
      </c>
    </row>
    <row r="5" ht="18">
      <c r="A5" s="155" t="s">
        <v>1149</v>
      </c>
    </row>
    <row r="6" ht="13.5" thickBot="1"/>
    <row r="7" spans="1:9" ht="12.75">
      <c r="A7" s="364"/>
      <c r="B7" s="404" t="s">
        <v>1146</v>
      </c>
      <c r="C7" s="359"/>
      <c r="D7" s="359"/>
      <c r="E7" s="359"/>
      <c r="F7" s="359"/>
      <c r="G7" s="359"/>
      <c r="H7" s="359"/>
      <c r="I7" s="360"/>
    </row>
    <row r="8" spans="1:9" ht="12.75">
      <c r="A8" s="355"/>
      <c r="B8" s="407" t="s">
        <v>1151</v>
      </c>
      <c r="C8" s="408"/>
      <c r="D8" s="395">
        <v>0.34458</v>
      </c>
      <c r="E8" s="395">
        <v>0.06943</v>
      </c>
      <c r="F8" s="395">
        <v>0.17686</v>
      </c>
      <c r="G8" s="395">
        <v>0.22638</v>
      </c>
      <c r="H8" s="395">
        <v>0.18275</v>
      </c>
      <c r="I8" s="396">
        <v>1</v>
      </c>
    </row>
    <row r="9" spans="1:9" ht="12.75">
      <c r="A9" s="355"/>
      <c r="B9" s="353" t="s">
        <v>337</v>
      </c>
      <c r="C9" s="353" t="s">
        <v>341</v>
      </c>
      <c r="D9" s="353" t="s">
        <v>1239</v>
      </c>
      <c r="E9" s="353" t="s">
        <v>1240</v>
      </c>
      <c r="F9" s="353" t="s">
        <v>1241</v>
      </c>
      <c r="G9" s="353" t="s">
        <v>1242</v>
      </c>
      <c r="H9" s="353" t="s">
        <v>1243</v>
      </c>
      <c r="I9" s="354" t="s">
        <v>367</v>
      </c>
    </row>
    <row r="10" spans="1:9" ht="12.75">
      <c r="A10" s="355"/>
      <c r="B10" s="238"/>
      <c r="C10" s="238"/>
      <c r="D10" s="238"/>
      <c r="E10" s="238"/>
      <c r="F10" s="238"/>
      <c r="G10" s="238"/>
      <c r="H10" s="238"/>
      <c r="I10" s="356"/>
    </row>
    <row r="11" spans="1:9" ht="12.75">
      <c r="A11" s="397" t="s">
        <v>1147</v>
      </c>
      <c r="B11" s="398">
        <v>4470.006</v>
      </c>
      <c r="C11" s="399">
        <v>7593374.95</v>
      </c>
      <c r="D11" s="399">
        <v>2616525.14</v>
      </c>
      <c r="E11" s="399">
        <v>527208.03</v>
      </c>
      <c r="F11" s="399">
        <v>1342964.28</v>
      </c>
      <c r="G11" s="399">
        <v>1718988.24</v>
      </c>
      <c r="H11" s="399">
        <v>1387689.26</v>
      </c>
      <c r="I11" s="400">
        <v>7593374.95</v>
      </c>
    </row>
    <row r="12" spans="1:9" ht="12.75">
      <c r="A12" s="397" t="s">
        <v>1148</v>
      </c>
      <c r="B12" s="398">
        <v>4470.006</v>
      </c>
      <c r="C12" s="401">
        <v>-1075.4</v>
      </c>
      <c r="D12" s="401">
        <v>-371.4</v>
      </c>
      <c r="E12" s="401">
        <v>-74</v>
      </c>
      <c r="F12" s="401">
        <v>-190</v>
      </c>
      <c r="G12" s="401">
        <v>-245</v>
      </c>
      <c r="H12" s="401">
        <v>-195</v>
      </c>
      <c r="I12" s="402">
        <v>-1075.4</v>
      </c>
    </row>
    <row r="13" spans="1:9" ht="13.5" thickBot="1">
      <c r="A13" s="368"/>
      <c r="B13" s="403" t="s">
        <v>367</v>
      </c>
      <c r="C13" s="357">
        <v>7592299.55</v>
      </c>
      <c r="D13" s="357">
        <v>2616153.74</v>
      </c>
      <c r="E13" s="357">
        <v>527134.03</v>
      </c>
      <c r="F13" s="357">
        <v>1342774.28</v>
      </c>
      <c r="G13" s="357">
        <v>1718743.24</v>
      </c>
      <c r="H13" s="357">
        <v>1387494.26</v>
      </c>
      <c r="I13" s="358">
        <v>7592299.55</v>
      </c>
    </row>
    <row r="15" ht="13.5" thickBot="1"/>
    <row r="16" spans="1:9" ht="12.75">
      <c r="A16" s="364"/>
      <c r="B16" s="404" t="s">
        <v>1707</v>
      </c>
      <c r="C16" s="359"/>
      <c r="D16" s="359"/>
      <c r="E16" s="359"/>
      <c r="F16" s="359"/>
      <c r="G16" s="359"/>
      <c r="H16" s="359"/>
      <c r="I16" s="360"/>
    </row>
    <row r="17" spans="1:9" ht="12.75">
      <c r="A17" s="355"/>
      <c r="B17" s="407" t="s">
        <v>1708</v>
      </c>
      <c r="C17" s="238"/>
      <c r="D17" s="395">
        <v>0.34458</v>
      </c>
      <c r="E17" s="395">
        <v>0.06943</v>
      </c>
      <c r="F17" s="395">
        <v>0.17686</v>
      </c>
      <c r="G17" s="395">
        <v>0.22638</v>
      </c>
      <c r="H17" s="395">
        <v>0.18275</v>
      </c>
      <c r="I17" s="396">
        <v>1</v>
      </c>
    </row>
    <row r="18" spans="1:9" ht="12.75">
      <c r="A18" s="355"/>
      <c r="B18" s="353" t="s">
        <v>337</v>
      </c>
      <c r="C18" s="353" t="s">
        <v>341</v>
      </c>
      <c r="D18" s="353" t="s">
        <v>1239</v>
      </c>
      <c r="E18" s="353" t="s">
        <v>1240</v>
      </c>
      <c r="F18" s="353" t="s">
        <v>1241</v>
      </c>
      <c r="G18" s="353" t="s">
        <v>1242</v>
      </c>
      <c r="H18" s="353" t="s">
        <v>1243</v>
      </c>
      <c r="I18" s="354" t="s">
        <v>367</v>
      </c>
    </row>
    <row r="19" spans="1:9" ht="12.75">
      <c r="A19" s="355"/>
      <c r="B19" s="238"/>
      <c r="C19" s="238"/>
      <c r="D19" s="238"/>
      <c r="E19" s="238"/>
      <c r="F19" s="238"/>
      <c r="G19" s="238"/>
      <c r="H19" s="238"/>
      <c r="I19" s="356"/>
    </row>
    <row r="20" spans="1:9" ht="12.75">
      <c r="A20" s="397" t="s">
        <v>1147</v>
      </c>
      <c r="B20" s="398">
        <v>4470.006</v>
      </c>
      <c r="C20" s="399">
        <v>0</v>
      </c>
      <c r="D20" s="399">
        <v>0</v>
      </c>
      <c r="E20" s="399">
        <v>0</v>
      </c>
      <c r="F20" s="399">
        <v>0</v>
      </c>
      <c r="G20" s="399">
        <v>0</v>
      </c>
      <c r="H20" s="399">
        <v>0</v>
      </c>
      <c r="I20" s="400">
        <v>0</v>
      </c>
    </row>
    <row r="21" spans="1:9" ht="12.75">
      <c r="A21" s="397" t="s">
        <v>1148</v>
      </c>
      <c r="B21" s="398">
        <v>4470.006</v>
      </c>
      <c r="C21" s="401">
        <v>0</v>
      </c>
      <c r="D21" s="401">
        <v>0</v>
      </c>
      <c r="E21" s="401">
        <v>0</v>
      </c>
      <c r="F21" s="401">
        <v>0</v>
      </c>
      <c r="G21" s="401">
        <v>0</v>
      </c>
      <c r="H21" s="401">
        <v>0</v>
      </c>
      <c r="I21" s="402">
        <v>0</v>
      </c>
    </row>
    <row r="22" spans="1:9" ht="13.5" thickBot="1">
      <c r="A22" s="405"/>
      <c r="B22" s="403" t="s">
        <v>367</v>
      </c>
      <c r="C22" s="357">
        <v>0</v>
      </c>
      <c r="D22" s="357">
        <v>0</v>
      </c>
      <c r="E22" s="357">
        <v>0</v>
      </c>
      <c r="F22" s="357">
        <v>0</v>
      </c>
      <c r="G22" s="357">
        <v>0</v>
      </c>
      <c r="H22" s="357">
        <v>0</v>
      </c>
      <c r="I22" s="358">
        <v>0</v>
      </c>
    </row>
    <row r="23" ht="12.75">
      <c r="A23" s="156"/>
    </row>
    <row r="24" ht="13.5" thickBot="1">
      <c r="A24" s="156"/>
    </row>
    <row r="25" spans="1:9" ht="12.75">
      <c r="A25" s="364"/>
      <c r="B25" s="404" t="s">
        <v>1152</v>
      </c>
      <c r="C25" s="359"/>
      <c r="D25" s="359"/>
      <c r="E25" s="359"/>
      <c r="F25" s="359"/>
      <c r="G25" s="359"/>
      <c r="H25" s="359"/>
      <c r="I25" s="360"/>
    </row>
    <row r="26" spans="1:9" ht="12.75">
      <c r="A26" s="355"/>
      <c r="B26" s="407" t="s">
        <v>1708</v>
      </c>
      <c r="C26" s="238"/>
      <c r="D26" s="238"/>
      <c r="E26" s="238"/>
      <c r="F26" s="238"/>
      <c r="G26" s="238"/>
      <c r="H26" s="238"/>
      <c r="I26" s="356"/>
    </row>
    <row r="27" spans="1:9" ht="12.75">
      <c r="A27" s="355"/>
      <c r="B27" s="407" t="s">
        <v>1153</v>
      </c>
      <c r="C27" s="238"/>
      <c r="D27" s="395">
        <v>0.34458</v>
      </c>
      <c r="E27" s="395">
        <v>0.06943</v>
      </c>
      <c r="F27" s="395">
        <v>0.17686</v>
      </c>
      <c r="G27" s="395">
        <v>0.22638</v>
      </c>
      <c r="H27" s="395">
        <v>0.18275</v>
      </c>
      <c r="I27" s="396">
        <v>1</v>
      </c>
    </row>
    <row r="28" spans="1:9" ht="12.75">
      <c r="A28" s="355"/>
      <c r="B28" s="353" t="s">
        <v>337</v>
      </c>
      <c r="C28" s="353" t="s">
        <v>341</v>
      </c>
      <c r="D28" s="353" t="s">
        <v>1239</v>
      </c>
      <c r="E28" s="353" t="s">
        <v>1240</v>
      </c>
      <c r="F28" s="353" t="s">
        <v>1241</v>
      </c>
      <c r="G28" s="353" t="s">
        <v>1242</v>
      </c>
      <c r="H28" s="353" t="s">
        <v>1243</v>
      </c>
      <c r="I28" s="354" t="s">
        <v>367</v>
      </c>
    </row>
    <row r="29" spans="1:9" ht="12.75">
      <c r="A29" s="355"/>
      <c r="B29" s="238"/>
      <c r="C29" s="238"/>
      <c r="D29" s="238"/>
      <c r="E29" s="238"/>
      <c r="F29" s="238"/>
      <c r="G29" s="238"/>
      <c r="H29" s="238"/>
      <c r="I29" s="356"/>
    </row>
    <row r="30" spans="1:9" ht="12.75">
      <c r="A30" s="397" t="s">
        <v>1147</v>
      </c>
      <c r="B30" s="398">
        <v>4470.006</v>
      </c>
      <c r="C30" s="399">
        <v>0</v>
      </c>
      <c r="D30" s="399">
        <v>0</v>
      </c>
      <c r="E30" s="399">
        <v>0</v>
      </c>
      <c r="F30" s="399">
        <v>0</v>
      </c>
      <c r="G30" s="399">
        <v>0</v>
      </c>
      <c r="H30" s="399">
        <v>0</v>
      </c>
      <c r="I30" s="400">
        <v>0</v>
      </c>
    </row>
    <row r="31" spans="1:9" ht="12.75">
      <c r="A31" s="397" t="s">
        <v>1148</v>
      </c>
      <c r="B31" s="398">
        <v>4470.006</v>
      </c>
      <c r="C31" s="401">
        <v>0</v>
      </c>
      <c r="D31" s="401">
        <v>0</v>
      </c>
      <c r="E31" s="401">
        <v>0</v>
      </c>
      <c r="F31" s="401">
        <v>0</v>
      </c>
      <c r="G31" s="401">
        <v>0</v>
      </c>
      <c r="H31" s="401">
        <v>0</v>
      </c>
      <c r="I31" s="402">
        <v>0</v>
      </c>
    </row>
    <row r="32" spans="1:9" ht="13.5" thickBot="1">
      <c r="A32" s="405"/>
      <c r="B32" s="403" t="s">
        <v>367</v>
      </c>
      <c r="C32" s="357">
        <v>0</v>
      </c>
      <c r="D32" s="357">
        <v>0</v>
      </c>
      <c r="E32" s="357">
        <v>0</v>
      </c>
      <c r="F32" s="357">
        <v>0</v>
      </c>
      <c r="G32" s="357">
        <v>0</v>
      </c>
      <c r="H32" s="357">
        <v>0</v>
      </c>
      <c r="I32" s="358">
        <v>0</v>
      </c>
    </row>
    <row r="33" ht="12.75">
      <c r="A33" s="156"/>
    </row>
    <row r="34" ht="12.75">
      <c r="A34" s="156"/>
    </row>
    <row r="35" ht="13.5" thickBot="1"/>
    <row r="36" spans="1:9" ht="12.75">
      <c r="A36" s="364"/>
      <c r="B36" s="404" t="s">
        <v>1679</v>
      </c>
      <c r="C36" s="359"/>
      <c r="D36" s="359"/>
      <c r="E36" s="359"/>
      <c r="F36" s="359"/>
      <c r="G36" s="359"/>
      <c r="H36" s="359"/>
      <c r="I36" s="360"/>
    </row>
    <row r="37" spans="1:9" ht="12.75">
      <c r="A37" s="355"/>
      <c r="B37" s="407" t="s">
        <v>1154</v>
      </c>
      <c r="C37" s="238"/>
      <c r="D37" s="395">
        <v>0.34458</v>
      </c>
      <c r="E37" s="395">
        <v>0.06943</v>
      </c>
      <c r="F37" s="395">
        <v>0.17686</v>
      </c>
      <c r="G37" s="395">
        <v>0.22638</v>
      </c>
      <c r="H37" s="395">
        <v>0.18275</v>
      </c>
      <c r="I37" s="396">
        <v>1</v>
      </c>
    </row>
    <row r="38" spans="1:9" ht="12.75">
      <c r="A38" s="355"/>
      <c r="B38" s="353" t="s">
        <v>337</v>
      </c>
      <c r="C38" s="353" t="s">
        <v>341</v>
      </c>
      <c r="D38" s="353" t="s">
        <v>1239</v>
      </c>
      <c r="E38" s="353" t="s">
        <v>1240</v>
      </c>
      <c r="F38" s="353" t="s">
        <v>1241</v>
      </c>
      <c r="G38" s="353" t="s">
        <v>1242</v>
      </c>
      <c r="H38" s="353" t="s">
        <v>1243</v>
      </c>
      <c r="I38" s="354" t="s">
        <v>367</v>
      </c>
    </row>
    <row r="39" spans="1:9" ht="12.75">
      <c r="A39" s="355"/>
      <c r="B39" s="238"/>
      <c r="C39" s="238"/>
      <c r="D39" s="238"/>
      <c r="E39" s="238"/>
      <c r="F39" s="238"/>
      <c r="G39" s="238"/>
      <c r="H39" s="238"/>
      <c r="I39" s="356"/>
    </row>
    <row r="40" spans="1:9" ht="12.75">
      <c r="A40" s="397" t="s">
        <v>1147</v>
      </c>
      <c r="B40" s="398">
        <v>4470.006</v>
      </c>
      <c r="C40" s="399">
        <v>0</v>
      </c>
      <c r="D40" s="399">
        <v>0</v>
      </c>
      <c r="E40" s="399">
        <v>0</v>
      </c>
      <c r="F40" s="399">
        <v>0</v>
      </c>
      <c r="G40" s="399">
        <v>0</v>
      </c>
      <c r="H40" s="399">
        <v>0</v>
      </c>
      <c r="I40" s="400">
        <v>0</v>
      </c>
    </row>
    <row r="41" spans="1:9" ht="12.75">
      <c r="A41" s="397" t="s">
        <v>1148</v>
      </c>
      <c r="B41" s="398">
        <v>4470.006</v>
      </c>
      <c r="C41" s="401">
        <v>0</v>
      </c>
      <c r="D41" s="401">
        <v>0</v>
      </c>
      <c r="E41" s="401">
        <v>0</v>
      </c>
      <c r="F41" s="401">
        <v>0</v>
      </c>
      <c r="G41" s="401">
        <v>0</v>
      </c>
      <c r="H41" s="401">
        <v>0</v>
      </c>
      <c r="I41" s="402">
        <v>0</v>
      </c>
    </row>
    <row r="42" spans="1:9" ht="13.5" thickBot="1">
      <c r="A42" s="368"/>
      <c r="B42" s="403" t="s">
        <v>367</v>
      </c>
      <c r="C42" s="357">
        <v>0</v>
      </c>
      <c r="D42" s="357">
        <v>0</v>
      </c>
      <c r="E42" s="357">
        <v>0</v>
      </c>
      <c r="F42" s="357">
        <v>0</v>
      </c>
      <c r="G42" s="357">
        <v>0</v>
      </c>
      <c r="H42" s="357">
        <v>0</v>
      </c>
      <c r="I42" s="358">
        <v>0</v>
      </c>
    </row>
    <row r="43" spans="2:9" ht="12.75">
      <c r="B43" s="398"/>
      <c r="C43" s="399"/>
      <c r="D43" s="399"/>
      <c r="E43" s="399"/>
      <c r="F43" s="399"/>
      <c r="G43" s="399"/>
      <c r="H43" s="399"/>
      <c r="I43" s="399"/>
    </row>
    <row r="44" spans="1:9" ht="13.5" thickBot="1">
      <c r="A44" s="361"/>
      <c r="B44" s="361"/>
      <c r="C44" s="361"/>
      <c r="D44" s="361"/>
      <c r="E44" s="361"/>
      <c r="F44" s="361"/>
      <c r="G44" s="361"/>
      <c r="H44" s="361"/>
      <c r="I44" s="361"/>
    </row>
    <row r="46" ht="13.5" thickBot="1"/>
    <row r="47" spans="1:9" ht="12.75">
      <c r="A47" s="448"/>
      <c r="B47" s="404" t="s">
        <v>1707</v>
      </c>
      <c r="C47" s="359"/>
      <c r="D47" s="359"/>
      <c r="E47" s="359"/>
      <c r="F47" s="359"/>
      <c r="G47" s="359"/>
      <c r="H47" s="360"/>
      <c r="I47" s="238"/>
    </row>
    <row r="48" spans="1:9" ht="12.75">
      <c r="A48" s="449"/>
      <c r="B48" s="407" t="s">
        <v>1391</v>
      </c>
      <c r="C48" s="238"/>
      <c r="D48" s="395">
        <v>0</v>
      </c>
      <c r="E48" s="395">
        <v>0.45902</v>
      </c>
      <c r="F48" s="395">
        <v>0.54098</v>
      </c>
      <c r="G48" s="395">
        <v>0</v>
      </c>
      <c r="H48" s="396">
        <v>1</v>
      </c>
      <c r="I48" s="238"/>
    </row>
    <row r="49" spans="1:9" ht="12.75">
      <c r="A49" s="355"/>
      <c r="B49" s="353" t="s">
        <v>337</v>
      </c>
      <c r="C49" s="353" t="s">
        <v>341</v>
      </c>
      <c r="D49" s="353" t="s">
        <v>1700</v>
      </c>
      <c r="E49" s="353" t="s">
        <v>1698</v>
      </c>
      <c r="F49" s="353" t="s">
        <v>1709</v>
      </c>
      <c r="G49" s="353" t="s">
        <v>1701</v>
      </c>
      <c r="H49" s="354" t="s">
        <v>367</v>
      </c>
      <c r="I49" s="238"/>
    </row>
    <row r="50" spans="1:9" ht="12.75">
      <c r="A50" s="355"/>
      <c r="B50" s="238"/>
      <c r="C50" s="238"/>
      <c r="D50" s="238"/>
      <c r="E50" s="238"/>
      <c r="F50" s="238"/>
      <c r="G50" s="238"/>
      <c r="H50" s="356"/>
      <c r="I50" s="238"/>
    </row>
    <row r="51" spans="1:9" ht="12.75">
      <c r="A51" s="397" t="s">
        <v>1147</v>
      </c>
      <c r="B51" s="398">
        <v>4470.006</v>
      </c>
      <c r="C51" s="399">
        <v>0</v>
      </c>
      <c r="D51" s="399">
        <v>0</v>
      </c>
      <c r="E51" s="399">
        <v>0</v>
      </c>
      <c r="F51" s="399">
        <v>0</v>
      </c>
      <c r="G51" s="399">
        <v>0</v>
      </c>
      <c r="H51" s="400">
        <v>0</v>
      </c>
      <c r="I51" s="238"/>
    </row>
    <row r="52" spans="1:8" ht="12.75">
      <c r="A52" s="397" t="s">
        <v>1148</v>
      </c>
      <c r="B52" s="398">
        <v>4470.006</v>
      </c>
      <c r="C52" s="401">
        <v>0</v>
      </c>
      <c r="D52" s="401">
        <v>0</v>
      </c>
      <c r="E52" s="401">
        <v>0</v>
      </c>
      <c r="F52" s="401">
        <v>0</v>
      </c>
      <c r="G52" s="401">
        <v>0</v>
      </c>
      <c r="H52" s="402">
        <v>0</v>
      </c>
    </row>
    <row r="53" spans="1:8" ht="13.5" thickBot="1">
      <c r="A53" s="368"/>
      <c r="B53" s="403" t="s">
        <v>367</v>
      </c>
      <c r="C53" s="357">
        <v>0</v>
      </c>
      <c r="D53" s="357">
        <v>0</v>
      </c>
      <c r="E53" s="357">
        <v>0</v>
      </c>
      <c r="F53" s="357">
        <v>0</v>
      </c>
      <c r="G53" s="357">
        <v>0</v>
      </c>
      <c r="H53" s="358">
        <v>0</v>
      </c>
    </row>
  </sheetData>
  <printOptions/>
  <pageMargins left="0.75" right="0.75" top="0.5" bottom="0.5" header="0.5" footer="0.5"/>
  <pageSetup fitToHeight="1" fitToWidth="1" horizontalDpi="600" verticalDpi="600" orientation="landscape" scale="8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IV52"/>
  <sheetViews>
    <sheetView workbookViewId="0" topLeftCell="A1">
      <selection activeCell="A1" sqref="A1"/>
    </sheetView>
  </sheetViews>
  <sheetFormatPr defaultColWidth="9.140625" defaultRowHeight="12.75"/>
  <cols>
    <col min="1" max="2" width="17.421875" style="0" customWidth="1"/>
    <col min="3" max="8" width="15.7109375" style="0" customWidth="1"/>
    <col min="9" max="9" width="14.28125" style="0" customWidth="1"/>
  </cols>
  <sheetData>
    <row r="1" spans="1:256" ht="12.75">
      <c r="A1" s="240" t="s">
        <v>1451</v>
      </c>
      <c r="B1" s="349" t="str">
        <f>INPUT!C1</f>
        <v>June 2009</v>
      </c>
      <c r="C1" s="158"/>
      <c r="D1" s="158"/>
      <c r="E1" s="158"/>
      <c r="F1" s="158"/>
      <c r="G1" s="158"/>
      <c r="H1" s="157" t="s">
        <v>342</v>
      </c>
      <c r="I1" s="240"/>
      <c r="J1" s="349"/>
      <c r="K1" s="158"/>
      <c r="L1" s="158"/>
      <c r="M1" s="158"/>
      <c r="N1" s="158"/>
      <c r="O1" s="158"/>
      <c r="P1" s="157" t="s">
        <v>342</v>
      </c>
      <c r="Q1" s="240" t="s">
        <v>1451</v>
      </c>
      <c r="R1" s="349">
        <f>INPUT!S1</f>
        <v>0</v>
      </c>
      <c r="S1" s="158"/>
      <c r="T1" s="158"/>
      <c r="U1" s="158"/>
      <c r="V1" s="158"/>
      <c r="W1" s="158"/>
      <c r="X1" s="157" t="s">
        <v>342</v>
      </c>
      <c r="Y1" s="240" t="s">
        <v>1451</v>
      </c>
      <c r="Z1" s="349">
        <f>INPUT!AA1</f>
        <v>0</v>
      </c>
      <c r="AA1" s="158"/>
      <c r="AB1" s="158"/>
      <c r="AC1" s="158"/>
      <c r="AD1" s="158"/>
      <c r="AE1" s="158"/>
      <c r="AF1" s="157" t="s">
        <v>342</v>
      </c>
      <c r="AG1" s="240" t="s">
        <v>1451</v>
      </c>
      <c r="AH1" s="349">
        <f>INPUT!AI1</f>
        <v>0</v>
      </c>
      <c r="AI1" s="158"/>
      <c r="AJ1" s="158"/>
      <c r="AK1" s="158"/>
      <c r="AL1" s="158"/>
      <c r="AM1" s="158"/>
      <c r="AN1" s="157" t="s">
        <v>342</v>
      </c>
      <c r="AO1" s="240" t="s">
        <v>1451</v>
      </c>
      <c r="AP1" s="349">
        <f>INPUT!AQ1</f>
        <v>0</v>
      </c>
      <c r="AQ1" s="158"/>
      <c r="AR1" s="158"/>
      <c r="AS1" s="158"/>
      <c r="AT1" s="158"/>
      <c r="AU1" s="158"/>
      <c r="AV1" s="157" t="s">
        <v>342</v>
      </c>
      <c r="AW1" s="240" t="s">
        <v>1451</v>
      </c>
      <c r="AX1" s="349">
        <f>INPUT!AY1</f>
        <v>0</v>
      </c>
      <c r="AY1" s="158"/>
      <c r="AZ1" s="158"/>
      <c r="BA1" s="158"/>
      <c r="BB1" s="158"/>
      <c r="BC1" s="158"/>
      <c r="BD1" s="157" t="s">
        <v>342</v>
      </c>
      <c r="BE1" s="240" t="s">
        <v>1451</v>
      </c>
      <c r="BF1" s="349">
        <f>INPUT!BG1</f>
        <v>0</v>
      </c>
      <c r="BG1" s="158"/>
      <c r="BH1" s="158"/>
      <c r="BI1" s="158"/>
      <c r="BJ1" s="158"/>
      <c r="BK1" s="158"/>
      <c r="BL1" s="157" t="s">
        <v>342</v>
      </c>
      <c r="BM1" s="240" t="s">
        <v>1451</v>
      </c>
      <c r="BN1" s="349">
        <f>INPUT!BO1</f>
        <v>0</v>
      </c>
      <c r="BO1" s="158"/>
      <c r="BP1" s="158"/>
      <c r="BQ1" s="158"/>
      <c r="BR1" s="158"/>
      <c r="BS1" s="158"/>
      <c r="BT1" s="157" t="s">
        <v>342</v>
      </c>
      <c r="BU1" s="240" t="s">
        <v>1451</v>
      </c>
      <c r="BV1" s="349">
        <f>INPUT!BW1</f>
        <v>0</v>
      </c>
      <c r="BW1" s="158"/>
      <c r="BX1" s="158"/>
      <c r="BY1" s="158"/>
      <c r="BZ1" s="158"/>
      <c r="CA1" s="158"/>
      <c r="CB1" s="157" t="s">
        <v>342</v>
      </c>
      <c r="CC1" s="240" t="s">
        <v>1451</v>
      </c>
      <c r="CD1" s="349">
        <f>INPUT!CE1</f>
        <v>0</v>
      </c>
      <c r="CE1" s="158"/>
      <c r="CF1" s="158"/>
      <c r="CG1" s="158"/>
      <c r="CH1" s="158"/>
      <c r="CI1" s="158"/>
      <c r="CJ1" s="157" t="s">
        <v>342</v>
      </c>
      <c r="CK1" s="240" t="s">
        <v>1451</v>
      </c>
      <c r="CL1" s="349">
        <f>INPUT!CM1</f>
        <v>0</v>
      </c>
      <c r="CM1" s="158"/>
      <c r="CN1" s="158"/>
      <c r="CO1" s="158"/>
      <c r="CP1" s="158"/>
      <c r="CQ1" s="158"/>
      <c r="CR1" s="157" t="s">
        <v>342</v>
      </c>
      <c r="CS1" s="240" t="s">
        <v>1451</v>
      </c>
      <c r="CT1" s="349">
        <f>INPUT!CU1</f>
        <v>0</v>
      </c>
      <c r="CU1" s="158"/>
      <c r="CV1" s="158"/>
      <c r="CW1" s="158"/>
      <c r="CX1" s="158"/>
      <c r="CY1" s="158"/>
      <c r="CZ1" s="157" t="s">
        <v>342</v>
      </c>
      <c r="DA1" s="240" t="s">
        <v>1451</v>
      </c>
      <c r="DB1" s="349">
        <f>INPUT!DC1</f>
        <v>0</v>
      </c>
      <c r="DC1" s="158"/>
      <c r="DD1" s="158"/>
      <c r="DE1" s="158"/>
      <c r="DF1" s="158"/>
      <c r="DG1" s="158"/>
      <c r="DH1" s="157" t="s">
        <v>342</v>
      </c>
      <c r="DI1" s="240" t="s">
        <v>1451</v>
      </c>
      <c r="DJ1" s="349">
        <f>INPUT!DK1</f>
        <v>0</v>
      </c>
      <c r="DK1" s="158"/>
      <c r="DL1" s="158"/>
      <c r="DM1" s="158"/>
      <c r="DN1" s="158"/>
      <c r="DO1" s="158"/>
      <c r="DP1" s="157" t="s">
        <v>342</v>
      </c>
      <c r="DQ1" s="240" t="s">
        <v>1451</v>
      </c>
      <c r="DR1" s="349">
        <f>INPUT!DS1</f>
        <v>0</v>
      </c>
      <c r="DS1" s="158"/>
      <c r="DT1" s="158"/>
      <c r="DU1" s="158"/>
      <c r="DV1" s="158"/>
      <c r="DW1" s="158"/>
      <c r="DX1" s="157" t="s">
        <v>342</v>
      </c>
      <c r="DY1" s="240" t="s">
        <v>1451</v>
      </c>
      <c r="DZ1" s="349">
        <f>INPUT!EA1</f>
        <v>0</v>
      </c>
      <c r="EA1" s="158"/>
      <c r="EB1" s="158"/>
      <c r="EC1" s="158"/>
      <c r="ED1" s="158"/>
      <c r="EE1" s="158"/>
      <c r="EF1" s="157" t="s">
        <v>342</v>
      </c>
      <c r="EG1" s="240" t="s">
        <v>1451</v>
      </c>
      <c r="EH1" s="349">
        <f>INPUT!EI1</f>
        <v>0</v>
      </c>
      <c r="EI1" s="158"/>
      <c r="EJ1" s="158"/>
      <c r="EK1" s="158"/>
      <c r="EL1" s="158"/>
      <c r="EM1" s="158"/>
      <c r="EN1" s="157" t="s">
        <v>342</v>
      </c>
      <c r="EO1" s="240" t="s">
        <v>1451</v>
      </c>
      <c r="EP1" s="349">
        <f>INPUT!EQ1</f>
        <v>0</v>
      </c>
      <c r="EQ1" s="158"/>
      <c r="ER1" s="158"/>
      <c r="ES1" s="158"/>
      <c r="ET1" s="158"/>
      <c r="EU1" s="158"/>
      <c r="EV1" s="157" t="s">
        <v>342</v>
      </c>
      <c r="EW1" s="240" t="s">
        <v>1451</v>
      </c>
      <c r="EX1" s="349">
        <f>INPUT!EY1</f>
        <v>0</v>
      </c>
      <c r="EY1" s="158"/>
      <c r="EZ1" s="158"/>
      <c r="FA1" s="158"/>
      <c r="FB1" s="158"/>
      <c r="FC1" s="158"/>
      <c r="FD1" s="157" t="s">
        <v>342</v>
      </c>
      <c r="FE1" s="240" t="s">
        <v>1451</v>
      </c>
      <c r="FF1" s="349">
        <f>INPUT!FG1</f>
        <v>0</v>
      </c>
      <c r="FG1" s="158"/>
      <c r="FH1" s="158"/>
      <c r="FI1" s="158"/>
      <c r="FJ1" s="158"/>
      <c r="FK1" s="158"/>
      <c r="FL1" s="157" t="s">
        <v>342</v>
      </c>
      <c r="FM1" s="240" t="s">
        <v>1451</v>
      </c>
      <c r="FN1" s="349">
        <f>INPUT!FO1</f>
        <v>0</v>
      </c>
      <c r="FO1" s="158"/>
      <c r="FP1" s="158"/>
      <c r="FQ1" s="158"/>
      <c r="FR1" s="158"/>
      <c r="FS1" s="158"/>
      <c r="FT1" s="157" t="s">
        <v>342</v>
      </c>
      <c r="FU1" s="240" t="s">
        <v>1451</v>
      </c>
      <c r="FV1" s="349">
        <f>INPUT!FW1</f>
        <v>0</v>
      </c>
      <c r="FW1" s="158"/>
      <c r="FX1" s="158"/>
      <c r="FY1" s="158"/>
      <c r="FZ1" s="158"/>
      <c r="GA1" s="158"/>
      <c r="GB1" s="157" t="s">
        <v>342</v>
      </c>
      <c r="GC1" s="240" t="s">
        <v>1451</v>
      </c>
      <c r="GD1" s="349">
        <f>INPUT!GE1</f>
        <v>0</v>
      </c>
      <c r="GE1" s="158"/>
      <c r="GF1" s="158"/>
      <c r="GG1" s="158"/>
      <c r="GH1" s="158"/>
      <c r="GI1" s="158"/>
      <c r="GJ1" s="157" t="s">
        <v>342</v>
      </c>
      <c r="GK1" s="240" t="s">
        <v>1451</v>
      </c>
      <c r="GL1" s="349">
        <f>INPUT!GM1</f>
        <v>0</v>
      </c>
      <c r="GM1" s="158"/>
      <c r="GN1" s="158"/>
      <c r="GO1" s="158"/>
      <c r="GP1" s="158"/>
      <c r="GQ1" s="158"/>
      <c r="GR1" s="157" t="s">
        <v>342</v>
      </c>
      <c r="GS1" s="240" t="s">
        <v>1451</v>
      </c>
      <c r="GT1" s="349">
        <f>INPUT!GU1</f>
        <v>0</v>
      </c>
      <c r="GU1" s="158"/>
      <c r="GV1" s="158"/>
      <c r="GW1" s="158"/>
      <c r="GX1" s="158"/>
      <c r="GY1" s="158"/>
      <c r="GZ1" s="157" t="s">
        <v>342</v>
      </c>
      <c r="HA1" s="240" t="s">
        <v>1451</v>
      </c>
      <c r="HB1" s="349">
        <f>INPUT!HC1</f>
        <v>0</v>
      </c>
      <c r="HC1" s="158"/>
      <c r="HD1" s="158"/>
      <c r="HE1" s="158"/>
      <c r="HF1" s="158"/>
      <c r="HG1" s="158"/>
      <c r="HH1" s="157" t="s">
        <v>342</v>
      </c>
      <c r="HI1" s="240" t="s">
        <v>1451</v>
      </c>
      <c r="HJ1" s="349">
        <f>INPUT!HK1</f>
        <v>0</v>
      </c>
      <c r="HK1" s="158"/>
      <c r="HL1" s="158"/>
      <c r="HM1" s="158"/>
      <c r="HN1" s="158"/>
      <c r="HO1" s="158"/>
      <c r="HP1" s="157" t="s">
        <v>342</v>
      </c>
      <c r="HQ1" s="240" t="s">
        <v>1451</v>
      </c>
      <c r="HR1" s="349">
        <f>INPUT!HS1</f>
        <v>0</v>
      </c>
      <c r="HS1" s="158"/>
      <c r="HT1" s="158"/>
      <c r="HU1" s="158"/>
      <c r="HV1" s="158"/>
      <c r="HW1" s="158"/>
      <c r="HX1" s="157" t="s">
        <v>342</v>
      </c>
      <c r="HY1" s="240" t="s">
        <v>1451</v>
      </c>
      <c r="HZ1" s="349">
        <f>INPUT!IA1</f>
        <v>0</v>
      </c>
      <c r="IA1" s="158"/>
      <c r="IB1" s="158"/>
      <c r="IC1" s="158"/>
      <c r="ID1" s="158"/>
      <c r="IE1" s="158"/>
      <c r="IF1" s="157" t="s">
        <v>342</v>
      </c>
      <c r="IG1" s="240" t="s">
        <v>1451</v>
      </c>
      <c r="IH1" s="349">
        <f>INPUT!II1</f>
        <v>0</v>
      </c>
      <c r="II1" s="158"/>
      <c r="IJ1" s="158"/>
      <c r="IK1" s="158"/>
      <c r="IL1" s="158"/>
      <c r="IM1" s="158"/>
      <c r="IN1" s="157" t="s">
        <v>342</v>
      </c>
      <c r="IO1" s="240" t="s">
        <v>1451</v>
      </c>
      <c r="IP1" s="349">
        <f>INPUT!IQ1</f>
        <v>0</v>
      </c>
      <c r="IQ1" s="158"/>
      <c r="IR1" s="158"/>
      <c r="IS1" s="158"/>
      <c r="IT1" s="158"/>
      <c r="IU1" s="158"/>
      <c r="IV1" s="157" t="s">
        <v>342</v>
      </c>
    </row>
    <row r="2" spans="1:256" ht="12.75">
      <c r="A2" s="158"/>
      <c r="B2" s="158"/>
      <c r="C2" s="158"/>
      <c r="D2" s="158"/>
      <c r="E2" s="158"/>
      <c r="F2" s="158"/>
      <c r="G2" s="158"/>
      <c r="H2" s="157" t="s">
        <v>204</v>
      </c>
      <c r="I2" s="158"/>
      <c r="J2" s="158"/>
      <c r="K2" s="158"/>
      <c r="L2" s="158"/>
      <c r="M2" s="158"/>
      <c r="N2" s="158"/>
      <c r="O2" s="158"/>
      <c r="P2" s="157" t="s">
        <v>202</v>
      </c>
      <c r="Q2" s="158"/>
      <c r="R2" s="158"/>
      <c r="S2" s="158"/>
      <c r="T2" s="158"/>
      <c r="U2" s="158"/>
      <c r="V2" s="158"/>
      <c r="W2" s="158"/>
      <c r="X2" s="157" t="s">
        <v>202</v>
      </c>
      <c r="Y2" s="158"/>
      <c r="Z2" s="158"/>
      <c r="AA2" s="158"/>
      <c r="AB2" s="158"/>
      <c r="AC2" s="158"/>
      <c r="AD2" s="158"/>
      <c r="AE2" s="158"/>
      <c r="AF2" s="157" t="s">
        <v>202</v>
      </c>
      <c r="AG2" s="158"/>
      <c r="AH2" s="158"/>
      <c r="AI2" s="158"/>
      <c r="AJ2" s="158"/>
      <c r="AK2" s="158"/>
      <c r="AL2" s="158"/>
      <c r="AM2" s="158"/>
      <c r="AN2" s="157" t="s">
        <v>202</v>
      </c>
      <c r="AO2" s="158"/>
      <c r="AP2" s="158"/>
      <c r="AQ2" s="158"/>
      <c r="AR2" s="158"/>
      <c r="AS2" s="158"/>
      <c r="AT2" s="158"/>
      <c r="AU2" s="158"/>
      <c r="AV2" s="157" t="s">
        <v>202</v>
      </c>
      <c r="AW2" s="158"/>
      <c r="AX2" s="158"/>
      <c r="AY2" s="158"/>
      <c r="AZ2" s="158"/>
      <c r="BA2" s="158"/>
      <c r="BB2" s="158"/>
      <c r="BC2" s="158"/>
      <c r="BD2" s="157" t="s">
        <v>202</v>
      </c>
      <c r="BE2" s="158"/>
      <c r="BF2" s="158"/>
      <c r="BG2" s="158"/>
      <c r="BH2" s="158"/>
      <c r="BI2" s="158"/>
      <c r="BJ2" s="158"/>
      <c r="BK2" s="158"/>
      <c r="BL2" s="157" t="s">
        <v>202</v>
      </c>
      <c r="BM2" s="158"/>
      <c r="BN2" s="158"/>
      <c r="BO2" s="158"/>
      <c r="BP2" s="158"/>
      <c r="BQ2" s="158"/>
      <c r="BR2" s="158"/>
      <c r="BS2" s="158"/>
      <c r="BT2" s="157" t="s">
        <v>202</v>
      </c>
      <c r="BU2" s="158"/>
      <c r="BV2" s="158"/>
      <c r="BW2" s="158"/>
      <c r="BX2" s="158"/>
      <c r="BY2" s="158"/>
      <c r="BZ2" s="158"/>
      <c r="CA2" s="158"/>
      <c r="CB2" s="157" t="s">
        <v>202</v>
      </c>
      <c r="CC2" s="158"/>
      <c r="CD2" s="158"/>
      <c r="CE2" s="158"/>
      <c r="CF2" s="158"/>
      <c r="CG2" s="158"/>
      <c r="CH2" s="158"/>
      <c r="CI2" s="158"/>
      <c r="CJ2" s="157" t="s">
        <v>202</v>
      </c>
      <c r="CK2" s="158"/>
      <c r="CL2" s="158"/>
      <c r="CM2" s="158"/>
      <c r="CN2" s="158"/>
      <c r="CO2" s="158"/>
      <c r="CP2" s="158"/>
      <c r="CQ2" s="158"/>
      <c r="CR2" s="157" t="s">
        <v>202</v>
      </c>
      <c r="CS2" s="158"/>
      <c r="CT2" s="158"/>
      <c r="CU2" s="158"/>
      <c r="CV2" s="158"/>
      <c r="CW2" s="158"/>
      <c r="CX2" s="158"/>
      <c r="CY2" s="158"/>
      <c r="CZ2" s="157" t="s">
        <v>202</v>
      </c>
      <c r="DA2" s="158"/>
      <c r="DB2" s="158"/>
      <c r="DC2" s="158"/>
      <c r="DD2" s="158"/>
      <c r="DE2" s="158"/>
      <c r="DF2" s="158"/>
      <c r="DG2" s="158"/>
      <c r="DH2" s="157" t="s">
        <v>202</v>
      </c>
      <c r="DI2" s="158"/>
      <c r="DJ2" s="158"/>
      <c r="DK2" s="158"/>
      <c r="DL2" s="158"/>
      <c r="DM2" s="158"/>
      <c r="DN2" s="158"/>
      <c r="DO2" s="158"/>
      <c r="DP2" s="157" t="s">
        <v>202</v>
      </c>
      <c r="DQ2" s="158"/>
      <c r="DR2" s="158"/>
      <c r="DS2" s="158"/>
      <c r="DT2" s="158"/>
      <c r="DU2" s="158"/>
      <c r="DV2" s="158"/>
      <c r="DW2" s="158"/>
      <c r="DX2" s="157" t="s">
        <v>202</v>
      </c>
      <c r="DY2" s="158"/>
      <c r="DZ2" s="158"/>
      <c r="EA2" s="158"/>
      <c r="EB2" s="158"/>
      <c r="EC2" s="158"/>
      <c r="ED2" s="158"/>
      <c r="EE2" s="158"/>
      <c r="EF2" s="157" t="s">
        <v>202</v>
      </c>
      <c r="EG2" s="158"/>
      <c r="EH2" s="158"/>
      <c r="EI2" s="158"/>
      <c r="EJ2" s="158"/>
      <c r="EK2" s="158"/>
      <c r="EL2" s="158"/>
      <c r="EM2" s="158"/>
      <c r="EN2" s="157" t="s">
        <v>202</v>
      </c>
      <c r="EO2" s="158"/>
      <c r="EP2" s="158"/>
      <c r="EQ2" s="158"/>
      <c r="ER2" s="158"/>
      <c r="ES2" s="158"/>
      <c r="ET2" s="158"/>
      <c r="EU2" s="158"/>
      <c r="EV2" s="157" t="s">
        <v>202</v>
      </c>
      <c r="EW2" s="158"/>
      <c r="EX2" s="158"/>
      <c r="EY2" s="158"/>
      <c r="EZ2" s="158"/>
      <c r="FA2" s="158"/>
      <c r="FB2" s="158"/>
      <c r="FC2" s="158"/>
      <c r="FD2" s="157" t="s">
        <v>202</v>
      </c>
      <c r="FE2" s="158"/>
      <c r="FF2" s="158"/>
      <c r="FG2" s="158"/>
      <c r="FH2" s="158"/>
      <c r="FI2" s="158"/>
      <c r="FJ2" s="158"/>
      <c r="FK2" s="158"/>
      <c r="FL2" s="157" t="s">
        <v>202</v>
      </c>
      <c r="FM2" s="158"/>
      <c r="FN2" s="158"/>
      <c r="FO2" s="158"/>
      <c r="FP2" s="158"/>
      <c r="FQ2" s="158"/>
      <c r="FR2" s="158"/>
      <c r="FS2" s="158"/>
      <c r="FT2" s="157" t="s">
        <v>202</v>
      </c>
      <c r="FU2" s="158"/>
      <c r="FV2" s="158"/>
      <c r="FW2" s="158"/>
      <c r="FX2" s="158"/>
      <c r="FY2" s="158"/>
      <c r="FZ2" s="158"/>
      <c r="GA2" s="158"/>
      <c r="GB2" s="157" t="s">
        <v>202</v>
      </c>
      <c r="GC2" s="158"/>
      <c r="GD2" s="158"/>
      <c r="GE2" s="158"/>
      <c r="GF2" s="158"/>
      <c r="GG2" s="158"/>
      <c r="GH2" s="158"/>
      <c r="GI2" s="158"/>
      <c r="GJ2" s="157" t="s">
        <v>202</v>
      </c>
      <c r="GK2" s="158"/>
      <c r="GL2" s="158"/>
      <c r="GM2" s="158"/>
      <c r="GN2" s="158"/>
      <c r="GO2" s="158"/>
      <c r="GP2" s="158"/>
      <c r="GQ2" s="158"/>
      <c r="GR2" s="157" t="s">
        <v>202</v>
      </c>
      <c r="GS2" s="158"/>
      <c r="GT2" s="158"/>
      <c r="GU2" s="158"/>
      <c r="GV2" s="158"/>
      <c r="GW2" s="158"/>
      <c r="GX2" s="158"/>
      <c r="GY2" s="158"/>
      <c r="GZ2" s="157" t="s">
        <v>202</v>
      </c>
      <c r="HA2" s="158"/>
      <c r="HB2" s="158"/>
      <c r="HC2" s="158"/>
      <c r="HD2" s="158"/>
      <c r="HE2" s="158"/>
      <c r="HF2" s="158"/>
      <c r="HG2" s="158"/>
      <c r="HH2" s="157" t="s">
        <v>202</v>
      </c>
      <c r="HI2" s="158"/>
      <c r="HJ2" s="158"/>
      <c r="HK2" s="158"/>
      <c r="HL2" s="158"/>
      <c r="HM2" s="158"/>
      <c r="HN2" s="158"/>
      <c r="HO2" s="158"/>
      <c r="HP2" s="157" t="s">
        <v>202</v>
      </c>
      <c r="HQ2" s="158"/>
      <c r="HR2" s="158"/>
      <c r="HS2" s="158"/>
      <c r="HT2" s="158"/>
      <c r="HU2" s="158"/>
      <c r="HV2" s="158"/>
      <c r="HW2" s="158"/>
      <c r="HX2" s="157" t="s">
        <v>202</v>
      </c>
      <c r="HY2" s="158"/>
      <c r="HZ2" s="158"/>
      <c r="IA2" s="158"/>
      <c r="IB2" s="158"/>
      <c r="IC2" s="158"/>
      <c r="ID2" s="158"/>
      <c r="IE2" s="158"/>
      <c r="IF2" s="157" t="s">
        <v>202</v>
      </c>
      <c r="IG2" s="158"/>
      <c r="IH2" s="158"/>
      <c r="II2" s="158"/>
      <c r="IJ2" s="158"/>
      <c r="IK2" s="158"/>
      <c r="IL2" s="158"/>
      <c r="IM2" s="158"/>
      <c r="IN2" s="157" t="s">
        <v>202</v>
      </c>
      <c r="IO2" s="158"/>
      <c r="IP2" s="158"/>
      <c r="IQ2" s="158"/>
      <c r="IR2" s="158"/>
      <c r="IS2" s="158"/>
      <c r="IT2" s="158"/>
      <c r="IU2" s="158"/>
      <c r="IV2" s="157" t="s">
        <v>202</v>
      </c>
    </row>
    <row r="3" ht="18">
      <c r="A3" s="155" t="s">
        <v>30</v>
      </c>
    </row>
    <row r="4" ht="18">
      <c r="A4" s="155" t="s">
        <v>1150</v>
      </c>
    </row>
    <row r="5" ht="13.5" thickBot="1"/>
    <row r="6" spans="1:9" ht="12.75">
      <c r="A6" s="364"/>
      <c r="B6" s="404" t="s">
        <v>1146</v>
      </c>
      <c r="C6" s="359"/>
      <c r="D6" s="359"/>
      <c r="E6" s="359"/>
      <c r="F6" s="359"/>
      <c r="G6" s="359"/>
      <c r="H6" s="359"/>
      <c r="I6" s="360"/>
    </row>
    <row r="7" spans="1:9" ht="12.75">
      <c r="A7" s="355"/>
      <c r="B7" s="407" t="s">
        <v>1151</v>
      </c>
      <c r="C7" s="408"/>
      <c r="D7" s="395">
        <v>0.34458</v>
      </c>
      <c r="E7" s="395">
        <v>0.06943</v>
      </c>
      <c r="F7" s="395">
        <v>0.17686</v>
      </c>
      <c r="G7" s="395">
        <v>0.22638</v>
      </c>
      <c r="H7" s="395">
        <v>0.18275</v>
      </c>
      <c r="I7" s="396">
        <v>1</v>
      </c>
    </row>
    <row r="8" spans="1:9" ht="12.75">
      <c r="A8" s="355"/>
      <c r="B8" s="353" t="s">
        <v>337</v>
      </c>
      <c r="C8" s="353" t="s">
        <v>341</v>
      </c>
      <c r="D8" s="353" t="s">
        <v>1239</v>
      </c>
      <c r="E8" s="353" t="s">
        <v>1240</v>
      </c>
      <c r="F8" s="353" t="s">
        <v>1241</v>
      </c>
      <c r="G8" s="353" t="s">
        <v>1242</v>
      </c>
      <c r="H8" s="353" t="s">
        <v>1243</v>
      </c>
      <c r="I8" s="354" t="s">
        <v>367</v>
      </c>
    </row>
    <row r="9" spans="1:9" ht="12.75">
      <c r="A9" s="355"/>
      <c r="B9" s="238"/>
      <c r="C9" s="238"/>
      <c r="D9" s="238"/>
      <c r="E9" s="238"/>
      <c r="F9" s="238"/>
      <c r="G9" s="238"/>
      <c r="H9" s="238"/>
      <c r="I9" s="356"/>
    </row>
    <row r="10" spans="1:9" ht="12.75">
      <c r="A10" s="397" t="s">
        <v>1147</v>
      </c>
      <c r="B10" s="398">
        <v>4470.01</v>
      </c>
      <c r="C10" s="399">
        <v>7921981.56</v>
      </c>
      <c r="D10" s="399">
        <v>2729756.44</v>
      </c>
      <c r="E10" s="399">
        <v>550023.16</v>
      </c>
      <c r="F10" s="399">
        <v>1401081.67</v>
      </c>
      <c r="G10" s="399">
        <v>1793378.17</v>
      </c>
      <c r="H10" s="399">
        <v>1447742.12</v>
      </c>
      <c r="I10" s="400">
        <v>7921981.56</v>
      </c>
    </row>
    <row r="11" spans="1:9" ht="12.75">
      <c r="A11" s="397" t="s">
        <v>1148</v>
      </c>
      <c r="B11" s="398">
        <v>4470.01</v>
      </c>
      <c r="C11" s="401">
        <v>4078.51</v>
      </c>
      <c r="D11" s="401">
        <v>1402.51</v>
      </c>
      <c r="E11" s="401">
        <v>282</v>
      </c>
      <c r="F11" s="401">
        <v>722</v>
      </c>
      <c r="G11" s="401">
        <v>925</v>
      </c>
      <c r="H11" s="401">
        <v>747</v>
      </c>
      <c r="I11" s="402">
        <v>4078.51</v>
      </c>
    </row>
    <row r="12" spans="1:9" ht="13.5" thickBot="1">
      <c r="A12" s="368"/>
      <c r="B12" s="403" t="s">
        <v>367</v>
      </c>
      <c r="C12" s="357">
        <v>7926060.069999999</v>
      </c>
      <c r="D12" s="357">
        <v>2731158.95</v>
      </c>
      <c r="E12" s="357">
        <v>550305.16</v>
      </c>
      <c r="F12" s="357">
        <v>1401803.67</v>
      </c>
      <c r="G12" s="357">
        <v>1794303.17</v>
      </c>
      <c r="H12" s="357">
        <v>1448489.12</v>
      </c>
      <c r="I12" s="358">
        <v>7926060.069999999</v>
      </c>
    </row>
    <row r="14" ht="13.5" thickBot="1"/>
    <row r="15" spans="1:9" ht="12.75">
      <c r="A15" s="364"/>
      <c r="B15" s="404" t="s">
        <v>1707</v>
      </c>
      <c r="C15" s="359"/>
      <c r="D15" s="359"/>
      <c r="E15" s="359"/>
      <c r="F15" s="359"/>
      <c r="G15" s="359"/>
      <c r="H15" s="359"/>
      <c r="I15" s="360"/>
    </row>
    <row r="16" spans="1:9" ht="12.75">
      <c r="A16" s="355"/>
      <c r="B16" s="407" t="s">
        <v>1708</v>
      </c>
      <c r="C16" s="238"/>
      <c r="D16" s="395">
        <v>0.34458</v>
      </c>
      <c r="E16" s="395">
        <v>0.06943</v>
      </c>
      <c r="F16" s="395">
        <v>0.17686</v>
      </c>
      <c r="G16" s="395">
        <v>0.22638</v>
      </c>
      <c r="H16" s="395">
        <v>0.18275</v>
      </c>
      <c r="I16" s="396">
        <v>1</v>
      </c>
    </row>
    <row r="17" spans="1:9" ht="12.75">
      <c r="A17" s="355"/>
      <c r="B17" s="353" t="s">
        <v>337</v>
      </c>
      <c r="C17" s="353" t="s">
        <v>341</v>
      </c>
      <c r="D17" s="353" t="s">
        <v>1239</v>
      </c>
      <c r="E17" s="353" t="s">
        <v>1240</v>
      </c>
      <c r="F17" s="353" t="s">
        <v>1241</v>
      </c>
      <c r="G17" s="353" t="s">
        <v>1242</v>
      </c>
      <c r="H17" s="353" t="s">
        <v>1243</v>
      </c>
      <c r="I17" s="354" t="s">
        <v>367</v>
      </c>
    </row>
    <row r="18" spans="1:9" ht="12.75">
      <c r="A18" s="355"/>
      <c r="B18" s="238"/>
      <c r="C18" s="238"/>
      <c r="D18" s="238"/>
      <c r="E18" s="238"/>
      <c r="F18" s="238"/>
      <c r="G18" s="238"/>
      <c r="H18" s="238"/>
      <c r="I18" s="356"/>
    </row>
    <row r="19" spans="1:9" ht="12.75">
      <c r="A19" s="397" t="s">
        <v>1147</v>
      </c>
      <c r="B19" s="398">
        <v>4470.01</v>
      </c>
      <c r="C19" s="399">
        <v>0</v>
      </c>
      <c r="D19" s="399">
        <v>0</v>
      </c>
      <c r="E19" s="399">
        <v>0</v>
      </c>
      <c r="F19" s="399">
        <v>0</v>
      </c>
      <c r="G19" s="399">
        <v>0</v>
      </c>
      <c r="H19" s="399">
        <v>0</v>
      </c>
      <c r="I19" s="400">
        <v>0</v>
      </c>
    </row>
    <row r="20" spans="1:9" ht="12.75">
      <c r="A20" s="397" t="s">
        <v>1148</v>
      </c>
      <c r="B20" s="398">
        <v>4470.01</v>
      </c>
      <c r="C20" s="401">
        <v>-9.37</v>
      </c>
      <c r="D20" s="401">
        <v>-3.2287145999999995</v>
      </c>
      <c r="E20" s="401">
        <v>-0.6505591</v>
      </c>
      <c r="F20" s="401">
        <v>-1.6571781999999997</v>
      </c>
      <c r="G20" s="401">
        <v>-2.1211805999999997</v>
      </c>
      <c r="H20" s="401">
        <v>-1.7123674999999998</v>
      </c>
      <c r="I20" s="402">
        <v>-9.37</v>
      </c>
    </row>
    <row r="21" spans="1:9" ht="13.5" thickBot="1">
      <c r="A21" s="405"/>
      <c r="B21" s="403" t="s">
        <v>367</v>
      </c>
      <c r="C21" s="357">
        <v>-9.37</v>
      </c>
      <c r="D21" s="357">
        <v>-3.2287145999999995</v>
      </c>
      <c r="E21" s="357">
        <v>-0.6505591</v>
      </c>
      <c r="F21" s="357">
        <v>-1.6571781999999997</v>
      </c>
      <c r="G21" s="357">
        <v>-2.1211805999999997</v>
      </c>
      <c r="H21" s="357">
        <v>-1.7123674999999998</v>
      </c>
      <c r="I21" s="358">
        <v>-9.37</v>
      </c>
    </row>
    <row r="22" ht="12.75">
      <c r="A22" s="156"/>
    </row>
    <row r="23" ht="13.5" thickBot="1">
      <c r="A23" s="156"/>
    </row>
    <row r="24" spans="1:9" ht="12.75">
      <c r="A24" s="364"/>
      <c r="B24" s="404" t="s">
        <v>1152</v>
      </c>
      <c r="C24" s="359"/>
      <c r="D24" s="359"/>
      <c r="E24" s="359"/>
      <c r="F24" s="359"/>
      <c r="G24" s="359"/>
      <c r="H24" s="359"/>
      <c r="I24" s="360"/>
    </row>
    <row r="25" spans="1:9" ht="12.75">
      <c r="A25" s="355"/>
      <c r="B25" s="407" t="s">
        <v>1708</v>
      </c>
      <c r="C25" s="238"/>
      <c r="D25" s="238"/>
      <c r="E25" s="238"/>
      <c r="F25" s="238"/>
      <c r="G25" s="238"/>
      <c r="H25" s="238"/>
      <c r="I25" s="356"/>
    </row>
    <row r="26" spans="1:9" ht="12.75">
      <c r="A26" s="355"/>
      <c r="B26" s="407" t="s">
        <v>1153</v>
      </c>
      <c r="C26" s="238"/>
      <c r="D26" s="395">
        <v>0.34458</v>
      </c>
      <c r="E26" s="395">
        <v>0.06943</v>
      </c>
      <c r="F26" s="395">
        <v>0.17686</v>
      </c>
      <c r="G26" s="395">
        <v>0.22638</v>
      </c>
      <c r="H26" s="395">
        <v>0.18275</v>
      </c>
      <c r="I26" s="396">
        <v>1</v>
      </c>
    </row>
    <row r="27" spans="1:9" ht="12.75">
      <c r="A27" s="355"/>
      <c r="B27" s="353" t="s">
        <v>337</v>
      </c>
      <c r="C27" s="353" t="s">
        <v>341</v>
      </c>
      <c r="D27" s="353" t="s">
        <v>1239</v>
      </c>
      <c r="E27" s="353" t="s">
        <v>1240</v>
      </c>
      <c r="F27" s="353" t="s">
        <v>1241</v>
      </c>
      <c r="G27" s="353" t="s">
        <v>1242</v>
      </c>
      <c r="H27" s="353" t="s">
        <v>1243</v>
      </c>
      <c r="I27" s="354" t="s">
        <v>367</v>
      </c>
    </row>
    <row r="28" spans="1:9" ht="12.75">
      <c r="A28" s="355"/>
      <c r="B28" s="238"/>
      <c r="C28" s="238"/>
      <c r="D28" s="238"/>
      <c r="E28" s="238"/>
      <c r="F28" s="238"/>
      <c r="G28" s="238"/>
      <c r="H28" s="238"/>
      <c r="I28" s="356"/>
    </row>
    <row r="29" spans="1:9" ht="12.75">
      <c r="A29" s="397" t="s">
        <v>1147</v>
      </c>
      <c r="B29" s="398">
        <v>4470.01</v>
      </c>
      <c r="C29" s="399">
        <v>0</v>
      </c>
      <c r="D29" s="399">
        <v>0</v>
      </c>
      <c r="E29" s="399">
        <v>0</v>
      </c>
      <c r="F29" s="399">
        <v>0</v>
      </c>
      <c r="G29" s="399">
        <v>0</v>
      </c>
      <c r="H29" s="399">
        <v>0</v>
      </c>
      <c r="I29" s="400">
        <v>0</v>
      </c>
    </row>
    <row r="30" spans="1:9" ht="12.75">
      <c r="A30" s="397" t="s">
        <v>1148</v>
      </c>
      <c r="B30" s="398">
        <v>4470.01</v>
      </c>
      <c r="C30" s="401">
        <v>-9.37</v>
      </c>
      <c r="D30" s="401">
        <v>-3.23</v>
      </c>
      <c r="E30" s="401">
        <v>-0.65</v>
      </c>
      <c r="F30" s="401">
        <v>-1.66</v>
      </c>
      <c r="G30" s="401">
        <v>-2.12</v>
      </c>
      <c r="H30" s="401">
        <v>-1.71</v>
      </c>
      <c r="I30" s="402">
        <v>-9.37</v>
      </c>
    </row>
    <row r="31" spans="1:9" ht="13.5" thickBot="1">
      <c r="A31" s="405"/>
      <c r="B31" s="403" t="s">
        <v>367</v>
      </c>
      <c r="C31" s="357">
        <v>-9.37</v>
      </c>
      <c r="D31" s="357">
        <v>-3.23</v>
      </c>
      <c r="E31" s="357">
        <v>-0.65</v>
      </c>
      <c r="F31" s="357">
        <v>-1.66</v>
      </c>
      <c r="G31" s="357">
        <v>-2.12</v>
      </c>
      <c r="H31" s="357">
        <v>-1.71</v>
      </c>
      <c r="I31" s="358">
        <v>-9.37</v>
      </c>
    </row>
    <row r="32" ht="12.75">
      <c r="A32" s="156"/>
    </row>
    <row r="33" ht="12.75">
      <c r="A33" s="156"/>
    </row>
    <row r="34" ht="13.5" thickBot="1"/>
    <row r="35" spans="1:9" ht="12.75">
      <c r="A35" s="364"/>
      <c r="B35" s="404" t="s">
        <v>1679</v>
      </c>
      <c r="C35" s="359"/>
      <c r="D35" s="359"/>
      <c r="E35" s="359"/>
      <c r="F35" s="359"/>
      <c r="G35" s="359"/>
      <c r="H35" s="359"/>
      <c r="I35" s="360"/>
    </row>
    <row r="36" spans="1:9" ht="12.75">
      <c r="A36" s="355"/>
      <c r="B36" s="407" t="s">
        <v>1154</v>
      </c>
      <c r="C36" s="238"/>
      <c r="D36" s="395">
        <v>0.34458</v>
      </c>
      <c r="E36" s="395">
        <v>0.06943</v>
      </c>
      <c r="F36" s="395">
        <v>0.17686</v>
      </c>
      <c r="G36" s="395">
        <v>0.22638</v>
      </c>
      <c r="H36" s="395">
        <v>0.18275</v>
      </c>
      <c r="I36" s="396">
        <v>1</v>
      </c>
    </row>
    <row r="37" spans="1:9" ht="12.75">
      <c r="A37" s="355"/>
      <c r="B37" s="353" t="s">
        <v>337</v>
      </c>
      <c r="C37" s="353" t="s">
        <v>341</v>
      </c>
      <c r="D37" s="353" t="s">
        <v>1239</v>
      </c>
      <c r="E37" s="353" t="s">
        <v>1240</v>
      </c>
      <c r="F37" s="353" t="s">
        <v>1241</v>
      </c>
      <c r="G37" s="353" t="s">
        <v>1242</v>
      </c>
      <c r="H37" s="353" t="s">
        <v>1243</v>
      </c>
      <c r="I37" s="354" t="s">
        <v>367</v>
      </c>
    </row>
    <row r="38" spans="1:9" ht="12.75">
      <c r="A38" s="355"/>
      <c r="B38" s="238"/>
      <c r="C38" s="238"/>
      <c r="D38" s="238"/>
      <c r="E38" s="238"/>
      <c r="F38" s="238"/>
      <c r="G38" s="238"/>
      <c r="H38" s="238"/>
      <c r="I38" s="356"/>
    </row>
    <row r="39" spans="1:9" ht="12.75">
      <c r="A39" s="397" t="s">
        <v>1147</v>
      </c>
      <c r="B39" s="398">
        <v>4470.01</v>
      </c>
      <c r="C39" s="399">
        <v>0</v>
      </c>
      <c r="D39" s="399">
        <v>0</v>
      </c>
      <c r="E39" s="399">
        <v>0</v>
      </c>
      <c r="F39" s="399">
        <v>0</v>
      </c>
      <c r="G39" s="399">
        <v>0</v>
      </c>
      <c r="H39" s="399">
        <v>0</v>
      </c>
      <c r="I39" s="400">
        <v>0</v>
      </c>
    </row>
    <row r="40" spans="1:9" ht="12.75">
      <c r="A40" s="397" t="s">
        <v>1148</v>
      </c>
      <c r="B40" s="398">
        <v>4470.01</v>
      </c>
      <c r="C40" s="401">
        <v>0</v>
      </c>
      <c r="D40" s="401">
        <v>0.0012854000000004362</v>
      </c>
      <c r="E40" s="401">
        <v>-0.0005590999999999235</v>
      </c>
      <c r="F40" s="401">
        <v>0.0028218000000002075</v>
      </c>
      <c r="G40" s="401">
        <v>-0.001180599999999643</v>
      </c>
      <c r="H40" s="401">
        <v>-0.002367499999999856</v>
      </c>
      <c r="I40" s="402">
        <v>1.2212453270876722E-15</v>
      </c>
    </row>
    <row r="41" spans="1:9" ht="13.5" thickBot="1">
      <c r="A41" s="368"/>
      <c r="B41" s="403" t="s">
        <v>367</v>
      </c>
      <c r="C41" s="357">
        <v>0</v>
      </c>
      <c r="D41" s="357">
        <v>0.0012854000000004362</v>
      </c>
      <c r="E41" s="357">
        <v>-0.0005590999999999235</v>
      </c>
      <c r="F41" s="357">
        <v>0.0028218000000002075</v>
      </c>
      <c r="G41" s="357">
        <v>-0.001180599999999643</v>
      </c>
      <c r="H41" s="357">
        <v>-0.002367499999999856</v>
      </c>
      <c r="I41" s="358">
        <v>1.2212453270876722E-15</v>
      </c>
    </row>
    <row r="42" spans="2:9" ht="12.75">
      <c r="B42" s="398"/>
      <c r="C42" s="399"/>
      <c r="D42" s="399"/>
      <c r="E42" s="399"/>
      <c r="F42" s="399"/>
      <c r="G42" s="399"/>
      <c r="H42" s="399"/>
      <c r="I42" s="399"/>
    </row>
    <row r="43" spans="1:9" ht="13.5" thickBot="1">
      <c r="A43" s="361"/>
      <c r="B43" s="361"/>
      <c r="C43" s="361"/>
      <c r="D43" s="361"/>
      <c r="E43" s="361"/>
      <c r="F43" s="361"/>
      <c r="G43" s="361"/>
      <c r="H43" s="361"/>
      <c r="I43" s="361"/>
    </row>
    <row r="45" ht="13.5" thickBot="1"/>
    <row r="46" spans="1:9" ht="12.75">
      <c r="A46" s="364"/>
      <c r="B46" s="404" t="s">
        <v>1707</v>
      </c>
      <c r="C46" s="359"/>
      <c r="D46" s="359"/>
      <c r="E46" s="359"/>
      <c r="F46" s="359"/>
      <c r="G46" s="359"/>
      <c r="H46" s="360"/>
      <c r="I46" s="238"/>
    </row>
    <row r="47" spans="1:9" ht="12.75">
      <c r="A47" s="355"/>
      <c r="B47" s="407" t="s">
        <v>1391</v>
      </c>
      <c r="C47" s="238"/>
      <c r="D47" s="395">
        <v>0</v>
      </c>
      <c r="E47" s="395">
        <v>0.45902</v>
      </c>
      <c r="F47" s="395">
        <v>0.54098</v>
      </c>
      <c r="G47" s="395">
        <v>0</v>
      </c>
      <c r="H47" s="396">
        <v>1</v>
      </c>
      <c r="I47" s="238"/>
    </row>
    <row r="48" spans="1:9" ht="12.75">
      <c r="A48" s="355"/>
      <c r="B48" s="353" t="s">
        <v>337</v>
      </c>
      <c r="C48" s="353" t="s">
        <v>341</v>
      </c>
      <c r="D48" s="353" t="s">
        <v>1700</v>
      </c>
      <c r="E48" s="353" t="s">
        <v>1698</v>
      </c>
      <c r="F48" s="353" t="s">
        <v>1709</v>
      </c>
      <c r="G48" s="353" t="s">
        <v>1701</v>
      </c>
      <c r="H48" s="354" t="s">
        <v>367</v>
      </c>
      <c r="I48" s="238"/>
    </row>
    <row r="49" spans="1:9" ht="12.75">
      <c r="A49" s="355"/>
      <c r="B49" s="238"/>
      <c r="C49" s="238"/>
      <c r="D49" s="238"/>
      <c r="E49" s="238"/>
      <c r="F49" s="238"/>
      <c r="G49" s="238"/>
      <c r="H49" s="356"/>
      <c r="I49" s="238"/>
    </row>
    <row r="50" spans="1:9" ht="12.75">
      <c r="A50" s="397" t="s">
        <v>1147</v>
      </c>
      <c r="B50" s="398">
        <v>4470.01</v>
      </c>
      <c r="C50" s="399">
        <v>0</v>
      </c>
      <c r="D50" s="399">
        <v>0</v>
      </c>
      <c r="E50" s="399">
        <v>0</v>
      </c>
      <c r="F50" s="399">
        <v>0</v>
      </c>
      <c r="G50" s="399">
        <v>0</v>
      </c>
      <c r="H50" s="400">
        <v>0</v>
      </c>
      <c r="I50" s="238"/>
    </row>
    <row r="51" spans="1:8" ht="12.75">
      <c r="A51" s="397" t="s">
        <v>1148</v>
      </c>
      <c r="B51" s="398">
        <v>4470.01</v>
      </c>
      <c r="C51" s="401">
        <v>0</v>
      </c>
      <c r="D51" s="401">
        <v>0</v>
      </c>
      <c r="E51" s="401">
        <v>0</v>
      </c>
      <c r="F51" s="401">
        <v>0</v>
      </c>
      <c r="G51" s="401">
        <v>0</v>
      </c>
      <c r="H51" s="402">
        <v>0</v>
      </c>
    </row>
    <row r="52" spans="1:8" ht="13.5" thickBot="1">
      <c r="A52" s="368"/>
      <c r="B52" s="403" t="s">
        <v>367</v>
      </c>
      <c r="C52" s="357">
        <v>0</v>
      </c>
      <c r="D52" s="357">
        <v>0</v>
      </c>
      <c r="E52" s="357">
        <v>0</v>
      </c>
      <c r="F52" s="357">
        <v>0</v>
      </c>
      <c r="G52" s="357">
        <v>0</v>
      </c>
      <c r="H52" s="358">
        <v>0</v>
      </c>
    </row>
  </sheetData>
  <printOptions/>
  <pageMargins left="0.75" right="0.75" top="0.5" bottom="0.5" header="0.5" footer="0.5"/>
  <pageSetup fitToHeight="1" fitToWidth="1" horizontalDpi="600" verticalDpi="600" orientation="landscape" scale="8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5"/>
  <dimension ref="A1:J47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3" width="17.421875" style="0" customWidth="1"/>
    <col min="4" max="9" width="15.7109375" style="0" customWidth="1"/>
  </cols>
  <sheetData>
    <row r="1" spans="1:10" ht="12.75">
      <c r="A1" s="240" t="s">
        <v>1451</v>
      </c>
      <c r="B1" s="349" t="str">
        <f>INPUT!C1</f>
        <v>June 2009</v>
      </c>
      <c r="C1" s="158"/>
      <c r="D1" s="158"/>
      <c r="E1" s="158"/>
      <c r="F1" s="158"/>
      <c r="G1" s="158"/>
      <c r="H1" s="157" t="s">
        <v>342</v>
      </c>
      <c r="I1" s="240"/>
      <c r="J1" s="349"/>
    </row>
    <row r="2" spans="1:10" ht="12.75">
      <c r="A2" s="158"/>
      <c r="B2" s="158"/>
      <c r="C2" s="158"/>
      <c r="D2" s="158"/>
      <c r="E2" s="158"/>
      <c r="F2" s="158"/>
      <c r="G2" s="158"/>
      <c r="H2" s="157" t="s">
        <v>203</v>
      </c>
      <c r="I2" s="158"/>
      <c r="J2" s="158"/>
    </row>
    <row r="3" ht="18">
      <c r="A3" s="155" t="s">
        <v>31</v>
      </c>
    </row>
    <row r="4" ht="18">
      <c r="A4" s="155" t="s">
        <v>59</v>
      </c>
    </row>
    <row r="5" ht="13.5" thickBot="1"/>
    <row r="6" spans="1:9" ht="12.75">
      <c r="A6" s="364"/>
      <c r="B6" s="404" t="s">
        <v>1146</v>
      </c>
      <c r="C6" s="359"/>
      <c r="D6" s="359"/>
      <c r="E6" s="359"/>
      <c r="F6" s="359"/>
      <c r="G6" s="359"/>
      <c r="H6" s="359"/>
      <c r="I6" s="360"/>
    </row>
    <row r="7" spans="1:9" ht="12.75">
      <c r="A7" s="355"/>
      <c r="B7" s="407" t="s">
        <v>1151</v>
      </c>
      <c r="C7" s="408"/>
      <c r="D7" s="395">
        <v>0.34458</v>
      </c>
      <c r="E7" s="395">
        <v>0.06943</v>
      </c>
      <c r="F7" s="395">
        <v>0.17686</v>
      </c>
      <c r="G7" s="395">
        <v>0.22638</v>
      </c>
      <c r="H7" s="395">
        <v>0.18275</v>
      </c>
      <c r="I7" s="396">
        <v>1</v>
      </c>
    </row>
    <row r="8" spans="1:9" ht="12.75">
      <c r="A8" s="355"/>
      <c r="B8" s="353" t="s">
        <v>337</v>
      </c>
      <c r="C8" s="353" t="s">
        <v>341</v>
      </c>
      <c r="D8" s="353" t="s">
        <v>1239</v>
      </c>
      <c r="E8" s="353" t="s">
        <v>1240</v>
      </c>
      <c r="F8" s="353" t="s">
        <v>1241</v>
      </c>
      <c r="G8" s="353" t="s">
        <v>1242</v>
      </c>
      <c r="H8" s="353" t="s">
        <v>1243</v>
      </c>
      <c r="I8" s="354" t="s">
        <v>367</v>
      </c>
    </row>
    <row r="9" spans="1:9" ht="12.75">
      <c r="A9" s="355"/>
      <c r="B9" s="238"/>
      <c r="C9" s="238"/>
      <c r="D9" s="238"/>
      <c r="E9" s="238"/>
      <c r="F9" s="238"/>
      <c r="G9" s="238"/>
      <c r="H9" s="238"/>
      <c r="I9" s="356"/>
    </row>
    <row r="10" spans="1:9" ht="12.75">
      <c r="A10" s="397" t="s">
        <v>60</v>
      </c>
      <c r="B10" s="398">
        <v>4470.066</v>
      </c>
      <c r="C10" s="401">
        <v>345444</v>
      </c>
      <c r="D10" s="401">
        <v>119033</v>
      </c>
      <c r="E10" s="401">
        <v>23984</v>
      </c>
      <c r="F10" s="401">
        <v>61095</v>
      </c>
      <c r="G10" s="401">
        <v>78202</v>
      </c>
      <c r="H10" s="401">
        <v>63130</v>
      </c>
      <c r="I10" s="402">
        <v>345444</v>
      </c>
    </row>
    <row r="11" spans="1:9" ht="13.5" thickBot="1">
      <c r="A11" s="405" t="s">
        <v>61</v>
      </c>
      <c r="B11" s="403" t="s">
        <v>367</v>
      </c>
      <c r="C11" s="357">
        <v>345444</v>
      </c>
      <c r="D11" s="357">
        <v>119033</v>
      </c>
      <c r="E11" s="357">
        <v>23984</v>
      </c>
      <c r="F11" s="357">
        <v>61095</v>
      </c>
      <c r="G11" s="357">
        <v>78202</v>
      </c>
      <c r="H11" s="357">
        <v>63130</v>
      </c>
      <c r="I11" s="358">
        <v>345444</v>
      </c>
    </row>
    <row r="13" ht="13.5" thickBot="1"/>
    <row r="14" spans="1:9" ht="12.75">
      <c r="A14" s="364"/>
      <c r="B14" s="404" t="s">
        <v>1707</v>
      </c>
      <c r="C14" s="359"/>
      <c r="D14" s="359"/>
      <c r="E14" s="359"/>
      <c r="F14" s="359"/>
      <c r="G14" s="359"/>
      <c r="H14" s="359"/>
      <c r="I14" s="360"/>
    </row>
    <row r="15" spans="1:9" ht="12.75">
      <c r="A15" s="355"/>
      <c r="B15" s="407" t="s">
        <v>1708</v>
      </c>
      <c r="C15" s="238"/>
      <c r="D15" s="395">
        <v>0.34458</v>
      </c>
      <c r="E15" s="395">
        <v>0.06943</v>
      </c>
      <c r="F15" s="395">
        <v>0.17686</v>
      </c>
      <c r="G15" s="395">
        <v>0.22638</v>
      </c>
      <c r="H15" s="395">
        <v>0.18275</v>
      </c>
      <c r="I15" s="396">
        <v>1</v>
      </c>
    </row>
    <row r="16" spans="1:9" ht="12.75">
      <c r="A16" s="355"/>
      <c r="B16" s="353" t="s">
        <v>337</v>
      </c>
      <c r="C16" s="353" t="s">
        <v>341</v>
      </c>
      <c r="D16" s="353" t="s">
        <v>1239</v>
      </c>
      <c r="E16" s="353" t="s">
        <v>1240</v>
      </c>
      <c r="F16" s="353" t="s">
        <v>1241</v>
      </c>
      <c r="G16" s="353" t="s">
        <v>1242</v>
      </c>
      <c r="H16" s="353" t="s">
        <v>1243</v>
      </c>
      <c r="I16" s="354" t="s">
        <v>367</v>
      </c>
    </row>
    <row r="17" spans="1:9" ht="12.75">
      <c r="A17" s="355"/>
      <c r="B17" s="238"/>
      <c r="C17" s="238"/>
      <c r="D17" s="238"/>
      <c r="E17" s="238"/>
      <c r="F17" s="238"/>
      <c r="G17" s="238"/>
      <c r="H17" s="238"/>
      <c r="I17" s="356"/>
    </row>
    <row r="18" spans="1:9" ht="12.75">
      <c r="A18" s="397" t="s">
        <v>60</v>
      </c>
      <c r="B18" s="398">
        <v>4470.066</v>
      </c>
      <c r="C18" s="401">
        <v>-303750</v>
      </c>
      <c r="D18" s="401">
        <v>-104666.16500000001</v>
      </c>
      <c r="E18" s="401">
        <v>-21089.362500000003</v>
      </c>
      <c r="F18" s="401">
        <v>-53721.225</v>
      </c>
      <c r="G18" s="401">
        <v>-68762.925</v>
      </c>
      <c r="H18" s="401">
        <v>-55510.3125</v>
      </c>
      <c r="I18" s="402">
        <v>-303750</v>
      </c>
    </row>
    <row r="19" spans="1:9" ht="13.5" thickBot="1">
      <c r="A19" s="405" t="s">
        <v>61</v>
      </c>
      <c r="B19" s="403" t="s">
        <v>367</v>
      </c>
      <c r="C19" s="357">
        <v>-303750</v>
      </c>
      <c r="D19" s="357">
        <v>-104666.16500000001</v>
      </c>
      <c r="E19" s="357">
        <v>-21089.362500000003</v>
      </c>
      <c r="F19" s="357">
        <v>-53721.225</v>
      </c>
      <c r="G19" s="357">
        <v>-68762.925</v>
      </c>
      <c r="H19" s="357">
        <v>-55510.3125</v>
      </c>
      <c r="I19" s="358">
        <v>-303750</v>
      </c>
    </row>
    <row r="20" ht="12.75">
      <c r="A20" s="156"/>
    </row>
    <row r="21" ht="13.5" thickBot="1">
      <c r="A21" s="156"/>
    </row>
    <row r="22" spans="1:9" ht="12.75">
      <c r="A22" s="364"/>
      <c r="B22" s="404" t="s">
        <v>1152</v>
      </c>
      <c r="C22" s="359"/>
      <c r="D22" s="359"/>
      <c r="E22" s="359"/>
      <c r="F22" s="359"/>
      <c r="G22" s="359"/>
      <c r="H22" s="359"/>
      <c r="I22" s="360"/>
    </row>
    <row r="23" spans="1:9" ht="12.75">
      <c r="A23" s="355"/>
      <c r="B23" s="407" t="s">
        <v>1708</v>
      </c>
      <c r="C23" s="238"/>
      <c r="D23" s="238"/>
      <c r="E23" s="238"/>
      <c r="F23" s="238"/>
      <c r="G23" s="238"/>
      <c r="H23" s="238"/>
      <c r="I23" s="356"/>
    </row>
    <row r="24" spans="1:9" ht="12.75">
      <c r="A24" s="355"/>
      <c r="B24" s="407" t="s">
        <v>1153</v>
      </c>
      <c r="C24" s="238"/>
      <c r="D24" s="395">
        <v>0.34458</v>
      </c>
      <c r="E24" s="395">
        <v>0.06943</v>
      </c>
      <c r="F24" s="395">
        <v>0.17686</v>
      </c>
      <c r="G24" s="395">
        <v>0.22638</v>
      </c>
      <c r="H24" s="395">
        <v>0.18275</v>
      </c>
      <c r="I24" s="396">
        <v>1</v>
      </c>
    </row>
    <row r="25" spans="1:9" ht="12.75">
      <c r="A25" s="355"/>
      <c r="B25" s="353" t="s">
        <v>337</v>
      </c>
      <c r="C25" s="353" t="s">
        <v>341</v>
      </c>
      <c r="D25" s="353" t="s">
        <v>1239</v>
      </c>
      <c r="E25" s="353" t="s">
        <v>1240</v>
      </c>
      <c r="F25" s="353" t="s">
        <v>1241</v>
      </c>
      <c r="G25" s="353" t="s">
        <v>1242</v>
      </c>
      <c r="H25" s="353" t="s">
        <v>1243</v>
      </c>
      <c r="I25" s="354" t="s">
        <v>367</v>
      </c>
    </row>
    <row r="26" spans="1:9" ht="12.75">
      <c r="A26" s="355"/>
      <c r="B26" s="238"/>
      <c r="C26" s="238"/>
      <c r="D26" s="238"/>
      <c r="E26" s="238"/>
      <c r="F26" s="238"/>
      <c r="G26" s="238"/>
      <c r="H26" s="238"/>
      <c r="I26" s="356"/>
    </row>
    <row r="27" spans="1:9" ht="12.75">
      <c r="A27" s="397" t="s">
        <v>60</v>
      </c>
      <c r="B27" s="398">
        <v>4470.066</v>
      </c>
      <c r="C27" s="401">
        <v>-303750</v>
      </c>
      <c r="D27" s="401">
        <v>-104666.17</v>
      </c>
      <c r="E27" s="401">
        <v>-21089.36</v>
      </c>
      <c r="F27" s="401">
        <v>-53721.23</v>
      </c>
      <c r="G27" s="401">
        <v>-68762.93</v>
      </c>
      <c r="H27" s="401">
        <v>-55510.31</v>
      </c>
      <c r="I27" s="402">
        <v>-303750</v>
      </c>
    </row>
    <row r="28" spans="1:9" ht="13.5" thickBot="1">
      <c r="A28" s="405" t="s">
        <v>61</v>
      </c>
      <c r="B28" s="403" t="s">
        <v>367</v>
      </c>
      <c r="C28" s="357">
        <v>-303750</v>
      </c>
      <c r="D28" s="357">
        <v>-104666.17</v>
      </c>
      <c r="E28" s="357">
        <v>-21089.36</v>
      </c>
      <c r="F28" s="357">
        <v>-53721.23</v>
      </c>
      <c r="G28" s="357">
        <v>-68762.93</v>
      </c>
      <c r="H28" s="357">
        <v>-55510.31</v>
      </c>
      <c r="I28" s="358">
        <v>-303750</v>
      </c>
    </row>
    <row r="29" ht="12.75">
      <c r="A29" s="156"/>
    </row>
    <row r="30" ht="12.75">
      <c r="A30" s="156"/>
    </row>
    <row r="31" ht="13.5" thickBot="1"/>
    <row r="32" spans="1:9" ht="12.75">
      <c r="A32" s="364"/>
      <c r="B32" s="404" t="s">
        <v>1679</v>
      </c>
      <c r="C32" s="359"/>
      <c r="D32" s="359"/>
      <c r="E32" s="359"/>
      <c r="F32" s="359"/>
      <c r="G32" s="359"/>
      <c r="H32" s="359"/>
      <c r="I32" s="360"/>
    </row>
    <row r="33" spans="1:9" ht="12.75">
      <c r="A33" s="355"/>
      <c r="B33" s="407" t="s">
        <v>1154</v>
      </c>
      <c r="C33" s="238"/>
      <c r="D33" s="395">
        <v>0.34458</v>
      </c>
      <c r="E33" s="395">
        <v>0.06943</v>
      </c>
      <c r="F33" s="395">
        <v>0.17686</v>
      </c>
      <c r="G33" s="395">
        <v>0.22638</v>
      </c>
      <c r="H33" s="395">
        <v>0.18275</v>
      </c>
      <c r="I33" s="396">
        <v>1</v>
      </c>
    </row>
    <row r="34" spans="1:9" ht="12.75">
      <c r="A34" s="355"/>
      <c r="B34" s="353" t="s">
        <v>337</v>
      </c>
      <c r="C34" s="353" t="s">
        <v>341</v>
      </c>
      <c r="D34" s="353" t="s">
        <v>1239</v>
      </c>
      <c r="E34" s="353" t="s">
        <v>1240</v>
      </c>
      <c r="F34" s="353" t="s">
        <v>1241</v>
      </c>
      <c r="G34" s="353" t="s">
        <v>1242</v>
      </c>
      <c r="H34" s="353" t="s">
        <v>1243</v>
      </c>
      <c r="I34" s="354" t="s">
        <v>367</v>
      </c>
    </row>
    <row r="35" spans="1:9" ht="12.75">
      <c r="A35" s="355"/>
      <c r="B35" s="238"/>
      <c r="C35" s="238"/>
      <c r="D35" s="238"/>
      <c r="E35" s="238"/>
      <c r="F35" s="238"/>
      <c r="G35" s="238"/>
      <c r="H35" s="238"/>
      <c r="I35" s="356"/>
    </row>
    <row r="36" spans="1:9" ht="12.75">
      <c r="A36" s="397" t="s">
        <v>60</v>
      </c>
      <c r="B36" s="398">
        <v>4470.066</v>
      </c>
      <c r="C36" s="401">
        <v>0</v>
      </c>
      <c r="D36" s="401">
        <v>0.004999999990104698</v>
      </c>
      <c r="E36" s="401">
        <v>-0.0025000000023283064</v>
      </c>
      <c r="F36" s="401">
        <v>-0.004999999995343387</v>
      </c>
      <c r="G36" s="401">
        <v>0.004999999990104698</v>
      </c>
      <c r="H36" s="401">
        <v>-0.0025000000023283064</v>
      </c>
      <c r="I36" s="402">
        <v>-1.9790604918745736E-11</v>
      </c>
    </row>
    <row r="37" spans="1:9" ht="13.5" thickBot="1">
      <c r="A37" s="405" t="s">
        <v>61</v>
      </c>
      <c r="B37" s="403" t="s">
        <v>367</v>
      </c>
      <c r="C37" s="357">
        <v>0</v>
      </c>
      <c r="D37" s="357">
        <v>0.004999999990104698</v>
      </c>
      <c r="E37" s="357">
        <v>-0.0025000000023283064</v>
      </c>
      <c r="F37" s="357">
        <v>-0.004999999995343387</v>
      </c>
      <c r="G37" s="357">
        <v>0.004999999990104698</v>
      </c>
      <c r="H37" s="357">
        <v>-0.0025000000023283064</v>
      </c>
      <c r="I37" s="358">
        <v>-1.9790604918745736E-11</v>
      </c>
    </row>
    <row r="38" spans="2:9" ht="12.75">
      <c r="B38" s="398"/>
      <c r="C38" s="399"/>
      <c r="D38" s="399"/>
      <c r="E38" s="399"/>
      <c r="F38" s="399"/>
      <c r="G38" s="399"/>
      <c r="H38" s="399"/>
      <c r="I38" s="399"/>
    </row>
    <row r="39" spans="1:9" ht="13.5" thickBot="1">
      <c r="A39" s="361"/>
      <c r="B39" s="361"/>
      <c r="C39" s="361"/>
      <c r="D39" s="361"/>
      <c r="E39" s="361"/>
      <c r="F39" s="361"/>
      <c r="G39" s="361"/>
      <c r="H39" s="361"/>
      <c r="I39" s="361"/>
    </row>
    <row r="41" ht="13.5" thickBot="1"/>
    <row r="42" spans="1:9" ht="12.75">
      <c r="A42" s="364"/>
      <c r="B42" s="404" t="s">
        <v>1707</v>
      </c>
      <c r="C42" s="359"/>
      <c r="D42" s="404" t="s">
        <v>157</v>
      </c>
      <c r="E42" s="404" t="s">
        <v>214</v>
      </c>
      <c r="F42" s="404" t="s">
        <v>461</v>
      </c>
      <c r="G42" s="404" t="s">
        <v>157</v>
      </c>
      <c r="H42" s="459" t="s">
        <v>158</v>
      </c>
      <c r="I42" s="238"/>
    </row>
    <row r="43" spans="1:9" ht="12.75">
      <c r="A43" s="355"/>
      <c r="B43" s="407" t="s">
        <v>1391</v>
      </c>
      <c r="C43" s="238"/>
      <c r="D43" s="395">
        <v>0</v>
      </c>
      <c r="E43" s="395">
        <v>0.3333</v>
      </c>
      <c r="F43" s="395">
        <v>0.6667</v>
      </c>
      <c r="G43" s="395">
        <v>0</v>
      </c>
      <c r="H43" s="396">
        <v>1</v>
      </c>
      <c r="I43" s="238"/>
    </row>
    <row r="44" spans="1:9" ht="12.75">
      <c r="A44" s="355"/>
      <c r="B44" s="353" t="s">
        <v>337</v>
      </c>
      <c r="C44" s="353" t="s">
        <v>341</v>
      </c>
      <c r="D44" s="353" t="s">
        <v>1700</v>
      </c>
      <c r="E44" s="353" t="s">
        <v>1698</v>
      </c>
      <c r="F44" s="353" t="s">
        <v>1709</v>
      </c>
      <c r="G44" s="353" t="s">
        <v>1701</v>
      </c>
      <c r="H44" s="354" t="s">
        <v>367</v>
      </c>
      <c r="I44" s="238"/>
    </row>
    <row r="45" spans="1:9" ht="12.75">
      <c r="A45" s="355"/>
      <c r="B45" s="238"/>
      <c r="C45" s="238"/>
      <c r="D45" s="238"/>
      <c r="E45" s="238"/>
      <c r="F45" s="238"/>
      <c r="G45" s="238"/>
      <c r="H45" s="356"/>
      <c r="I45" s="238"/>
    </row>
    <row r="46" spans="1:8" ht="12.75">
      <c r="A46" s="397" t="s">
        <v>60</v>
      </c>
      <c r="B46" s="398">
        <v>5650.002</v>
      </c>
      <c r="C46" s="401">
        <v>0</v>
      </c>
      <c r="D46" s="401">
        <v>0</v>
      </c>
      <c r="E46" s="401">
        <v>0</v>
      </c>
      <c r="F46" s="401">
        <v>0</v>
      </c>
      <c r="G46" s="401">
        <v>0</v>
      </c>
      <c r="H46" s="402">
        <v>0</v>
      </c>
    </row>
    <row r="47" spans="1:8" ht="13.5" thickBot="1">
      <c r="A47" s="405" t="s">
        <v>61</v>
      </c>
      <c r="B47" s="403" t="s">
        <v>367</v>
      </c>
      <c r="C47" s="357">
        <v>0</v>
      </c>
      <c r="D47" s="357">
        <v>0</v>
      </c>
      <c r="E47" s="357">
        <v>0</v>
      </c>
      <c r="F47" s="357">
        <v>0</v>
      </c>
      <c r="G47" s="357">
        <v>0</v>
      </c>
      <c r="H47" s="358">
        <v>0</v>
      </c>
    </row>
  </sheetData>
  <printOptions/>
  <pageMargins left="0.5" right="0.5" top="0.5" bottom="0.5" header="0.5" footer="0.5"/>
  <pageSetup horizontalDpi="600" verticalDpi="600" orientation="landscape" scale="84" r:id="rId3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9.7109375" style="0" bestFit="1" customWidth="1"/>
    <col min="3" max="3" width="15.00390625" style="0" bestFit="1" customWidth="1"/>
    <col min="4" max="4" width="13.57421875" style="0" bestFit="1" customWidth="1"/>
    <col min="5" max="5" width="12.28125" style="0" bestFit="1" customWidth="1"/>
    <col min="6" max="6" width="2.28125" style="0" customWidth="1"/>
    <col min="7" max="7" width="14.00390625" style="0" bestFit="1" customWidth="1"/>
    <col min="8" max="8" width="11.28125" style="0" bestFit="1" customWidth="1"/>
    <col min="9" max="9" width="11.8515625" style="0" bestFit="1" customWidth="1"/>
    <col min="10" max="10" width="2.28125" style="0" customWidth="1"/>
    <col min="11" max="11" width="18.421875" style="0" bestFit="1" customWidth="1"/>
  </cols>
  <sheetData>
    <row r="1" spans="1:11" ht="12.75">
      <c r="A1" s="240" t="s">
        <v>1451</v>
      </c>
      <c r="B1" s="349" t="str">
        <f>INPUT!C1</f>
        <v>June 2009</v>
      </c>
      <c r="C1" s="158"/>
      <c r="D1" s="158"/>
      <c r="E1" s="158"/>
      <c r="F1" s="158"/>
      <c r="G1" s="158"/>
      <c r="K1" s="157" t="s">
        <v>342</v>
      </c>
    </row>
    <row r="2" spans="1:11" ht="12.75">
      <c r="A2" s="158"/>
      <c r="B2" s="158"/>
      <c r="C2" s="158"/>
      <c r="D2" s="158"/>
      <c r="E2" s="158"/>
      <c r="F2" s="158"/>
      <c r="G2" s="158"/>
      <c r="K2" s="157" t="s">
        <v>63</v>
      </c>
    </row>
    <row r="4" spans="1:11" ht="12.75">
      <c r="A4" s="1029" t="s">
        <v>118</v>
      </c>
      <c r="B4" s="1029"/>
      <c r="C4" s="1029"/>
      <c r="D4" s="1029"/>
      <c r="E4" s="1029"/>
      <c r="F4" s="1029"/>
      <c r="G4" s="1029"/>
      <c r="H4" s="1029"/>
      <c r="I4" s="1029"/>
      <c r="J4" s="1029"/>
      <c r="K4" s="1029"/>
    </row>
    <row r="6" spans="3:9" ht="12.75">
      <c r="C6" s="1030" t="s">
        <v>119</v>
      </c>
      <c r="D6" s="1030"/>
      <c r="E6" s="1030"/>
      <c r="F6" s="1030"/>
      <c r="G6" s="1030"/>
      <c r="H6" s="1030"/>
      <c r="I6" s="1030"/>
    </row>
    <row r="7" spans="3:9" ht="12.75">
      <c r="C7" s="151" t="s">
        <v>196</v>
      </c>
      <c r="D7" s="151" t="s">
        <v>196</v>
      </c>
      <c r="E7" s="151" t="s">
        <v>196</v>
      </c>
      <c r="G7" s="151" t="s">
        <v>197</v>
      </c>
      <c r="H7" s="151" t="s">
        <v>197</v>
      </c>
      <c r="I7" s="151" t="s">
        <v>197</v>
      </c>
    </row>
    <row r="8" spans="3:11" ht="12.75">
      <c r="C8" s="151" t="s">
        <v>120</v>
      </c>
      <c r="D8" s="151" t="s">
        <v>121</v>
      </c>
      <c r="E8" s="151" t="s">
        <v>367</v>
      </c>
      <c r="G8" s="151" t="s">
        <v>120</v>
      </c>
      <c r="H8" s="151" t="s">
        <v>121</v>
      </c>
      <c r="I8" s="151" t="s">
        <v>367</v>
      </c>
      <c r="K8" s="151" t="s">
        <v>367</v>
      </c>
    </row>
    <row r="9" spans="3:11" ht="12.75">
      <c r="C9" s="229" t="s">
        <v>122</v>
      </c>
      <c r="D9" s="229" t="s">
        <v>122</v>
      </c>
      <c r="E9" s="229" t="s">
        <v>122</v>
      </c>
      <c r="G9" s="229" t="s">
        <v>122</v>
      </c>
      <c r="H9" s="229" t="s">
        <v>122</v>
      </c>
      <c r="I9" s="229" t="s">
        <v>122</v>
      </c>
      <c r="K9" s="229" t="s">
        <v>1714</v>
      </c>
    </row>
    <row r="10" spans="3:11" ht="12.75">
      <c r="C10" s="151"/>
      <c r="D10" s="151"/>
      <c r="E10" s="151"/>
      <c r="G10" s="151"/>
      <c r="H10" s="151"/>
      <c r="I10" s="151"/>
      <c r="K10" s="151"/>
    </row>
    <row r="11" spans="1:11" ht="12.75">
      <c r="A11" s="413">
        <v>39636</v>
      </c>
      <c r="B11" s="151" t="s">
        <v>123</v>
      </c>
      <c r="C11" s="417">
        <v>130148691</v>
      </c>
      <c r="D11" s="417">
        <v>-1953594</v>
      </c>
      <c r="E11" s="417">
        <f aca="true" t="shared" si="0" ref="E11:E22">C11+D11</f>
        <v>128195097</v>
      </c>
      <c r="G11" s="417">
        <v>4979352</v>
      </c>
      <c r="H11" s="417">
        <v>-42276</v>
      </c>
      <c r="I11" s="417">
        <f aca="true" t="shared" si="1" ref="I11:I22">G11+H11</f>
        <v>4937076</v>
      </c>
      <c r="K11" s="417">
        <f aca="true" t="shared" si="2" ref="K11:K22">E11+I11</f>
        <v>133132173</v>
      </c>
    </row>
    <row r="12" spans="1:11" ht="12.75">
      <c r="A12" s="413">
        <v>39667</v>
      </c>
      <c r="B12" s="151" t="s">
        <v>123</v>
      </c>
      <c r="C12" s="417">
        <v>99125585</v>
      </c>
      <c r="D12" s="417">
        <v>4170432</v>
      </c>
      <c r="E12" s="417">
        <f t="shared" si="0"/>
        <v>103296017</v>
      </c>
      <c r="G12" s="417">
        <v>5076387</v>
      </c>
      <c r="H12" s="417">
        <v>96287</v>
      </c>
      <c r="I12" s="417">
        <f t="shared" si="1"/>
        <v>5172674</v>
      </c>
      <c r="K12" s="417">
        <f t="shared" si="2"/>
        <v>108468691</v>
      </c>
    </row>
    <row r="13" spans="1:11" ht="12.75">
      <c r="A13" s="413">
        <v>39698</v>
      </c>
      <c r="B13" s="151" t="s">
        <v>123</v>
      </c>
      <c r="C13" s="417">
        <v>52957062</v>
      </c>
      <c r="D13" s="417">
        <v>-2487717</v>
      </c>
      <c r="E13" s="417">
        <f t="shared" si="0"/>
        <v>50469345</v>
      </c>
      <c r="G13" s="417">
        <v>931780</v>
      </c>
      <c r="H13" s="417">
        <v>-67452</v>
      </c>
      <c r="I13" s="417">
        <f t="shared" si="1"/>
        <v>864328</v>
      </c>
      <c r="K13" s="417">
        <f t="shared" si="2"/>
        <v>51333673</v>
      </c>
    </row>
    <row r="14" spans="1:11" ht="12.75">
      <c r="A14" s="413">
        <v>39728</v>
      </c>
      <c r="B14" s="151" t="s">
        <v>123</v>
      </c>
      <c r="C14" s="417">
        <v>30731807</v>
      </c>
      <c r="D14" s="417">
        <v>1497029</v>
      </c>
      <c r="E14" s="417">
        <f t="shared" si="0"/>
        <v>32228836</v>
      </c>
      <c r="G14" s="417">
        <v>762732</v>
      </c>
      <c r="H14" s="417">
        <v>42168</v>
      </c>
      <c r="I14" s="417">
        <f t="shared" si="1"/>
        <v>804900</v>
      </c>
      <c r="K14" s="417">
        <f t="shared" si="2"/>
        <v>33033736</v>
      </c>
    </row>
    <row r="15" spans="1:11" ht="12.75">
      <c r="A15" s="413">
        <v>39759</v>
      </c>
      <c r="B15" s="151" t="s">
        <v>123</v>
      </c>
      <c r="C15" s="417">
        <v>17454554</v>
      </c>
      <c r="D15" s="417">
        <f>-25338</f>
        <v>-25338</v>
      </c>
      <c r="E15" s="417">
        <f t="shared" si="0"/>
        <v>17429216</v>
      </c>
      <c r="G15" s="417">
        <f>-38051</f>
        <v>-38051</v>
      </c>
      <c r="H15" s="417">
        <f>-823</f>
        <v>-823</v>
      </c>
      <c r="I15" s="417">
        <f t="shared" si="1"/>
        <v>-38874</v>
      </c>
      <c r="K15" s="417">
        <f t="shared" si="2"/>
        <v>17390342</v>
      </c>
    </row>
    <row r="16" spans="1:11" ht="12.75">
      <c r="A16" s="413">
        <v>39789</v>
      </c>
      <c r="B16" s="151" t="s">
        <v>123</v>
      </c>
      <c r="C16" s="417">
        <v>10928129</v>
      </c>
      <c r="D16" s="417">
        <v>894989</v>
      </c>
      <c r="E16" s="417">
        <f t="shared" si="0"/>
        <v>11823118</v>
      </c>
      <c r="G16" s="417">
        <v>-1767011</v>
      </c>
      <c r="H16" s="417">
        <v>18443</v>
      </c>
      <c r="I16" s="417">
        <f t="shared" si="1"/>
        <v>-1748568</v>
      </c>
      <c r="K16" s="417">
        <f t="shared" si="2"/>
        <v>10074550</v>
      </c>
    </row>
    <row r="17" spans="1:11" ht="12.75">
      <c r="A17" s="413">
        <v>39820</v>
      </c>
      <c r="B17" s="151" t="s">
        <v>123</v>
      </c>
      <c r="C17" s="417">
        <v>23279828</v>
      </c>
      <c r="D17" s="549">
        <v>694919</v>
      </c>
      <c r="E17" s="417">
        <f t="shared" si="0"/>
        <v>23974747</v>
      </c>
      <c r="G17" s="417">
        <v>-885361</v>
      </c>
      <c r="H17" s="549">
        <v>13185</v>
      </c>
      <c r="I17" s="417">
        <f t="shared" si="1"/>
        <v>-872176</v>
      </c>
      <c r="K17" s="417">
        <f t="shared" si="2"/>
        <v>23102571</v>
      </c>
    </row>
    <row r="18" spans="1:11" ht="12.75">
      <c r="A18" s="413">
        <v>39851</v>
      </c>
      <c r="B18" s="151" t="s">
        <v>123</v>
      </c>
      <c r="C18" s="417">
        <v>28336903</v>
      </c>
      <c r="D18" s="549">
        <v>-409704</v>
      </c>
      <c r="E18" s="417">
        <f t="shared" si="0"/>
        <v>27927199</v>
      </c>
      <c r="G18" s="417">
        <v>-705979</v>
      </c>
      <c r="H18" s="549">
        <v>-10180</v>
      </c>
      <c r="I18" s="417">
        <f t="shared" si="1"/>
        <v>-716159</v>
      </c>
      <c r="K18" s="417">
        <f t="shared" si="2"/>
        <v>27211040</v>
      </c>
    </row>
    <row r="19" spans="1:11" ht="12.75">
      <c r="A19" s="413">
        <v>39879</v>
      </c>
      <c r="B19" s="151" t="s">
        <v>123</v>
      </c>
      <c r="C19" s="417">
        <v>20017258</v>
      </c>
      <c r="D19" s="549">
        <v>1347617</v>
      </c>
      <c r="E19" s="417">
        <f t="shared" si="0"/>
        <v>21364875</v>
      </c>
      <c r="G19" s="417">
        <v>1961381</v>
      </c>
      <c r="H19" s="549">
        <v>37971</v>
      </c>
      <c r="I19" s="417">
        <f t="shared" si="1"/>
        <v>1999352</v>
      </c>
      <c r="K19" s="417">
        <f t="shared" si="2"/>
        <v>23364227</v>
      </c>
    </row>
    <row r="20" spans="1:11" ht="12.75">
      <c r="A20" s="413">
        <v>39912</v>
      </c>
      <c r="B20" s="151" t="s">
        <v>123</v>
      </c>
      <c r="C20" s="417">
        <v>12482990</v>
      </c>
      <c r="D20" s="913">
        <v>757941</v>
      </c>
      <c r="E20" s="417">
        <f t="shared" si="0"/>
        <v>13240931</v>
      </c>
      <c r="G20" s="417">
        <v>-1610962</v>
      </c>
      <c r="H20" s="912">
        <v>18626</v>
      </c>
      <c r="I20" s="417">
        <f t="shared" si="1"/>
        <v>-1592336</v>
      </c>
      <c r="K20" s="417">
        <f t="shared" si="2"/>
        <v>11648595</v>
      </c>
    </row>
    <row r="21" spans="1:11" ht="12.75">
      <c r="A21" s="413">
        <v>39942</v>
      </c>
      <c r="B21" s="151" t="s">
        <v>123</v>
      </c>
      <c r="C21" s="417">
        <v>12087770</v>
      </c>
      <c r="D21" s="913">
        <f>-790200</f>
        <v>-790200</v>
      </c>
      <c r="E21" s="417">
        <f t="shared" si="0"/>
        <v>11297570</v>
      </c>
      <c r="G21" s="152">
        <v>92433</v>
      </c>
      <c r="H21" s="912">
        <f>-17405</f>
        <v>-17405</v>
      </c>
      <c r="I21" s="417">
        <f t="shared" si="1"/>
        <v>75028</v>
      </c>
      <c r="K21" s="417">
        <f t="shared" si="2"/>
        <v>11372598</v>
      </c>
    </row>
    <row r="22" spans="1:11" ht="12.75">
      <c r="A22" s="413">
        <v>39973</v>
      </c>
      <c r="B22" s="151" t="s">
        <v>123</v>
      </c>
      <c r="C22" s="417">
        <f>'APPVIII PG 1'!C95</f>
        <v>36166207</v>
      </c>
      <c r="E22" s="417">
        <f t="shared" si="0"/>
        <v>36166207</v>
      </c>
      <c r="G22" s="152">
        <f>'APPVIII PG 1'!D95</f>
        <v>-376144</v>
      </c>
      <c r="I22" s="417">
        <f t="shared" si="1"/>
        <v>-376144</v>
      </c>
      <c r="K22" s="417">
        <f t="shared" si="2"/>
        <v>35790063</v>
      </c>
    </row>
    <row r="24" spans="3:11" ht="12.75">
      <c r="C24" s="418"/>
      <c r="D24" s="418"/>
      <c r="E24" s="418"/>
      <c r="F24" s="417"/>
      <c r="G24" s="418"/>
      <c r="H24" s="418"/>
      <c r="I24" s="418"/>
      <c r="J24" s="417"/>
      <c r="K24" s="418"/>
    </row>
    <row r="25" spans="1:11" ht="12.75">
      <c r="A25" t="s">
        <v>124</v>
      </c>
      <c r="C25" s="417"/>
      <c r="D25" s="417"/>
      <c r="E25" s="417">
        <f>SUM(E11:E24)</f>
        <v>477413158</v>
      </c>
      <c r="F25" s="417"/>
      <c r="G25" s="417"/>
      <c r="H25" s="417"/>
      <c r="I25" s="417">
        <f>SUM(I11:I24)</f>
        <v>8509101</v>
      </c>
      <c r="J25" s="417"/>
      <c r="K25" s="417">
        <f>SUM(K11:K24)</f>
        <v>485922259</v>
      </c>
    </row>
    <row r="26" spans="3:11" ht="12.75">
      <c r="C26" s="417"/>
      <c r="D26" s="417"/>
      <c r="E26" s="417"/>
      <c r="F26" s="417"/>
      <c r="G26" s="417"/>
      <c r="H26" s="417"/>
      <c r="I26" s="417"/>
      <c r="J26" s="417"/>
      <c r="K26" s="417"/>
    </row>
    <row r="27" spans="1:11" ht="13.5" thickBot="1">
      <c r="A27" t="s">
        <v>125</v>
      </c>
      <c r="C27" s="426" t="str">
        <f>B1</f>
        <v>June 2009</v>
      </c>
      <c r="D27" s="419" t="s">
        <v>1602</v>
      </c>
      <c r="E27" s="422">
        <f>IF(I25&lt;=0,100%,E25/K25)</f>
        <v>0.9824887606146891</v>
      </c>
      <c r="I27" s="422">
        <f>IF(I25&lt;=0,0,I25/K25)</f>
        <v>0.01751123938531081</v>
      </c>
      <c r="K27" s="420">
        <f>E27+I27</f>
        <v>1</v>
      </c>
    </row>
    <row r="28" spans="3:11" ht="13.5" thickTop="1">
      <c r="C28" s="419"/>
      <c r="K28" s="420"/>
    </row>
    <row r="29" spans="1:11" ht="12.75">
      <c r="A29" s="421"/>
      <c r="B29" s="421"/>
      <c r="C29" s="421"/>
      <c r="D29" s="421"/>
      <c r="E29" s="421"/>
      <c r="F29" s="421"/>
      <c r="G29" s="421"/>
      <c r="H29" s="421"/>
      <c r="I29" s="421"/>
      <c r="J29" s="421"/>
      <c r="K29" s="421"/>
    </row>
  </sheetData>
  <mergeCells count="2">
    <mergeCell ref="A4:K4"/>
    <mergeCell ref="C6:I6"/>
  </mergeCells>
  <printOptions horizontalCentered="1"/>
  <pageMargins left="0.25" right="0.2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C953"/>
  <sheetViews>
    <sheetView workbookViewId="0" topLeftCell="A184">
      <selection activeCell="G207" sqref="G207"/>
    </sheetView>
  </sheetViews>
  <sheetFormatPr defaultColWidth="9.140625" defaultRowHeight="12.75"/>
  <cols>
    <col min="1" max="1" width="17.140625" style="3" customWidth="1"/>
    <col min="2" max="2" width="25.421875" style="3" customWidth="1"/>
    <col min="3" max="3" width="19.140625" style="3" customWidth="1"/>
    <col min="4" max="4" width="17.140625" style="3" customWidth="1"/>
    <col min="5" max="5" width="18.28125" style="3" customWidth="1"/>
    <col min="6" max="8" width="17.140625" style="3" customWidth="1"/>
    <col min="9" max="9" width="2.7109375" style="3" customWidth="1"/>
    <col min="10" max="10" width="16.8515625" style="3" customWidth="1"/>
    <col min="11" max="11" width="2.7109375" style="3" customWidth="1"/>
    <col min="12" max="12" width="16.28125" style="3" customWidth="1"/>
    <col min="13" max="13" width="15.421875" style="3" customWidth="1"/>
    <col min="14" max="14" width="2.7109375" style="3" customWidth="1"/>
    <col min="15" max="15" width="14.421875" style="3" customWidth="1"/>
    <col min="16" max="16" width="12.140625" style="3" customWidth="1"/>
    <col min="17" max="17" width="2.7109375" style="3" customWidth="1"/>
    <col min="18" max="18" width="13.57421875" style="3" customWidth="1"/>
    <col min="19" max="19" width="12.140625" style="3" customWidth="1"/>
    <col min="20" max="20" width="2.7109375" style="3" customWidth="1"/>
    <col min="21" max="21" width="14.57421875" style="3" bestFit="1" customWidth="1"/>
    <col min="22" max="22" width="2.7109375" style="3" customWidth="1"/>
    <col min="23" max="23" width="14.8515625" style="3" bestFit="1" customWidth="1"/>
    <col min="24" max="24" width="13.140625" style="3" bestFit="1" customWidth="1"/>
    <col min="25" max="25" width="14.7109375" style="3" customWidth="1"/>
    <col min="26" max="16384" width="9.140625" style="3" customWidth="1"/>
  </cols>
  <sheetData>
    <row r="1" spans="2:25" ht="16.5">
      <c r="B1" s="552" t="s">
        <v>1231</v>
      </c>
      <c r="C1" s="865" t="s">
        <v>1817</v>
      </c>
      <c r="D1" s="1"/>
      <c r="E1" s="1"/>
      <c r="F1" s="1"/>
      <c r="G1" s="1"/>
      <c r="H1" s="1"/>
      <c r="I1" s="2"/>
      <c r="J1" s="711" t="s">
        <v>1288</v>
      </c>
      <c r="K1" s="712"/>
      <c r="L1" s="712"/>
      <c r="M1" s="712"/>
      <c r="N1" s="713"/>
      <c r="O1" s="713"/>
      <c r="P1" s="713"/>
      <c r="Q1" s="713"/>
      <c r="R1" s="714"/>
      <c r="S1" s="551"/>
      <c r="T1" s="551"/>
      <c r="U1" s="551"/>
      <c r="V1" s="551"/>
      <c r="W1" s="551"/>
      <c r="X1" s="551"/>
      <c r="Y1" s="551"/>
    </row>
    <row r="2" spans="2:25" ht="19.5">
      <c r="B2" s="4"/>
      <c r="C2" s="20"/>
      <c r="D2" s="873"/>
      <c r="E2" s="5"/>
      <c r="F2" s="5"/>
      <c r="G2" s="5"/>
      <c r="H2" s="5"/>
      <c r="I2" s="2"/>
      <c r="J2" s="715"/>
      <c r="K2" s="716" t="s">
        <v>1232</v>
      </c>
      <c r="L2" s="717"/>
      <c r="M2" s="715"/>
      <c r="N2" s="716" t="s">
        <v>1233</v>
      </c>
      <c r="O2" s="717"/>
      <c r="P2" s="715"/>
      <c r="Q2" s="716" t="s">
        <v>1234</v>
      </c>
      <c r="R2" s="717"/>
      <c r="S2" s="915" t="s">
        <v>545</v>
      </c>
      <c r="T2" s="551"/>
      <c r="U2" s="551"/>
      <c r="V2" s="551"/>
      <c r="W2" s="551"/>
      <c r="X2" s="551"/>
      <c r="Y2" s="551"/>
    </row>
    <row r="3" spans="5:25" ht="15">
      <c r="E3" s="2"/>
      <c r="F3" s="2"/>
      <c r="G3" s="2"/>
      <c r="H3" s="2"/>
      <c r="I3" s="2"/>
      <c r="J3" s="602" t="s">
        <v>1235</v>
      </c>
      <c r="K3" s="603" t="s">
        <v>1236</v>
      </c>
      <c r="L3" s="576" t="s">
        <v>1237</v>
      </c>
      <c r="M3" s="602" t="s">
        <v>1235</v>
      </c>
      <c r="N3" s="603"/>
      <c r="O3" s="576" t="s">
        <v>1237</v>
      </c>
      <c r="P3" s="602" t="s">
        <v>1235</v>
      </c>
      <c r="Q3" s="603"/>
      <c r="R3" s="576" t="s">
        <v>1237</v>
      </c>
      <c r="S3" s="551" t="s">
        <v>85</v>
      </c>
      <c r="T3" s="551"/>
      <c r="U3" s="551"/>
      <c r="V3" s="551"/>
      <c r="W3" s="551"/>
      <c r="X3" s="551"/>
      <c r="Y3" s="551"/>
    </row>
    <row r="4" spans="1:25" ht="16.5">
      <c r="A4" s="551" t="s">
        <v>542</v>
      </c>
      <c r="B4" s="553" t="s">
        <v>1238</v>
      </c>
      <c r="C4" s="557"/>
      <c r="D4" s="6"/>
      <c r="E4" s="553" t="s">
        <v>1702</v>
      </c>
      <c r="F4" s="558"/>
      <c r="G4" s="6"/>
      <c r="H4" s="6"/>
      <c r="I4" s="2"/>
      <c r="J4" s="724">
        <v>36240858</v>
      </c>
      <c r="K4" s="734"/>
      <c r="L4" s="726">
        <v>0</v>
      </c>
      <c r="M4" s="724">
        <v>30302983</v>
      </c>
      <c r="N4" s="734"/>
      <c r="O4" s="726">
        <v>12880040</v>
      </c>
      <c r="P4" s="729">
        <v>0</v>
      </c>
      <c r="Q4" s="734"/>
      <c r="R4" s="731">
        <v>0</v>
      </c>
      <c r="S4" s="664"/>
      <c r="T4" s="664"/>
      <c r="U4" s="664"/>
      <c r="V4" s="664"/>
      <c r="W4" s="664"/>
      <c r="X4" s="664"/>
      <c r="Y4" s="664"/>
    </row>
    <row r="5" spans="2:25" ht="15">
      <c r="B5" s="554" t="s">
        <v>1239</v>
      </c>
      <c r="C5" s="739">
        <v>0.34458</v>
      </c>
      <c r="D5" s="7"/>
      <c r="E5" s="554" t="s">
        <v>1698</v>
      </c>
      <c r="F5" s="739">
        <v>0.45902</v>
      </c>
      <c r="G5" s="7"/>
      <c r="H5" s="7"/>
      <c r="I5" s="2"/>
      <c r="J5" s="724">
        <v>4906183</v>
      </c>
      <c r="K5" s="734"/>
      <c r="L5" s="726">
        <v>0</v>
      </c>
      <c r="M5" s="724">
        <v>3215710</v>
      </c>
      <c r="N5" s="734"/>
      <c r="O5" s="726">
        <v>5224409</v>
      </c>
      <c r="P5" s="729">
        <v>0</v>
      </c>
      <c r="Q5" s="734"/>
      <c r="R5" s="732">
        <v>0</v>
      </c>
      <c r="S5" s="667"/>
      <c r="T5" s="664"/>
      <c r="U5" s="664"/>
      <c r="V5" s="664"/>
      <c r="W5" s="664"/>
      <c r="X5" s="1004"/>
      <c r="Y5" s="1004"/>
    </row>
    <row r="6" spans="2:25" ht="15">
      <c r="B6" s="555" t="s">
        <v>1240</v>
      </c>
      <c r="C6" s="739">
        <v>0.06943</v>
      </c>
      <c r="D6" s="7"/>
      <c r="E6" s="555" t="s">
        <v>1699</v>
      </c>
      <c r="F6" s="739">
        <v>0.54098</v>
      </c>
      <c r="G6" s="7"/>
      <c r="H6" s="7"/>
      <c r="I6" s="2"/>
      <c r="J6" s="724">
        <v>0</v>
      </c>
      <c r="K6" s="734"/>
      <c r="L6" s="726">
        <v>7606954</v>
      </c>
      <c r="M6" s="724">
        <v>7123127</v>
      </c>
      <c r="N6" s="734"/>
      <c r="O6" s="726">
        <v>13765293</v>
      </c>
      <c r="P6" s="729">
        <v>0</v>
      </c>
      <c r="Q6" s="734"/>
      <c r="R6" s="732">
        <v>0</v>
      </c>
      <c r="S6" s="668"/>
      <c r="T6" s="664"/>
      <c r="U6" s="664"/>
      <c r="V6" s="664"/>
      <c r="W6" s="664"/>
      <c r="X6" s="669"/>
      <c r="Y6" s="670"/>
    </row>
    <row r="7" spans="2:25" ht="15">
      <c r="B7" s="555" t="s">
        <v>1241</v>
      </c>
      <c r="C7" s="739">
        <v>0.17686</v>
      </c>
      <c r="D7" s="7"/>
      <c r="E7" s="555" t="s">
        <v>1700</v>
      </c>
      <c r="F7" s="739">
        <v>0</v>
      </c>
      <c r="G7" s="7"/>
      <c r="H7" s="7"/>
      <c r="I7" s="2"/>
      <c r="J7" s="724">
        <v>0</v>
      </c>
      <c r="K7" s="734"/>
      <c r="L7" s="726">
        <v>32983715</v>
      </c>
      <c r="M7" s="724">
        <v>8016250</v>
      </c>
      <c r="N7" s="734"/>
      <c r="O7" s="726">
        <v>40981125</v>
      </c>
      <c r="P7" s="729">
        <v>0</v>
      </c>
      <c r="Q7" s="734"/>
      <c r="R7" s="732">
        <v>0</v>
      </c>
      <c r="S7" s="664"/>
      <c r="T7" s="664"/>
      <c r="U7" s="664"/>
      <c r="V7" s="664"/>
      <c r="W7" s="664"/>
      <c r="X7" s="669"/>
      <c r="Y7" s="670"/>
    </row>
    <row r="8" spans="2:25" ht="15">
      <c r="B8" s="555" t="s">
        <v>1242</v>
      </c>
      <c r="C8" s="739">
        <v>0.22638</v>
      </c>
      <c r="D8" s="7"/>
      <c r="E8" s="555" t="s">
        <v>1701</v>
      </c>
      <c r="F8" s="742">
        <v>0</v>
      </c>
      <c r="G8" s="7"/>
      <c r="H8" s="7"/>
      <c r="I8" s="2"/>
      <c r="J8" s="725">
        <v>0</v>
      </c>
      <c r="K8" s="734"/>
      <c r="L8" s="727">
        <v>556372</v>
      </c>
      <c r="M8" s="725">
        <v>30403288</v>
      </c>
      <c r="N8" s="734"/>
      <c r="O8" s="728">
        <v>6210491</v>
      </c>
      <c r="P8" s="730">
        <v>0</v>
      </c>
      <c r="Q8" s="734"/>
      <c r="R8" s="733">
        <v>0</v>
      </c>
      <c r="S8" s="664"/>
      <c r="T8" s="664"/>
      <c r="U8" s="664"/>
      <c r="V8" s="664"/>
      <c r="W8" s="664"/>
      <c r="X8" s="669"/>
      <c r="Y8" s="664"/>
    </row>
    <row r="9" spans="2:25" ht="15">
      <c r="B9" s="555" t="s">
        <v>1243</v>
      </c>
      <c r="C9" s="740">
        <v>0.18275</v>
      </c>
      <c r="D9" s="7" t="s">
        <v>1236</v>
      </c>
      <c r="E9" s="556" t="s">
        <v>1348</v>
      </c>
      <c r="F9" s="743">
        <f>SUM(F5:F8)</f>
        <v>1</v>
      </c>
      <c r="G9" s="7"/>
      <c r="H9" s="7"/>
      <c r="I9" s="2"/>
      <c r="J9" s="736">
        <f>SUM(J4:J8)</f>
        <v>41147041</v>
      </c>
      <c r="K9" s="738"/>
      <c r="L9" s="738">
        <f>SUM(L4:L8)</f>
        <v>41147041</v>
      </c>
      <c r="M9" s="736">
        <f>SUM(M4:M8)</f>
        <v>79061358</v>
      </c>
      <c r="N9" s="738"/>
      <c r="O9" s="738">
        <f>SUM(O4:O8)</f>
        <v>79061358</v>
      </c>
      <c r="P9" s="736">
        <f>SUM(P4:P8)</f>
        <v>0</v>
      </c>
      <c r="Q9" s="738"/>
      <c r="R9" s="767">
        <f>SUM(R4:R8)</f>
        <v>0</v>
      </c>
      <c r="S9" s="672"/>
      <c r="T9" s="664"/>
      <c r="U9" s="664"/>
      <c r="V9" s="664"/>
      <c r="W9" s="664"/>
      <c r="X9" s="664"/>
      <c r="Y9" s="664"/>
    </row>
    <row r="10" spans="2:25" ht="15">
      <c r="B10" s="556" t="s">
        <v>1348</v>
      </c>
      <c r="C10" s="741">
        <f>SUM(C5:C9)</f>
        <v>1</v>
      </c>
      <c r="D10" s="7"/>
      <c r="E10" s="7"/>
      <c r="F10" s="7"/>
      <c r="G10" s="7"/>
      <c r="H10" s="7"/>
      <c r="I10" s="2"/>
      <c r="J10" s="635"/>
      <c r="K10" s="718" t="s">
        <v>1244</v>
      </c>
      <c r="L10" s="662"/>
      <c r="M10" s="635"/>
      <c r="N10" s="718" t="s">
        <v>1245</v>
      </c>
      <c r="O10" s="662"/>
      <c r="P10" s="586"/>
      <c r="Q10" s="586"/>
      <c r="R10" s="586"/>
      <c r="S10" s="585"/>
      <c r="T10" s="585"/>
      <c r="U10" s="585"/>
      <c r="V10" s="585"/>
      <c r="W10" s="585"/>
      <c r="X10" s="585"/>
      <c r="Y10" s="585"/>
    </row>
    <row r="11" spans="4:25" ht="15">
      <c r="D11" s="551"/>
      <c r="E11" s="2"/>
      <c r="F11" s="2"/>
      <c r="G11" s="2"/>
      <c r="H11" s="2"/>
      <c r="I11" s="2"/>
      <c r="J11" s="719" t="s">
        <v>1246</v>
      </c>
      <c r="K11" s="720"/>
      <c r="L11" s="721" t="s">
        <v>1247</v>
      </c>
      <c r="M11" s="719" t="s">
        <v>1248</v>
      </c>
      <c r="N11" s="720"/>
      <c r="O11" s="721" t="s">
        <v>1237</v>
      </c>
      <c r="P11" s="586"/>
      <c r="Q11" s="586"/>
      <c r="R11" s="586"/>
      <c r="S11" s="585"/>
      <c r="T11" s="585"/>
      <c r="U11" s="585"/>
      <c r="V11" s="585"/>
      <c r="W11" s="673"/>
      <c r="X11" s="673"/>
      <c r="Y11" s="673"/>
    </row>
    <row r="12" spans="1:25" ht="16.5">
      <c r="A12" s="551" t="s">
        <v>543</v>
      </c>
      <c r="B12" s="559" t="s">
        <v>1249</v>
      </c>
      <c r="C12" s="744">
        <v>67.6</v>
      </c>
      <c r="D12" s="560" t="s">
        <v>1967</v>
      </c>
      <c r="E12" s="9"/>
      <c r="F12" s="9"/>
      <c r="G12" s="9"/>
      <c r="H12" s="9"/>
      <c r="I12" s="2"/>
      <c r="J12" s="724">
        <v>1113052</v>
      </c>
      <c r="K12" s="734"/>
      <c r="L12" s="726">
        <v>339268</v>
      </c>
      <c r="M12" s="735">
        <f>J4+M4+P4</f>
        <v>66543841</v>
      </c>
      <c r="N12" s="734"/>
      <c r="O12" s="734">
        <f>L4+O4+R4</f>
        <v>12880040</v>
      </c>
      <c r="P12" s="586"/>
      <c r="Q12" s="586"/>
      <c r="R12" s="586"/>
      <c r="S12" s="585"/>
      <c r="T12" s="585"/>
      <c r="U12" s="674"/>
      <c r="V12" s="585"/>
      <c r="W12" s="675"/>
      <c r="X12" s="675"/>
      <c r="Y12" s="675"/>
    </row>
    <row r="13" spans="1:25" ht="18" customHeight="1">
      <c r="A13" s="551" t="s">
        <v>1850</v>
      </c>
      <c r="B13" s="561" t="s">
        <v>1250</v>
      </c>
      <c r="C13" s="926">
        <v>1390.11</v>
      </c>
      <c r="D13" s="562" t="s">
        <v>1966</v>
      </c>
      <c r="E13" s="9"/>
      <c r="F13" s="9"/>
      <c r="G13" s="9"/>
      <c r="H13" s="9"/>
      <c r="I13" s="2"/>
      <c r="J13" s="724">
        <v>98073</v>
      </c>
      <c r="K13" s="734"/>
      <c r="L13" s="726">
        <v>200837</v>
      </c>
      <c r="M13" s="735">
        <f>J5+M5+P5</f>
        <v>8121893</v>
      </c>
      <c r="N13" s="734"/>
      <c r="O13" s="734">
        <f>L5+O5+R5</f>
        <v>5224409</v>
      </c>
      <c r="P13" s="586"/>
      <c r="Q13" s="586"/>
      <c r="R13" s="586"/>
      <c r="S13" s="585"/>
      <c r="T13" s="585"/>
      <c r="U13" s="674"/>
      <c r="V13" s="585"/>
      <c r="W13" s="675"/>
      <c r="X13" s="675"/>
      <c r="Y13" s="675"/>
    </row>
    <row r="14" spans="2:25" ht="15">
      <c r="B14" s="10"/>
      <c r="C14" s="11"/>
      <c r="D14" s="9"/>
      <c r="E14" s="9"/>
      <c r="F14" s="9"/>
      <c r="G14" s="9"/>
      <c r="H14" s="9"/>
      <c r="I14" s="2"/>
      <c r="J14" s="724">
        <v>219023</v>
      </c>
      <c r="K14" s="734"/>
      <c r="L14" s="726">
        <v>529451</v>
      </c>
      <c r="M14" s="735">
        <f>J6+M6+P6</f>
        <v>7123127</v>
      </c>
      <c r="N14" s="734"/>
      <c r="O14" s="734">
        <f>L6+O6+R6</f>
        <v>21372247</v>
      </c>
      <c r="P14" s="586"/>
      <c r="Q14" s="586"/>
      <c r="R14" s="586"/>
      <c r="S14" s="585"/>
      <c r="T14" s="585"/>
      <c r="U14" s="674"/>
      <c r="V14" s="585"/>
      <c r="W14" s="675"/>
      <c r="X14" s="675"/>
      <c r="Y14" s="675"/>
    </row>
    <row r="15" spans="1:25" ht="16.5">
      <c r="A15" s="551" t="s">
        <v>546</v>
      </c>
      <c r="B15" s="553" t="s">
        <v>971</v>
      </c>
      <c r="C15" s="565" t="s">
        <v>1967</v>
      </c>
      <c r="D15" s="565" t="s">
        <v>1966</v>
      </c>
      <c r="E15" s="51" t="s">
        <v>1818</v>
      </c>
      <c r="F15" s="2"/>
      <c r="G15" s="2"/>
      <c r="H15" s="2"/>
      <c r="I15" s="2"/>
      <c r="J15" s="724">
        <v>224306</v>
      </c>
      <c r="K15" s="734"/>
      <c r="L15" s="726">
        <v>1483003</v>
      </c>
      <c r="M15" s="735">
        <f>J7+M7+P7</f>
        <v>8016250</v>
      </c>
      <c r="N15" s="734"/>
      <c r="O15" s="734">
        <f>L7+O7+R7</f>
        <v>73964840</v>
      </c>
      <c r="P15" s="586"/>
      <c r="Q15" s="586"/>
      <c r="R15" s="586"/>
      <c r="S15" s="585"/>
      <c r="T15" s="585"/>
      <c r="U15" s="674"/>
      <c r="V15" s="585"/>
      <c r="W15" s="675"/>
      <c r="X15" s="675"/>
      <c r="Y15" s="675"/>
    </row>
    <row r="16" spans="2:25" ht="15">
      <c r="B16" s="563" t="s">
        <v>1239</v>
      </c>
      <c r="C16" s="917">
        <v>28.27</v>
      </c>
      <c r="D16" s="917">
        <v>15.26</v>
      </c>
      <c r="E16" s="9"/>
      <c r="F16" s="9"/>
      <c r="G16" s="2"/>
      <c r="H16" s="2"/>
      <c r="I16" s="2"/>
      <c r="J16" s="725">
        <v>1101767</v>
      </c>
      <c r="K16" s="734"/>
      <c r="L16" s="728">
        <v>203662</v>
      </c>
      <c r="M16" s="736">
        <f>J8+M8+P8</f>
        <v>30403288</v>
      </c>
      <c r="N16" s="734"/>
      <c r="O16" s="737">
        <f>L8+O8+R8</f>
        <v>6766863</v>
      </c>
      <c r="P16" s="586"/>
      <c r="Q16" s="586"/>
      <c r="R16" s="586"/>
      <c r="S16" s="585"/>
      <c r="T16" s="585"/>
      <c r="U16" s="674"/>
      <c r="V16" s="585"/>
      <c r="W16" s="675"/>
      <c r="X16" s="675"/>
      <c r="Y16" s="675"/>
    </row>
    <row r="17" spans="2:25" ht="15">
      <c r="B17" s="563" t="s">
        <v>1240</v>
      </c>
      <c r="C17" s="917">
        <v>25.98</v>
      </c>
      <c r="D17" s="917">
        <v>29.21</v>
      </c>
      <c r="E17" s="9"/>
      <c r="F17" s="9"/>
      <c r="G17" s="9"/>
      <c r="H17" s="9"/>
      <c r="I17" s="2"/>
      <c r="J17" s="736">
        <f>SUM(J12:J16)</f>
        <v>2756221</v>
      </c>
      <c r="K17" s="738"/>
      <c r="L17" s="738">
        <f>SUM(L12:L16)</f>
        <v>2756221</v>
      </c>
      <c r="M17" s="736">
        <f>SUM(M12:M16)</f>
        <v>120208399</v>
      </c>
      <c r="N17" s="738"/>
      <c r="O17" s="738">
        <f>SUM(O12:O16)</f>
        <v>120208399</v>
      </c>
      <c r="P17" s="586"/>
      <c r="Q17" s="586"/>
      <c r="R17" s="586"/>
      <c r="S17" s="585"/>
      <c r="T17" s="585"/>
      <c r="U17" s="674"/>
      <c r="V17" s="585"/>
      <c r="W17" s="674"/>
      <c r="X17" s="674"/>
      <c r="Y17" s="674"/>
    </row>
    <row r="18" spans="2:25" ht="15">
      <c r="B18" s="563" t="s">
        <v>1241</v>
      </c>
      <c r="C18" s="917">
        <v>37.06</v>
      </c>
      <c r="D18" s="917">
        <f>385.44+481.99</f>
        <v>867.4300000000001</v>
      </c>
      <c r="E18" s="9"/>
      <c r="F18" s="9"/>
      <c r="G18" s="9"/>
      <c r="H18" s="9"/>
      <c r="J18" s="551"/>
      <c r="K18" s="551"/>
      <c r="L18" s="551"/>
      <c r="M18" s="551"/>
      <c r="N18" s="551"/>
      <c r="O18" s="551"/>
      <c r="P18" s="551"/>
      <c r="Q18" s="551"/>
      <c r="R18" s="551"/>
      <c r="S18" s="585"/>
      <c r="T18" s="585"/>
      <c r="U18" s="585"/>
      <c r="V18" s="585"/>
      <c r="W18" s="585"/>
      <c r="X18" s="585"/>
      <c r="Y18" s="585"/>
    </row>
    <row r="19" spans="2:25" ht="16.5">
      <c r="B19" s="563" t="s">
        <v>1242</v>
      </c>
      <c r="C19" s="916">
        <v>31.5</v>
      </c>
      <c r="D19" s="917">
        <v>30.75</v>
      </c>
      <c r="E19" s="9"/>
      <c r="F19" s="9"/>
      <c r="G19" s="9"/>
      <c r="H19" s="9"/>
      <c r="J19" s="559" t="s">
        <v>1251</v>
      </c>
      <c r="K19" s="566"/>
      <c r="L19" s="566"/>
      <c r="M19" s="566"/>
      <c r="N19" s="566"/>
      <c r="O19" s="717"/>
      <c r="P19" s="551"/>
      <c r="Q19" s="551"/>
      <c r="R19" s="551"/>
      <c r="S19" s="585"/>
      <c r="T19" s="585"/>
      <c r="U19" s="585"/>
      <c r="V19" s="585"/>
      <c r="W19" s="676"/>
      <c r="X19" s="673"/>
      <c r="Y19" s="585"/>
    </row>
    <row r="20" spans="2:25" ht="15">
      <c r="B20" s="564" t="s">
        <v>1243</v>
      </c>
      <c r="C20" s="918">
        <v>115.43</v>
      </c>
      <c r="D20" s="918">
        <v>336.83</v>
      </c>
      <c r="E20" s="9"/>
      <c r="F20" s="9"/>
      <c r="G20" s="9"/>
      <c r="H20" s="9"/>
      <c r="J20" s="677" t="s">
        <v>1252</v>
      </c>
      <c r="K20" s="678"/>
      <c r="L20" s="678"/>
      <c r="M20" s="678"/>
      <c r="N20" s="678"/>
      <c r="O20" s="679"/>
      <c r="P20" s="551"/>
      <c r="Q20" s="551"/>
      <c r="R20" s="551"/>
      <c r="S20" s="585"/>
      <c r="T20" s="585"/>
      <c r="U20" s="585"/>
      <c r="V20" s="585"/>
      <c r="W20" s="673"/>
      <c r="X20" s="673"/>
      <c r="Y20" s="673"/>
    </row>
    <row r="21" spans="2:25" ht="15">
      <c r="B21" s="10"/>
      <c r="C21" s="11"/>
      <c r="D21" s="9"/>
      <c r="E21" s="9"/>
      <c r="F21" s="9"/>
      <c r="G21" s="9"/>
      <c r="H21" s="9"/>
      <c r="J21" s="680" t="s">
        <v>1253</v>
      </c>
      <c r="K21" s="681"/>
      <c r="L21" s="681"/>
      <c r="M21" s="681"/>
      <c r="N21" s="681"/>
      <c r="O21" s="682"/>
      <c r="P21" s="551"/>
      <c r="Q21" s="551"/>
      <c r="R21" s="551"/>
      <c r="S21" s="585"/>
      <c r="T21" s="585"/>
      <c r="U21" s="586"/>
      <c r="V21" s="585"/>
      <c r="W21" s="586"/>
      <c r="X21" s="586"/>
      <c r="Y21" s="586"/>
    </row>
    <row r="22" spans="1:25" ht="15.75" customHeight="1">
      <c r="A22" s="566"/>
      <c r="B22" s="553" t="s">
        <v>1260</v>
      </c>
      <c r="C22" s="574"/>
      <c r="D22" s="574"/>
      <c r="E22" s="574"/>
      <c r="F22" s="558"/>
      <c r="G22" s="551" t="s">
        <v>544</v>
      </c>
      <c r="H22" s="9"/>
      <c r="J22" s="683" t="s">
        <v>1255</v>
      </c>
      <c r="K22" s="684"/>
      <c r="L22" s="684"/>
      <c r="M22" s="684"/>
      <c r="N22" s="684"/>
      <c r="O22" s="685"/>
      <c r="P22" s="551"/>
      <c r="Q22" s="551"/>
      <c r="R22" s="551"/>
      <c r="S22" s="585"/>
      <c r="T22" s="585"/>
      <c r="U22" s="586"/>
      <c r="V22" s="585"/>
      <c r="W22" s="586"/>
      <c r="X22" s="586"/>
      <c r="Y22" s="586"/>
    </row>
    <row r="23" spans="1:25" ht="15">
      <c r="A23" s="567" t="s">
        <v>1239</v>
      </c>
      <c r="B23" s="575" t="s">
        <v>1263</v>
      </c>
      <c r="C23" s="576" t="s">
        <v>1264</v>
      </c>
      <c r="D23" s="576" t="s">
        <v>1267</v>
      </c>
      <c r="E23" s="565" t="s">
        <v>1268</v>
      </c>
      <c r="F23" s="565" t="s">
        <v>1269</v>
      </c>
      <c r="G23" s="867" t="s">
        <v>135</v>
      </c>
      <c r="H23" s="6"/>
      <c r="J23" s="551"/>
      <c r="K23" s="551"/>
      <c r="L23" s="551"/>
      <c r="M23" s="551"/>
      <c r="N23" s="551"/>
      <c r="O23" s="551"/>
      <c r="P23" s="551"/>
      <c r="Q23" s="551"/>
      <c r="R23" s="686"/>
      <c r="S23" s="585"/>
      <c r="T23" s="585"/>
      <c r="U23" s="586"/>
      <c r="V23" s="585"/>
      <c r="W23" s="586"/>
      <c r="X23" s="586"/>
      <c r="Y23" s="586"/>
    </row>
    <row r="24" spans="1:25" ht="16.5">
      <c r="A24" s="568" t="s">
        <v>1270</v>
      </c>
      <c r="B24" s="745">
        <v>70906</v>
      </c>
      <c r="C24" s="745">
        <v>4685953</v>
      </c>
      <c r="D24" s="745">
        <v>3432265</v>
      </c>
      <c r="E24" s="745">
        <v>751487</v>
      </c>
      <c r="F24" s="745">
        <v>3179049</v>
      </c>
      <c r="G24" s="15"/>
      <c r="H24" s="15"/>
      <c r="I24" s="2"/>
      <c r="J24" s="559" t="s">
        <v>1256</v>
      </c>
      <c r="K24" s="566"/>
      <c r="L24" s="717"/>
      <c r="M24" s="551"/>
      <c r="N24" s="551"/>
      <c r="O24" s="551"/>
      <c r="P24" s="551"/>
      <c r="Q24" s="551"/>
      <c r="R24" s="551"/>
      <c r="S24" s="585"/>
      <c r="T24" s="585"/>
      <c r="U24" s="586"/>
      <c r="V24" s="585"/>
      <c r="W24" s="586"/>
      <c r="X24" s="586"/>
      <c r="Y24" s="586"/>
    </row>
    <row r="25" spans="1:25" ht="15">
      <c r="A25" s="568" t="s">
        <v>1271</v>
      </c>
      <c r="B25" s="745">
        <v>60564</v>
      </c>
      <c r="C25" s="745">
        <v>2969555</v>
      </c>
      <c r="D25" s="745">
        <v>2165464</v>
      </c>
      <c r="E25" s="745">
        <v>349028</v>
      </c>
      <c r="F25" s="745">
        <v>2092303</v>
      </c>
      <c r="G25" s="8"/>
      <c r="H25" s="8"/>
      <c r="I25" s="2"/>
      <c r="J25" s="715"/>
      <c r="K25" s="716" t="s">
        <v>1257</v>
      </c>
      <c r="L25" s="717"/>
      <c r="M25" s="551">
        <v>460</v>
      </c>
      <c r="N25" s="551"/>
      <c r="O25" s="551"/>
      <c r="P25" s="551"/>
      <c r="Q25" s="551"/>
      <c r="R25" s="551"/>
      <c r="S25" s="585"/>
      <c r="T25" s="585"/>
      <c r="U25" s="586"/>
      <c r="V25" s="585"/>
      <c r="W25" s="586"/>
      <c r="X25" s="586"/>
      <c r="Y25" s="586"/>
    </row>
    <row r="26" spans="1:25" ht="15">
      <c r="A26" s="568" t="s">
        <v>1272</v>
      </c>
      <c r="B26" s="745">
        <v>126572</v>
      </c>
      <c r="C26" s="745">
        <v>5087267</v>
      </c>
      <c r="D26" s="745">
        <v>3821806</v>
      </c>
      <c r="E26" s="745">
        <v>765669</v>
      </c>
      <c r="F26" s="745">
        <v>3701361</v>
      </c>
      <c r="G26" s="8"/>
      <c r="H26" s="8"/>
      <c r="I26" s="2"/>
      <c r="J26" s="665" t="s">
        <v>1258</v>
      </c>
      <c r="K26" s="778"/>
      <c r="L26" s="779" t="s">
        <v>1259</v>
      </c>
      <c r="M26" s="551"/>
      <c r="N26" s="551"/>
      <c r="O26" s="551"/>
      <c r="P26" s="551"/>
      <c r="Q26" s="551"/>
      <c r="R26" s="551"/>
      <c r="S26" s="585"/>
      <c r="T26" s="585"/>
      <c r="U26" s="586"/>
      <c r="V26" s="585"/>
      <c r="W26" s="586"/>
      <c r="X26" s="586"/>
      <c r="Y26" s="586"/>
    </row>
    <row r="27" spans="1:25" ht="15">
      <c r="A27" s="568" t="s">
        <v>1273</v>
      </c>
      <c r="B27" s="745">
        <v>111337</v>
      </c>
      <c r="C27" s="745">
        <v>6228057</v>
      </c>
      <c r="D27" s="745">
        <v>4744408</v>
      </c>
      <c r="E27" s="745">
        <v>516115</v>
      </c>
      <c r="F27" s="745">
        <v>4426926</v>
      </c>
      <c r="G27" s="8"/>
      <c r="H27" s="8"/>
      <c r="I27" s="2"/>
      <c r="J27" s="780" t="s">
        <v>307</v>
      </c>
      <c r="K27" s="781"/>
      <c r="L27" s="782" t="s">
        <v>308</v>
      </c>
      <c r="M27" s="551"/>
      <c r="N27" s="551"/>
      <c r="O27" s="551"/>
      <c r="P27" s="551"/>
      <c r="Q27" s="551"/>
      <c r="R27" s="551"/>
      <c r="S27" s="585"/>
      <c r="T27" s="585"/>
      <c r="U27" s="585"/>
      <c r="V27" s="585"/>
      <c r="W27" s="585"/>
      <c r="X27" s="585"/>
      <c r="Y27" s="585"/>
    </row>
    <row r="28" spans="1:25" ht="15">
      <c r="A28" s="568" t="s">
        <v>1274</v>
      </c>
      <c r="B28" s="745">
        <v>886550</v>
      </c>
      <c r="C28" s="724">
        <v>29421721</v>
      </c>
      <c r="D28" s="745">
        <v>23870300</v>
      </c>
      <c r="E28" s="745">
        <v>2775129</v>
      </c>
      <c r="F28" s="745">
        <v>22911283</v>
      </c>
      <c r="G28" s="862"/>
      <c r="H28" s="8"/>
      <c r="I28" s="2"/>
      <c r="J28" s="928">
        <v>694719</v>
      </c>
      <c r="K28" s="734"/>
      <c r="L28" s="928">
        <v>732575</v>
      </c>
      <c r="M28" s="551"/>
      <c r="N28" s="551"/>
      <c r="O28" s="586"/>
      <c r="P28" s="551"/>
      <c r="Q28" s="551"/>
      <c r="R28" s="551"/>
      <c r="S28" s="585"/>
      <c r="T28" s="585"/>
      <c r="U28" s="585"/>
      <c r="V28" s="585"/>
      <c r="W28" s="673"/>
      <c r="X28" s="585"/>
      <c r="Y28" s="673"/>
    </row>
    <row r="29" spans="1:25" ht="15">
      <c r="A29" s="568" t="s">
        <v>1275</v>
      </c>
      <c r="B29" s="724">
        <v>755835</v>
      </c>
      <c r="C29" s="745">
        <v>23034259</v>
      </c>
      <c r="D29" s="745">
        <v>19446805</v>
      </c>
      <c r="E29" s="745">
        <v>1988698</v>
      </c>
      <c r="F29" s="745">
        <v>18579679</v>
      </c>
      <c r="G29" s="8"/>
      <c r="H29" s="8"/>
      <c r="I29" s="2"/>
      <c r="J29" s="929">
        <v>142024</v>
      </c>
      <c r="K29" s="734"/>
      <c r="L29" s="929">
        <v>87032</v>
      </c>
      <c r="M29" s="551"/>
      <c r="N29" s="551"/>
      <c r="O29" s="586"/>
      <c r="P29" s="551"/>
      <c r="Q29" s="551"/>
      <c r="R29" s="551"/>
      <c r="S29" s="585"/>
      <c r="T29" s="585"/>
      <c r="U29" s="675"/>
      <c r="V29" s="585"/>
      <c r="W29" s="675"/>
      <c r="X29" s="675"/>
      <c r="Y29" s="675"/>
    </row>
    <row r="30" spans="1:25" ht="15">
      <c r="A30" s="568" t="s">
        <v>1360</v>
      </c>
      <c r="B30" s="724">
        <v>1733</v>
      </c>
      <c r="C30" s="745">
        <v>362745</v>
      </c>
      <c r="D30" s="745">
        <v>101634</v>
      </c>
      <c r="E30" s="745">
        <v>79788</v>
      </c>
      <c r="F30" s="745">
        <v>94149</v>
      </c>
      <c r="G30" s="8"/>
      <c r="H30" s="8"/>
      <c r="I30" s="2"/>
      <c r="J30" s="929">
        <v>356312</v>
      </c>
      <c r="K30" s="734"/>
      <c r="L30" s="929">
        <v>316590</v>
      </c>
      <c r="M30" s="551"/>
      <c r="N30" s="551"/>
      <c r="O30" s="586"/>
      <c r="P30" s="551"/>
      <c r="Q30" s="551"/>
      <c r="R30" s="551"/>
      <c r="S30" s="585"/>
      <c r="T30" s="585"/>
      <c r="U30" s="675"/>
      <c r="V30" s="585"/>
      <c r="W30" s="675"/>
      <c r="X30" s="675"/>
      <c r="Y30" s="675"/>
    </row>
    <row r="31" spans="1:25" ht="15">
      <c r="A31" s="569" t="s">
        <v>1348</v>
      </c>
      <c r="B31" s="746">
        <f>SUM(B24:B30)</f>
        <v>2013497</v>
      </c>
      <c r="C31" s="746">
        <f>SUM(C24:C30)</f>
        <v>71789557</v>
      </c>
      <c r="D31" s="746">
        <f>SUM(D24:D30)</f>
        <v>57582682</v>
      </c>
      <c r="E31" s="746">
        <f>SUM(E24:E30)</f>
        <v>7225914</v>
      </c>
      <c r="F31" s="746">
        <f>SUM(F24:F30)</f>
        <v>54984750</v>
      </c>
      <c r="G31" s="8"/>
      <c r="H31" s="8"/>
      <c r="I31" s="2"/>
      <c r="J31" s="929">
        <v>453354</v>
      </c>
      <c r="K31" s="734"/>
      <c r="L31" s="929">
        <v>521211</v>
      </c>
      <c r="M31" s="551"/>
      <c r="N31" s="551"/>
      <c r="O31" s="586"/>
      <c r="P31" s="551"/>
      <c r="Q31" s="551"/>
      <c r="R31" s="551"/>
      <c r="S31" s="585"/>
      <c r="T31" s="585"/>
      <c r="U31" s="675"/>
      <c r="V31" s="585"/>
      <c r="W31" s="675"/>
      <c r="X31" s="675"/>
      <c r="Y31" s="675"/>
    </row>
    <row r="32" spans="1:25" ht="15">
      <c r="A32" s="567" t="s">
        <v>1240</v>
      </c>
      <c r="B32" s="749" t="s">
        <v>1280</v>
      </c>
      <c r="C32" s="750" t="s">
        <v>1276</v>
      </c>
      <c r="D32" s="751" t="s">
        <v>1276</v>
      </c>
      <c r="E32" s="751" t="s">
        <v>1276</v>
      </c>
      <c r="F32" s="749" t="s">
        <v>1277</v>
      </c>
      <c r="G32" s="8"/>
      <c r="H32" s="8"/>
      <c r="I32" s="2"/>
      <c r="J32" s="930">
        <v>367281</v>
      </c>
      <c r="K32" s="734"/>
      <c r="L32" s="930">
        <v>356282</v>
      </c>
      <c r="M32" s="551"/>
      <c r="N32" s="551"/>
      <c r="O32" s="586"/>
      <c r="P32" s="551"/>
      <c r="Q32" s="551"/>
      <c r="R32" s="551"/>
      <c r="S32" s="585"/>
      <c r="T32" s="585"/>
      <c r="U32" s="675"/>
      <c r="V32" s="585"/>
      <c r="W32" s="675"/>
      <c r="X32" s="675"/>
      <c r="Y32" s="675"/>
    </row>
    <row r="33" spans="1:25" ht="16.5">
      <c r="A33" s="570" t="s">
        <v>872</v>
      </c>
      <c r="B33" s="747">
        <v>501927</v>
      </c>
      <c r="C33" s="747">
        <v>15553855</v>
      </c>
      <c r="D33" s="747">
        <v>13715577</v>
      </c>
      <c r="E33" s="747">
        <v>759024</v>
      </c>
      <c r="F33" s="747">
        <v>13496715</v>
      </c>
      <c r="G33" s="14"/>
      <c r="H33" s="14"/>
      <c r="I33" s="2"/>
      <c r="J33" s="736">
        <f>SUM(J28:J32)</f>
        <v>2013690</v>
      </c>
      <c r="K33" s="738"/>
      <c r="L33" s="738">
        <f>SUM(L28:L32)</f>
        <v>2013690</v>
      </c>
      <c r="M33" s="551"/>
      <c r="N33" s="551"/>
      <c r="O33" s="551"/>
      <c r="P33" s="551"/>
      <c r="Q33" s="551"/>
      <c r="R33" s="551"/>
      <c r="S33" s="585"/>
      <c r="T33" s="585"/>
      <c r="U33" s="675"/>
      <c r="V33" s="585"/>
      <c r="W33" s="675"/>
      <c r="X33" s="675"/>
      <c r="Y33" s="675"/>
    </row>
    <row r="34" spans="1:25" ht="15">
      <c r="A34" s="570" t="s">
        <v>1282</v>
      </c>
      <c r="B34" s="747">
        <v>125455</v>
      </c>
      <c r="C34" s="747">
        <v>2842527</v>
      </c>
      <c r="D34" s="747">
        <v>2617385</v>
      </c>
      <c r="E34" s="747">
        <v>118467</v>
      </c>
      <c r="F34" s="747">
        <v>2546136</v>
      </c>
      <c r="G34" s="337"/>
      <c r="H34" s="337"/>
      <c r="I34" s="2"/>
      <c r="J34" s="551"/>
      <c r="K34" s="551"/>
      <c r="L34" s="551"/>
      <c r="M34" s="551"/>
      <c r="N34" s="551"/>
      <c r="O34" s="551"/>
      <c r="P34" s="551"/>
      <c r="Q34" s="551"/>
      <c r="R34" s="551"/>
      <c r="S34" s="585"/>
      <c r="T34" s="585"/>
      <c r="U34" s="675"/>
      <c r="V34" s="585"/>
      <c r="W34" s="675"/>
      <c r="X34" s="675"/>
      <c r="Y34" s="675"/>
    </row>
    <row r="35" spans="1:25" ht="16.5">
      <c r="A35" s="570" t="s">
        <v>1283</v>
      </c>
      <c r="B35" s="747">
        <v>122142</v>
      </c>
      <c r="C35" s="747">
        <v>4054216</v>
      </c>
      <c r="D35" s="747">
        <v>2623182</v>
      </c>
      <c r="E35" s="747">
        <v>95136</v>
      </c>
      <c r="F35" s="747">
        <v>2552582</v>
      </c>
      <c r="G35" s="337"/>
      <c r="H35" s="337"/>
      <c r="I35" s="2"/>
      <c r="J35" s="559" t="s">
        <v>1278</v>
      </c>
      <c r="K35" s="566"/>
      <c r="L35" s="566"/>
      <c r="M35" s="566"/>
      <c r="N35" s="566"/>
      <c r="O35" s="717"/>
      <c r="P35" s="1011" t="s">
        <v>1279</v>
      </c>
      <c r="Q35" s="971"/>
      <c r="R35" s="971"/>
      <c r="S35" s="971"/>
      <c r="T35" s="971"/>
      <c r="U35" s="972"/>
      <c r="V35" s="551"/>
      <c r="W35" s="551"/>
      <c r="X35" s="551"/>
      <c r="Y35" s="551"/>
    </row>
    <row r="36" spans="1:25" ht="15">
      <c r="A36" s="569" t="s">
        <v>1348</v>
      </c>
      <c r="B36" s="746">
        <f>SUM(B33:B35)</f>
        <v>749524</v>
      </c>
      <c r="C36" s="746">
        <f>SUM(C33:C35)</f>
        <v>22450598</v>
      </c>
      <c r="D36" s="746">
        <f>SUM(D33:D35)</f>
        <v>18956144</v>
      </c>
      <c r="E36" s="746">
        <f>SUM(E33:E35)</f>
        <v>972627</v>
      </c>
      <c r="F36" s="746">
        <f>SUM(F33:F35)</f>
        <v>18595433</v>
      </c>
      <c r="G36" s="337"/>
      <c r="H36" s="337"/>
      <c r="I36" s="2"/>
      <c r="J36" s="715"/>
      <c r="K36" s="716" t="s">
        <v>1257</v>
      </c>
      <c r="L36" s="717"/>
      <c r="M36" s="715"/>
      <c r="N36" s="716" t="s">
        <v>1281</v>
      </c>
      <c r="O36" s="717"/>
      <c r="P36" s="715"/>
      <c r="Q36" s="716" t="s">
        <v>1257</v>
      </c>
      <c r="R36" s="717"/>
      <c r="S36" s="715"/>
      <c r="T36" s="716" t="s">
        <v>1281</v>
      </c>
      <c r="U36" s="717"/>
      <c r="V36" s="582"/>
      <c r="W36" s="915" t="s">
        <v>1820</v>
      </c>
      <c r="X36" s="551"/>
      <c r="Y36" s="551"/>
    </row>
    <row r="37" spans="1:25" ht="15">
      <c r="A37" s="567" t="s">
        <v>1241</v>
      </c>
      <c r="B37" s="752" t="s">
        <v>1280</v>
      </c>
      <c r="C37" s="752" t="s">
        <v>1276</v>
      </c>
      <c r="D37" s="752" t="s">
        <v>1276</v>
      </c>
      <c r="E37" s="752" t="s">
        <v>1276</v>
      </c>
      <c r="F37" s="749" t="s">
        <v>1277</v>
      </c>
      <c r="G37" s="8"/>
      <c r="H37" s="8"/>
      <c r="I37" s="2"/>
      <c r="J37" s="602" t="s">
        <v>1258</v>
      </c>
      <c r="K37" s="603"/>
      <c r="L37" s="576" t="s">
        <v>1259</v>
      </c>
      <c r="M37" s="602" t="s">
        <v>1235</v>
      </c>
      <c r="N37" s="603"/>
      <c r="O37" s="576" t="s">
        <v>1237</v>
      </c>
      <c r="P37" s="602" t="s">
        <v>1258</v>
      </c>
      <c r="Q37" s="783"/>
      <c r="R37" s="576" t="s">
        <v>1259</v>
      </c>
      <c r="S37" s="602" t="s">
        <v>1235</v>
      </c>
      <c r="T37" s="603"/>
      <c r="U37" s="576" t="s">
        <v>1237</v>
      </c>
      <c r="V37" s="582"/>
      <c r="W37" s="551" t="s">
        <v>166</v>
      </c>
      <c r="X37" s="551"/>
      <c r="Y37" s="551"/>
    </row>
    <row r="38" spans="1:25" ht="16.5">
      <c r="A38" s="570" t="s">
        <v>1284</v>
      </c>
      <c r="B38" s="726">
        <v>108008</v>
      </c>
      <c r="C38" s="754" t="s">
        <v>1277</v>
      </c>
      <c r="D38" s="726">
        <v>4373157</v>
      </c>
      <c r="E38" s="748" t="s">
        <v>1285</v>
      </c>
      <c r="F38" s="726">
        <v>3959632</v>
      </c>
      <c r="G38" s="14"/>
      <c r="H38" s="14"/>
      <c r="I38" s="2"/>
      <c r="J38" s="724">
        <v>0</v>
      </c>
      <c r="K38" s="734"/>
      <c r="L38" s="726">
        <v>46</v>
      </c>
      <c r="M38" s="726">
        <v>0</v>
      </c>
      <c r="N38" s="734"/>
      <c r="O38" s="726">
        <v>3722</v>
      </c>
      <c r="P38" s="756">
        <v>0</v>
      </c>
      <c r="Q38" s="734"/>
      <c r="R38" s="758">
        <v>30</v>
      </c>
      <c r="S38" s="724">
        <v>0</v>
      </c>
      <c r="T38" s="734"/>
      <c r="U38" s="726">
        <v>2708</v>
      </c>
      <c r="V38" s="582"/>
      <c r="W38" s="551"/>
      <c r="X38" s="551"/>
      <c r="Y38" s="551"/>
    </row>
    <row r="39" spans="1:25" ht="15">
      <c r="A39" s="570" t="s">
        <v>1286</v>
      </c>
      <c r="B39" s="726">
        <v>213276</v>
      </c>
      <c r="C39" s="754" t="s">
        <v>1277</v>
      </c>
      <c r="D39" s="726">
        <v>6251744</v>
      </c>
      <c r="E39" s="748" t="s">
        <v>1285</v>
      </c>
      <c r="F39" s="726">
        <v>5768629</v>
      </c>
      <c r="G39" s="8"/>
      <c r="H39" s="8"/>
      <c r="I39" s="2"/>
      <c r="J39" s="724">
        <v>0</v>
      </c>
      <c r="K39" s="734"/>
      <c r="L39" s="726">
        <v>5</v>
      </c>
      <c r="M39" s="726">
        <v>0</v>
      </c>
      <c r="N39" s="734"/>
      <c r="O39" s="726">
        <v>545</v>
      </c>
      <c r="P39" s="745">
        <v>0</v>
      </c>
      <c r="Q39" s="734"/>
      <c r="R39" s="758">
        <v>10</v>
      </c>
      <c r="S39" s="724">
        <v>0</v>
      </c>
      <c r="T39" s="734"/>
      <c r="U39" s="726">
        <v>545</v>
      </c>
      <c r="V39" s="582"/>
      <c r="W39" s="551"/>
      <c r="X39" s="551"/>
      <c r="Y39" s="551"/>
    </row>
    <row r="40" spans="1:25" ht="15">
      <c r="A40" s="571" t="s">
        <v>1287</v>
      </c>
      <c r="B40" s="748" t="s">
        <v>1280</v>
      </c>
      <c r="C40" s="726">
        <v>12918008</v>
      </c>
      <c r="D40" s="753" t="s">
        <v>1277</v>
      </c>
      <c r="E40" s="726">
        <v>1169581</v>
      </c>
      <c r="F40" s="748" t="s">
        <v>1285</v>
      </c>
      <c r="G40" s="8"/>
      <c r="H40" s="8"/>
      <c r="I40" s="2"/>
      <c r="J40" s="724">
        <v>0</v>
      </c>
      <c r="K40" s="734"/>
      <c r="L40" s="726">
        <v>19</v>
      </c>
      <c r="M40" s="726">
        <v>0</v>
      </c>
      <c r="N40" s="734"/>
      <c r="O40" s="726">
        <v>1387</v>
      </c>
      <c r="P40" s="745">
        <v>0</v>
      </c>
      <c r="Q40" s="734"/>
      <c r="R40" s="758">
        <v>31</v>
      </c>
      <c r="S40" s="724">
        <v>0</v>
      </c>
      <c r="T40" s="734"/>
      <c r="U40" s="726">
        <v>2472</v>
      </c>
      <c r="V40" s="582"/>
      <c r="W40" s="551"/>
      <c r="X40" s="551"/>
      <c r="Y40" s="551"/>
    </row>
    <row r="41" spans="1:25" ht="16.5">
      <c r="A41" s="570" t="s">
        <v>284</v>
      </c>
      <c r="B41" s="726">
        <v>418061</v>
      </c>
      <c r="C41" s="726">
        <v>9565122</v>
      </c>
      <c r="D41" s="726">
        <v>8754383</v>
      </c>
      <c r="E41" s="726">
        <v>396941</v>
      </c>
      <c r="F41" s="726">
        <v>8484649</v>
      </c>
      <c r="G41" s="338"/>
      <c r="H41" s="338"/>
      <c r="I41" s="2"/>
      <c r="J41" s="724">
        <v>83</v>
      </c>
      <c r="K41" s="734"/>
      <c r="L41" s="726">
        <v>0</v>
      </c>
      <c r="M41" s="726">
        <v>7088</v>
      </c>
      <c r="N41" s="734"/>
      <c r="O41" s="726">
        <v>0</v>
      </c>
      <c r="P41" s="745">
        <v>84</v>
      </c>
      <c r="Q41" s="734"/>
      <c r="R41" s="758">
        <v>0</v>
      </c>
      <c r="S41" s="724">
        <v>7161</v>
      </c>
      <c r="T41" s="734"/>
      <c r="U41" s="726">
        <v>0</v>
      </c>
      <c r="V41" s="582"/>
      <c r="W41" s="551"/>
      <c r="X41" s="551"/>
      <c r="Y41" s="551"/>
    </row>
    <row r="42" spans="1:25" ht="15">
      <c r="A42" s="570" t="s">
        <v>281</v>
      </c>
      <c r="B42" s="726">
        <v>292640</v>
      </c>
      <c r="C42" s="726">
        <v>6632563</v>
      </c>
      <c r="D42" s="726">
        <v>6105388</v>
      </c>
      <c r="E42" s="726">
        <v>276423</v>
      </c>
      <c r="F42" s="726">
        <v>5939191</v>
      </c>
      <c r="G42" s="8"/>
      <c r="H42" s="8"/>
      <c r="I42" s="2"/>
      <c r="J42" s="725">
        <v>0</v>
      </c>
      <c r="K42" s="734"/>
      <c r="L42" s="728">
        <v>13</v>
      </c>
      <c r="M42" s="728">
        <v>0</v>
      </c>
      <c r="N42" s="734"/>
      <c r="O42" s="728">
        <v>1434</v>
      </c>
      <c r="P42" s="757">
        <v>0</v>
      </c>
      <c r="Q42" s="734"/>
      <c r="R42" s="727">
        <v>13</v>
      </c>
      <c r="S42" s="725">
        <v>0</v>
      </c>
      <c r="T42" s="734"/>
      <c r="U42" s="728">
        <v>1436</v>
      </c>
      <c r="V42" s="582"/>
      <c r="W42" s="551"/>
      <c r="X42" s="551"/>
      <c r="Y42" s="551"/>
    </row>
    <row r="43" spans="1:25" ht="15">
      <c r="A43" s="570" t="s">
        <v>1293</v>
      </c>
      <c r="B43" s="726">
        <v>284824</v>
      </c>
      <c r="C43" s="726">
        <v>9459838</v>
      </c>
      <c r="D43" s="726">
        <v>6117022</v>
      </c>
      <c r="E43" s="726">
        <v>221984</v>
      </c>
      <c r="F43" s="726">
        <v>5952388</v>
      </c>
      <c r="G43" s="8"/>
      <c r="H43" s="8"/>
      <c r="I43" s="2"/>
      <c r="J43" s="736">
        <f>SUM(J38:J42)</f>
        <v>83</v>
      </c>
      <c r="K43" s="738"/>
      <c r="L43" s="738">
        <f>SUM(L38:L42)</f>
        <v>83</v>
      </c>
      <c r="M43" s="736">
        <f>SUM(M38:M42)</f>
        <v>7088</v>
      </c>
      <c r="N43" s="738"/>
      <c r="O43" s="738">
        <f>SUM(O38:O42)</f>
        <v>7088</v>
      </c>
      <c r="P43" s="767">
        <f>SUM(P38:P42)</f>
        <v>84</v>
      </c>
      <c r="Q43" s="738"/>
      <c r="R43" s="767">
        <f>SUM(R38:R42)</f>
        <v>84</v>
      </c>
      <c r="S43" s="736">
        <f>SUM(S38:S42)</f>
        <v>7161</v>
      </c>
      <c r="T43" s="738"/>
      <c r="U43" s="738">
        <f>SUM(U38:U42)</f>
        <v>7161</v>
      </c>
      <c r="V43" s="582"/>
      <c r="W43" s="551"/>
      <c r="X43" s="551"/>
      <c r="Y43" s="551"/>
    </row>
    <row r="44" spans="1:25" ht="15">
      <c r="A44" s="570" t="s">
        <v>1297</v>
      </c>
      <c r="B44" s="726">
        <v>236061</v>
      </c>
      <c r="C44" s="726">
        <v>8421831</v>
      </c>
      <c r="D44" s="726">
        <v>5090066</v>
      </c>
      <c r="E44" s="726">
        <v>191382</v>
      </c>
      <c r="F44" s="726">
        <v>4933305</v>
      </c>
      <c r="G44" s="8"/>
      <c r="H44" s="8"/>
      <c r="I44" s="2"/>
      <c r="J44" s="586"/>
      <c r="K44" s="586"/>
      <c r="L44" s="586"/>
      <c r="M44" s="586"/>
      <c r="N44" s="586"/>
      <c r="O44" s="586"/>
      <c r="P44" s="582"/>
      <c r="Q44" s="551"/>
      <c r="R44" s="551"/>
      <c r="S44" s="551"/>
      <c r="T44" s="551"/>
      <c r="U44" s="595"/>
      <c r="V44" s="595"/>
      <c r="W44" s="595"/>
      <c r="X44" s="595"/>
      <c r="Y44" s="551"/>
    </row>
    <row r="45" spans="1:25" ht="16.5">
      <c r="A45" s="570" t="s">
        <v>1300</v>
      </c>
      <c r="B45" s="726">
        <v>791142</v>
      </c>
      <c r="C45" s="726">
        <v>20395736</v>
      </c>
      <c r="D45" s="726">
        <v>8421713</v>
      </c>
      <c r="E45" s="726">
        <v>8993947</v>
      </c>
      <c r="F45" s="726">
        <v>8421713</v>
      </c>
      <c r="G45" s="8"/>
      <c r="H45" s="8"/>
      <c r="I45" s="2"/>
      <c r="J45" s="553" t="s">
        <v>1289</v>
      </c>
      <c r="K45" s="574"/>
      <c r="L45" s="574"/>
      <c r="M45" s="574"/>
      <c r="N45" s="574"/>
      <c r="O45" s="558"/>
      <c r="P45" s="551"/>
      <c r="Q45" s="551"/>
      <c r="R45" s="553" t="s">
        <v>1984</v>
      </c>
      <c r="S45" s="558"/>
      <c r="T45" s="551"/>
      <c r="U45" s="973" t="s">
        <v>1984</v>
      </c>
      <c r="V45" s="974"/>
      <c r="W45" s="974"/>
      <c r="X45" s="975"/>
      <c r="Y45" s="551"/>
    </row>
    <row r="46" spans="1:25" ht="15">
      <c r="A46" s="569" t="s">
        <v>1348</v>
      </c>
      <c r="B46" s="746">
        <f>SUM(B38:B45)</f>
        <v>2344012</v>
      </c>
      <c r="C46" s="746">
        <f>SUM(C38:C45)</f>
        <v>67393098</v>
      </c>
      <c r="D46" s="746">
        <f>SUM(D38:D45)</f>
        <v>45113473</v>
      </c>
      <c r="E46" s="746">
        <f>SUM(E38:E45)</f>
        <v>11250258</v>
      </c>
      <c r="F46" s="746">
        <f>SUM(F38:F45)</f>
        <v>43459507</v>
      </c>
      <c r="G46" s="8"/>
      <c r="H46" s="8"/>
      <c r="I46" s="2"/>
      <c r="J46" s="784" t="s">
        <v>1290</v>
      </c>
      <c r="K46" s="578"/>
      <c r="L46" s="779" t="s">
        <v>1291</v>
      </c>
      <c r="M46" s="687" t="s">
        <v>1292</v>
      </c>
      <c r="N46" s="681"/>
      <c r="O46" s="682"/>
      <c r="P46" s="688">
        <v>452</v>
      </c>
      <c r="Q46" s="551"/>
      <c r="R46" s="785" t="s">
        <v>1279</v>
      </c>
      <c r="S46" s="786"/>
      <c r="T46" s="551"/>
      <c r="U46" s="1011" t="s">
        <v>1279</v>
      </c>
      <c r="V46" s="971"/>
      <c r="W46" s="971"/>
      <c r="X46" s="972"/>
      <c r="Y46" s="551"/>
    </row>
    <row r="47" spans="1:25" ht="15">
      <c r="A47" s="567" t="s">
        <v>1242</v>
      </c>
      <c r="B47" s="755" t="s">
        <v>1280</v>
      </c>
      <c r="C47" s="755" t="s">
        <v>1276</v>
      </c>
      <c r="D47" s="755" t="s">
        <v>1276</v>
      </c>
      <c r="E47" s="755" t="s">
        <v>1276</v>
      </c>
      <c r="F47" s="749" t="s">
        <v>1277</v>
      </c>
      <c r="G47" s="8"/>
      <c r="H47" s="8"/>
      <c r="I47" s="2"/>
      <c r="J47" s="784" t="s">
        <v>1294</v>
      </c>
      <c r="K47" s="578"/>
      <c r="L47" s="779" t="s">
        <v>1295</v>
      </c>
      <c r="M47" s="687" t="s">
        <v>1296</v>
      </c>
      <c r="N47" s="681"/>
      <c r="O47" s="682"/>
      <c r="P47" s="551"/>
      <c r="Q47" s="551"/>
      <c r="R47" s="787" t="s">
        <v>334</v>
      </c>
      <c r="S47" s="788"/>
      <c r="T47" s="551"/>
      <c r="U47" s="976" t="s">
        <v>334</v>
      </c>
      <c r="V47" s="977"/>
      <c r="W47" s="977"/>
      <c r="X47" s="978"/>
      <c r="Y47" s="551"/>
    </row>
    <row r="48" spans="1:25" ht="16.5">
      <c r="A48" s="570" t="s">
        <v>1271</v>
      </c>
      <c r="B48" s="745">
        <v>65747</v>
      </c>
      <c r="C48" s="745">
        <v>3787405</v>
      </c>
      <c r="D48" s="745">
        <v>2439713</v>
      </c>
      <c r="E48" s="745">
        <v>746533</v>
      </c>
      <c r="F48" s="745">
        <v>2333715</v>
      </c>
      <c r="G48" s="14"/>
      <c r="H48" s="14"/>
      <c r="I48" s="2"/>
      <c r="J48" s="784" t="s">
        <v>1298</v>
      </c>
      <c r="K48" s="721"/>
      <c r="L48" s="576" t="s">
        <v>1235</v>
      </c>
      <c r="M48" s="687" t="s">
        <v>1299</v>
      </c>
      <c r="N48" s="681"/>
      <c r="O48" s="682"/>
      <c r="P48" s="551"/>
      <c r="Q48" s="551"/>
      <c r="R48" s="789" t="s">
        <v>1716</v>
      </c>
      <c r="S48" s="790"/>
      <c r="T48" s="551"/>
      <c r="U48" s="979" t="s">
        <v>1717</v>
      </c>
      <c r="V48" s="980"/>
      <c r="W48" s="980"/>
      <c r="X48" s="981"/>
      <c r="Y48" s="551"/>
    </row>
    <row r="49" spans="1:25" ht="15">
      <c r="A49" s="570" t="s">
        <v>1303</v>
      </c>
      <c r="B49" s="745">
        <v>384110</v>
      </c>
      <c r="C49" s="745">
        <v>12438372</v>
      </c>
      <c r="D49" s="745">
        <v>9269459</v>
      </c>
      <c r="E49" s="745">
        <v>1702015</v>
      </c>
      <c r="F49" s="745">
        <v>9076939</v>
      </c>
      <c r="G49" s="8"/>
      <c r="H49" s="8"/>
      <c r="I49" s="2"/>
      <c r="J49" s="931">
        <v>30624589</v>
      </c>
      <c r="K49" s="734"/>
      <c r="L49" s="928">
        <v>103595</v>
      </c>
      <c r="M49" s="681" t="s">
        <v>300</v>
      </c>
      <c r="N49" s="681"/>
      <c r="O49" s="682"/>
      <c r="P49" s="551"/>
      <c r="Q49" s="551"/>
      <c r="R49" s="857">
        <v>587</v>
      </c>
      <c r="S49" s="554"/>
      <c r="T49" s="551"/>
      <c r="U49" s="554"/>
      <c r="V49" s="791" t="s">
        <v>1698</v>
      </c>
      <c r="W49" s="857">
        <v>-782</v>
      </c>
      <c r="X49" s="554"/>
      <c r="Y49" s="704"/>
    </row>
    <row r="50" spans="1:25" ht="15">
      <c r="A50" s="570" t="s">
        <v>1304</v>
      </c>
      <c r="B50" s="745">
        <v>161654</v>
      </c>
      <c r="C50" s="745">
        <v>9380334</v>
      </c>
      <c r="D50" s="745">
        <v>7810883</v>
      </c>
      <c r="E50" s="745">
        <v>1047591</v>
      </c>
      <c r="F50" s="745">
        <v>7458753</v>
      </c>
      <c r="G50" s="8"/>
      <c r="H50" s="8"/>
      <c r="I50" s="2"/>
      <c r="J50" s="932">
        <v>6170611</v>
      </c>
      <c r="K50" s="734"/>
      <c r="L50" s="929">
        <v>20874</v>
      </c>
      <c r="M50" s="681" t="s">
        <v>1301</v>
      </c>
      <c r="N50" s="681"/>
      <c r="O50" s="682"/>
      <c r="P50" s="551"/>
      <c r="Q50" s="551"/>
      <c r="R50" s="724">
        <v>118</v>
      </c>
      <c r="S50" s="555"/>
      <c r="T50" s="551"/>
      <c r="U50" s="555"/>
      <c r="V50" s="792" t="s">
        <v>1699</v>
      </c>
      <c r="W50" s="724">
        <v>-922</v>
      </c>
      <c r="X50" s="555"/>
      <c r="Y50" s="551"/>
    </row>
    <row r="51" spans="1:25" ht="15">
      <c r="A51" s="570" t="s">
        <v>1305</v>
      </c>
      <c r="B51" s="745">
        <v>372254</v>
      </c>
      <c r="C51" s="745">
        <v>9291549</v>
      </c>
      <c r="D51" s="745">
        <v>7660419</v>
      </c>
      <c r="E51" s="745">
        <v>34328</v>
      </c>
      <c r="F51" s="745">
        <v>7391545</v>
      </c>
      <c r="G51" s="8"/>
      <c r="H51" s="8"/>
      <c r="I51" s="2"/>
      <c r="J51" s="932">
        <v>15718473</v>
      </c>
      <c r="K51" s="734"/>
      <c r="L51" s="929">
        <v>53171</v>
      </c>
      <c r="M51" s="687" t="s">
        <v>1302</v>
      </c>
      <c r="N51" s="681"/>
      <c r="O51" s="682"/>
      <c r="P51" s="551"/>
      <c r="Q51" s="551"/>
      <c r="R51" s="724">
        <v>302</v>
      </c>
      <c r="S51" s="555"/>
      <c r="T51" s="551"/>
      <c r="U51" s="555"/>
      <c r="V51" s="792" t="s">
        <v>1700</v>
      </c>
      <c r="W51" s="724">
        <v>0</v>
      </c>
      <c r="X51" s="555"/>
      <c r="Y51" s="551"/>
    </row>
    <row r="52" spans="1:25" ht="15">
      <c r="A52" s="570" t="s">
        <v>1306</v>
      </c>
      <c r="B52" s="745">
        <v>734954</v>
      </c>
      <c r="C52" s="724">
        <v>21835447</v>
      </c>
      <c r="D52" s="745">
        <v>17932665</v>
      </c>
      <c r="E52" s="745">
        <v>1796834</v>
      </c>
      <c r="F52" s="745">
        <v>17204759</v>
      </c>
      <c r="G52" s="8"/>
      <c r="H52" s="8"/>
      <c r="I52" s="2"/>
      <c r="J52" s="932">
        <v>20119476</v>
      </c>
      <c r="K52" s="734"/>
      <c r="L52" s="929">
        <v>68059</v>
      </c>
      <c r="M52" s="689"/>
      <c r="N52" s="689"/>
      <c r="O52" s="690"/>
      <c r="P52" s="551"/>
      <c r="Q52" s="551"/>
      <c r="R52" s="724">
        <v>386</v>
      </c>
      <c r="S52" s="555"/>
      <c r="T52" s="551"/>
      <c r="U52" s="555"/>
      <c r="V52" s="792" t="s">
        <v>1701</v>
      </c>
      <c r="W52" s="757">
        <v>0</v>
      </c>
      <c r="X52" s="555"/>
      <c r="Y52" s="551"/>
    </row>
    <row r="53" spans="1:25" ht="15">
      <c r="A53" s="570" t="s">
        <v>1274</v>
      </c>
      <c r="B53" s="724">
        <v>380015</v>
      </c>
      <c r="C53" s="745">
        <v>12513684</v>
      </c>
      <c r="D53" s="745">
        <v>10482823</v>
      </c>
      <c r="E53" s="745">
        <v>1065954</v>
      </c>
      <c r="F53" s="745">
        <v>10196434</v>
      </c>
      <c r="G53" s="8"/>
      <c r="H53" s="8"/>
      <c r="I53" s="2"/>
      <c r="J53" s="933">
        <v>16241920</v>
      </c>
      <c r="K53" s="734"/>
      <c r="L53" s="930">
        <v>54942</v>
      </c>
      <c r="M53" s="689"/>
      <c r="N53" s="689"/>
      <c r="O53" s="690"/>
      <c r="P53" s="551"/>
      <c r="Q53" s="551"/>
      <c r="R53" s="725">
        <v>311</v>
      </c>
      <c r="S53" s="555"/>
      <c r="T53" s="551"/>
      <c r="U53" s="556"/>
      <c r="V53" s="793" t="s">
        <v>1348</v>
      </c>
      <c r="W53" s="736">
        <f>SUM(W49:W52)</f>
        <v>-1704</v>
      </c>
      <c r="X53" s="556"/>
      <c r="Y53" s="551"/>
    </row>
    <row r="54" spans="1:25" ht="15">
      <c r="A54" s="570" t="s">
        <v>1311</v>
      </c>
      <c r="B54" s="724">
        <v>1577567</v>
      </c>
      <c r="C54" s="745">
        <v>58150336</v>
      </c>
      <c r="D54" s="745">
        <v>38032599</v>
      </c>
      <c r="E54" s="745">
        <v>2596737</v>
      </c>
      <c r="F54" s="745">
        <v>36605870</v>
      </c>
      <c r="G54" s="8"/>
      <c r="H54" s="8"/>
      <c r="I54" s="2"/>
      <c r="J54" s="736">
        <f>SUM(J49:J53)</f>
        <v>88875069</v>
      </c>
      <c r="K54" s="738"/>
      <c r="L54" s="737">
        <f>SUM(L49:L53)</f>
        <v>300641</v>
      </c>
      <c r="M54" s="691"/>
      <c r="N54" s="691"/>
      <c r="O54" s="692"/>
      <c r="P54" s="551"/>
      <c r="Q54" s="551"/>
      <c r="R54" s="736">
        <f>SUM(R49:R53)</f>
        <v>1704</v>
      </c>
      <c r="S54" s="556"/>
      <c r="T54" s="551"/>
      <c r="U54" s="585"/>
      <c r="V54" s="585"/>
      <c r="W54" s="586"/>
      <c r="X54" s="585"/>
      <c r="Y54" s="551"/>
    </row>
    <row r="55" spans="1:25" ht="15">
      <c r="A55" s="569" t="s">
        <v>1348</v>
      </c>
      <c r="B55" s="746">
        <f>SUM(B48:B54)</f>
        <v>3676301</v>
      </c>
      <c r="C55" s="746">
        <f>SUM(C48:C54)</f>
        <v>127397127</v>
      </c>
      <c r="D55" s="746">
        <f>SUM(D48:D54)</f>
        <v>93628561</v>
      </c>
      <c r="E55" s="746">
        <f>SUM(E48:E54)</f>
        <v>8989992</v>
      </c>
      <c r="F55" s="746">
        <f>SUM(F48:F54)</f>
        <v>90268015</v>
      </c>
      <c r="G55" s="8"/>
      <c r="H55" s="8"/>
      <c r="I55" s="2"/>
      <c r="J55" s="551"/>
      <c r="K55" s="551"/>
      <c r="L55" s="551"/>
      <c r="M55" s="551"/>
      <c r="N55" s="551"/>
      <c r="O55" s="551"/>
      <c r="P55" s="551"/>
      <c r="Q55" s="551"/>
      <c r="R55" s="551"/>
      <c r="S55" s="551"/>
      <c r="T55" s="551"/>
      <c r="U55" s="551"/>
      <c r="V55" s="551"/>
      <c r="W55" s="551"/>
      <c r="X55" s="551"/>
      <c r="Y55" s="551"/>
    </row>
    <row r="56" spans="1:25" ht="16.5">
      <c r="A56" s="567" t="s">
        <v>1243</v>
      </c>
      <c r="B56" s="755" t="s">
        <v>1280</v>
      </c>
      <c r="C56" s="755" t="s">
        <v>1276</v>
      </c>
      <c r="D56" s="755" t="s">
        <v>1276</v>
      </c>
      <c r="E56" s="755" t="s">
        <v>1276</v>
      </c>
      <c r="F56" s="749" t="s">
        <v>1277</v>
      </c>
      <c r="G56" s="8"/>
      <c r="H56" s="8"/>
      <c r="I56" s="2"/>
      <c r="J56" s="553" t="s">
        <v>1307</v>
      </c>
      <c r="K56" s="574"/>
      <c r="L56" s="574"/>
      <c r="M56" s="574"/>
      <c r="N56" s="574"/>
      <c r="O56" s="574"/>
      <c r="P56" s="574"/>
      <c r="Q56" s="574"/>
      <c r="R56" s="558"/>
      <c r="S56" s="582"/>
      <c r="T56" s="551"/>
      <c r="U56" s="551"/>
      <c r="V56" s="551"/>
      <c r="W56" s="551"/>
      <c r="X56" s="551"/>
      <c r="Y56" s="551"/>
    </row>
    <row r="57" spans="1:25" ht="16.5">
      <c r="A57" s="572" t="s">
        <v>1314</v>
      </c>
      <c r="B57" s="756">
        <v>499047</v>
      </c>
      <c r="C57" s="726">
        <v>18752647</v>
      </c>
      <c r="D57" s="726">
        <v>14255444</v>
      </c>
      <c r="E57" s="726">
        <v>2066851</v>
      </c>
      <c r="F57" s="726">
        <v>13266096</v>
      </c>
      <c r="G57" s="14"/>
      <c r="H57" s="14"/>
      <c r="I57" s="2"/>
      <c r="J57" s="715"/>
      <c r="K57" s="716" t="s">
        <v>1308</v>
      </c>
      <c r="L57" s="717"/>
      <c r="M57" s="715"/>
      <c r="N57" s="716" t="s">
        <v>1309</v>
      </c>
      <c r="O57" s="717"/>
      <c r="P57" s="715"/>
      <c r="Q57" s="716" t="s">
        <v>1310</v>
      </c>
      <c r="R57" s="717"/>
      <c r="S57" s="582">
        <v>422</v>
      </c>
      <c r="T57" s="551"/>
      <c r="U57" s="551"/>
      <c r="V57" s="551"/>
      <c r="W57" s="551"/>
      <c r="X57" s="551"/>
      <c r="Y57" s="551"/>
    </row>
    <row r="58" spans="1:25" ht="15">
      <c r="A58" s="572" t="s">
        <v>1315</v>
      </c>
      <c r="B58" s="745">
        <v>13866</v>
      </c>
      <c r="C58" s="726">
        <v>170898</v>
      </c>
      <c r="D58" s="726">
        <f>-202454</f>
        <v>-202454</v>
      </c>
      <c r="E58" s="726">
        <v>139760</v>
      </c>
      <c r="F58" s="726">
        <f>-201912</f>
        <v>-201912</v>
      </c>
      <c r="G58" s="8"/>
      <c r="H58" s="8"/>
      <c r="I58" s="2"/>
      <c r="J58" s="602" t="s">
        <v>1312</v>
      </c>
      <c r="K58" s="603"/>
      <c r="L58" s="576" t="s">
        <v>1313</v>
      </c>
      <c r="M58" s="602" t="s">
        <v>1312</v>
      </c>
      <c r="N58" s="603"/>
      <c r="O58" s="576" t="s">
        <v>1313</v>
      </c>
      <c r="P58" s="602" t="s">
        <v>1312</v>
      </c>
      <c r="Q58" s="603"/>
      <c r="R58" s="576" t="s">
        <v>1313</v>
      </c>
      <c r="S58" s="1007" t="s">
        <v>323</v>
      </c>
      <c r="T58" s="1007"/>
      <c r="U58" s="1007"/>
      <c r="V58" s="551"/>
      <c r="W58" s="560" t="s">
        <v>356</v>
      </c>
      <c r="X58" s="551"/>
      <c r="Y58" s="551"/>
    </row>
    <row r="59" spans="1:25" ht="15">
      <c r="A59" s="572" t="s">
        <v>1316</v>
      </c>
      <c r="B59" s="745">
        <v>13358</v>
      </c>
      <c r="C59" s="726">
        <v>371640</v>
      </c>
      <c r="D59" s="726">
        <v>262193</v>
      </c>
      <c r="E59" s="726">
        <v>82968</v>
      </c>
      <c r="F59" s="726">
        <v>234701</v>
      </c>
      <c r="G59" s="8"/>
      <c r="H59" s="8"/>
      <c r="I59" s="2"/>
      <c r="J59" s="932">
        <v>366516</v>
      </c>
      <c r="K59" s="734"/>
      <c r="L59" s="854">
        <v>12048372</v>
      </c>
      <c r="M59" s="932">
        <f>145975</f>
        <v>145975</v>
      </c>
      <c r="N59" s="734"/>
      <c r="O59" s="854">
        <f>7025526</f>
        <v>7025526</v>
      </c>
      <c r="P59" s="932">
        <v>366059</v>
      </c>
      <c r="Q59" s="734"/>
      <c r="R59" s="934">
        <v>15625421</v>
      </c>
      <c r="S59" s="794">
        <f aca="true" t="shared" si="0" ref="S59:S64">J59+P59</f>
        <v>732575</v>
      </c>
      <c r="T59" s="795"/>
      <c r="U59" s="796">
        <f aca="true" t="shared" si="1" ref="U59:U64">L59+R59</f>
        <v>27673793</v>
      </c>
      <c r="V59" s="768"/>
      <c r="W59" s="796">
        <f aca="true" t="shared" si="2" ref="W59:W64">M199</f>
        <v>27673793</v>
      </c>
      <c r="X59" s="551"/>
      <c r="Y59" s="551"/>
    </row>
    <row r="60" spans="1:25" ht="15">
      <c r="A60" s="572" t="s">
        <v>1317</v>
      </c>
      <c r="B60" s="745">
        <v>231829</v>
      </c>
      <c r="C60" s="726">
        <v>9451970</v>
      </c>
      <c r="D60" s="726">
        <v>7426376</v>
      </c>
      <c r="E60" s="726">
        <v>2042191</v>
      </c>
      <c r="F60" s="726">
        <v>7171828</v>
      </c>
      <c r="G60" s="8"/>
      <c r="H60" s="8"/>
      <c r="I60" s="2"/>
      <c r="J60" s="932">
        <v>32749</v>
      </c>
      <c r="K60" s="734"/>
      <c r="L60" s="854">
        <v>904936</v>
      </c>
      <c r="M60" s="932">
        <f>3884+4585</f>
        <v>8469</v>
      </c>
      <c r="N60" s="734"/>
      <c r="O60" s="854">
        <f>79767+95123</f>
        <v>174890</v>
      </c>
      <c r="P60" s="932">
        <v>54283</v>
      </c>
      <c r="Q60" s="734"/>
      <c r="R60" s="854">
        <v>1907697</v>
      </c>
      <c r="S60" s="735">
        <f t="shared" si="0"/>
        <v>87032</v>
      </c>
      <c r="T60" s="795"/>
      <c r="U60" s="797">
        <f t="shared" si="1"/>
        <v>2812633</v>
      </c>
      <c r="V60" s="768"/>
      <c r="W60" s="797">
        <f>M200</f>
        <v>2812633</v>
      </c>
      <c r="X60" s="551"/>
      <c r="Y60" s="551"/>
    </row>
    <row r="61" spans="1:25" ht="15">
      <c r="A61" s="572" t="s">
        <v>1318</v>
      </c>
      <c r="B61" s="745">
        <v>301494</v>
      </c>
      <c r="C61" s="726">
        <v>6575852</v>
      </c>
      <c r="D61" s="726">
        <v>4314889</v>
      </c>
      <c r="E61" s="726">
        <v>1412795</v>
      </c>
      <c r="F61" s="726">
        <v>4173507</v>
      </c>
      <c r="G61" s="8"/>
      <c r="H61" s="8"/>
      <c r="I61" s="2"/>
      <c r="J61" s="932">
        <v>101744</v>
      </c>
      <c r="K61" s="734"/>
      <c r="L61" s="854">
        <v>3176900</v>
      </c>
      <c r="M61" s="932">
        <f>80839+9044+10695</f>
        <v>100578</v>
      </c>
      <c r="N61" s="734"/>
      <c r="O61" s="854">
        <f>3693658+186080+221653</f>
        <v>4101391</v>
      </c>
      <c r="P61" s="932">
        <v>214846</v>
      </c>
      <c r="Q61" s="734"/>
      <c r="R61" s="934">
        <v>8515384</v>
      </c>
      <c r="S61" s="735">
        <f t="shared" si="0"/>
        <v>316590</v>
      </c>
      <c r="T61" s="795"/>
      <c r="U61" s="797">
        <f t="shared" si="1"/>
        <v>11692284</v>
      </c>
      <c r="V61" s="768"/>
      <c r="W61" s="797">
        <f t="shared" si="2"/>
        <v>11692284</v>
      </c>
      <c r="X61" s="551"/>
      <c r="Y61" s="551"/>
    </row>
    <row r="62" spans="1:25" ht="15">
      <c r="A62" s="572" t="s">
        <v>688</v>
      </c>
      <c r="B62" s="745">
        <v>42114</v>
      </c>
      <c r="C62" s="726">
        <v>1648669</v>
      </c>
      <c r="D62" s="726">
        <v>1369017</v>
      </c>
      <c r="E62" s="726">
        <f>-184709</f>
        <v>-184709</v>
      </c>
      <c r="F62" s="726">
        <v>1360610</v>
      </c>
      <c r="G62" s="8"/>
      <c r="H62" s="8"/>
      <c r="I62" s="2"/>
      <c r="J62" s="932">
        <v>316580</v>
      </c>
      <c r="K62" s="734"/>
      <c r="L62" s="854">
        <v>9380536</v>
      </c>
      <c r="M62" s="932">
        <f>59175</f>
        <v>59175</v>
      </c>
      <c r="N62" s="734"/>
      <c r="O62" s="854">
        <f>1349273</f>
        <v>1349273</v>
      </c>
      <c r="P62" s="932">
        <v>204631</v>
      </c>
      <c r="Q62" s="734"/>
      <c r="R62" s="934">
        <v>6999181</v>
      </c>
      <c r="S62" s="735">
        <f t="shared" si="0"/>
        <v>521211</v>
      </c>
      <c r="T62" s="795"/>
      <c r="U62" s="797">
        <f t="shared" si="1"/>
        <v>16379717</v>
      </c>
      <c r="V62" s="768"/>
      <c r="W62" s="797">
        <f t="shared" si="2"/>
        <v>16379717</v>
      </c>
      <c r="X62" s="551"/>
      <c r="Y62" s="551"/>
    </row>
    <row r="63" spans="1:25" ht="15">
      <c r="A63" s="572" t="s">
        <v>1632</v>
      </c>
      <c r="B63" s="745">
        <v>2734</v>
      </c>
      <c r="C63" s="726">
        <v>484930</v>
      </c>
      <c r="D63" s="726">
        <v>241945</v>
      </c>
      <c r="E63" s="726">
        <v>91977</v>
      </c>
      <c r="F63" s="726">
        <v>227198</v>
      </c>
      <c r="G63" s="8"/>
      <c r="H63" s="8"/>
      <c r="I63" s="2"/>
      <c r="J63" s="933">
        <v>205799</v>
      </c>
      <c r="K63" s="734"/>
      <c r="L63" s="855">
        <v>6674968</v>
      </c>
      <c r="M63" s="933">
        <f>19744+8078+6037</f>
        <v>33859</v>
      </c>
      <c r="N63" s="734"/>
      <c r="O63" s="855">
        <f>450187+266926+198399</f>
        <v>915512</v>
      </c>
      <c r="P63" s="933">
        <v>150483</v>
      </c>
      <c r="Q63" s="734"/>
      <c r="R63" s="935">
        <v>5476517</v>
      </c>
      <c r="S63" s="736">
        <f t="shared" si="0"/>
        <v>356282</v>
      </c>
      <c r="T63" s="795"/>
      <c r="U63" s="737">
        <f t="shared" si="1"/>
        <v>12151485</v>
      </c>
      <c r="V63" s="768"/>
      <c r="W63" s="737">
        <f t="shared" si="2"/>
        <v>12151485</v>
      </c>
      <c r="X63" s="551"/>
      <c r="Y63" s="551"/>
    </row>
    <row r="64" spans="1:25" ht="15">
      <c r="A64" s="570" t="s">
        <v>1633</v>
      </c>
      <c r="B64" s="757">
        <v>33008</v>
      </c>
      <c r="C64" s="726">
        <v>1705331</v>
      </c>
      <c r="D64" s="726">
        <v>1074039</v>
      </c>
      <c r="E64" s="726">
        <v>86664</v>
      </c>
      <c r="F64" s="726">
        <v>1059317</v>
      </c>
      <c r="G64" s="8"/>
      <c r="H64" s="8"/>
      <c r="I64" s="2"/>
      <c r="J64" s="736">
        <f>SUM(J59:J63)</f>
        <v>1023388</v>
      </c>
      <c r="K64" s="738"/>
      <c r="L64" s="738">
        <f>SUM(L59:L63)</f>
        <v>32185712</v>
      </c>
      <c r="M64" s="736">
        <f>SUM(M59:M63)</f>
        <v>348056</v>
      </c>
      <c r="N64" s="738"/>
      <c r="O64" s="738">
        <f>SUM(O59:O63)</f>
        <v>13566592</v>
      </c>
      <c r="P64" s="736">
        <f>SUM(P59:P63)</f>
        <v>990302</v>
      </c>
      <c r="Q64" s="738"/>
      <c r="R64" s="767">
        <f>SUM(R59:R63)</f>
        <v>38524200</v>
      </c>
      <c r="S64" s="762">
        <f t="shared" si="0"/>
        <v>2013690</v>
      </c>
      <c r="T64" s="798"/>
      <c r="U64" s="766">
        <f t="shared" si="1"/>
        <v>70709912</v>
      </c>
      <c r="V64" s="158"/>
      <c r="W64" s="737">
        <f t="shared" si="2"/>
        <v>70709912</v>
      </c>
      <c r="X64" s="551"/>
      <c r="Y64" s="551"/>
    </row>
    <row r="65" spans="1:25" ht="16.5">
      <c r="A65" s="573" t="s">
        <v>1348</v>
      </c>
      <c r="B65" s="746">
        <f>SUM(B57:B64)</f>
        <v>1137450</v>
      </c>
      <c r="C65" s="746">
        <f>SUM(C57:C64)</f>
        <v>39161937</v>
      </c>
      <c r="D65" s="746">
        <f>SUM(D57:D64)</f>
        <v>28741449</v>
      </c>
      <c r="E65" s="746">
        <f>SUM(E57:E64)</f>
        <v>5738497</v>
      </c>
      <c r="F65" s="746">
        <f>SUM(F57:F64)</f>
        <v>27291345</v>
      </c>
      <c r="G65" s="14"/>
      <c r="H65" s="14"/>
      <c r="I65" s="2"/>
      <c r="J65" s="551"/>
      <c r="K65" s="551"/>
      <c r="L65" s="551"/>
      <c r="M65" s="551"/>
      <c r="N65" s="551"/>
      <c r="O65" s="551"/>
      <c r="P65" s="551"/>
      <c r="Q65" s="551"/>
      <c r="R65" s="551"/>
      <c r="S65" s="551"/>
      <c r="T65" s="551"/>
      <c r="U65" s="551"/>
      <c r="V65" s="551"/>
      <c r="W65" s="551"/>
      <c r="X65" s="551"/>
      <c r="Y65" s="551"/>
    </row>
    <row r="66" spans="1:25" ht="15.75" customHeight="1">
      <c r="A66" s="13"/>
      <c r="B66" s="8"/>
      <c r="C66" s="8"/>
      <c r="D66" s="14"/>
      <c r="E66" s="14"/>
      <c r="F66" s="14"/>
      <c r="G66" s="323"/>
      <c r="H66" s="323"/>
      <c r="I66" s="2"/>
      <c r="J66" s="553" t="s">
        <v>1129</v>
      </c>
      <c r="K66" s="574"/>
      <c r="L66" s="574"/>
      <c r="M66" s="574"/>
      <c r="N66" s="574"/>
      <c r="O66" s="558"/>
      <c r="P66" s="553" t="s">
        <v>1130</v>
      </c>
      <c r="Q66" s="574"/>
      <c r="R66" s="574"/>
      <c r="S66" s="574"/>
      <c r="T66" s="574"/>
      <c r="U66" s="558"/>
      <c r="V66" s="582"/>
      <c r="W66" s="551"/>
      <c r="X66" s="551"/>
      <c r="Y66" s="551"/>
    </row>
    <row r="67" spans="2:25" ht="16.5">
      <c r="B67" s="553" t="s">
        <v>1324</v>
      </c>
      <c r="C67" s="574"/>
      <c r="D67" s="574"/>
      <c r="E67" s="558"/>
      <c r="F67" s="581">
        <v>452</v>
      </c>
      <c r="G67" s="2"/>
      <c r="H67" s="2"/>
      <c r="I67" s="2"/>
      <c r="J67" s="799"/>
      <c r="K67" s="778"/>
      <c r="L67" s="610" t="s">
        <v>1312</v>
      </c>
      <c r="M67" s="610" t="s">
        <v>1235</v>
      </c>
      <c r="N67" s="783"/>
      <c r="O67" s="801" t="s">
        <v>1319</v>
      </c>
      <c r="P67" s="799"/>
      <c r="Q67" s="778"/>
      <c r="R67" s="610" t="s">
        <v>1312</v>
      </c>
      <c r="S67" s="610" t="s">
        <v>1235</v>
      </c>
      <c r="T67" s="783"/>
      <c r="U67" s="801" t="s">
        <v>1319</v>
      </c>
      <c r="V67" s="582"/>
      <c r="W67" s="551"/>
      <c r="X67" s="551"/>
      <c r="Y67" s="551"/>
    </row>
    <row r="68" spans="2:25" ht="15">
      <c r="B68" s="599" t="s">
        <v>109</v>
      </c>
      <c r="C68" s="554"/>
      <c r="D68" s="601" t="s">
        <v>105</v>
      </c>
      <c r="E68" s="600"/>
      <c r="F68" s="582"/>
      <c r="G68" s="2"/>
      <c r="H68" s="2"/>
      <c r="I68" s="2"/>
      <c r="J68" s="715" t="s">
        <v>1321</v>
      </c>
      <c r="K68" s="717"/>
      <c r="L68" s="759">
        <v>77884</v>
      </c>
      <c r="M68" s="769">
        <v>2020311</v>
      </c>
      <c r="N68" s="802"/>
      <c r="O68" s="759">
        <v>1932302</v>
      </c>
      <c r="P68" s="715" t="s">
        <v>1321</v>
      </c>
      <c r="Q68" s="717"/>
      <c r="R68" s="593">
        <v>0</v>
      </c>
      <c r="S68" s="593">
        <v>0</v>
      </c>
      <c r="T68" s="662"/>
      <c r="U68" s="593">
        <v>0</v>
      </c>
      <c r="V68" s="582"/>
      <c r="W68" s="551"/>
      <c r="X68" s="551"/>
      <c r="Y68" s="551"/>
    </row>
    <row r="69" spans="2:25" ht="15">
      <c r="B69" s="602" t="s">
        <v>1235</v>
      </c>
      <c r="C69" s="575" t="s">
        <v>1237</v>
      </c>
      <c r="D69" s="603" t="s">
        <v>1235</v>
      </c>
      <c r="E69" s="576" t="s">
        <v>1237</v>
      </c>
      <c r="F69" s="582"/>
      <c r="G69" s="2"/>
      <c r="H69" s="2"/>
      <c r="I69" s="2"/>
      <c r="J69" s="563" t="s">
        <v>1322</v>
      </c>
      <c r="K69" s="600"/>
      <c r="L69" s="726">
        <v>171874</v>
      </c>
      <c r="M69" s="758">
        <v>3720556</v>
      </c>
      <c r="N69" s="734"/>
      <c r="O69" s="726">
        <v>3186716</v>
      </c>
      <c r="P69" s="563" t="s">
        <v>1322</v>
      </c>
      <c r="Q69" s="600"/>
      <c r="R69" s="579">
        <v>0</v>
      </c>
      <c r="S69" s="579">
        <v>0</v>
      </c>
      <c r="T69" s="722"/>
      <c r="U69" s="579">
        <v>0</v>
      </c>
      <c r="V69" s="582"/>
      <c r="W69" s="551"/>
      <c r="X69" s="551"/>
      <c r="Y69" s="551"/>
    </row>
    <row r="70" spans="2:25" ht="15">
      <c r="B70" s="724">
        <v>0</v>
      </c>
      <c r="C70" s="936">
        <v>20235850</v>
      </c>
      <c r="D70" s="726">
        <v>0</v>
      </c>
      <c r="E70" s="726">
        <v>20230503</v>
      </c>
      <c r="F70" s="868" t="s">
        <v>545</v>
      </c>
      <c r="G70" s="2"/>
      <c r="H70" s="2"/>
      <c r="I70" s="2"/>
      <c r="J70" s="563" t="s">
        <v>1323</v>
      </c>
      <c r="K70" s="600"/>
      <c r="L70" s="726">
        <v>561433</v>
      </c>
      <c r="M70" s="758">
        <v>14985208</v>
      </c>
      <c r="N70" s="734"/>
      <c r="O70" s="726">
        <v>13785425</v>
      </c>
      <c r="P70" s="563" t="s">
        <v>1323</v>
      </c>
      <c r="Q70" s="600"/>
      <c r="R70" s="579">
        <v>0</v>
      </c>
      <c r="S70" s="579">
        <v>0</v>
      </c>
      <c r="T70" s="722"/>
      <c r="U70" s="579">
        <v>0</v>
      </c>
      <c r="V70" s="582"/>
      <c r="W70" s="551"/>
      <c r="X70" s="551" t="s">
        <v>1236</v>
      </c>
      <c r="Y70" s="551"/>
    </row>
    <row r="71" spans="2:25" ht="15">
      <c r="B71" s="724">
        <v>0</v>
      </c>
      <c r="C71" s="929">
        <v>4077368</v>
      </c>
      <c r="D71" s="726">
        <v>0</v>
      </c>
      <c r="E71" s="726">
        <v>4076290</v>
      </c>
      <c r="F71" s="582" t="s">
        <v>85</v>
      </c>
      <c r="G71" s="2"/>
      <c r="H71" s="2"/>
      <c r="I71" s="2"/>
      <c r="J71" s="563" t="s">
        <v>1325</v>
      </c>
      <c r="K71" s="600"/>
      <c r="L71" s="728">
        <v>0</v>
      </c>
      <c r="M71" s="727">
        <v>0</v>
      </c>
      <c r="N71" s="734"/>
      <c r="O71" s="728">
        <v>0</v>
      </c>
      <c r="P71" s="563" t="s">
        <v>1325</v>
      </c>
      <c r="Q71" s="600"/>
      <c r="R71" s="584">
        <v>0</v>
      </c>
      <c r="S71" s="584">
        <v>0</v>
      </c>
      <c r="T71" s="722"/>
      <c r="U71" s="584">
        <v>0</v>
      </c>
      <c r="V71" s="582"/>
      <c r="W71" s="551"/>
      <c r="X71" s="551"/>
      <c r="Y71" s="551"/>
    </row>
    <row r="72" spans="2:25" ht="15">
      <c r="B72" s="745">
        <v>0</v>
      </c>
      <c r="C72" s="854">
        <v>10386322</v>
      </c>
      <c r="D72" s="726">
        <v>0</v>
      </c>
      <c r="E72" s="726">
        <v>10383577</v>
      </c>
      <c r="F72" s="582"/>
      <c r="G72" s="2"/>
      <c r="H72" s="2"/>
      <c r="I72" s="2"/>
      <c r="J72" s="564"/>
      <c r="K72" s="800"/>
      <c r="L72" s="738">
        <f>SUM(L68:L71)</f>
        <v>811191</v>
      </c>
      <c r="M72" s="767">
        <f>SUM(M68:M71)</f>
        <v>20726075</v>
      </c>
      <c r="N72" s="738"/>
      <c r="O72" s="738">
        <f>SUM(O67:O71)</f>
        <v>18904443</v>
      </c>
      <c r="P72" s="564"/>
      <c r="Q72" s="800"/>
      <c r="R72" s="605">
        <f>SUM(R68:R71)</f>
        <v>0</v>
      </c>
      <c r="S72" s="723">
        <f>SUM(S68:S71)</f>
        <v>0</v>
      </c>
      <c r="T72" s="605"/>
      <c r="U72" s="605">
        <f>SUM(U67:U71)</f>
        <v>0</v>
      </c>
      <c r="V72" s="582"/>
      <c r="W72" s="551"/>
      <c r="X72" s="551"/>
      <c r="Y72" s="551"/>
    </row>
    <row r="73" spans="2:25" ht="15">
      <c r="B73" s="745">
        <v>0</v>
      </c>
      <c r="C73" s="854">
        <v>13294353</v>
      </c>
      <c r="D73" s="726">
        <v>0</v>
      </c>
      <c r="E73" s="726">
        <v>13290840</v>
      </c>
      <c r="F73" s="582"/>
      <c r="G73" s="6"/>
      <c r="H73" s="6"/>
      <c r="I73" s="2"/>
      <c r="J73" s="715" t="s">
        <v>1326</v>
      </c>
      <c r="K73" s="717"/>
      <c r="L73" s="759">
        <v>0</v>
      </c>
      <c r="M73" s="759">
        <v>0</v>
      </c>
      <c r="N73" s="802"/>
      <c r="O73" s="759">
        <v>0</v>
      </c>
      <c r="P73" s="582" t="s">
        <v>814</v>
      </c>
      <c r="Q73" s="582"/>
      <c r="R73" s="582"/>
      <c r="S73" s="582"/>
      <c r="T73" s="582"/>
      <c r="U73" s="582"/>
      <c r="V73" s="582"/>
      <c r="W73" s="551"/>
      <c r="X73" s="551"/>
      <c r="Y73" s="551"/>
    </row>
    <row r="74" spans="2:25" ht="15">
      <c r="B74" s="724">
        <v>0</v>
      </c>
      <c r="C74" s="932">
        <v>10732186</v>
      </c>
      <c r="D74" s="745">
        <v>0</v>
      </c>
      <c r="E74" s="724">
        <v>10729350</v>
      </c>
      <c r="F74" s="583"/>
      <c r="G74" s="6"/>
      <c r="H74" s="6"/>
      <c r="I74" s="2"/>
      <c r="J74" s="563" t="s">
        <v>1327</v>
      </c>
      <c r="K74" s="600"/>
      <c r="L74" s="726">
        <v>1206</v>
      </c>
      <c r="M74" s="726">
        <v>26106</v>
      </c>
      <c r="N74" s="734"/>
      <c r="O74" s="726">
        <v>22360</v>
      </c>
      <c r="P74" s="582"/>
      <c r="Q74" s="582"/>
      <c r="R74" s="582"/>
      <c r="S74" s="582"/>
      <c r="T74" s="582"/>
      <c r="U74" s="582"/>
      <c r="V74" s="582"/>
      <c r="W74" s="551"/>
      <c r="X74" s="551"/>
      <c r="Y74" s="551"/>
    </row>
    <row r="75" spans="2:25" ht="15">
      <c r="B75" s="930">
        <v>58726079</v>
      </c>
      <c r="C75" s="728">
        <v>0</v>
      </c>
      <c r="D75" s="728">
        <v>58710560</v>
      </c>
      <c r="E75" s="728">
        <v>0</v>
      </c>
      <c r="F75" s="585"/>
      <c r="G75" s="2"/>
      <c r="H75" s="2"/>
      <c r="I75" s="2"/>
      <c r="J75" s="563" t="s">
        <v>1328</v>
      </c>
      <c r="K75" s="600"/>
      <c r="L75" s="726">
        <v>4361</v>
      </c>
      <c r="M75" s="726">
        <v>116399</v>
      </c>
      <c r="N75" s="734"/>
      <c r="O75" s="726">
        <v>107079</v>
      </c>
      <c r="P75" s="582"/>
      <c r="Q75" s="582"/>
      <c r="R75" s="582"/>
      <c r="S75" s="582"/>
      <c r="T75" s="582"/>
      <c r="U75" s="582"/>
      <c r="V75" s="582"/>
      <c r="W75" s="551"/>
      <c r="X75" s="551"/>
      <c r="Y75" s="551"/>
    </row>
    <row r="76" spans="2:25" ht="15">
      <c r="B76" s="737">
        <f>SUM(B70:B75)</f>
        <v>58726079</v>
      </c>
      <c r="C76" s="737">
        <f>SUM(C70:C75)</f>
        <v>58726079</v>
      </c>
      <c r="D76" s="737">
        <f>SUM(D70:D75)</f>
        <v>58710560</v>
      </c>
      <c r="E76" s="737">
        <f>SUM(E70:E75)</f>
        <v>58710560</v>
      </c>
      <c r="F76" s="907" t="s">
        <v>84</v>
      </c>
      <c r="G76" s="2"/>
      <c r="H76" s="2"/>
      <c r="I76" s="2"/>
      <c r="J76" s="563" t="s">
        <v>1329</v>
      </c>
      <c r="K76" s="600"/>
      <c r="L76" s="728">
        <v>0</v>
      </c>
      <c r="M76" s="728">
        <v>0</v>
      </c>
      <c r="N76" s="734"/>
      <c r="O76" s="728">
        <v>0</v>
      </c>
      <c r="P76" s="582"/>
      <c r="Q76" s="582"/>
      <c r="R76" s="582"/>
      <c r="S76" s="582"/>
      <c r="T76" s="582"/>
      <c r="U76" s="582"/>
      <c r="V76" s="582"/>
      <c r="W76" s="551"/>
      <c r="X76" s="551"/>
      <c r="Y76" s="551"/>
    </row>
    <row r="77" spans="2:25" ht="15">
      <c r="B77" s="586"/>
      <c r="C77" s="587"/>
      <c r="D77" s="1005" t="s">
        <v>361</v>
      </c>
      <c r="E77" s="1006"/>
      <c r="F77" s="868" t="s">
        <v>545</v>
      </c>
      <c r="G77" s="2"/>
      <c r="H77" s="2"/>
      <c r="I77" s="2"/>
      <c r="J77" s="564"/>
      <c r="K77" s="800"/>
      <c r="L77" s="738">
        <f>SUM(L73:L76)</f>
        <v>5567</v>
      </c>
      <c r="M77" s="767">
        <f>SUM(M73:M76)</f>
        <v>142505</v>
      </c>
      <c r="N77" s="738"/>
      <c r="O77" s="738">
        <f>SUM(O73:O76)</f>
        <v>129439</v>
      </c>
      <c r="P77" s="582"/>
      <c r="Q77" s="582"/>
      <c r="R77" s="582"/>
      <c r="S77" s="582"/>
      <c r="T77" s="582"/>
      <c r="U77" s="582"/>
      <c r="V77" s="582"/>
      <c r="W77" s="551"/>
      <c r="X77" s="551"/>
      <c r="Y77" s="551"/>
    </row>
    <row r="78" spans="2:25" ht="15">
      <c r="B78" s="586"/>
      <c r="C78" s="588"/>
      <c r="D78" s="854">
        <v>929262</v>
      </c>
      <c r="E78" s="854">
        <v>35154</v>
      </c>
      <c r="F78" s="582" t="s">
        <v>85</v>
      </c>
      <c r="G78" s="2"/>
      <c r="H78" s="2"/>
      <c r="I78" s="2"/>
      <c r="J78" s="715" t="s">
        <v>1330</v>
      </c>
      <c r="K78" s="717"/>
      <c r="L78" s="759">
        <v>0</v>
      </c>
      <c r="M78" s="769">
        <v>0</v>
      </c>
      <c r="N78" s="802"/>
      <c r="O78" s="759">
        <v>0</v>
      </c>
      <c r="P78" s="582"/>
      <c r="Q78" s="582"/>
      <c r="R78" s="582"/>
      <c r="S78" s="582"/>
      <c r="T78" s="582"/>
      <c r="U78" s="582"/>
      <c r="V78" s="582"/>
      <c r="W78" s="551"/>
      <c r="X78" s="551"/>
      <c r="Y78" s="551"/>
    </row>
    <row r="79" spans="2:25" ht="15">
      <c r="B79" s="586"/>
      <c r="C79" s="588"/>
      <c r="D79" s="854">
        <v>187238</v>
      </c>
      <c r="E79" s="854">
        <v>7083</v>
      </c>
      <c r="F79" s="582"/>
      <c r="G79" s="6"/>
      <c r="H79" s="6"/>
      <c r="I79" s="2"/>
      <c r="J79" s="563" t="s">
        <v>1331</v>
      </c>
      <c r="K79" s="600"/>
      <c r="L79" s="726">
        <v>1794</v>
      </c>
      <c r="M79" s="758">
        <v>46536</v>
      </c>
      <c r="N79" s="734"/>
      <c r="O79" s="726">
        <v>44509</v>
      </c>
      <c r="P79" s="582"/>
      <c r="Q79" s="582"/>
      <c r="R79" s="582"/>
      <c r="S79" s="582"/>
      <c r="T79" s="582"/>
      <c r="U79" s="582"/>
      <c r="V79" s="582"/>
      <c r="W79" s="551"/>
      <c r="X79" s="551"/>
      <c r="Y79" s="551"/>
    </row>
    <row r="80" spans="2:25" ht="15">
      <c r="B80" s="586"/>
      <c r="C80" s="588"/>
      <c r="D80" s="854">
        <v>476958</v>
      </c>
      <c r="E80" s="854">
        <v>18043</v>
      </c>
      <c r="F80" s="585"/>
      <c r="G80" s="6"/>
      <c r="H80" s="6"/>
      <c r="I80" s="2"/>
      <c r="J80" s="563" t="s">
        <v>1332</v>
      </c>
      <c r="K80" s="600"/>
      <c r="L80" s="726">
        <v>12815</v>
      </c>
      <c r="M80" s="758">
        <v>342045</v>
      </c>
      <c r="N80" s="734"/>
      <c r="O80" s="726">
        <v>314659</v>
      </c>
      <c r="P80" s="582"/>
      <c r="Q80" s="582"/>
      <c r="R80" s="582"/>
      <c r="S80" s="582"/>
      <c r="T80" s="582"/>
      <c r="U80" s="582"/>
      <c r="V80" s="582"/>
      <c r="W80" s="551"/>
      <c r="X80" s="551"/>
      <c r="Y80" s="551"/>
    </row>
    <row r="81" spans="2:25" ht="16.5">
      <c r="B81" s="586"/>
      <c r="C81" s="588"/>
      <c r="D81" s="854">
        <v>78924</v>
      </c>
      <c r="E81" s="854">
        <v>2086298</v>
      </c>
      <c r="F81" s="585"/>
      <c r="G81" s="15"/>
      <c r="H81" s="15"/>
      <c r="I81" s="2"/>
      <c r="J81" s="563" t="s">
        <v>1333</v>
      </c>
      <c r="K81" s="600"/>
      <c r="L81" s="728">
        <v>0</v>
      </c>
      <c r="M81" s="727">
        <v>0</v>
      </c>
      <c r="N81" s="734"/>
      <c r="O81" s="728">
        <v>0</v>
      </c>
      <c r="P81" s="582"/>
      <c r="Q81" s="582"/>
      <c r="R81" s="582"/>
      <c r="S81" s="582"/>
      <c r="T81" s="582"/>
      <c r="U81" s="582"/>
      <c r="V81" s="582"/>
      <c r="W81" s="551"/>
      <c r="X81" s="551"/>
      <c r="Y81" s="551"/>
    </row>
    <row r="82" spans="2:25" ht="15">
      <c r="B82" s="586"/>
      <c r="C82" s="588"/>
      <c r="D82" s="855">
        <v>492840</v>
      </c>
      <c r="E82" s="855">
        <v>18644</v>
      </c>
      <c r="F82" s="589"/>
      <c r="G82" s="8"/>
      <c r="H82" s="8"/>
      <c r="I82" s="2"/>
      <c r="J82" s="564"/>
      <c r="K82" s="800"/>
      <c r="L82" s="738">
        <f>SUM(L78:L81)</f>
        <v>14609</v>
      </c>
      <c r="M82" s="767">
        <f>SUM(M78:M81)</f>
        <v>388581</v>
      </c>
      <c r="N82" s="738"/>
      <c r="O82" s="738">
        <f>SUM(O78:O81)</f>
        <v>359168</v>
      </c>
      <c r="P82" s="582"/>
      <c r="Q82" s="582"/>
      <c r="R82" s="582"/>
      <c r="S82" s="582"/>
      <c r="T82" s="582"/>
      <c r="U82" s="582"/>
      <c r="V82" s="582"/>
      <c r="W82" s="551"/>
      <c r="X82" s="551"/>
      <c r="Y82" s="551"/>
    </row>
    <row r="83" spans="2:25" ht="15">
      <c r="B83" s="586"/>
      <c r="C83" s="588"/>
      <c r="D83" s="738">
        <f>SUM(D78:D82)</f>
        <v>2165222</v>
      </c>
      <c r="E83" s="738">
        <f>SUM(E78:E82)</f>
        <v>2165222</v>
      </c>
      <c r="F83" s="586"/>
      <c r="G83" s="8"/>
      <c r="H83" s="8"/>
      <c r="I83" s="2"/>
      <c r="J83" s="715" t="s">
        <v>1334</v>
      </c>
      <c r="K83" s="717"/>
      <c r="L83" s="759">
        <v>0</v>
      </c>
      <c r="M83" s="759">
        <v>0</v>
      </c>
      <c r="N83" s="802"/>
      <c r="O83" s="759">
        <v>0</v>
      </c>
      <c r="P83" s="582"/>
      <c r="Q83" s="582"/>
      <c r="R83" s="582"/>
      <c r="S83" s="582"/>
      <c r="T83" s="582"/>
      <c r="U83" s="582"/>
      <c r="V83" s="582"/>
      <c r="W83" s="551"/>
      <c r="X83" s="551"/>
      <c r="Y83" s="551"/>
    </row>
    <row r="84" spans="2:25" ht="16.5">
      <c r="B84" s="551"/>
      <c r="C84" s="551"/>
      <c r="D84" s="551"/>
      <c r="E84" s="551"/>
      <c r="F84" s="586"/>
      <c r="G84" s="338"/>
      <c r="H84" s="338"/>
      <c r="I84" s="2"/>
      <c r="J84" s="563" t="s">
        <v>1337</v>
      </c>
      <c r="K84" s="600"/>
      <c r="L84" s="726">
        <v>0</v>
      </c>
      <c r="M84" s="726">
        <v>0</v>
      </c>
      <c r="N84" s="734"/>
      <c r="O84" s="726">
        <v>0</v>
      </c>
      <c r="P84" s="582"/>
      <c r="Q84" s="582"/>
      <c r="R84" s="582"/>
      <c r="S84" s="582"/>
      <c r="T84" s="582"/>
      <c r="U84" s="582"/>
      <c r="V84" s="582"/>
      <c r="W84" s="551"/>
      <c r="X84" s="551"/>
      <c r="Y84" s="551"/>
    </row>
    <row r="85" spans="2:25" ht="16.5">
      <c r="B85" s="606" t="s">
        <v>1340</v>
      </c>
      <c r="C85" s="607" t="s">
        <v>1257</v>
      </c>
      <c r="D85" s="607" t="s">
        <v>1257</v>
      </c>
      <c r="E85" s="607" t="s">
        <v>1281</v>
      </c>
      <c r="F85" s="608" t="s">
        <v>1281</v>
      </c>
      <c r="G85" s="3" t="s">
        <v>549</v>
      </c>
      <c r="H85" s="338"/>
      <c r="I85" s="2"/>
      <c r="J85" s="563" t="s">
        <v>1338</v>
      </c>
      <c r="K85" s="600"/>
      <c r="L85" s="726">
        <v>0</v>
      </c>
      <c r="M85" s="726">
        <v>0</v>
      </c>
      <c r="N85" s="734"/>
      <c r="O85" s="726">
        <v>0</v>
      </c>
      <c r="P85" s="582"/>
      <c r="Q85" s="582"/>
      <c r="R85" s="582"/>
      <c r="S85" s="582"/>
      <c r="T85" s="582"/>
      <c r="U85" s="582"/>
      <c r="V85" s="582"/>
      <c r="W85" s="551"/>
      <c r="X85" s="551"/>
      <c r="Y85" s="551"/>
    </row>
    <row r="86" spans="2:25" ht="16.5">
      <c r="B86" s="609" t="s">
        <v>1233</v>
      </c>
      <c r="C86" s="610" t="s">
        <v>1344</v>
      </c>
      <c r="D86" s="610" t="s">
        <v>1294</v>
      </c>
      <c r="E86" s="610" t="s">
        <v>1345</v>
      </c>
      <c r="F86" s="611" t="s">
        <v>1346</v>
      </c>
      <c r="H86" s="339"/>
      <c r="I86" s="2"/>
      <c r="J86" s="563" t="s">
        <v>1339</v>
      </c>
      <c r="K86" s="600"/>
      <c r="L86" s="728">
        <v>0</v>
      </c>
      <c r="M86" s="728">
        <v>0</v>
      </c>
      <c r="N86" s="734"/>
      <c r="O86" s="728">
        <v>0</v>
      </c>
      <c r="P86" s="582"/>
      <c r="Q86" s="582"/>
      <c r="R86" s="582"/>
      <c r="S86" s="582"/>
      <c r="T86" s="582"/>
      <c r="U86" s="582"/>
      <c r="V86" s="582"/>
      <c r="W86" s="551"/>
      <c r="X86" s="551"/>
      <c r="Y86" s="551"/>
    </row>
    <row r="87" spans="2:25" ht="16.5">
      <c r="B87" s="612" t="s">
        <v>1343</v>
      </c>
      <c r="C87" s="613">
        <v>4470.01</v>
      </c>
      <c r="D87" s="614">
        <v>4470.006</v>
      </c>
      <c r="E87" s="613">
        <v>4470.01</v>
      </c>
      <c r="F87" s="615">
        <v>4470.006</v>
      </c>
      <c r="H87" s="339"/>
      <c r="I87" s="2"/>
      <c r="J87" s="564"/>
      <c r="K87" s="800"/>
      <c r="L87" s="738">
        <f>SUM(L83:L86)</f>
        <v>0</v>
      </c>
      <c r="M87" s="767">
        <f>SUM(M83:M86)</f>
        <v>0</v>
      </c>
      <c r="N87" s="738"/>
      <c r="O87" s="738">
        <f>SUM(O83:O86)</f>
        <v>0</v>
      </c>
      <c r="P87" s="585"/>
      <c r="Q87" s="585"/>
      <c r="R87" s="585"/>
      <c r="S87" s="585"/>
      <c r="T87" s="582"/>
      <c r="U87" s="582"/>
      <c r="V87" s="582"/>
      <c r="W87" s="551"/>
      <c r="X87" s="551"/>
      <c r="Y87" s="551"/>
    </row>
    <row r="88" spans="1:25" ht="16.5">
      <c r="A88" s="518"/>
      <c r="B88" s="616" t="s">
        <v>1239</v>
      </c>
      <c r="C88" s="756">
        <v>538912</v>
      </c>
      <c r="D88" s="756">
        <v>537219</v>
      </c>
      <c r="E88" s="756">
        <v>22468236</v>
      </c>
      <c r="F88" s="756">
        <v>26600502</v>
      </c>
      <c r="H88" s="339"/>
      <c r="I88" s="2"/>
      <c r="J88" s="715" t="s">
        <v>1341</v>
      </c>
      <c r="K88" s="717"/>
      <c r="L88" s="759">
        <v>0</v>
      </c>
      <c r="M88" s="769">
        <v>0</v>
      </c>
      <c r="N88" s="802"/>
      <c r="O88" s="759">
        <v>0</v>
      </c>
      <c r="P88" s="861"/>
      <c r="Q88" s="585"/>
      <c r="R88" s="585"/>
      <c r="S88" s="585"/>
      <c r="T88" s="582"/>
      <c r="U88" s="582"/>
      <c r="V88" s="582"/>
      <c r="W88" s="551"/>
      <c r="X88" s="551"/>
      <c r="Y88" s="551"/>
    </row>
    <row r="89" spans="2:25" ht="16.5">
      <c r="B89" s="617" t="s">
        <v>1240</v>
      </c>
      <c r="C89" s="745">
        <v>108588</v>
      </c>
      <c r="D89" s="745">
        <v>108246</v>
      </c>
      <c r="E89" s="745">
        <v>4527163</v>
      </c>
      <c r="F89" s="745">
        <v>5359780</v>
      </c>
      <c r="H89" s="339"/>
      <c r="I89" s="2"/>
      <c r="J89" s="563" t="s">
        <v>1342</v>
      </c>
      <c r="K89" s="600"/>
      <c r="L89" s="726">
        <v>86986</v>
      </c>
      <c r="M89" s="758">
        <v>2256417</v>
      </c>
      <c r="N89" s="734"/>
      <c r="O89" s="726">
        <v>2158122</v>
      </c>
      <c r="P89" s="585"/>
      <c r="Q89" s="585"/>
      <c r="R89" s="585"/>
      <c r="S89" s="585"/>
      <c r="T89" s="582"/>
      <c r="U89" s="582"/>
      <c r="V89" s="582"/>
      <c r="W89" s="551"/>
      <c r="X89" s="551"/>
      <c r="Y89" s="551"/>
    </row>
    <row r="90" spans="2:25" ht="16.5">
      <c r="B90" s="617" t="s">
        <v>1241</v>
      </c>
      <c r="C90" s="745">
        <v>276607</v>
      </c>
      <c r="D90" s="745">
        <v>275733</v>
      </c>
      <c r="E90" s="745">
        <v>11532104</v>
      </c>
      <c r="F90" s="745">
        <v>13653041</v>
      </c>
      <c r="H90" s="339"/>
      <c r="I90" s="2"/>
      <c r="J90" s="563" t="s">
        <v>1347</v>
      </c>
      <c r="K90" s="600"/>
      <c r="L90" s="726">
        <v>185625</v>
      </c>
      <c r="M90" s="758">
        <v>4018224</v>
      </c>
      <c r="N90" s="734"/>
      <c r="O90" s="726">
        <v>3441673</v>
      </c>
      <c r="P90" s="585"/>
      <c r="Q90" s="585"/>
      <c r="R90" s="585"/>
      <c r="S90" s="585"/>
      <c r="T90" s="582"/>
      <c r="U90" s="582"/>
      <c r="V90" s="582"/>
      <c r="W90" s="551"/>
      <c r="X90" s="551"/>
      <c r="Y90" s="551"/>
    </row>
    <row r="91" spans="2:25" ht="16.5">
      <c r="B91" s="617" t="s">
        <v>1242</v>
      </c>
      <c r="C91" s="745">
        <v>354054</v>
      </c>
      <c r="D91" s="745">
        <v>352938</v>
      </c>
      <c r="E91" s="745">
        <v>14761040</v>
      </c>
      <c r="F91" s="745">
        <v>17475830</v>
      </c>
      <c r="H91" s="339"/>
      <c r="I91" s="2"/>
      <c r="J91" s="563" t="s">
        <v>1349</v>
      </c>
      <c r="K91" s="600"/>
      <c r="L91" s="728">
        <v>615741</v>
      </c>
      <c r="M91" s="727">
        <v>16434743</v>
      </c>
      <c r="N91" s="734"/>
      <c r="O91" s="728">
        <v>15118904</v>
      </c>
      <c r="P91" s="585"/>
      <c r="Q91" s="585"/>
      <c r="R91" s="585"/>
      <c r="S91" s="585"/>
      <c r="T91" s="582"/>
      <c r="U91" s="582"/>
      <c r="V91" s="582"/>
      <c r="W91" s="551"/>
      <c r="X91" s="551"/>
      <c r="Y91" s="551"/>
    </row>
    <row r="92" spans="2:25" ht="15">
      <c r="B92" s="617" t="s">
        <v>1243</v>
      </c>
      <c r="C92" s="757">
        <v>285817</v>
      </c>
      <c r="D92" s="757">
        <v>284917</v>
      </c>
      <c r="E92" s="757">
        <v>11916159</v>
      </c>
      <c r="F92" s="757">
        <v>14107730</v>
      </c>
      <c r="H92" s="8"/>
      <c r="I92" s="2"/>
      <c r="J92" s="564"/>
      <c r="K92" s="800"/>
      <c r="L92" s="746">
        <f>SUM(L88:L91)</f>
        <v>888352</v>
      </c>
      <c r="M92" s="767">
        <f>SUM(M88:M91)</f>
        <v>22709384</v>
      </c>
      <c r="N92" s="738"/>
      <c r="O92" s="738">
        <f>SUM(O88:O91)</f>
        <v>20718699</v>
      </c>
      <c r="P92" s="585"/>
      <c r="Q92" s="585"/>
      <c r="R92" s="585"/>
      <c r="S92" s="585"/>
      <c r="T92" s="582"/>
      <c r="U92" s="582"/>
      <c r="V92" s="582"/>
      <c r="W92" s="551"/>
      <c r="X92" s="551"/>
      <c r="Y92" s="551"/>
    </row>
    <row r="93" spans="2:25" ht="16.5">
      <c r="B93" s="618" t="s">
        <v>1348</v>
      </c>
      <c r="C93" s="737">
        <f>SUM(C88:C92)</f>
        <v>1563978</v>
      </c>
      <c r="D93" s="737">
        <f>SUM(D88:D92)</f>
        <v>1559053</v>
      </c>
      <c r="E93" s="737">
        <f>SUM(E88:E92)</f>
        <v>65204702</v>
      </c>
      <c r="F93" s="737">
        <f>SUM(F88:F92)</f>
        <v>77196883</v>
      </c>
      <c r="H93" s="340"/>
      <c r="I93" s="2"/>
      <c r="J93" s="583"/>
      <c r="K93" s="585"/>
      <c r="L93" s="586"/>
      <c r="M93" s="586"/>
      <c r="N93" s="586"/>
      <c r="O93" s="586"/>
      <c r="P93" s="585"/>
      <c r="Q93" s="585"/>
      <c r="R93" s="585"/>
      <c r="S93" s="585"/>
      <c r="T93" s="582"/>
      <c r="U93" s="582"/>
      <c r="V93" s="582"/>
      <c r="W93" s="551"/>
      <c r="X93" s="551"/>
      <c r="Y93" s="551"/>
    </row>
    <row r="94" spans="2:25" ht="16.5">
      <c r="B94" s="619" t="s">
        <v>1350</v>
      </c>
      <c r="C94" s="620"/>
      <c r="D94" s="621"/>
      <c r="E94" s="621"/>
      <c r="F94" s="622"/>
      <c r="H94" s="320"/>
      <c r="J94" s="553" t="s">
        <v>1125</v>
      </c>
      <c r="K94" s="574"/>
      <c r="L94" s="574"/>
      <c r="M94" s="574"/>
      <c r="N94" s="621"/>
      <c r="O94" s="621"/>
      <c r="P94" s="574"/>
      <c r="Q94" s="574"/>
      <c r="R94" s="574"/>
      <c r="S94" s="574"/>
      <c r="T94" s="574"/>
      <c r="U94" s="558"/>
      <c r="V94" s="551"/>
      <c r="W94" s="551"/>
      <c r="X94" s="551"/>
      <c r="Y94" s="551"/>
    </row>
    <row r="95" spans="2:25" ht="16.5">
      <c r="B95" s="616" t="s">
        <v>1239</v>
      </c>
      <c r="C95" s="756">
        <v>538563</v>
      </c>
      <c r="D95" s="756">
        <v>537659</v>
      </c>
      <c r="E95" s="756">
        <v>22369465</v>
      </c>
      <c r="F95" s="756">
        <v>26609982</v>
      </c>
      <c r="G95" s="869" t="s">
        <v>545</v>
      </c>
      <c r="H95" s="320"/>
      <c r="I95" s="2"/>
      <c r="J95" s="563"/>
      <c r="K95" s="778"/>
      <c r="L95" s="639" t="s">
        <v>1352</v>
      </c>
      <c r="M95" s="779" t="s">
        <v>1353</v>
      </c>
      <c r="N95" s="680" t="s">
        <v>1354</v>
      </c>
      <c r="O95" s="592"/>
      <c r="P95" s="689"/>
      <c r="Q95" s="689"/>
      <c r="R95" s="689"/>
      <c r="S95" s="689"/>
      <c r="T95" s="693"/>
      <c r="U95" s="694"/>
      <c r="V95" s="551"/>
      <c r="W95" s="551"/>
      <c r="X95" s="551"/>
      <c r="Y95" s="551"/>
    </row>
    <row r="96" spans="2:25" ht="15">
      <c r="B96" s="617" t="s">
        <v>1240</v>
      </c>
      <c r="C96" s="745">
        <v>108516</v>
      </c>
      <c r="D96" s="745">
        <v>108334</v>
      </c>
      <c r="E96" s="745">
        <v>4507261</v>
      </c>
      <c r="F96" s="745">
        <v>5361690</v>
      </c>
      <c r="G96" s="3" t="s">
        <v>85</v>
      </c>
      <c r="H96" s="320"/>
      <c r="I96" s="2"/>
      <c r="J96" s="563"/>
      <c r="K96" s="778"/>
      <c r="L96" s="575" t="s">
        <v>1355</v>
      </c>
      <c r="M96" s="576" t="s">
        <v>1355</v>
      </c>
      <c r="N96" s="680" t="s">
        <v>972</v>
      </c>
      <c r="O96" s="592"/>
      <c r="P96" s="689"/>
      <c r="Q96" s="689"/>
      <c r="R96" s="689"/>
      <c r="S96" s="689"/>
      <c r="T96" s="689"/>
      <c r="U96" s="690"/>
      <c r="V96" s="551"/>
      <c r="W96" s="551"/>
      <c r="X96" s="551"/>
      <c r="Y96" s="551"/>
    </row>
    <row r="97" spans="2:25" ht="15">
      <c r="B97" s="617" t="s">
        <v>1241</v>
      </c>
      <c r="C97" s="745">
        <v>276427</v>
      </c>
      <c r="D97" s="745">
        <v>275961</v>
      </c>
      <c r="E97" s="745">
        <v>11481408</v>
      </c>
      <c r="F97" s="745">
        <v>13657907</v>
      </c>
      <c r="H97" s="320"/>
      <c r="I97" s="2"/>
      <c r="J97" s="563" t="s">
        <v>906</v>
      </c>
      <c r="K97" s="778"/>
      <c r="L97" s="770">
        <v>0</v>
      </c>
      <c r="M97" s="803" t="s">
        <v>1356</v>
      </c>
      <c r="N97" s="695" t="s">
        <v>973</v>
      </c>
      <c r="O97" s="592"/>
      <c r="P97" s="689"/>
      <c r="Q97" s="689"/>
      <c r="R97" s="689"/>
      <c r="S97" s="689"/>
      <c r="T97" s="689"/>
      <c r="U97" s="690"/>
      <c r="V97" s="551"/>
      <c r="W97" s="551"/>
      <c r="X97" s="551"/>
      <c r="Y97" s="551"/>
    </row>
    <row r="98" spans="2:25" ht="15">
      <c r="B98" s="617" t="s">
        <v>1242</v>
      </c>
      <c r="C98" s="745">
        <v>353823</v>
      </c>
      <c r="D98" s="745">
        <v>353226</v>
      </c>
      <c r="E98" s="745">
        <v>14696150</v>
      </c>
      <c r="F98" s="745">
        <v>17482059</v>
      </c>
      <c r="H98" s="320"/>
      <c r="I98" s="2"/>
      <c r="J98" s="563" t="s">
        <v>1357</v>
      </c>
      <c r="K98" s="778"/>
      <c r="L98" s="771">
        <v>0</v>
      </c>
      <c r="M98" s="803" t="s">
        <v>1356</v>
      </c>
      <c r="N98" s="680" t="s">
        <v>974</v>
      </c>
      <c r="O98" s="592"/>
      <c r="P98" s="689"/>
      <c r="Q98" s="689"/>
      <c r="R98" s="689"/>
      <c r="S98" s="689"/>
      <c r="T98" s="689"/>
      <c r="U98" s="690"/>
      <c r="V98" s="551"/>
      <c r="W98" s="551"/>
      <c r="X98" s="551"/>
      <c r="Y98" s="551"/>
    </row>
    <row r="99" spans="2:25" ht="15">
      <c r="B99" s="617" t="s">
        <v>1243</v>
      </c>
      <c r="C99" s="757">
        <v>285631</v>
      </c>
      <c r="D99" s="757">
        <v>285150</v>
      </c>
      <c r="E99" s="757">
        <v>11863775</v>
      </c>
      <c r="F99" s="757">
        <v>14112758</v>
      </c>
      <c r="H99" s="12"/>
      <c r="I99" s="2"/>
      <c r="J99" s="563" t="s">
        <v>2072</v>
      </c>
      <c r="K99" s="778"/>
      <c r="L99" s="771">
        <v>0</v>
      </c>
      <c r="M99" s="803" t="s">
        <v>1356</v>
      </c>
      <c r="N99" s="695" t="s">
        <v>1358</v>
      </c>
      <c r="O99" s="592"/>
      <c r="P99" s="689"/>
      <c r="Q99" s="689"/>
      <c r="R99" s="689"/>
      <c r="S99" s="689"/>
      <c r="T99" s="689"/>
      <c r="U99" s="690"/>
      <c r="V99" s="551"/>
      <c r="W99" s="551"/>
      <c r="X99" s="551"/>
      <c r="Y99" s="551"/>
    </row>
    <row r="100" spans="2:25" ht="15">
      <c r="B100" s="618" t="s">
        <v>1348</v>
      </c>
      <c r="C100" s="737">
        <f>SUM(C95:C99)</f>
        <v>1562960</v>
      </c>
      <c r="D100" s="737">
        <f>SUM(D95:D99)</f>
        <v>1560330</v>
      </c>
      <c r="E100" s="737">
        <f>SUM(E95:E99)</f>
        <v>64918059</v>
      </c>
      <c r="F100" s="737">
        <f>SUM(F95:F99)</f>
        <v>77224396</v>
      </c>
      <c r="H100" s="18"/>
      <c r="I100" s="2"/>
      <c r="J100" s="563" t="s">
        <v>751</v>
      </c>
      <c r="K100" s="778"/>
      <c r="L100" s="771">
        <v>0</v>
      </c>
      <c r="M100" s="803" t="s">
        <v>1356</v>
      </c>
      <c r="N100" s="696" t="s">
        <v>975</v>
      </c>
      <c r="O100" s="671"/>
      <c r="P100" s="691"/>
      <c r="Q100" s="691"/>
      <c r="R100" s="691"/>
      <c r="S100" s="691"/>
      <c r="T100" s="691"/>
      <c r="U100" s="692"/>
      <c r="V100" s="551"/>
      <c r="W100" s="551"/>
      <c r="X100" s="551"/>
      <c r="Y100" s="551"/>
    </row>
    <row r="101" spans="2:25" ht="16.5">
      <c r="B101" s="551"/>
      <c r="C101" s="590"/>
      <c r="D101" s="590"/>
      <c r="E101" s="591"/>
      <c r="F101" s="591"/>
      <c r="G101" s="338"/>
      <c r="H101" s="338"/>
      <c r="I101" s="2"/>
      <c r="J101" s="563" t="s">
        <v>1165</v>
      </c>
      <c r="K101" s="778"/>
      <c r="L101" s="771">
        <v>0</v>
      </c>
      <c r="M101" s="803" t="s">
        <v>1356</v>
      </c>
      <c r="N101" s="586"/>
      <c r="O101" s="586"/>
      <c r="P101" s="585"/>
      <c r="Q101" s="585"/>
      <c r="R101" s="585"/>
      <c r="S101" s="585"/>
      <c r="T101" s="582"/>
      <c r="U101" s="582"/>
      <c r="V101" s="551"/>
      <c r="W101" s="551"/>
      <c r="X101" s="551"/>
      <c r="Y101" s="551"/>
    </row>
    <row r="102" spans="2:25" ht="16.5">
      <c r="B102" s="624" t="s">
        <v>92</v>
      </c>
      <c r="C102" s="606" t="s">
        <v>1257</v>
      </c>
      <c r="D102" s="607" t="s">
        <v>1257</v>
      </c>
      <c r="E102" s="607" t="s">
        <v>1281</v>
      </c>
      <c r="F102" s="625" t="s">
        <v>1281</v>
      </c>
      <c r="G102" s="3" t="s">
        <v>549</v>
      </c>
      <c r="H102" s="339"/>
      <c r="I102" s="2"/>
      <c r="J102" s="563" t="s">
        <v>1361</v>
      </c>
      <c r="K102" s="778"/>
      <c r="L102" s="771">
        <v>0</v>
      </c>
      <c r="M102" s="804">
        <f>L102</f>
        <v>0</v>
      </c>
      <c r="N102" s="586"/>
      <c r="O102" s="586"/>
      <c r="P102" s="585"/>
      <c r="Q102" s="585"/>
      <c r="R102" s="585"/>
      <c r="S102" s="585"/>
      <c r="T102" s="582"/>
      <c r="U102" s="582"/>
      <c r="V102" s="551"/>
      <c r="W102" s="551"/>
      <c r="X102" s="551"/>
      <c r="Y102" s="551"/>
    </row>
    <row r="103" spans="2:25" ht="16.5">
      <c r="B103" s="626" t="s">
        <v>1343</v>
      </c>
      <c r="C103" s="612" t="s">
        <v>1344</v>
      </c>
      <c r="D103" s="614" t="s">
        <v>1294</v>
      </c>
      <c r="E103" s="614" t="s">
        <v>1345</v>
      </c>
      <c r="F103" s="627" t="s">
        <v>1346</v>
      </c>
      <c r="G103" s="339"/>
      <c r="H103" s="339"/>
      <c r="I103" s="2"/>
      <c r="J103" s="563" t="s">
        <v>1362</v>
      </c>
      <c r="K103" s="778"/>
      <c r="L103" s="771">
        <v>0</v>
      </c>
      <c r="M103" s="805">
        <f>L103</f>
        <v>0</v>
      </c>
      <c r="N103" s="586"/>
      <c r="O103" s="586"/>
      <c r="P103" s="585"/>
      <c r="Q103" s="585"/>
      <c r="R103" s="585"/>
      <c r="S103" s="585"/>
      <c r="T103" s="582"/>
      <c r="U103" s="582"/>
      <c r="V103" s="551"/>
      <c r="W103" s="551"/>
      <c r="X103" s="551"/>
      <c r="Y103" s="551"/>
    </row>
    <row r="104" spans="2:25" ht="16.5">
      <c r="B104" s="628" t="s">
        <v>1239</v>
      </c>
      <c r="C104" s="724">
        <v>0</v>
      </c>
      <c r="D104" s="756">
        <v>0</v>
      </c>
      <c r="E104" s="756">
        <v>0</v>
      </c>
      <c r="F104" s="756">
        <v>0</v>
      </c>
      <c r="G104" s="339"/>
      <c r="H104" s="339"/>
      <c r="I104" s="2"/>
      <c r="J104" s="563" t="s">
        <v>1363</v>
      </c>
      <c r="K104" s="778"/>
      <c r="L104" s="771">
        <v>0</v>
      </c>
      <c r="M104" s="805" t="s">
        <v>1356</v>
      </c>
      <c r="N104" s="586"/>
      <c r="O104" s="586"/>
      <c r="P104" s="585"/>
      <c r="Q104" s="585"/>
      <c r="R104" s="585"/>
      <c r="S104" s="585"/>
      <c r="T104" s="582"/>
      <c r="U104" s="582"/>
      <c r="V104" s="551"/>
      <c r="W104" s="551"/>
      <c r="X104" s="551"/>
      <c r="Y104" s="551"/>
    </row>
    <row r="105" spans="2:25" ht="16.5">
      <c r="B105" s="599" t="s">
        <v>1240</v>
      </c>
      <c r="C105" s="724">
        <v>0</v>
      </c>
      <c r="D105" s="745">
        <v>0</v>
      </c>
      <c r="E105" s="745">
        <v>0</v>
      </c>
      <c r="F105" s="745">
        <v>0</v>
      </c>
      <c r="G105" s="339"/>
      <c r="H105" s="339"/>
      <c r="I105" s="2"/>
      <c r="J105" s="564" t="s">
        <v>1360</v>
      </c>
      <c r="K105" s="781"/>
      <c r="L105" s="807">
        <v>0</v>
      </c>
      <c r="M105" s="806">
        <f>L105*0.0811</f>
        <v>0</v>
      </c>
      <c r="N105" s="586"/>
      <c r="O105" s="586"/>
      <c r="P105" s="585"/>
      <c r="Q105" s="585"/>
      <c r="R105" s="585"/>
      <c r="S105" s="585"/>
      <c r="T105" s="582"/>
      <c r="U105" s="582"/>
      <c r="V105" s="551"/>
      <c r="W105" s="551"/>
      <c r="X105" s="551"/>
      <c r="Y105" s="551"/>
    </row>
    <row r="106" spans="2:25" ht="16.5">
      <c r="B106" s="599" t="s">
        <v>1241</v>
      </c>
      <c r="C106" s="724">
        <v>0</v>
      </c>
      <c r="D106" s="745">
        <v>0</v>
      </c>
      <c r="E106" s="745">
        <v>0</v>
      </c>
      <c r="F106" s="745">
        <v>0</v>
      </c>
      <c r="G106" s="339"/>
      <c r="H106" s="339"/>
      <c r="I106" s="2"/>
      <c r="J106" s="585"/>
      <c r="K106" s="585"/>
      <c r="L106" s="848" t="s">
        <v>1560</v>
      </c>
      <c r="M106" s="848" t="s">
        <v>1560</v>
      </c>
      <c r="N106" s="586"/>
      <c r="O106" s="589"/>
      <c r="P106" s="585"/>
      <c r="Q106" s="585"/>
      <c r="R106" s="585"/>
      <c r="S106" s="585"/>
      <c r="T106" s="582"/>
      <c r="U106" s="589"/>
      <c r="V106" s="585"/>
      <c r="W106" s="585"/>
      <c r="X106" s="585"/>
      <c r="Y106" s="551"/>
    </row>
    <row r="107" spans="2:25" ht="16.5">
      <c r="B107" s="599" t="s">
        <v>1242</v>
      </c>
      <c r="C107" s="724">
        <v>0</v>
      </c>
      <c r="D107" s="745">
        <v>0</v>
      </c>
      <c r="E107" s="745">
        <v>0</v>
      </c>
      <c r="F107" s="745">
        <v>0</v>
      </c>
      <c r="G107" s="339"/>
      <c r="H107" s="339"/>
      <c r="I107" s="2"/>
      <c r="J107" s="559" t="s">
        <v>1351</v>
      </c>
      <c r="K107" s="566"/>
      <c r="L107" s="808" t="s">
        <v>1364</v>
      </c>
      <c r="M107" s="809" t="s">
        <v>1343</v>
      </c>
      <c r="N107" s="607"/>
      <c r="O107" s="639" t="s">
        <v>1365</v>
      </c>
      <c r="P107" s="551"/>
      <c r="Q107" s="551"/>
      <c r="R107" s="551"/>
      <c r="S107" s="551"/>
      <c r="T107" s="551"/>
      <c r="U107" s="589"/>
      <c r="V107" s="585"/>
      <c r="W107" s="585"/>
      <c r="X107" s="585"/>
      <c r="Y107" s="551"/>
    </row>
    <row r="108" spans="2:25" ht="15">
      <c r="B108" s="617" t="s">
        <v>1243</v>
      </c>
      <c r="C108" s="757">
        <v>0</v>
      </c>
      <c r="D108" s="757">
        <v>0</v>
      </c>
      <c r="E108" s="757">
        <v>0</v>
      </c>
      <c r="F108" s="757">
        <v>0</v>
      </c>
      <c r="G108" s="8"/>
      <c r="H108" s="8"/>
      <c r="J108" s="563"/>
      <c r="K108" s="778"/>
      <c r="L108" s="810" t="s">
        <v>1348</v>
      </c>
      <c r="M108" s="719" t="s">
        <v>1366</v>
      </c>
      <c r="N108" s="603"/>
      <c r="O108" s="575" t="s">
        <v>1367</v>
      </c>
      <c r="P108" s="910" t="s">
        <v>1801</v>
      </c>
      <c r="Q108" s="551"/>
      <c r="R108" s="551"/>
      <c r="S108" s="551"/>
      <c r="T108" s="551"/>
      <c r="U108" s="589"/>
      <c r="V108" s="585"/>
      <c r="W108" s="585"/>
      <c r="X108" s="585"/>
      <c r="Y108" s="551"/>
    </row>
    <row r="109" spans="2:25" ht="15">
      <c r="B109" s="618" t="s">
        <v>1348</v>
      </c>
      <c r="C109" s="737">
        <f>SUM(C104:C108)</f>
        <v>0</v>
      </c>
      <c r="D109" s="737">
        <f>SUM(D104:D108)</f>
        <v>0</v>
      </c>
      <c r="E109" s="737">
        <f>SUM(E104:E108)</f>
        <v>0</v>
      </c>
      <c r="F109" s="737">
        <f>SUM(F104:F108)</f>
        <v>0</v>
      </c>
      <c r="G109" s="8"/>
      <c r="H109" s="8"/>
      <c r="I109" s="2"/>
      <c r="J109" s="564"/>
      <c r="K109" s="781"/>
      <c r="L109" s="811"/>
      <c r="M109" s="812"/>
      <c r="N109" s="800"/>
      <c r="O109" s="576" t="s">
        <v>1967</v>
      </c>
      <c r="P109" s="582"/>
      <c r="Q109" s="551"/>
      <c r="R109" s="1008" t="s">
        <v>254</v>
      </c>
      <c r="S109" s="1010"/>
      <c r="T109" s="1010"/>
      <c r="U109" s="1009"/>
      <c r="V109" s="585"/>
      <c r="W109" s="585"/>
      <c r="X109" s="585"/>
      <c r="Y109" s="551"/>
    </row>
    <row r="110" spans="2:25" ht="15">
      <c r="B110" s="619" t="s">
        <v>1350</v>
      </c>
      <c r="C110" s="620"/>
      <c r="D110" s="621"/>
      <c r="E110" s="621"/>
      <c r="F110" s="622"/>
      <c r="G110" s="8"/>
      <c r="H110" s="8"/>
      <c r="I110" s="2"/>
      <c r="J110" s="813" t="s">
        <v>252</v>
      </c>
      <c r="K110" s="778"/>
      <c r="L110" s="940">
        <v>20500</v>
      </c>
      <c r="M110" s="940">
        <v>326877</v>
      </c>
      <c r="N110" s="817"/>
      <c r="O110" s="772">
        <v>1956</v>
      </c>
      <c r="P110" s="847" t="s">
        <v>146</v>
      </c>
      <c r="Q110" s="551"/>
      <c r="R110" s="634"/>
      <c r="S110" s="823" t="s">
        <v>825</v>
      </c>
      <c r="T110" s="824"/>
      <c r="U110" s="825" t="s">
        <v>826</v>
      </c>
      <c r="V110" s="585"/>
      <c r="W110" s="551"/>
      <c r="X110" s="585"/>
      <c r="Y110" s="551"/>
    </row>
    <row r="111" spans="2:25" ht="16.5">
      <c r="B111" s="616" t="s">
        <v>1239</v>
      </c>
      <c r="C111" s="756">
        <v>0</v>
      </c>
      <c r="D111" s="756">
        <v>0</v>
      </c>
      <c r="E111" s="756">
        <v>0</v>
      </c>
      <c r="F111" s="756">
        <v>0</v>
      </c>
      <c r="G111" s="869" t="s">
        <v>545</v>
      </c>
      <c r="H111" s="8"/>
      <c r="I111" s="2"/>
      <c r="J111" s="813" t="s">
        <v>253</v>
      </c>
      <c r="K111" s="778"/>
      <c r="L111" s="938">
        <v>19622</v>
      </c>
      <c r="M111" s="938">
        <v>369951</v>
      </c>
      <c r="N111" s="818"/>
      <c r="O111" s="772">
        <v>2211</v>
      </c>
      <c r="P111" s="847" t="s">
        <v>147</v>
      </c>
      <c r="Q111" s="551"/>
      <c r="R111" s="560" t="s">
        <v>1239</v>
      </c>
      <c r="S111" s="828">
        <v>18588</v>
      </c>
      <c r="T111" s="826"/>
      <c r="U111" s="829">
        <f>IF(ISNUMBER(S111/S113*U113),S111/S113*U113,0)</f>
        <v>185986.74691347184</v>
      </c>
      <c r="V111" s="585"/>
      <c r="W111" s="698"/>
      <c r="X111" s="585"/>
      <c r="Y111" s="551"/>
    </row>
    <row r="112" spans="2:25" ht="15">
      <c r="B112" s="617" t="s">
        <v>1240</v>
      </c>
      <c r="C112" s="745">
        <v>0</v>
      </c>
      <c r="D112" s="745">
        <v>0</v>
      </c>
      <c r="E112" s="745">
        <v>0</v>
      </c>
      <c r="F112" s="745">
        <v>0</v>
      </c>
      <c r="G112" s="8"/>
      <c r="H112" s="8"/>
      <c r="I112" s="2"/>
      <c r="J112" s="813" t="s">
        <v>254</v>
      </c>
      <c r="K112" s="778"/>
      <c r="L112" s="941">
        <f>S111</f>
        <v>18588</v>
      </c>
      <c r="M112" s="942">
        <f>U111</f>
        <v>185986.74691347184</v>
      </c>
      <c r="N112" s="818"/>
      <c r="O112" s="772">
        <v>176</v>
      </c>
      <c r="P112" s="582"/>
      <c r="Q112" s="551"/>
      <c r="R112" s="560" t="s">
        <v>1394</v>
      </c>
      <c r="S112" s="828">
        <v>38353</v>
      </c>
      <c r="T112" s="826"/>
      <c r="U112" s="829">
        <f>U113-U111</f>
        <v>383750.25308652816</v>
      </c>
      <c r="V112" s="585"/>
      <c r="W112" s="585"/>
      <c r="X112" s="585"/>
      <c r="Y112" s="551"/>
    </row>
    <row r="113" spans="2:25" ht="15">
      <c r="B113" s="617" t="s">
        <v>1241</v>
      </c>
      <c r="C113" s="745">
        <v>0</v>
      </c>
      <c r="D113" s="745">
        <v>0</v>
      </c>
      <c r="E113" s="745">
        <v>0</v>
      </c>
      <c r="F113" s="745">
        <v>0</v>
      </c>
      <c r="G113" s="8"/>
      <c r="H113" s="8"/>
      <c r="I113" s="2"/>
      <c r="J113" s="813" t="s">
        <v>2038</v>
      </c>
      <c r="K113" s="778"/>
      <c r="L113" s="938">
        <v>147</v>
      </c>
      <c r="M113" s="938">
        <v>263</v>
      </c>
      <c r="N113" s="818"/>
      <c r="O113" s="772">
        <v>0</v>
      </c>
      <c r="P113" s="582"/>
      <c r="Q113" s="551"/>
      <c r="R113" s="560" t="s">
        <v>1393</v>
      </c>
      <c r="S113" s="829">
        <f>SUM(S111:S112)</f>
        <v>56941</v>
      </c>
      <c r="T113" s="827"/>
      <c r="U113" s="828">
        <v>569737</v>
      </c>
      <c r="V113" s="585"/>
      <c r="W113" s="676"/>
      <c r="X113" s="585"/>
      <c r="Y113" s="551"/>
    </row>
    <row r="114" spans="2:25" ht="15">
      <c r="B114" s="617" t="s">
        <v>1242</v>
      </c>
      <c r="C114" s="745">
        <v>0</v>
      </c>
      <c r="D114" s="745">
        <v>0</v>
      </c>
      <c r="E114" s="745">
        <v>0</v>
      </c>
      <c r="F114" s="745">
        <v>0</v>
      </c>
      <c r="G114" s="8"/>
      <c r="H114" s="8"/>
      <c r="I114" s="2"/>
      <c r="J114" s="813" t="s">
        <v>2039</v>
      </c>
      <c r="K114" s="778"/>
      <c r="L114" s="938">
        <v>148</v>
      </c>
      <c r="M114" s="938">
        <v>265</v>
      </c>
      <c r="N114" s="818"/>
      <c r="O114" s="772">
        <v>0</v>
      </c>
      <c r="P114" s="582"/>
      <c r="Q114" s="551"/>
      <c r="R114" s="551"/>
      <c r="S114" s="551"/>
      <c r="T114" s="551"/>
      <c r="U114" s="699"/>
      <c r="V114" s="585"/>
      <c r="W114" s="585"/>
      <c r="X114" s="585"/>
      <c r="Y114" s="551"/>
    </row>
    <row r="115" spans="2:25" ht="15">
      <c r="B115" s="617" t="s">
        <v>1243</v>
      </c>
      <c r="C115" s="757">
        <v>0</v>
      </c>
      <c r="D115" s="757">
        <v>0</v>
      </c>
      <c r="E115" s="757">
        <v>0</v>
      </c>
      <c r="F115" s="757">
        <v>0</v>
      </c>
      <c r="G115" s="8"/>
      <c r="H115" s="8"/>
      <c r="I115" s="2"/>
      <c r="J115" s="813" t="s">
        <v>2040</v>
      </c>
      <c r="K115" s="778"/>
      <c r="L115" s="938">
        <v>149</v>
      </c>
      <c r="M115" s="938">
        <v>265</v>
      </c>
      <c r="N115" s="818"/>
      <c r="O115" s="772">
        <v>0</v>
      </c>
      <c r="P115" s="582"/>
      <c r="Q115" s="551"/>
      <c r="R115" s="551"/>
      <c r="S115" s="551"/>
      <c r="T115" s="551"/>
      <c r="U115" s="699"/>
      <c r="V115" s="585"/>
      <c r="W115" s="585"/>
      <c r="X115" s="585"/>
      <c r="Y115" s="551"/>
    </row>
    <row r="116" spans="2:25" ht="15">
      <c r="B116" s="618" t="s">
        <v>1348</v>
      </c>
      <c r="C116" s="737">
        <f>SUM(C111:C115)</f>
        <v>0</v>
      </c>
      <c r="D116" s="737">
        <f>SUM(D111:D115)</f>
        <v>0</v>
      </c>
      <c r="E116" s="737">
        <f>SUM(E111:E115)</f>
        <v>0</v>
      </c>
      <c r="F116" s="737">
        <f>SUM(F111:F115)</f>
        <v>0</v>
      </c>
      <c r="G116" s="18"/>
      <c r="H116" s="18"/>
      <c r="I116" s="2"/>
      <c r="J116" s="813" t="s">
        <v>2041</v>
      </c>
      <c r="K116" s="778"/>
      <c r="L116" s="938">
        <v>173</v>
      </c>
      <c r="M116" s="939">
        <v>310</v>
      </c>
      <c r="N116" s="818"/>
      <c r="O116" s="772">
        <v>0</v>
      </c>
      <c r="P116" s="582"/>
      <c r="Q116" s="551"/>
      <c r="R116" s="590"/>
      <c r="S116" s="551"/>
      <c r="T116" s="551"/>
      <c r="U116" s="699"/>
      <c r="V116" s="585"/>
      <c r="W116" s="676"/>
      <c r="X116" s="585"/>
      <c r="Y116" s="551"/>
    </row>
    <row r="117" spans="2:25" ht="15">
      <c r="B117" s="551"/>
      <c r="C117" s="590"/>
      <c r="D117" s="590"/>
      <c r="E117" s="591" t="s">
        <v>1236</v>
      </c>
      <c r="F117" s="591"/>
      <c r="G117" s="2"/>
      <c r="H117" s="2"/>
      <c r="I117" s="2"/>
      <c r="J117" s="813" t="s">
        <v>2042</v>
      </c>
      <c r="K117" s="778"/>
      <c r="L117" s="938">
        <v>171</v>
      </c>
      <c r="M117" s="939">
        <v>307</v>
      </c>
      <c r="N117" s="818"/>
      <c r="O117" s="772">
        <v>0</v>
      </c>
      <c r="P117" s="582"/>
      <c r="Q117" s="551"/>
      <c r="R117" s="551"/>
      <c r="S117" s="551"/>
      <c r="T117" s="551"/>
      <c r="U117" s="700"/>
      <c r="V117" s="585"/>
      <c r="W117" s="585"/>
      <c r="X117" s="585"/>
      <c r="Y117" s="551"/>
    </row>
    <row r="118" spans="1:25" ht="16.5">
      <c r="A118" s="629" t="s">
        <v>1312</v>
      </c>
      <c r="B118" s="629" t="s">
        <v>316</v>
      </c>
      <c r="C118" s="551"/>
      <c r="D118" s="629" t="s">
        <v>2096</v>
      </c>
      <c r="E118" s="582"/>
      <c r="F118" s="582"/>
      <c r="G118" s="338"/>
      <c r="H118" s="338"/>
      <c r="J118" s="813" t="s">
        <v>2043</v>
      </c>
      <c r="K118" s="778"/>
      <c r="L118" s="938">
        <v>186</v>
      </c>
      <c r="M118" s="939">
        <v>323</v>
      </c>
      <c r="N118" s="818"/>
      <c r="O118" s="772">
        <v>0</v>
      </c>
      <c r="P118" s="582"/>
      <c r="Q118" s="551"/>
      <c r="R118" s="551"/>
      <c r="S118" s="551"/>
      <c r="T118" s="551"/>
      <c r="U118" s="701"/>
      <c r="V118" s="585"/>
      <c r="W118" s="676"/>
      <c r="X118" s="585"/>
      <c r="Y118" s="551"/>
    </row>
    <row r="119" spans="1:25" ht="16.5">
      <c r="A119" s="565" t="s">
        <v>1963</v>
      </c>
      <c r="B119" s="908" t="s">
        <v>86</v>
      </c>
      <c r="C119" s="908" t="s">
        <v>87</v>
      </c>
      <c r="D119" s="565" t="s">
        <v>1963</v>
      </c>
      <c r="E119" s="908" t="s">
        <v>88</v>
      </c>
      <c r="F119" s="908" t="s">
        <v>89</v>
      </c>
      <c r="G119" s="3" t="s">
        <v>547</v>
      </c>
      <c r="H119" s="338"/>
      <c r="J119" s="813" t="s">
        <v>255</v>
      </c>
      <c r="K119" s="778"/>
      <c r="L119" s="938">
        <v>12492</v>
      </c>
      <c r="M119" s="939">
        <v>24637</v>
      </c>
      <c r="N119" s="818"/>
      <c r="O119" s="772">
        <v>110</v>
      </c>
      <c r="P119" s="582"/>
      <c r="Q119" s="551"/>
      <c r="R119" s="1008" t="s">
        <v>1617</v>
      </c>
      <c r="S119" s="1009"/>
      <c r="T119" s="551"/>
      <c r="U119" s="699"/>
      <c r="V119" s="585"/>
      <c r="W119" s="585"/>
      <c r="X119" s="585"/>
      <c r="Y119" s="551"/>
    </row>
    <row r="120" spans="1:25" ht="16.5">
      <c r="A120" s="630"/>
      <c r="B120" s="756">
        <v>36570</v>
      </c>
      <c r="C120" s="756">
        <v>36571</v>
      </c>
      <c r="D120" s="630"/>
      <c r="E120" s="756">
        <v>1501893</v>
      </c>
      <c r="F120" s="756">
        <v>1557369</v>
      </c>
      <c r="G120" s="338"/>
      <c r="H120" s="338"/>
      <c r="J120" s="813" t="s">
        <v>256</v>
      </c>
      <c r="K120" s="778"/>
      <c r="L120" s="938">
        <v>1375</v>
      </c>
      <c r="M120" s="939">
        <v>3939</v>
      </c>
      <c r="N120" s="818"/>
      <c r="O120" s="772">
        <v>18</v>
      </c>
      <c r="P120" s="582"/>
      <c r="Q120" s="551"/>
      <c r="R120" s="702">
        <v>3703</v>
      </c>
      <c r="S120" s="703">
        <v>7914</v>
      </c>
      <c r="T120" s="551"/>
      <c r="U120" s="699"/>
      <c r="V120" s="585"/>
      <c r="W120" s="585"/>
      <c r="X120" s="585"/>
      <c r="Y120" s="551"/>
    </row>
    <row r="121" spans="1:25" ht="16.5">
      <c r="A121" s="631"/>
      <c r="B121" s="745">
        <v>7369</v>
      </c>
      <c r="C121" s="745">
        <v>7369</v>
      </c>
      <c r="D121" s="631"/>
      <c r="E121" s="745">
        <v>302619</v>
      </c>
      <c r="F121" s="745">
        <v>313797</v>
      </c>
      <c r="G121" s="338"/>
      <c r="H121" s="338"/>
      <c r="J121" s="813" t="s">
        <v>257</v>
      </c>
      <c r="K121" s="778"/>
      <c r="L121" s="938">
        <v>26091</v>
      </c>
      <c r="M121" s="939">
        <v>82761</v>
      </c>
      <c r="N121" s="818"/>
      <c r="O121" s="772">
        <v>369</v>
      </c>
      <c r="P121" s="582"/>
      <c r="Q121" s="551"/>
      <c r="R121" s="560" t="s">
        <v>825</v>
      </c>
      <c r="S121" s="562" t="s">
        <v>826</v>
      </c>
      <c r="T121" s="551"/>
      <c r="U121" s="699"/>
      <c r="V121" s="585"/>
      <c r="W121" s="585"/>
      <c r="X121" s="585"/>
      <c r="Y121" s="551"/>
    </row>
    <row r="122" spans="1:25" ht="16.5">
      <c r="A122" s="631"/>
      <c r="B122" s="745">
        <v>18770</v>
      </c>
      <c r="C122" s="745">
        <v>18769</v>
      </c>
      <c r="D122" s="631"/>
      <c r="E122" s="745">
        <v>770865</v>
      </c>
      <c r="F122" s="745">
        <v>799339</v>
      </c>
      <c r="G122" s="338"/>
      <c r="H122" s="338"/>
      <c r="J122" s="813" t="s">
        <v>258</v>
      </c>
      <c r="K122" s="778"/>
      <c r="L122" s="941">
        <v>3703</v>
      </c>
      <c r="M122" s="946">
        <v>7914</v>
      </c>
      <c r="N122" s="818"/>
      <c r="O122" s="772">
        <v>44</v>
      </c>
      <c r="P122" s="582"/>
      <c r="Q122" s="551"/>
      <c r="R122" s="830">
        <f>O122/(O122+O123)*R120</f>
        <v>1939.6666666666667</v>
      </c>
      <c r="S122" s="831">
        <f>O122/(O122+O123)*S120</f>
        <v>4145.428571428572</v>
      </c>
      <c r="T122" s="551"/>
      <c r="U122" s="699"/>
      <c r="V122" s="585"/>
      <c r="W122" s="585"/>
      <c r="X122" s="585"/>
      <c r="Y122" s="551"/>
    </row>
    <row r="123" spans="1:25" ht="16.5">
      <c r="A123" s="631"/>
      <c r="B123" s="745">
        <v>24026</v>
      </c>
      <c r="C123" s="745">
        <v>24025</v>
      </c>
      <c r="D123" s="631"/>
      <c r="E123" s="745">
        <v>986704</v>
      </c>
      <c r="F123" s="745">
        <v>1023151</v>
      </c>
      <c r="G123" s="338"/>
      <c r="H123" s="338"/>
      <c r="J123" s="813" t="s">
        <v>259</v>
      </c>
      <c r="K123" s="778"/>
      <c r="L123" s="816">
        <v>0</v>
      </c>
      <c r="M123" s="822">
        <v>0</v>
      </c>
      <c r="N123" s="818"/>
      <c r="O123" s="772">
        <v>40</v>
      </c>
      <c r="P123" s="582"/>
      <c r="Q123" s="551"/>
      <c r="R123" s="832">
        <f>O123/(O122+O123)*R120</f>
        <v>1763.3333333333333</v>
      </c>
      <c r="S123" s="833">
        <f>O123/(O122+O123)*S120</f>
        <v>3768.5714285714284</v>
      </c>
      <c r="T123" s="551"/>
      <c r="U123" s="699"/>
      <c r="V123" s="585"/>
      <c r="W123" s="585"/>
      <c r="X123" s="585"/>
      <c r="Y123" s="551"/>
    </row>
    <row r="124" spans="1:25" ht="15">
      <c r="A124" s="604"/>
      <c r="B124" s="757">
        <v>19396</v>
      </c>
      <c r="C124" s="757">
        <v>19397</v>
      </c>
      <c r="D124" s="604"/>
      <c r="E124" s="757">
        <v>796538</v>
      </c>
      <c r="F124" s="757">
        <v>825960</v>
      </c>
      <c r="G124" s="8"/>
      <c r="H124" s="8"/>
      <c r="J124" s="813" t="s">
        <v>260</v>
      </c>
      <c r="K124" s="778"/>
      <c r="L124" s="938">
        <v>36368</v>
      </c>
      <c r="M124" s="939">
        <v>62992</v>
      </c>
      <c r="N124" s="818"/>
      <c r="O124" s="772">
        <v>453</v>
      </c>
      <c r="P124" s="582"/>
      <c r="Q124" s="551"/>
      <c r="R124" s="737">
        <f>SUM(R122:R123)</f>
        <v>3703</v>
      </c>
      <c r="S124" s="738">
        <f>SUM(S122:S123)</f>
        <v>7914</v>
      </c>
      <c r="T124" s="551"/>
      <c r="U124" s="699"/>
      <c r="V124" s="585"/>
      <c r="W124" s="585"/>
      <c r="X124" s="585"/>
      <c r="Y124" s="551"/>
    </row>
    <row r="125" spans="1:25" ht="15">
      <c r="A125" s="604">
        <f aca="true" t="shared" si="3" ref="A125:F125">SUM(A120:A124)</f>
        <v>0</v>
      </c>
      <c r="B125" s="737">
        <f t="shared" si="3"/>
        <v>106131</v>
      </c>
      <c r="C125" s="737">
        <f t="shared" si="3"/>
        <v>106131</v>
      </c>
      <c r="D125" s="604"/>
      <c r="E125" s="737">
        <f t="shared" si="3"/>
        <v>4358619</v>
      </c>
      <c r="F125" s="737">
        <f t="shared" si="3"/>
        <v>4519616</v>
      </c>
      <c r="G125" s="8"/>
      <c r="H125" s="8"/>
      <c r="J125" s="813" t="s">
        <v>261</v>
      </c>
      <c r="K125" s="778"/>
      <c r="L125" s="938">
        <v>14009</v>
      </c>
      <c r="M125" s="939">
        <v>37946</v>
      </c>
      <c r="N125" s="818"/>
      <c r="O125" s="772">
        <v>218</v>
      </c>
      <c r="P125" s="582"/>
      <c r="Q125" s="551"/>
      <c r="R125" s="551"/>
      <c r="S125" s="551"/>
      <c r="T125" s="551"/>
      <c r="U125" s="699"/>
      <c r="V125" s="585"/>
      <c r="W125" s="585"/>
      <c r="X125" s="585"/>
      <c r="Y125" s="551"/>
    </row>
    <row r="126" spans="1:25" ht="16.5" customHeight="1">
      <c r="A126" s="619" t="s">
        <v>1350</v>
      </c>
      <c r="B126" s="633"/>
      <c r="C126" s="621"/>
      <c r="D126" s="621"/>
      <c r="E126" s="621"/>
      <c r="F126" s="622"/>
      <c r="G126" s="8"/>
      <c r="H126" s="8"/>
      <c r="J126" s="813" t="s">
        <v>262</v>
      </c>
      <c r="K126" s="778"/>
      <c r="L126" s="938">
        <v>33604</v>
      </c>
      <c r="M126" s="939">
        <v>88626</v>
      </c>
      <c r="N126" s="818"/>
      <c r="O126" s="772">
        <v>617</v>
      </c>
      <c r="P126" s="582"/>
      <c r="Q126" s="551"/>
      <c r="R126" s="551"/>
      <c r="S126" s="551"/>
      <c r="T126" s="551"/>
      <c r="U126" s="699"/>
      <c r="V126" s="585"/>
      <c r="W126" s="585"/>
      <c r="X126" s="585"/>
      <c r="Y126" s="551"/>
    </row>
    <row r="127" spans="1:25" ht="16.5" customHeight="1">
      <c r="A127" s="630"/>
      <c r="B127" s="758">
        <v>36525</v>
      </c>
      <c r="C127" s="724">
        <v>36525</v>
      </c>
      <c r="D127" s="631"/>
      <c r="E127" s="726">
        <v>1497338</v>
      </c>
      <c r="F127" s="745">
        <v>1555651</v>
      </c>
      <c r="G127" s="870" t="s">
        <v>545</v>
      </c>
      <c r="H127" s="8"/>
      <c r="J127" s="813" t="s">
        <v>263</v>
      </c>
      <c r="K127" s="778"/>
      <c r="L127" s="938">
        <v>137204</v>
      </c>
      <c r="M127" s="939">
        <v>755835</v>
      </c>
      <c r="N127" s="818"/>
      <c r="O127" s="772">
        <v>287</v>
      </c>
      <c r="P127" s="582"/>
      <c r="Q127" s="551"/>
      <c r="R127" s="551"/>
      <c r="S127" s="551"/>
      <c r="T127" s="551"/>
      <c r="U127" s="699"/>
      <c r="V127" s="585"/>
      <c r="W127" s="585"/>
      <c r="X127" s="585"/>
      <c r="Y127" s="551"/>
    </row>
    <row r="128" spans="1:25" ht="15">
      <c r="A128" s="631"/>
      <c r="B128" s="758">
        <v>7360</v>
      </c>
      <c r="C128" s="724">
        <v>7360</v>
      </c>
      <c r="D128" s="631"/>
      <c r="E128" s="726">
        <v>301701</v>
      </c>
      <c r="F128" s="745">
        <v>313451</v>
      </c>
      <c r="G128" s="8" t="s">
        <v>85</v>
      </c>
      <c r="H128" s="8"/>
      <c r="J128" s="813" t="s">
        <v>264</v>
      </c>
      <c r="K128" s="778"/>
      <c r="L128" s="938">
        <v>5319</v>
      </c>
      <c r="M128" s="939">
        <v>24799</v>
      </c>
      <c r="N128" s="818"/>
      <c r="O128" s="772">
        <v>198</v>
      </c>
      <c r="P128" s="582"/>
      <c r="Q128" s="551"/>
      <c r="R128" s="551"/>
      <c r="S128" s="551"/>
      <c r="T128" s="551"/>
      <c r="U128" s="699"/>
      <c r="V128" s="585"/>
      <c r="W128" s="585"/>
      <c r="X128" s="585"/>
      <c r="Y128" s="551"/>
    </row>
    <row r="129" spans="1:25" ht="15">
      <c r="A129" s="631"/>
      <c r="B129" s="758">
        <v>18747</v>
      </c>
      <c r="C129" s="724">
        <v>18746</v>
      </c>
      <c r="D129" s="631"/>
      <c r="E129" s="726">
        <v>768527</v>
      </c>
      <c r="F129" s="745">
        <v>798457</v>
      </c>
      <c r="G129" s="8"/>
      <c r="H129" s="8"/>
      <c r="J129" s="813" t="s">
        <v>265</v>
      </c>
      <c r="K129" s="778"/>
      <c r="L129" s="858"/>
      <c r="M129" s="859"/>
      <c r="N129" s="818"/>
      <c r="O129" s="860"/>
      <c r="P129" s="704" t="s">
        <v>324</v>
      </c>
      <c r="Q129" s="551"/>
      <c r="R129" s="551"/>
      <c r="S129" s="551"/>
      <c r="T129" s="551"/>
      <c r="U129" s="699"/>
      <c r="V129" s="594"/>
      <c r="W129" s="594"/>
      <c r="X129" s="585"/>
      <c r="Y129" s="551"/>
    </row>
    <row r="130" spans="1:25" ht="15">
      <c r="A130" s="631"/>
      <c r="B130" s="758">
        <v>23996</v>
      </c>
      <c r="C130" s="724">
        <v>23996</v>
      </c>
      <c r="D130" s="631"/>
      <c r="E130" s="726">
        <v>983712</v>
      </c>
      <c r="F130" s="745">
        <v>1022022</v>
      </c>
      <c r="G130" s="8"/>
      <c r="H130" s="8"/>
      <c r="J130" s="813" t="s">
        <v>266</v>
      </c>
      <c r="K130" s="778"/>
      <c r="L130" s="938">
        <v>11896</v>
      </c>
      <c r="M130" s="939">
        <v>35765</v>
      </c>
      <c r="N130" s="818"/>
      <c r="O130" s="772">
        <v>241</v>
      </c>
      <c r="P130" s="705">
        <f>SUM(O110:O130)</f>
        <v>6938</v>
      </c>
      <c r="Q130" s="551"/>
      <c r="R130" s="551"/>
      <c r="S130" s="551"/>
      <c r="T130" s="551"/>
      <c r="U130" s="699"/>
      <c r="V130" s="586"/>
      <c r="W130" s="586"/>
      <c r="X130" s="585"/>
      <c r="Y130" s="551"/>
    </row>
    <row r="131" spans="1:25" ht="16.5" customHeight="1">
      <c r="A131" s="604"/>
      <c r="B131" s="758">
        <v>19372</v>
      </c>
      <c r="C131" s="724">
        <v>19373</v>
      </c>
      <c r="D131" s="604"/>
      <c r="E131" s="728">
        <v>794122</v>
      </c>
      <c r="F131" s="757">
        <v>825049</v>
      </c>
      <c r="G131" s="8"/>
      <c r="H131" s="8"/>
      <c r="J131" s="813" t="s">
        <v>267</v>
      </c>
      <c r="K131" s="778"/>
      <c r="L131" s="858"/>
      <c r="M131" s="858"/>
      <c r="N131" s="818"/>
      <c r="O131" s="858"/>
      <c r="P131" s="704" t="s">
        <v>324</v>
      </c>
      <c r="Q131" s="551"/>
      <c r="R131" s="551"/>
      <c r="S131" s="551"/>
      <c r="T131" s="551"/>
      <c r="U131" s="699"/>
      <c r="V131" s="594"/>
      <c r="W131" s="594"/>
      <c r="X131" s="585"/>
      <c r="Y131" s="551"/>
    </row>
    <row r="132" spans="1:25" ht="16.5" customHeight="1">
      <c r="A132" s="604">
        <f aca="true" t="shared" si="4" ref="A132:F132">SUM(A127:A131)</f>
        <v>0</v>
      </c>
      <c r="B132" s="746">
        <f t="shared" si="4"/>
        <v>106000</v>
      </c>
      <c r="C132" s="746">
        <f t="shared" si="4"/>
        <v>106000</v>
      </c>
      <c r="D132" s="604"/>
      <c r="E132" s="738">
        <f t="shared" si="4"/>
        <v>4345400</v>
      </c>
      <c r="F132" s="737">
        <f t="shared" si="4"/>
        <v>4514630</v>
      </c>
      <c r="G132" s="2"/>
      <c r="H132" s="2"/>
      <c r="J132" s="814" t="s">
        <v>268</v>
      </c>
      <c r="K132" s="781"/>
      <c r="L132" s="858"/>
      <c r="M132" s="858"/>
      <c r="N132" s="819"/>
      <c r="O132" s="858"/>
      <c r="P132" s="704" t="s">
        <v>324</v>
      </c>
      <c r="Q132" s="551"/>
      <c r="R132" s="551"/>
      <c r="S132" s="551"/>
      <c r="T132" s="551"/>
      <c r="U132" s="699"/>
      <c r="V132" s="594"/>
      <c r="W132" s="594"/>
      <c r="X132" s="585"/>
      <c r="Y132" s="551"/>
    </row>
    <row r="133" spans="1:25" ht="16.5">
      <c r="A133" s="551"/>
      <c r="B133" s="551"/>
      <c r="C133" s="551"/>
      <c r="D133" s="551"/>
      <c r="E133" s="582"/>
      <c r="F133" s="582"/>
      <c r="G133" s="338"/>
      <c r="H133" s="338"/>
      <c r="J133" s="815" t="s">
        <v>269</v>
      </c>
      <c r="K133" s="717"/>
      <c r="L133" s="940">
        <v>9261</v>
      </c>
      <c r="M133" s="944">
        <v>84097</v>
      </c>
      <c r="N133" s="817"/>
      <c r="O133" s="774">
        <v>573</v>
      </c>
      <c r="P133" s="582"/>
      <c r="Q133" s="551"/>
      <c r="R133" s="551"/>
      <c r="S133" s="551"/>
      <c r="T133" s="551"/>
      <c r="U133" s="699"/>
      <c r="V133" s="585"/>
      <c r="W133" s="585"/>
      <c r="X133" s="585"/>
      <c r="Y133" s="551"/>
    </row>
    <row r="134" spans="1:25" ht="16.5">
      <c r="A134" s="551"/>
      <c r="B134" s="629" t="s">
        <v>104</v>
      </c>
      <c r="C134" s="634" t="s">
        <v>322</v>
      </c>
      <c r="D134" s="632" t="s">
        <v>142</v>
      </c>
      <c r="E134" s="909" t="s">
        <v>1474</v>
      </c>
      <c r="F134" s="909" t="s">
        <v>1475</v>
      </c>
      <c r="G134" s="3" t="s">
        <v>547</v>
      </c>
      <c r="H134" s="338"/>
      <c r="J134" s="813" t="s">
        <v>270</v>
      </c>
      <c r="K134" s="600"/>
      <c r="L134" s="938">
        <v>23488</v>
      </c>
      <c r="M134" s="939">
        <v>417830</v>
      </c>
      <c r="N134" s="818"/>
      <c r="O134" s="772">
        <v>2790</v>
      </c>
      <c r="P134" s="582"/>
      <c r="Q134" s="551"/>
      <c r="R134" s="551"/>
      <c r="S134" s="551"/>
      <c r="T134" s="551"/>
      <c r="U134" s="699"/>
      <c r="V134" s="585"/>
      <c r="W134" s="585"/>
      <c r="X134" s="585"/>
      <c r="Y134" s="551"/>
    </row>
    <row r="135" spans="1:25" ht="16.5">
      <c r="A135" s="551"/>
      <c r="B135" s="616" t="s">
        <v>1239</v>
      </c>
      <c r="C135" s="635"/>
      <c r="D135" s="756">
        <v>0</v>
      </c>
      <c r="E135" s="756">
        <v>25835</v>
      </c>
      <c r="F135" s="756">
        <v>-27620</v>
      </c>
      <c r="G135" s="338"/>
      <c r="H135" s="338"/>
      <c r="J135" s="813" t="s">
        <v>281</v>
      </c>
      <c r="K135" s="600"/>
      <c r="L135" s="938">
        <v>3884</v>
      </c>
      <c r="M135" s="939">
        <v>125455</v>
      </c>
      <c r="N135" s="818"/>
      <c r="O135" s="772">
        <v>373</v>
      </c>
      <c r="P135" s="582"/>
      <c r="Q135" s="706"/>
      <c r="R135" s="551"/>
      <c r="S135" s="551"/>
      <c r="T135" s="551"/>
      <c r="U135" s="699"/>
      <c r="V135" s="585"/>
      <c r="W135" s="585"/>
      <c r="X135" s="585"/>
      <c r="Y135" s="551"/>
    </row>
    <row r="136" spans="1:25" ht="16.5">
      <c r="A136" s="551"/>
      <c r="B136" s="617" t="s">
        <v>1240</v>
      </c>
      <c r="C136" s="636"/>
      <c r="D136" s="745">
        <v>0</v>
      </c>
      <c r="E136" s="745">
        <v>5203</v>
      </c>
      <c r="F136" s="745">
        <v>-5567</v>
      </c>
      <c r="G136" s="338"/>
      <c r="H136" s="338"/>
      <c r="J136" s="814" t="s">
        <v>1293</v>
      </c>
      <c r="K136" s="800"/>
      <c r="L136" s="943">
        <v>4585</v>
      </c>
      <c r="M136" s="945">
        <v>122142</v>
      </c>
      <c r="N136" s="819"/>
      <c r="O136" s="775">
        <v>363</v>
      </c>
      <c r="P136" s="705">
        <f>SUM(O133:O136)</f>
        <v>4099</v>
      </c>
      <c r="Q136" s="551"/>
      <c r="R136" s="551"/>
      <c r="S136" s="551"/>
      <c r="T136" s="551"/>
      <c r="U136" s="699"/>
      <c r="V136" s="586"/>
      <c r="W136" s="586"/>
      <c r="X136" s="585"/>
      <c r="Y136" s="551"/>
    </row>
    <row r="137" spans="1:25" ht="16.5">
      <c r="A137" s="551"/>
      <c r="B137" s="617" t="s">
        <v>1241</v>
      </c>
      <c r="C137" s="636"/>
      <c r="D137" s="745">
        <v>0</v>
      </c>
      <c r="E137" s="745">
        <v>13265</v>
      </c>
      <c r="F137" s="745">
        <v>-14179</v>
      </c>
      <c r="G137" s="338"/>
      <c r="H137" s="338"/>
      <c r="J137" s="813" t="s">
        <v>1282</v>
      </c>
      <c r="K137" s="600"/>
      <c r="L137" s="938">
        <v>12929</v>
      </c>
      <c r="M137" s="939">
        <v>418061</v>
      </c>
      <c r="N137" s="818"/>
      <c r="O137" s="772">
        <v>1242</v>
      </c>
      <c r="P137" s="586"/>
      <c r="Q137" s="551"/>
      <c r="R137" s="551"/>
      <c r="S137" s="551"/>
      <c r="T137" s="551"/>
      <c r="U137" s="699"/>
      <c r="V137" s="586"/>
      <c r="W137" s="586"/>
      <c r="X137" s="585"/>
      <c r="Y137" s="551"/>
    </row>
    <row r="138" spans="1:25" ht="16.5">
      <c r="A138" s="551"/>
      <c r="B138" s="617" t="s">
        <v>1242</v>
      </c>
      <c r="C138" s="636"/>
      <c r="D138" s="745">
        <v>0</v>
      </c>
      <c r="E138" s="745">
        <v>16977</v>
      </c>
      <c r="F138" s="745">
        <v>-18153</v>
      </c>
      <c r="G138" s="338"/>
      <c r="H138" s="338"/>
      <c r="J138" s="813" t="s">
        <v>281</v>
      </c>
      <c r="K138" s="600"/>
      <c r="L138" s="938">
        <v>9044</v>
      </c>
      <c r="M138" s="939">
        <v>292640</v>
      </c>
      <c r="N138" s="818"/>
      <c r="O138" s="772">
        <v>870</v>
      </c>
      <c r="P138" s="586"/>
      <c r="Q138" s="551"/>
      <c r="R138" s="551"/>
      <c r="S138" s="551"/>
      <c r="T138" s="551"/>
      <c r="U138" s="699"/>
      <c r="V138" s="586"/>
      <c r="W138" s="586"/>
      <c r="X138" s="585"/>
      <c r="Y138" s="551"/>
    </row>
    <row r="139" spans="1:25" ht="15">
      <c r="A139" s="551"/>
      <c r="B139" s="617" t="s">
        <v>1243</v>
      </c>
      <c r="C139" s="636"/>
      <c r="D139" s="757">
        <v>0</v>
      </c>
      <c r="E139" s="757">
        <v>13703</v>
      </c>
      <c r="F139" s="757">
        <v>-14649</v>
      </c>
      <c r="G139" s="8"/>
      <c r="H139" s="8"/>
      <c r="J139" s="813" t="s">
        <v>1283</v>
      </c>
      <c r="K139" s="600"/>
      <c r="L139" s="938">
        <v>8847</v>
      </c>
      <c r="M139" s="939">
        <v>236061</v>
      </c>
      <c r="N139" s="818"/>
      <c r="O139" s="772">
        <v>701</v>
      </c>
      <c r="P139" s="582"/>
      <c r="Q139" s="582"/>
      <c r="R139" s="551"/>
      <c r="S139" s="551"/>
      <c r="T139" s="551"/>
      <c r="U139" s="699"/>
      <c r="V139" s="585"/>
      <c r="W139" s="585"/>
      <c r="X139" s="585"/>
      <c r="Y139" s="551"/>
    </row>
    <row r="140" spans="1:25" ht="15">
      <c r="A140" s="551"/>
      <c r="B140" s="618" t="s">
        <v>1348</v>
      </c>
      <c r="C140" s="637"/>
      <c r="D140" s="746">
        <f>SUM(D135:D139)</f>
        <v>0</v>
      </c>
      <c r="E140" s="738">
        <f>SUM(E135:E139)</f>
        <v>74983</v>
      </c>
      <c r="F140" s="738">
        <f>SUM(F135:F139)</f>
        <v>-80168</v>
      </c>
      <c r="G140" s="8"/>
      <c r="H140" s="8"/>
      <c r="J140" s="813" t="s">
        <v>1293</v>
      </c>
      <c r="K140" s="600"/>
      <c r="L140" s="938">
        <v>10695</v>
      </c>
      <c r="M140" s="939">
        <v>284824</v>
      </c>
      <c r="N140" s="818"/>
      <c r="O140" s="772">
        <v>845</v>
      </c>
      <c r="P140" s="582"/>
      <c r="Q140" s="582"/>
      <c r="R140" s="551"/>
      <c r="S140" s="551"/>
      <c r="T140" s="551"/>
      <c r="U140" s="699"/>
      <c r="V140" s="585"/>
      <c r="W140" s="585"/>
      <c r="X140" s="585"/>
      <c r="Y140" s="551"/>
    </row>
    <row r="141" spans="1:25" ht="15">
      <c r="A141" s="551"/>
      <c r="B141" s="619" t="s">
        <v>1350</v>
      </c>
      <c r="C141" s="635"/>
      <c r="D141" s="577"/>
      <c r="E141" s="621"/>
      <c r="F141" s="622"/>
      <c r="G141" s="8"/>
      <c r="H141" s="8"/>
      <c r="J141" s="813" t="s">
        <v>271</v>
      </c>
      <c r="K141" s="600"/>
      <c r="L141" s="938">
        <v>8307</v>
      </c>
      <c r="M141" s="939">
        <v>15365</v>
      </c>
      <c r="N141" s="818"/>
      <c r="O141" s="772">
        <v>84</v>
      </c>
      <c r="P141" s="582" t="s">
        <v>1746</v>
      </c>
      <c r="Q141" s="582"/>
      <c r="R141" s="843">
        <v>509</v>
      </c>
      <c r="S141" s="551"/>
      <c r="T141" s="551"/>
      <c r="U141" s="699"/>
      <c r="V141" s="585"/>
      <c r="W141" s="585"/>
      <c r="X141" s="585"/>
      <c r="Y141" s="551"/>
    </row>
    <row r="142" spans="1:25" ht="16.5">
      <c r="A142" s="551"/>
      <c r="B142" s="628" t="s">
        <v>1239</v>
      </c>
      <c r="C142" s="635"/>
      <c r="D142" s="756">
        <v>0</v>
      </c>
      <c r="E142" s="759">
        <v>21299</v>
      </c>
      <c r="F142" s="756">
        <v>-20490</v>
      </c>
      <c r="G142" s="870" t="s">
        <v>545</v>
      </c>
      <c r="H142" s="8"/>
      <c r="J142" s="813" t="s">
        <v>272</v>
      </c>
      <c r="K142" s="600"/>
      <c r="L142" s="938">
        <v>11412</v>
      </c>
      <c r="M142" s="939">
        <v>23032</v>
      </c>
      <c r="N142" s="818"/>
      <c r="O142" s="772">
        <v>127</v>
      </c>
      <c r="P142" s="582"/>
      <c r="Q142" s="582"/>
      <c r="R142" s="590"/>
      <c r="S142" s="551"/>
      <c r="T142" s="551"/>
      <c r="U142" s="699"/>
      <c r="V142" s="585"/>
      <c r="W142" s="585"/>
      <c r="X142" s="585"/>
      <c r="Y142" s="551"/>
    </row>
    <row r="143" spans="1:25" ht="15">
      <c r="A143" s="551"/>
      <c r="B143" s="599" t="s">
        <v>1240</v>
      </c>
      <c r="C143" s="636"/>
      <c r="D143" s="745">
        <v>0</v>
      </c>
      <c r="E143" s="726">
        <v>4291</v>
      </c>
      <c r="F143" s="745">
        <v>-4129</v>
      </c>
      <c r="G143" s="8" t="s">
        <v>85</v>
      </c>
      <c r="H143" s="8"/>
      <c r="J143" s="813" t="s">
        <v>273</v>
      </c>
      <c r="K143" s="600"/>
      <c r="L143" s="938">
        <v>22730</v>
      </c>
      <c r="M143" s="939">
        <v>69611</v>
      </c>
      <c r="N143" s="818"/>
      <c r="O143" s="772">
        <v>394</v>
      </c>
      <c r="P143" s="582"/>
      <c r="Q143" s="551"/>
      <c r="R143" s="551"/>
      <c r="S143" s="551"/>
      <c r="T143" s="551"/>
      <c r="U143" s="699"/>
      <c r="V143" s="585"/>
      <c r="W143" s="585"/>
      <c r="X143" s="585"/>
      <c r="Y143" s="551"/>
    </row>
    <row r="144" spans="1:25" ht="15">
      <c r="A144" s="551"/>
      <c r="B144" s="617" t="s">
        <v>1241</v>
      </c>
      <c r="C144" s="636"/>
      <c r="D144" s="745">
        <v>0</v>
      </c>
      <c r="E144" s="726">
        <v>10932</v>
      </c>
      <c r="F144" s="745">
        <v>-10519</v>
      </c>
      <c r="G144" s="8"/>
      <c r="H144" s="8"/>
      <c r="J144" s="814" t="s">
        <v>1286</v>
      </c>
      <c r="K144" s="800"/>
      <c r="L144" s="943">
        <v>37519</v>
      </c>
      <c r="M144" s="945">
        <v>213276</v>
      </c>
      <c r="N144" s="819"/>
      <c r="O144" s="775">
        <v>1339</v>
      </c>
      <c r="P144" s="705">
        <f>SUM(O137:O144)+R141</f>
        <v>6111</v>
      </c>
      <c r="Q144" s="551"/>
      <c r="R144" s="551"/>
      <c r="S144" s="551"/>
      <c r="T144" s="551"/>
      <c r="U144" s="699"/>
      <c r="V144" s="585"/>
      <c r="W144" s="585"/>
      <c r="X144" s="585"/>
      <c r="Y144" s="551"/>
    </row>
    <row r="145" spans="1:25" ht="15">
      <c r="A145" s="551"/>
      <c r="B145" s="617" t="s">
        <v>1242</v>
      </c>
      <c r="C145" s="636"/>
      <c r="D145" s="745">
        <v>0</v>
      </c>
      <c r="E145" s="726">
        <v>13993</v>
      </c>
      <c r="F145" s="745">
        <v>-13466</v>
      </c>
      <c r="G145" s="8"/>
      <c r="H145" s="8"/>
      <c r="J145" s="813" t="s">
        <v>254</v>
      </c>
      <c r="K145" s="600"/>
      <c r="L145" s="946">
        <f>S112</f>
        <v>38353</v>
      </c>
      <c r="M145" s="948">
        <f>U112</f>
        <v>383750.25308652816</v>
      </c>
      <c r="N145" s="818"/>
      <c r="O145" s="772">
        <v>353</v>
      </c>
      <c r="P145" s="582"/>
      <c r="Q145" s="551"/>
      <c r="R145" s="551"/>
      <c r="S145" s="1008" t="s">
        <v>2065</v>
      </c>
      <c r="T145" s="1010"/>
      <c r="U145" s="1010"/>
      <c r="V145" s="1010"/>
      <c r="W145" s="1009"/>
      <c r="X145" s="585"/>
      <c r="Y145" s="551"/>
    </row>
    <row r="146" spans="1:25" ht="15">
      <c r="A146" s="551"/>
      <c r="B146" s="599" t="s">
        <v>1243</v>
      </c>
      <c r="C146" s="636"/>
      <c r="D146" s="757">
        <v>0</v>
      </c>
      <c r="E146" s="728">
        <v>11293</v>
      </c>
      <c r="F146" s="757">
        <v>-10870</v>
      </c>
      <c r="G146" s="8"/>
      <c r="H146" s="8"/>
      <c r="J146" s="813" t="s">
        <v>1368</v>
      </c>
      <c r="K146" s="600"/>
      <c r="L146" s="938">
        <v>19188</v>
      </c>
      <c r="M146" s="939">
        <v>277431</v>
      </c>
      <c r="N146" s="818"/>
      <c r="O146" s="772">
        <v>144</v>
      </c>
      <c r="P146" s="551"/>
      <c r="Q146" s="551"/>
      <c r="R146" s="551"/>
      <c r="S146" s="560" t="s">
        <v>825</v>
      </c>
      <c r="T146" s="554"/>
      <c r="U146" s="562" t="s">
        <v>826</v>
      </c>
      <c r="V146" s="834"/>
      <c r="W146" s="835" t="s">
        <v>2066</v>
      </c>
      <c r="X146" s="585"/>
      <c r="Y146" s="551"/>
    </row>
    <row r="147" spans="1:25" ht="15">
      <c r="A147" s="551"/>
      <c r="B147" s="638" t="s">
        <v>1348</v>
      </c>
      <c r="C147" s="637"/>
      <c r="D147" s="737">
        <f>SUM(D142:D146)</f>
        <v>0</v>
      </c>
      <c r="E147" s="738">
        <f>SUM(E142:E146)</f>
        <v>61808</v>
      </c>
      <c r="F147" s="737">
        <f>SUM(F142:F146)</f>
        <v>-59474</v>
      </c>
      <c r="G147" s="8"/>
      <c r="H147" s="8"/>
      <c r="J147" s="813" t="s">
        <v>1369</v>
      </c>
      <c r="K147" s="600"/>
      <c r="L147" s="941">
        <f>S151</f>
        <v>21934</v>
      </c>
      <c r="M147" s="946">
        <f>L147</f>
        <v>21934</v>
      </c>
      <c r="N147" s="818"/>
      <c r="O147" s="773">
        <f>W151</f>
        <v>10.662159176278227</v>
      </c>
      <c r="P147" s="582" t="s">
        <v>1517</v>
      </c>
      <c r="Q147" s="551"/>
      <c r="R147" s="560" t="s">
        <v>1369</v>
      </c>
      <c r="S147" s="836">
        <v>21934</v>
      </c>
      <c r="T147" s="824"/>
      <c r="U147" s="838">
        <v>316806</v>
      </c>
      <c r="V147" s="555"/>
      <c r="W147" s="840">
        <v>154</v>
      </c>
      <c r="X147" s="585"/>
      <c r="Y147" s="590"/>
    </row>
    <row r="148" spans="1:25" ht="15">
      <c r="A148" s="551"/>
      <c r="B148" s="594"/>
      <c r="C148" s="586"/>
      <c r="D148" s="586"/>
      <c r="E148" s="586"/>
      <c r="F148" s="586"/>
      <c r="G148" s="8"/>
      <c r="H148" s="8"/>
      <c r="J148" s="813" t="s">
        <v>282</v>
      </c>
      <c r="K148" s="600"/>
      <c r="L148" s="941">
        <f>S152</f>
        <v>34546</v>
      </c>
      <c r="M148" s="946">
        <f>L148</f>
        <v>34546</v>
      </c>
      <c r="N148" s="818"/>
      <c r="O148" s="773">
        <f>W152</f>
        <v>239.081730359022</v>
      </c>
      <c r="P148" s="582" t="s">
        <v>1517</v>
      </c>
      <c r="Q148" s="551"/>
      <c r="R148" s="825" t="s">
        <v>282</v>
      </c>
      <c r="S148" s="837">
        <v>34546</v>
      </c>
      <c r="T148" s="825"/>
      <c r="U148" s="839">
        <v>316443</v>
      </c>
      <c r="V148" s="556"/>
      <c r="W148" s="840">
        <v>2190</v>
      </c>
      <c r="X148" s="585"/>
      <c r="Y148" s="590"/>
    </row>
    <row r="149" spans="1:25" ht="15">
      <c r="A149" s="551"/>
      <c r="B149" s="624" t="s">
        <v>1077</v>
      </c>
      <c r="C149" s="639" t="s">
        <v>1281</v>
      </c>
      <c r="D149" s="639" t="s">
        <v>1281</v>
      </c>
      <c r="E149" s="639" t="s">
        <v>1281</v>
      </c>
      <c r="F149" s="586"/>
      <c r="G149" s="8"/>
      <c r="H149" s="8"/>
      <c r="J149" s="813" t="s">
        <v>1370</v>
      </c>
      <c r="K149" s="600"/>
      <c r="L149" s="938">
        <v>42407</v>
      </c>
      <c r="M149" s="939">
        <v>764586</v>
      </c>
      <c r="N149" s="818"/>
      <c r="O149" s="772">
        <v>1134</v>
      </c>
      <c r="P149" s="551"/>
      <c r="Q149" s="551"/>
      <c r="R149" s="707"/>
      <c r="S149" s="970" t="s">
        <v>2067</v>
      </c>
      <c r="T149" s="1012"/>
      <c r="U149" s="1012"/>
      <c r="V149" s="1012"/>
      <c r="W149" s="1013"/>
      <c r="X149" s="585"/>
      <c r="Y149" s="551"/>
    </row>
    <row r="150" spans="1:25" ht="15">
      <c r="A150" s="551"/>
      <c r="B150" s="629" t="s">
        <v>1343</v>
      </c>
      <c r="C150" s="629">
        <v>5550.099</v>
      </c>
      <c r="D150" s="629">
        <v>4470.143</v>
      </c>
      <c r="E150" s="629">
        <v>4470.082</v>
      </c>
      <c r="F150" s="551" t="s">
        <v>548</v>
      </c>
      <c r="G150" s="8"/>
      <c r="H150" s="8"/>
      <c r="J150" s="813" t="s">
        <v>1371</v>
      </c>
      <c r="K150" s="600"/>
      <c r="L150" s="938">
        <v>36827</v>
      </c>
      <c r="M150" s="939">
        <v>812981</v>
      </c>
      <c r="N150" s="818"/>
      <c r="O150" s="772">
        <v>1072</v>
      </c>
      <c r="P150" s="551"/>
      <c r="Q150" s="551"/>
      <c r="R150" s="673"/>
      <c r="S150" s="560" t="s">
        <v>825</v>
      </c>
      <c r="T150" s="554"/>
      <c r="U150" s="835" t="s">
        <v>568</v>
      </c>
      <c r="V150" s="554"/>
      <c r="W150" s="560" t="s">
        <v>2066</v>
      </c>
      <c r="X150" s="551"/>
      <c r="Y150" s="551"/>
    </row>
    <row r="151" spans="1:25" ht="15">
      <c r="A151" s="551"/>
      <c r="B151" s="616" t="s">
        <v>1239</v>
      </c>
      <c r="C151" s="756">
        <v>20713</v>
      </c>
      <c r="D151" s="756">
        <v>463172</v>
      </c>
      <c r="E151" s="756">
        <v>-2051518</v>
      </c>
      <c r="F151" s="586"/>
      <c r="G151" s="8"/>
      <c r="H151" s="8"/>
      <c r="J151" s="813" t="s">
        <v>1372</v>
      </c>
      <c r="K151" s="600"/>
      <c r="L151" s="938">
        <v>8440</v>
      </c>
      <c r="M151" s="939">
        <v>68104</v>
      </c>
      <c r="N151" s="818"/>
      <c r="O151" s="772">
        <v>725</v>
      </c>
      <c r="P151" s="551"/>
      <c r="Q151" s="551"/>
      <c r="R151" s="560" t="s">
        <v>1369</v>
      </c>
      <c r="S151" s="841">
        <f>S147</f>
        <v>21934</v>
      </c>
      <c r="T151" s="824"/>
      <c r="U151" s="841">
        <f>U147-S147</f>
        <v>294872</v>
      </c>
      <c r="V151" s="555"/>
      <c r="W151" s="842">
        <f>IF(ISNUMBER(W147*(S147/U147)),W147*(S147/U147),0)</f>
        <v>10.662159176278227</v>
      </c>
      <c r="X151" s="551"/>
      <c r="Y151" s="551"/>
    </row>
    <row r="152" spans="1:25" ht="15">
      <c r="A152" s="551"/>
      <c r="B152" s="617" t="s">
        <v>1240</v>
      </c>
      <c r="C152" s="745">
        <v>4173</v>
      </c>
      <c r="D152" s="745">
        <v>93326</v>
      </c>
      <c r="E152" s="745">
        <v>-413364</v>
      </c>
      <c r="F152" s="586"/>
      <c r="G152" s="8"/>
      <c r="H152" s="8"/>
      <c r="J152" s="813" t="s">
        <v>1373</v>
      </c>
      <c r="K152" s="600"/>
      <c r="L152" s="938">
        <v>5333</v>
      </c>
      <c r="M152" s="939">
        <v>40407</v>
      </c>
      <c r="N152" s="818"/>
      <c r="O152" s="772">
        <v>418</v>
      </c>
      <c r="P152" s="551"/>
      <c r="Q152" s="551"/>
      <c r="R152" s="560" t="s">
        <v>282</v>
      </c>
      <c r="S152" s="841">
        <f>S148</f>
        <v>34546</v>
      </c>
      <c r="T152" s="825"/>
      <c r="U152" s="841">
        <f>U148-S148</f>
        <v>281897</v>
      </c>
      <c r="V152" s="556"/>
      <c r="W152" s="842">
        <f>IF(ISNUMBER(W148*(S148/U148)),W148*(S148/U148),0)</f>
        <v>239.081730359022</v>
      </c>
      <c r="X152" s="586"/>
      <c r="Y152" s="551"/>
    </row>
    <row r="153" spans="1:25" ht="15">
      <c r="A153" s="551"/>
      <c r="B153" s="617" t="s">
        <v>1241</v>
      </c>
      <c r="C153" s="745">
        <v>10631</v>
      </c>
      <c r="D153" s="745">
        <v>237729</v>
      </c>
      <c r="E153" s="745">
        <v>-1052967</v>
      </c>
      <c r="F153" s="586"/>
      <c r="G153" s="8"/>
      <c r="H153" s="8"/>
      <c r="J153" s="813" t="s">
        <v>1374</v>
      </c>
      <c r="K153" s="600"/>
      <c r="L153" s="938">
        <v>4039</v>
      </c>
      <c r="M153" s="939">
        <v>53143</v>
      </c>
      <c r="N153" s="818"/>
      <c r="O153" s="772">
        <v>564</v>
      </c>
      <c r="P153" s="551"/>
      <c r="Q153" s="551"/>
      <c r="R153" s="551"/>
      <c r="S153" s="551"/>
      <c r="T153" s="551"/>
      <c r="U153" s="551"/>
      <c r="V153" s="551"/>
      <c r="W153" s="585"/>
      <c r="X153" s="585"/>
      <c r="Y153" s="551"/>
    </row>
    <row r="154" spans="1:25" ht="15">
      <c r="A154" s="551"/>
      <c r="B154" s="617" t="s">
        <v>1242</v>
      </c>
      <c r="C154" s="745">
        <v>13607</v>
      </c>
      <c r="D154" s="745">
        <v>304292</v>
      </c>
      <c r="E154" s="745">
        <v>-1347793</v>
      </c>
      <c r="F154" s="586"/>
      <c r="G154" s="8"/>
      <c r="H154" s="8"/>
      <c r="J154" s="813" t="s">
        <v>1375</v>
      </c>
      <c r="K154" s="600"/>
      <c r="L154" s="938">
        <v>37515</v>
      </c>
      <c r="M154" s="939">
        <v>450045</v>
      </c>
      <c r="N154" s="818"/>
      <c r="O154" s="772">
        <v>233</v>
      </c>
      <c r="P154" s="551"/>
      <c r="Q154" s="551"/>
      <c r="R154" s="551"/>
      <c r="S154" s="551"/>
      <c r="T154" s="551"/>
      <c r="U154" s="551"/>
      <c r="V154" s="551"/>
      <c r="W154" s="585"/>
      <c r="X154" s="585"/>
      <c r="Y154" s="551"/>
    </row>
    <row r="155" spans="1:25" ht="15">
      <c r="A155" s="551"/>
      <c r="B155" s="617" t="s">
        <v>1243</v>
      </c>
      <c r="C155" s="757">
        <v>10985</v>
      </c>
      <c r="D155" s="757">
        <v>245646</v>
      </c>
      <c r="E155" s="757">
        <v>-1088034</v>
      </c>
      <c r="F155" s="586"/>
      <c r="G155" s="8"/>
      <c r="H155" s="8"/>
      <c r="J155" s="813" t="s">
        <v>1376</v>
      </c>
      <c r="K155" s="600"/>
      <c r="L155" s="938">
        <v>18303</v>
      </c>
      <c r="M155" s="939">
        <v>284909</v>
      </c>
      <c r="N155" s="818"/>
      <c r="O155" s="772">
        <v>126</v>
      </c>
      <c r="P155" s="551"/>
      <c r="Q155" s="551"/>
      <c r="R155" s="551"/>
      <c r="S155" s="551"/>
      <c r="T155" s="551"/>
      <c r="U155" s="551"/>
      <c r="V155" s="551"/>
      <c r="W155" s="585"/>
      <c r="X155" s="585"/>
      <c r="Y155" s="551"/>
    </row>
    <row r="156" spans="1:25" ht="15">
      <c r="A156" s="551"/>
      <c r="B156" s="618" t="s">
        <v>1348</v>
      </c>
      <c r="C156" s="737">
        <f>SUM(C151:C155)</f>
        <v>60109</v>
      </c>
      <c r="D156" s="737">
        <f>SUM(D151:D155)</f>
        <v>1344165</v>
      </c>
      <c r="E156" s="737">
        <f>SUM(E151:E155)</f>
        <v>-5953676</v>
      </c>
      <c r="F156" s="586"/>
      <c r="G156" s="8"/>
      <c r="H156" s="8"/>
      <c r="J156" s="813" t="s">
        <v>1377</v>
      </c>
      <c r="K156" s="600"/>
      <c r="L156" s="938">
        <v>14757</v>
      </c>
      <c r="M156" s="939">
        <v>75423</v>
      </c>
      <c r="N156" s="818"/>
      <c r="O156" s="772">
        <v>1638</v>
      </c>
      <c r="P156" s="551"/>
      <c r="Q156" s="551"/>
      <c r="R156" s="551"/>
      <c r="S156" s="551"/>
      <c r="T156" s="551"/>
      <c r="U156" s="699"/>
      <c r="V156" s="585"/>
      <c r="W156" s="585"/>
      <c r="X156" s="585"/>
      <c r="Y156" s="551"/>
    </row>
    <row r="157" spans="1:25" ht="15">
      <c r="A157" s="551"/>
      <c r="B157" s="619" t="s">
        <v>1350</v>
      </c>
      <c r="C157" s="577"/>
      <c r="D157" s="577"/>
      <c r="E157" s="577"/>
      <c r="F157" s="586"/>
      <c r="G157" s="8"/>
      <c r="H157" s="8"/>
      <c r="J157" s="813" t="s">
        <v>1378</v>
      </c>
      <c r="K157" s="600"/>
      <c r="L157" s="938">
        <v>0</v>
      </c>
      <c r="M157" s="939">
        <v>0</v>
      </c>
      <c r="N157" s="818"/>
      <c r="O157" s="772">
        <v>0</v>
      </c>
      <c r="P157" s="551"/>
      <c r="Q157" s="551"/>
      <c r="R157" s="551"/>
      <c r="S157" s="551"/>
      <c r="T157" s="551"/>
      <c r="U157" s="699"/>
      <c r="V157" s="585"/>
      <c r="W157" s="551"/>
      <c r="X157" s="551"/>
      <c r="Y157" s="551"/>
    </row>
    <row r="158" spans="1:25" ht="15">
      <c r="A158" s="551"/>
      <c r="B158" s="616" t="s">
        <v>1239</v>
      </c>
      <c r="C158" s="756">
        <v>20713</v>
      </c>
      <c r="D158" s="756">
        <v>462648</v>
      </c>
      <c r="E158" s="756">
        <v>-2051456</v>
      </c>
      <c r="F158" s="871" t="s">
        <v>545</v>
      </c>
      <c r="G158" s="8"/>
      <c r="H158" s="8"/>
      <c r="J158" s="813" t="s">
        <v>1379</v>
      </c>
      <c r="K158" s="600"/>
      <c r="L158" s="938">
        <v>4992</v>
      </c>
      <c r="M158" s="939">
        <v>34831</v>
      </c>
      <c r="N158" s="818"/>
      <c r="O158" s="772">
        <v>697</v>
      </c>
      <c r="P158" s="551"/>
      <c r="Q158" s="551"/>
      <c r="R158" s="551"/>
      <c r="S158" s="551"/>
      <c r="T158" s="551"/>
      <c r="U158" s="699"/>
      <c r="V158" s="585"/>
      <c r="W158" s="585"/>
      <c r="X158" s="585"/>
      <c r="Y158" s="551"/>
    </row>
    <row r="159" spans="1:25" ht="15">
      <c r="A159" s="551"/>
      <c r="B159" s="617" t="s">
        <v>1240</v>
      </c>
      <c r="C159" s="745">
        <v>4173</v>
      </c>
      <c r="D159" s="745">
        <v>93220</v>
      </c>
      <c r="E159" s="745">
        <v>-413351</v>
      </c>
      <c r="F159" s="586" t="s">
        <v>85</v>
      </c>
      <c r="G159" s="8"/>
      <c r="H159" s="8"/>
      <c r="J159" s="813" t="s">
        <v>1380</v>
      </c>
      <c r="K159" s="600"/>
      <c r="L159" s="938">
        <v>2158</v>
      </c>
      <c r="M159" s="939">
        <v>17747</v>
      </c>
      <c r="N159" s="818"/>
      <c r="O159" s="772">
        <v>344</v>
      </c>
      <c r="P159" s="551"/>
      <c r="Q159" s="551"/>
      <c r="R159" s="551"/>
      <c r="S159" s="551"/>
      <c r="T159" s="551"/>
      <c r="U159" s="699"/>
      <c r="V159" s="585"/>
      <c r="W159" s="551"/>
      <c r="X159" s="551"/>
      <c r="Y159" s="551"/>
    </row>
    <row r="160" spans="1:25" ht="15">
      <c r="A160" s="551"/>
      <c r="B160" s="617" t="s">
        <v>1241</v>
      </c>
      <c r="C160" s="745">
        <v>10631</v>
      </c>
      <c r="D160" s="745">
        <v>237460</v>
      </c>
      <c r="E160" s="745">
        <v>-1052935</v>
      </c>
      <c r="F160" s="586"/>
      <c r="G160" s="8"/>
      <c r="H160" s="8"/>
      <c r="J160" s="813" t="s">
        <v>1381</v>
      </c>
      <c r="K160" s="600"/>
      <c r="L160" s="938">
        <v>6141</v>
      </c>
      <c r="M160" s="939">
        <v>256109</v>
      </c>
      <c r="N160" s="818"/>
      <c r="O160" s="772">
        <v>2170</v>
      </c>
      <c r="P160" s="551"/>
      <c r="Q160" s="551"/>
      <c r="R160" s="551"/>
      <c r="S160" s="551"/>
      <c r="T160" s="551"/>
      <c r="U160" s="699"/>
      <c r="V160" s="585"/>
      <c r="W160" s="585"/>
      <c r="X160" s="585"/>
      <c r="Y160" s="551"/>
    </row>
    <row r="161" spans="1:25" ht="15">
      <c r="A161" s="551"/>
      <c r="B161" s="617" t="s">
        <v>1242</v>
      </c>
      <c r="C161" s="745">
        <v>13607</v>
      </c>
      <c r="D161" s="745">
        <v>303947</v>
      </c>
      <c r="E161" s="745">
        <v>-1347752</v>
      </c>
      <c r="F161" s="586"/>
      <c r="G161" s="8"/>
      <c r="H161" s="8"/>
      <c r="J161" s="813" t="s">
        <v>264</v>
      </c>
      <c r="K161" s="600"/>
      <c r="L161" s="947">
        <v>0</v>
      </c>
      <c r="M161" s="949">
        <v>0</v>
      </c>
      <c r="N161" s="818"/>
      <c r="O161" s="860">
        <v>0</v>
      </c>
      <c r="P161" s="704" t="s">
        <v>324</v>
      </c>
      <c r="Q161" s="551"/>
      <c r="R161" s="551"/>
      <c r="S161" s="551"/>
      <c r="T161" s="551"/>
      <c r="U161" s="699"/>
      <c r="V161" s="594"/>
      <c r="W161" s="594"/>
      <c r="X161" s="585"/>
      <c r="Y161" s="551"/>
    </row>
    <row r="162" spans="1:25" ht="15">
      <c r="A162" s="551"/>
      <c r="B162" s="617" t="s">
        <v>1243</v>
      </c>
      <c r="C162" s="757">
        <v>10985</v>
      </c>
      <c r="D162" s="757">
        <v>245368</v>
      </c>
      <c r="E162" s="757">
        <v>-1088002</v>
      </c>
      <c r="F162" s="586"/>
      <c r="G162" s="8"/>
      <c r="H162" s="8"/>
      <c r="J162" s="813" t="s">
        <v>265</v>
      </c>
      <c r="K162" s="600"/>
      <c r="L162" s="938">
        <v>10534</v>
      </c>
      <c r="M162" s="939">
        <v>21379</v>
      </c>
      <c r="N162" s="818"/>
      <c r="O162" s="772">
        <v>148</v>
      </c>
      <c r="P162" s="551"/>
      <c r="Q162" s="551"/>
      <c r="R162" s="551"/>
      <c r="S162" s="551"/>
      <c r="T162" s="551"/>
      <c r="U162" s="699"/>
      <c r="V162" s="585"/>
      <c r="W162" s="585"/>
      <c r="X162" s="585"/>
      <c r="Y162" s="551"/>
    </row>
    <row r="163" spans="1:25" ht="15">
      <c r="A163" s="551"/>
      <c r="B163" s="618" t="s">
        <v>1348</v>
      </c>
      <c r="C163" s="737">
        <f>SUM(C158:C162)</f>
        <v>60109</v>
      </c>
      <c r="D163" s="737">
        <f>SUM(D158:D162)</f>
        <v>1342643</v>
      </c>
      <c r="E163" s="737">
        <f>SUM(E158:E162)</f>
        <v>-5953496</v>
      </c>
      <c r="F163" s="586"/>
      <c r="G163" s="8"/>
      <c r="H163" s="8"/>
      <c r="J163" s="813" t="s">
        <v>266</v>
      </c>
      <c r="K163" s="600"/>
      <c r="L163" s="947">
        <v>0</v>
      </c>
      <c r="M163" s="949">
        <v>0</v>
      </c>
      <c r="N163" s="818"/>
      <c r="O163" s="860">
        <v>0</v>
      </c>
      <c r="P163" s="704" t="s">
        <v>324</v>
      </c>
      <c r="Q163" s="551"/>
      <c r="R163" s="551"/>
      <c r="S163" s="551"/>
      <c r="T163" s="551"/>
      <c r="U163" s="699"/>
      <c r="V163" s="594"/>
      <c r="W163" s="594"/>
      <c r="X163" s="585"/>
      <c r="Y163" s="551"/>
    </row>
    <row r="164" spans="1:25" ht="15.75" thickBot="1">
      <c r="A164" s="551"/>
      <c r="B164" s="551"/>
      <c r="C164" s="551"/>
      <c r="D164" s="551"/>
      <c r="E164" s="551"/>
      <c r="F164" s="586"/>
      <c r="G164" s="8"/>
      <c r="H164" s="8"/>
      <c r="J164" s="813" t="s">
        <v>267</v>
      </c>
      <c r="K164" s="600"/>
      <c r="L164" s="938">
        <v>6175</v>
      </c>
      <c r="M164" s="939">
        <v>18746</v>
      </c>
      <c r="N164" s="818"/>
      <c r="O164" s="772">
        <v>131</v>
      </c>
      <c r="P164" s="551"/>
      <c r="Q164" s="551"/>
      <c r="R164" s="551"/>
      <c r="S164" s="551"/>
      <c r="T164" s="551"/>
      <c r="U164" s="699"/>
      <c r="V164" s="585"/>
      <c r="W164" s="585"/>
      <c r="X164" s="585"/>
      <c r="Y164" s="551"/>
    </row>
    <row r="165" spans="1:25" ht="16.5">
      <c r="A165" s="623"/>
      <c r="B165" s="551"/>
      <c r="C165" s="646" t="s">
        <v>1012</v>
      </c>
      <c r="D165" s="647"/>
      <c r="E165" s="648"/>
      <c r="F165" s="595"/>
      <c r="G165" s="914" t="s">
        <v>1819</v>
      </c>
      <c r="H165" s="3" t="s">
        <v>548</v>
      </c>
      <c r="J165" s="814" t="s">
        <v>268</v>
      </c>
      <c r="K165" s="800"/>
      <c r="L165" s="943">
        <v>4938</v>
      </c>
      <c r="M165" s="945">
        <v>25622</v>
      </c>
      <c r="N165" s="819"/>
      <c r="O165" s="775">
        <v>182</v>
      </c>
      <c r="P165" s="705">
        <f>SUM(O145:O165)-O147-O148</f>
        <v>10079</v>
      </c>
      <c r="Q165" s="551"/>
      <c r="R165" s="551"/>
      <c r="S165" s="551"/>
      <c r="T165" s="551"/>
      <c r="U165" s="699"/>
      <c r="V165" s="586"/>
      <c r="W165" s="586"/>
      <c r="X165" s="585"/>
      <c r="Y165" s="551"/>
    </row>
    <row r="166" spans="1:25" ht="16.5">
      <c r="A166" s="606" t="s">
        <v>1257</v>
      </c>
      <c r="B166" s="606" t="s">
        <v>1011</v>
      </c>
      <c r="C166" s="640" t="s">
        <v>1257</v>
      </c>
      <c r="D166" s="606" t="s">
        <v>1257</v>
      </c>
      <c r="E166" s="606" t="s">
        <v>1257</v>
      </c>
      <c r="F166" s="606" t="s">
        <v>1257</v>
      </c>
      <c r="G166" s="641" t="s">
        <v>1257</v>
      </c>
      <c r="H166" s="642" t="s">
        <v>142</v>
      </c>
      <c r="J166" s="813" t="s">
        <v>1382</v>
      </c>
      <c r="K166" s="600"/>
      <c r="L166" s="938">
        <v>250</v>
      </c>
      <c r="M166" s="939">
        <v>13358</v>
      </c>
      <c r="N166" s="818"/>
      <c r="O166" s="772">
        <v>110</v>
      </c>
      <c r="P166" s="551"/>
      <c r="Q166" s="551"/>
      <c r="R166" s="551"/>
      <c r="S166" s="551"/>
      <c r="T166" s="551"/>
      <c r="U166" s="699"/>
      <c r="V166" s="585"/>
      <c r="W166" s="585"/>
      <c r="X166" s="585"/>
      <c r="Y166" s="551"/>
    </row>
    <row r="167" spans="1:25" ht="16.5">
      <c r="A167" s="612">
        <v>5550.001</v>
      </c>
      <c r="B167" s="612">
        <v>5550.001</v>
      </c>
      <c r="C167" s="643">
        <v>5550.035</v>
      </c>
      <c r="D167" s="612">
        <v>5550.099</v>
      </c>
      <c r="E167" s="612">
        <v>4470.131</v>
      </c>
      <c r="F167" s="612">
        <v>4470.112</v>
      </c>
      <c r="G167" s="644">
        <v>4470.17</v>
      </c>
      <c r="H167" s="645">
        <v>5570.007</v>
      </c>
      <c r="J167" s="813" t="s">
        <v>1383</v>
      </c>
      <c r="K167" s="600"/>
      <c r="L167" s="938">
        <v>0</v>
      </c>
      <c r="M167" s="939">
        <v>0</v>
      </c>
      <c r="N167" s="818"/>
      <c r="O167" s="772">
        <v>0</v>
      </c>
      <c r="P167" s="551"/>
      <c r="Q167" s="551"/>
      <c r="R167" s="551"/>
      <c r="S167" s="551"/>
      <c r="T167" s="551"/>
      <c r="U167" s="699"/>
      <c r="V167" s="585"/>
      <c r="W167" s="585"/>
      <c r="X167" s="585"/>
      <c r="Y167" s="551"/>
    </row>
    <row r="168" spans="1:25" ht="15">
      <c r="A168" s="745">
        <v>0</v>
      </c>
      <c r="B168" s="724">
        <v>0</v>
      </c>
      <c r="C168" s="760">
        <v>0</v>
      </c>
      <c r="D168" s="745">
        <v>139262</v>
      </c>
      <c r="E168" s="745">
        <v>3</v>
      </c>
      <c r="F168" s="724">
        <v>270</v>
      </c>
      <c r="G168" s="724">
        <v>138899</v>
      </c>
      <c r="H168" s="760">
        <v>0</v>
      </c>
      <c r="J168" s="813" t="s">
        <v>1384</v>
      </c>
      <c r="K168" s="600"/>
      <c r="L168" s="938">
        <v>0</v>
      </c>
      <c r="M168" s="939">
        <v>0</v>
      </c>
      <c r="N168" s="818"/>
      <c r="O168" s="772">
        <v>0</v>
      </c>
      <c r="P168" s="551"/>
      <c r="Q168" s="551"/>
      <c r="R168" s="551"/>
      <c r="S168" s="551"/>
      <c r="T168" s="551"/>
      <c r="U168" s="699"/>
      <c r="V168" s="585"/>
      <c r="W168" s="585"/>
      <c r="X168" s="585"/>
      <c r="Y168" s="551"/>
    </row>
    <row r="169" spans="1:25" ht="15">
      <c r="A169" s="745">
        <v>0</v>
      </c>
      <c r="B169" s="724">
        <v>0</v>
      </c>
      <c r="C169" s="760">
        <v>0</v>
      </c>
      <c r="D169" s="745">
        <v>28061</v>
      </c>
      <c r="E169" s="745">
        <v>0</v>
      </c>
      <c r="F169" s="724">
        <v>54</v>
      </c>
      <c r="G169" s="724">
        <v>27987</v>
      </c>
      <c r="H169" s="760">
        <v>0</v>
      </c>
      <c r="J169" s="813" t="s">
        <v>1385</v>
      </c>
      <c r="K169" s="600"/>
      <c r="L169" s="938">
        <v>18818</v>
      </c>
      <c r="M169" s="939">
        <v>52535</v>
      </c>
      <c r="N169" s="818"/>
      <c r="O169" s="772">
        <v>1264</v>
      </c>
      <c r="P169" s="551"/>
      <c r="Q169" s="551"/>
      <c r="R169" s="551"/>
      <c r="S169" s="551"/>
      <c r="T169" s="551"/>
      <c r="U169" s="699"/>
      <c r="V169" s="585"/>
      <c r="W169" s="585"/>
      <c r="X169" s="585"/>
      <c r="Y169" s="551"/>
    </row>
    <row r="170" spans="1:25" ht="15">
      <c r="A170" s="745">
        <v>0</v>
      </c>
      <c r="B170" s="724">
        <v>0</v>
      </c>
      <c r="C170" s="760">
        <v>0</v>
      </c>
      <c r="D170" s="745">
        <v>71479</v>
      </c>
      <c r="E170" s="745">
        <v>1</v>
      </c>
      <c r="F170" s="724">
        <v>138</v>
      </c>
      <c r="G170" s="724">
        <v>71291</v>
      </c>
      <c r="H170" s="760">
        <v>0</v>
      </c>
      <c r="J170" s="813" t="s">
        <v>1386</v>
      </c>
      <c r="K170" s="600"/>
      <c r="L170" s="938">
        <v>639</v>
      </c>
      <c r="M170" s="939">
        <v>48263</v>
      </c>
      <c r="N170" s="818"/>
      <c r="O170" s="772">
        <v>49</v>
      </c>
      <c r="P170" s="551"/>
      <c r="Q170" s="551"/>
      <c r="R170" s="551"/>
      <c r="S170" s="551"/>
      <c r="T170" s="551"/>
      <c r="U170" s="699"/>
      <c r="V170" s="585"/>
      <c r="W170" s="585"/>
      <c r="X170" s="585"/>
      <c r="Y170" s="551"/>
    </row>
    <row r="171" spans="1:25" ht="15">
      <c r="A171" s="745">
        <v>0</v>
      </c>
      <c r="B171" s="724">
        <v>0</v>
      </c>
      <c r="C171" s="760">
        <v>0</v>
      </c>
      <c r="D171" s="745">
        <v>91492</v>
      </c>
      <c r="E171" s="745">
        <v>2</v>
      </c>
      <c r="F171" s="724">
        <v>177</v>
      </c>
      <c r="G171" s="724">
        <v>91253</v>
      </c>
      <c r="H171" s="760">
        <v>0</v>
      </c>
      <c r="J171" s="813" t="s">
        <v>275</v>
      </c>
      <c r="K171" s="600"/>
      <c r="L171" s="938">
        <v>56174</v>
      </c>
      <c r="M171" s="939">
        <v>214887</v>
      </c>
      <c r="N171" s="818"/>
      <c r="O171" s="772">
        <v>328</v>
      </c>
      <c r="P171" s="551"/>
      <c r="Q171" s="551"/>
      <c r="R171" s="551"/>
      <c r="S171" s="551"/>
      <c r="T171" s="551"/>
      <c r="U171" s="699"/>
      <c r="V171" s="585"/>
      <c r="W171" s="585"/>
      <c r="X171" s="585"/>
      <c r="Y171" s="551"/>
    </row>
    <row r="172" spans="1:25" ht="15">
      <c r="A172" s="757">
        <v>0</v>
      </c>
      <c r="B172" s="725">
        <v>0</v>
      </c>
      <c r="C172" s="761">
        <v>0</v>
      </c>
      <c r="D172" s="757">
        <v>73859</v>
      </c>
      <c r="E172" s="757">
        <v>1</v>
      </c>
      <c r="F172" s="725">
        <v>143</v>
      </c>
      <c r="G172" s="725">
        <v>73666</v>
      </c>
      <c r="H172" s="761">
        <v>0</v>
      </c>
      <c r="J172" s="813" t="s">
        <v>276</v>
      </c>
      <c r="K172" s="600"/>
      <c r="L172" s="938">
        <v>72444</v>
      </c>
      <c r="M172" s="939">
        <v>183362</v>
      </c>
      <c r="N172" s="818"/>
      <c r="O172" s="772">
        <v>258</v>
      </c>
      <c r="P172" s="551"/>
      <c r="Q172" s="551"/>
      <c r="R172" s="551"/>
      <c r="S172" s="551"/>
      <c r="T172" s="551"/>
      <c r="U172" s="699"/>
      <c r="V172" s="585"/>
      <c r="W172" s="585"/>
      <c r="X172" s="585"/>
      <c r="Y172" s="551"/>
    </row>
    <row r="173" spans="1:25" ht="15">
      <c r="A173" s="746">
        <f aca="true" t="shared" si="5" ref="A173:H173">SUM(A168:A172)</f>
        <v>0</v>
      </c>
      <c r="B173" s="762">
        <f t="shared" si="5"/>
        <v>0</v>
      </c>
      <c r="C173" s="763">
        <f t="shared" si="5"/>
        <v>0</v>
      </c>
      <c r="D173" s="746">
        <f t="shared" si="5"/>
        <v>404153</v>
      </c>
      <c r="E173" s="746">
        <f t="shared" si="5"/>
        <v>7</v>
      </c>
      <c r="F173" s="762">
        <f t="shared" si="5"/>
        <v>782</v>
      </c>
      <c r="G173" s="762">
        <f t="shared" si="5"/>
        <v>403096</v>
      </c>
      <c r="H173" s="763">
        <f t="shared" si="5"/>
        <v>0</v>
      </c>
      <c r="J173" s="813" t="s">
        <v>1635</v>
      </c>
      <c r="K173" s="600"/>
      <c r="L173" s="938">
        <v>234</v>
      </c>
      <c r="M173" s="939">
        <v>474</v>
      </c>
      <c r="N173" s="818"/>
      <c r="O173" s="772">
        <v>0</v>
      </c>
      <c r="P173" s="551"/>
      <c r="Q173" s="551"/>
      <c r="R173" s="551"/>
      <c r="S173" s="551"/>
      <c r="T173" s="551"/>
      <c r="U173" s="699"/>
      <c r="V173" s="585"/>
      <c r="W173" s="585"/>
      <c r="X173" s="585"/>
      <c r="Y173" s="551"/>
    </row>
    <row r="174" spans="1:25" ht="15">
      <c r="A174" s="650" t="s">
        <v>1350</v>
      </c>
      <c r="B174" s="650"/>
      <c r="C174" s="651"/>
      <c r="D174" s="558"/>
      <c r="E174" s="650"/>
      <c r="F174" s="621"/>
      <c r="G174" s="652"/>
      <c r="H174" s="649"/>
      <c r="J174" s="813" t="s">
        <v>1636</v>
      </c>
      <c r="K174" s="600"/>
      <c r="L174" s="938">
        <v>238</v>
      </c>
      <c r="M174" s="939">
        <v>479</v>
      </c>
      <c r="N174" s="818"/>
      <c r="O174" s="772">
        <v>0</v>
      </c>
      <c r="P174" s="551"/>
      <c r="Q174" s="551"/>
      <c r="R174" s="551"/>
      <c r="S174" s="551"/>
      <c r="T174" s="551"/>
      <c r="U174" s="699"/>
      <c r="V174" s="585"/>
      <c r="W174" s="585"/>
      <c r="X174" s="585"/>
      <c r="Y174" s="551"/>
    </row>
    <row r="175" spans="1:25" ht="15">
      <c r="A175" s="745">
        <v>0</v>
      </c>
      <c r="B175" s="724">
        <v>0</v>
      </c>
      <c r="C175" s="760">
        <v>0</v>
      </c>
      <c r="D175" s="745">
        <v>139390</v>
      </c>
      <c r="E175" s="745">
        <v>3</v>
      </c>
      <c r="F175" s="724">
        <v>277</v>
      </c>
      <c r="G175" s="724">
        <v>138949</v>
      </c>
      <c r="H175" s="760">
        <v>0</v>
      </c>
      <c r="J175" s="813" t="s">
        <v>1637</v>
      </c>
      <c r="K175" s="600"/>
      <c r="L175" s="938">
        <v>244</v>
      </c>
      <c r="M175" s="939">
        <v>501</v>
      </c>
      <c r="N175" s="818"/>
      <c r="O175" s="772">
        <v>0</v>
      </c>
      <c r="P175" s="551"/>
      <c r="Q175" s="551"/>
      <c r="R175" s="551"/>
      <c r="S175" s="551"/>
      <c r="T175" s="551"/>
      <c r="U175" s="699"/>
      <c r="V175" s="585"/>
      <c r="W175" s="585"/>
      <c r="X175" s="585"/>
      <c r="Y175" s="551"/>
    </row>
    <row r="176" spans="1:25" ht="15">
      <c r="A176" s="745">
        <v>0</v>
      </c>
      <c r="B176" s="724">
        <v>0</v>
      </c>
      <c r="C176" s="760">
        <v>0</v>
      </c>
      <c r="D176" s="745">
        <v>28085</v>
      </c>
      <c r="E176" s="745">
        <v>0</v>
      </c>
      <c r="F176" s="724">
        <v>56</v>
      </c>
      <c r="G176" s="724">
        <v>27997</v>
      </c>
      <c r="H176" s="760">
        <v>0</v>
      </c>
      <c r="J176" s="813" t="s">
        <v>1638</v>
      </c>
      <c r="K176" s="600"/>
      <c r="L176" s="938">
        <v>244</v>
      </c>
      <c r="M176" s="939">
        <v>501</v>
      </c>
      <c r="N176" s="818"/>
      <c r="O176" s="772">
        <v>0</v>
      </c>
      <c r="P176" s="551"/>
      <c r="Q176" s="551"/>
      <c r="R176" s="551"/>
      <c r="S176" s="551"/>
      <c r="T176" s="551"/>
      <c r="U176" s="699"/>
      <c r="V176" s="585"/>
      <c r="W176" s="585"/>
      <c r="X176" s="585"/>
      <c r="Y176" s="551"/>
    </row>
    <row r="177" spans="1:25" ht="15">
      <c r="A177" s="745">
        <v>0</v>
      </c>
      <c r="B177" s="724">
        <v>0</v>
      </c>
      <c r="C177" s="760">
        <v>0</v>
      </c>
      <c r="D177" s="745">
        <v>71543</v>
      </c>
      <c r="E177" s="745">
        <v>1</v>
      </c>
      <c r="F177" s="724">
        <v>143</v>
      </c>
      <c r="G177" s="724">
        <v>71318</v>
      </c>
      <c r="H177" s="760">
        <v>0</v>
      </c>
      <c r="J177" s="813" t="s">
        <v>1639</v>
      </c>
      <c r="K177" s="600"/>
      <c r="L177" s="938">
        <v>277</v>
      </c>
      <c r="M177" s="939">
        <v>277</v>
      </c>
      <c r="N177" s="818"/>
      <c r="O177" s="772">
        <v>0</v>
      </c>
      <c r="P177" s="551"/>
      <c r="Q177" s="551"/>
      <c r="R177" s="551"/>
      <c r="S177" s="551"/>
      <c r="T177" s="551"/>
      <c r="U177" s="699"/>
      <c r="V177" s="585"/>
      <c r="W177" s="585"/>
      <c r="X177" s="585"/>
      <c r="Y177" s="551"/>
    </row>
    <row r="178" spans="1:25" ht="15">
      <c r="A178" s="745">
        <v>0</v>
      </c>
      <c r="B178" s="724">
        <v>0</v>
      </c>
      <c r="C178" s="760">
        <v>0</v>
      </c>
      <c r="D178" s="745">
        <v>91575</v>
      </c>
      <c r="E178" s="745">
        <v>2</v>
      </c>
      <c r="F178" s="724">
        <v>183</v>
      </c>
      <c r="G178" s="724">
        <v>91287</v>
      </c>
      <c r="H178" s="760">
        <v>0</v>
      </c>
      <c r="J178" s="813" t="s">
        <v>1640</v>
      </c>
      <c r="K178" s="600"/>
      <c r="L178" s="938">
        <v>244</v>
      </c>
      <c r="M178" s="939">
        <v>502</v>
      </c>
      <c r="N178" s="818"/>
      <c r="O178" s="772">
        <v>0</v>
      </c>
      <c r="P178" s="551"/>
      <c r="Q178" s="551"/>
      <c r="R178" s="551"/>
      <c r="S178" s="551"/>
      <c r="T178" s="551"/>
      <c r="U178" s="699"/>
      <c r="V178" s="585"/>
      <c r="W178" s="585"/>
      <c r="X178" s="585"/>
      <c r="Y178" s="551"/>
    </row>
    <row r="179" spans="1:25" ht="15">
      <c r="A179" s="757">
        <v>0</v>
      </c>
      <c r="B179" s="725">
        <v>0</v>
      </c>
      <c r="C179" s="761">
        <v>0</v>
      </c>
      <c r="D179" s="757">
        <v>73925</v>
      </c>
      <c r="E179" s="757">
        <v>1</v>
      </c>
      <c r="F179" s="725">
        <v>147</v>
      </c>
      <c r="G179" s="725">
        <v>73694</v>
      </c>
      <c r="H179" s="761">
        <v>0</v>
      </c>
      <c r="J179" s="813" t="s">
        <v>1958</v>
      </c>
      <c r="K179" s="600"/>
      <c r="L179" s="938">
        <v>8078</v>
      </c>
      <c r="M179" s="939">
        <v>18217</v>
      </c>
      <c r="N179" s="818"/>
      <c r="O179" s="772">
        <v>0</v>
      </c>
      <c r="P179" s="551"/>
      <c r="Q179" s="551"/>
      <c r="R179" s="551"/>
      <c r="S179" s="551"/>
      <c r="T179" s="551"/>
      <c r="U179" s="699"/>
      <c r="V179" s="585"/>
      <c r="W179" s="585"/>
      <c r="X179" s="585"/>
      <c r="Y179" s="551"/>
    </row>
    <row r="180" spans="1:25" ht="15">
      <c r="A180" s="746">
        <f aca="true" t="shared" si="6" ref="A180:H180">SUM(A175:A179)</f>
        <v>0</v>
      </c>
      <c r="B180" s="762">
        <f t="shared" si="6"/>
        <v>0</v>
      </c>
      <c r="C180" s="763">
        <f t="shared" si="6"/>
        <v>0</v>
      </c>
      <c r="D180" s="746">
        <f t="shared" si="6"/>
        <v>404518</v>
      </c>
      <c r="E180" s="746">
        <f>SUM(E175:E179)</f>
        <v>7</v>
      </c>
      <c r="F180" s="736">
        <f t="shared" si="6"/>
        <v>806</v>
      </c>
      <c r="G180" s="736">
        <f t="shared" si="6"/>
        <v>403245</v>
      </c>
      <c r="H180" s="764">
        <f t="shared" si="6"/>
        <v>0</v>
      </c>
      <c r="J180" s="813" t="s">
        <v>1959</v>
      </c>
      <c r="K180" s="600"/>
      <c r="L180" s="938">
        <v>6037</v>
      </c>
      <c r="M180" s="939">
        <v>14314</v>
      </c>
      <c r="N180" s="818"/>
      <c r="O180" s="772">
        <v>0</v>
      </c>
      <c r="P180" s="551"/>
      <c r="Q180" s="551"/>
      <c r="R180" s="551"/>
      <c r="S180" s="551"/>
      <c r="T180" s="551"/>
      <c r="U180" s="699"/>
      <c r="V180" s="585"/>
      <c r="W180" s="585"/>
      <c r="X180" s="551"/>
      <c r="Y180" s="551"/>
    </row>
    <row r="181" spans="1:25" ht="16.5">
      <c r="A181" s="551"/>
      <c r="B181" s="596"/>
      <c r="C181" s="596"/>
      <c r="D181" s="596"/>
      <c r="E181" s="596"/>
      <c r="F181" s="586"/>
      <c r="G181" s="15"/>
      <c r="H181" s="15"/>
      <c r="J181" s="813" t="s">
        <v>1387</v>
      </c>
      <c r="K181" s="600"/>
      <c r="L181" s="938">
        <v>9603</v>
      </c>
      <c r="M181" s="939">
        <v>13866</v>
      </c>
      <c r="N181" s="818"/>
      <c r="O181" s="747">
        <v>261</v>
      </c>
      <c r="P181" s="551"/>
      <c r="Q181" s="551"/>
      <c r="R181" s="551"/>
      <c r="S181" s="551"/>
      <c r="T181" s="551"/>
      <c r="U181" s="699"/>
      <c r="V181" s="585"/>
      <c r="W181" s="585"/>
      <c r="X181" s="551"/>
      <c r="Y181" s="551"/>
    </row>
    <row r="182" spans="1:27" ht="16.5">
      <c r="A182" s="653" t="s">
        <v>666</v>
      </c>
      <c r="B182" s="653"/>
      <c r="C182" s="653"/>
      <c r="D182" s="653"/>
      <c r="E182" s="653"/>
      <c r="F182" s="653"/>
      <c r="G182" s="580"/>
      <c r="H182" s="654"/>
      <c r="J182" s="813" t="s">
        <v>1389</v>
      </c>
      <c r="K182" s="600"/>
      <c r="L182" s="938">
        <v>12872</v>
      </c>
      <c r="M182" s="939">
        <v>89911</v>
      </c>
      <c r="N182" s="818"/>
      <c r="O182" s="772">
        <v>12</v>
      </c>
      <c r="P182" s="551"/>
      <c r="Q182" s="551"/>
      <c r="R182" s="551"/>
      <c r="S182" s="551"/>
      <c r="T182" s="551"/>
      <c r="U182" s="699"/>
      <c r="V182" s="585"/>
      <c r="W182" s="585"/>
      <c r="X182" s="551"/>
      <c r="Y182" s="551"/>
      <c r="Z182" s="2"/>
      <c r="AA182" s="2"/>
    </row>
    <row r="183" spans="1:25" ht="16.5">
      <c r="A183" s="607" t="s">
        <v>664</v>
      </c>
      <c r="B183" s="607" t="s">
        <v>664</v>
      </c>
      <c r="C183" s="655" t="s">
        <v>664</v>
      </c>
      <c r="D183" s="655" t="s">
        <v>664</v>
      </c>
      <c r="E183" s="655" t="s">
        <v>664</v>
      </c>
      <c r="F183" s="655" t="s">
        <v>664</v>
      </c>
      <c r="G183" s="625" t="s">
        <v>664</v>
      </c>
      <c r="H183" s="656" t="s">
        <v>664</v>
      </c>
      <c r="J183" s="813" t="s">
        <v>1390</v>
      </c>
      <c r="K183" s="600"/>
      <c r="L183" s="938">
        <v>5182</v>
      </c>
      <c r="M183" s="939">
        <v>66265</v>
      </c>
      <c r="N183" s="818"/>
      <c r="O183" s="772">
        <v>531</v>
      </c>
      <c r="P183" s="551"/>
      <c r="Q183" s="551"/>
      <c r="R183" s="551"/>
      <c r="S183" s="551"/>
      <c r="T183" s="551"/>
      <c r="U183" s="699"/>
      <c r="V183" s="585"/>
      <c r="W183" s="585"/>
      <c r="X183" s="551"/>
      <c r="Y183" s="551"/>
    </row>
    <row r="184" spans="1:29" ht="16.5">
      <c r="A184" s="614">
        <v>5550.107</v>
      </c>
      <c r="B184" s="614">
        <v>5550.088</v>
      </c>
      <c r="C184" s="657">
        <v>5550.023</v>
      </c>
      <c r="D184" s="657">
        <v>5550.099</v>
      </c>
      <c r="E184" s="658">
        <v>5550.1</v>
      </c>
      <c r="F184" s="657">
        <v>5614.008</v>
      </c>
      <c r="G184" s="659">
        <v>4470.131</v>
      </c>
      <c r="H184" s="660">
        <v>4470.099</v>
      </c>
      <c r="J184" s="813" t="s">
        <v>1392</v>
      </c>
      <c r="K184" s="600"/>
      <c r="L184" s="938">
        <v>3460</v>
      </c>
      <c r="M184" s="939">
        <v>80104</v>
      </c>
      <c r="N184" s="818"/>
      <c r="O184" s="772">
        <v>973</v>
      </c>
      <c r="P184" s="551"/>
      <c r="Q184" s="551"/>
      <c r="R184" s="551"/>
      <c r="S184" s="551"/>
      <c r="T184" s="551"/>
      <c r="U184" s="699"/>
      <c r="V184" s="585"/>
      <c r="W184" s="585"/>
      <c r="X184" s="551"/>
      <c r="Y184" s="582"/>
      <c r="AB184" s="2"/>
      <c r="AC184" s="2"/>
    </row>
    <row r="185" spans="1:29" s="2" customFormat="1" ht="15">
      <c r="A185" s="745">
        <v>685620</v>
      </c>
      <c r="B185" s="745">
        <v>54189</v>
      </c>
      <c r="C185" s="927">
        <v>335966</v>
      </c>
      <c r="D185" s="724">
        <v>4438783</v>
      </c>
      <c r="E185" s="724">
        <v>167609</v>
      </c>
      <c r="F185" s="756">
        <v>4820</v>
      </c>
      <c r="G185" s="756">
        <v>328</v>
      </c>
      <c r="H185" s="756">
        <v>14493</v>
      </c>
      <c r="I185" s="3"/>
      <c r="J185" s="813" t="s">
        <v>1396</v>
      </c>
      <c r="K185" s="600"/>
      <c r="L185" s="938">
        <v>5430</v>
      </c>
      <c r="M185" s="939">
        <v>65214</v>
      </c>
      <c r="N185" s="818"/>
      <c r="O185" s="772">
        <v>564</v>
      </c>
      <c r="P185" s="582"/>
      <c r="Q185" s="551"/>
      <c r="R185" s="551"/>
      <c r="S185" s="551"/>
      <c r="T185" s="551"/>
      <c r="U185" s="699"/>
      <c r="V185" s="586"/>
      <c r="W185" s="586"/>
      <c r="X185" s="551"/>
      <c r="Y185" s="551"/>
      <c r="Z185" s="3"/>
      <c r="AA185" s="3"/>
      <c r="AB185" s="3"/>
      <c r="AC185" s="3"/>
    </row>
    <row r="186" spans="1:25" ht="15">
      <c r="A186" s="745">
        <v>138147</v>
      </c>
      <c r="B186" s="745">
        <v>10918</v>
      </c>
      <c r="C186" s="927">
        <v>67694</v>
      </c>
      <c r="D186" s="724">
        <v>894378</v>
      </c>
      <c r="E186" s="724">
        <v>33772</v>
      </c>
      <c r="F186" s="745">
        <v>971</v>
      </c>
      <c r="G186" s="745">
        <v>66</v>
      </c>
      <c r="H186" s="745">
        <v>2920</v>
      </c>
      <c r="J186" s="813" t="s">
        <v>2044</v>
      </c>
      <c r="K186" s="600"/>
      <c r="L186" s="938">
        <v>12538</v>
      </c>
      <c r="M186" s="939">
        <v>42114</v>
      </c>
      <c r="N186" s="818"/>
      <c r="O186" s="772">
        <v>0</v>
      </c>
      <c r="P186" s="551"/>
      <c r="Q186" s="551"/>
      <c r="R186" s="551"/>
      <c r="S186" s="551"/>
      <c r="T186" s="551"/>
      <c r="U186" s="585"/>
      <c r="V186" s="585"/>
      <c r="W186" s="585"/>
      <c r="X186" s="551"/>
      <c r="Y186" s="551"/>
    </row>
    <row r="187" spans="1:25" ht="15">
      <c r="A187" s="745">
        <v>351903</v>
      </c>
      <c r="B187" s="745">
        <v>27813</v>
      </c>
      <c r="C187" s="927">
        <v>172439</v>
      </c>
      <c r="D187" s="724">
        <v>2278261</v>
      </c>
      <c r="E187" s="724">
        <v>86027</v>
      </c>
      <c r="F187" s="745">
        <v>2474</v>
      </c>
      <c r="G187" s="745">
        <v>168</v>
      </c>
      <c r="H187" s="745">
        <v>7438</v>
      </c>
      <c r="I187" s="2"/>
      <c r="J187" s="814" t="s">
        <v>279</v>
      </c>
      <c r="K187" s="800"/>
      <c r="L187" s="943">
        <v>6908</v>
      </c>
      <c r="M187" s="945">
        <v>231829</v>
      </c>
      <c r="N187" s="819"/>
      <c r="O187" s="775">
        <v>510</v>
      </c>
      <c r="P187" s="705">
        <f>SUM(O166:O187)</f>
        <v>4860</v>
      </c>
      <c r="Q187" s="551"/>
      <c r="R187" s="708" t="s">
        <v>110</v>
      </c>
      <c r="S187" s="551"/>
      <c r="T187" s="551"/>
      <c r="U187" s="551"/>
      <c r="V187" s="551"/>
      <c r="W187" s="551"/>
      <c r="X187" s="551"/>
      <c r="Y187" s="551"/>
    </row>
    <row r="188" spans="1:25" ht="15">
      <c r="A188" s="745">
        <v>450435</v>
      </c>
      <c r="B188" s="745">
        <v>35601</v>
      </c>
      <c r="C188" s="927">
        <v>220720</v>
      </c>
      <c r="D188" s="724">
        <v>2916163</v>
      </c>
      <c r="E188" s="724">
        <v>110115</v>
      </c>
      <c r="F188" s="745">
        <v>3167</v>
      </c>
      <c r="G188" s="745">
        <v>215</v>
      </c>
      <c r="H188" s="745">
        <v>9521</v>
      </c>
      <c r="J188" s="815" t="s">
        <v>78</v>
      </c>
      <c r="K188" s="717"/>
      <c r="L188" s="946">
        <v>171329</v>
      </c>
      <c r="M188" s="950">
        <v>171329</v>
      </c>
      <c r="N188" s="817"/>
      <c r="O188" s="776"/>
      <c r="P188" s="551"/>
      <c r="Q188" s="551"/>
      <c r="R188" s="708" t="s">
        <v>110</v>
      </c>
      <c r="S188" s="551"/>
      <c r="T188" s="551"/>
      <c r="U188" s="551"/>
      <c r="V188" s="551"/>
      <c r="W188" s="551"/>
      <c r="X188" s="551"/>
      <c r="Y188" s="551"/>
    </row>
    <row r="189" spans="1:25" ht="15">
      <c r="A189" s="757">
        <v>363623</v>
      </c>
      <c r="B189" s="757">
        <v>28739</v>
      </c>
      <c r="C189" s="927">
        <v>178181</v>
      </c>
      <c r="D189" s="725">
        <v>2354134</v>
      </c>
      <c r="E189" s="725">
        <v>88892</v>
      </c>
      <c r="F189" s="757">
        <v>2556</v>
      </c>
      <c r="G189" s="757">
        <v>174</v>
      </c>
      <c r="H189" s="757">
        <v>7686</v>
      </c>
      <c r="J189" s="813" t="s">
        <v>1369</v>
      </c>
      <c r="K189" s="600"/>
      <c r="L189" s="946">
        <v>0</v>
      </c>
      <c r="M189" s="942">
        <f>U151</f>
        <v>294872</v>
      </c>
      <c r="N189" s="818"/>
      <c r="O189" s="699" t="s">
        <v>83</v>
      </c>
      <c r="P189" s="551"/>
      <c r="Q189" s="551"/>
      <c r="R189" s="551"/>
      <c r="S189" s="551"/>
      <c r="T189" s="551"/>
      <c r="U189" s="551"/>
      <c r="V189" s="551"/>
      <c r="W189" s="551"/>
      <c r="X189" s="551"/>
      <c r="Y189" s="551"/>
    </row>
    <row r="190" spans="1:25" ht="15">
      <c r="A190" s="746">
        <f aca="true" t="shared" si="7" ref="A190:H190">SUM(A185:A189)</f>
        <v>1989728</v>
      </c>
      <c r="B190" s="746">
        <f t="shared" si="7"/>
        <v>157260</v>
      </c>
      <c r="C190" s="746">
        <f t="shared" si="7"/>
        <v>975000</v>
      </c>
      <c r="D190" s="746">
        <f t="shared" si="7"/>
        <v>12881719</v>
      </c>
      <c r="E190" s="746">
        <f t="shared" si="7"/>
        <v>486415</v>
      </c>
      <c r="F190" s="746">
        <f t="shared" si="7"/>
        <v>13988</v>
      </c>
      <c r="G190" s="746">
        <f t="shared" si="7"/>
        <v>951</v>
      </c>
      <c r="H190" s="746">
        <f t="shared" si="7"/>
        <v>42058</v>
      </c>
      <c r="J190" s="813" t="s">
        <v>282</v>
      </c>
      <c r="K190" s="600"/>
      <c r="L190" s="946">
        <v>0</v>
      </c>
      <c r="M190" s="942">
        <f>U152</f>
        <v>281897</v>
      </c>
      <c r="N190" s="820"/>
      <c r="O190" s="699" t="s">
        <v>83</v>
      </c>
      <c r="P190" s="551"/>
      <c r="Q190" s="551"/>
      <c r="R190" s="551"/>
      <c r="S190" s="551"/>
      <c r="T190" s="551"/>
      <c r="U190" s="551"/>
      <c r="V190" s="551"/>
      <c r="W190" s="551"/>
      <c r="X190" s="582"/>
      <c r="Y190" s="551"/>
    </row>
    <row r="191" spans="1:25" ht="15">
      <c r="A191" s="621"/>
      <c r="B191" s="621"/>
      <c r="C191" s="621"/>
      <c r="D191" s="621"/>
      <c r="E191" s="621"/>
      <c r="F191" s="661"/>
      <c r="G191" s="662"/>
      <c r="H191" s="663"/>
      <c r="J191" s="813" t="s">
        <v>79</v>
      </c>
      <c r="K191" s="600"/>
      <c r="L191" s="946">
        <v>0</v>
      </c>
      <c r="M191" s="951">
        <v>0</v>
      </c>
      <c r="N191" s="820"/>
      <c r="O191" s="158"/>
      <c r="P191" s="551"/>
      <c r="Q191" s="551"/>
      <c r="R191" s="551"/>
      <c r="S191" s="551"/>
      <c r="T191" s="551"/>
      <c r="U191" s="551"/>
      <c r="V191" s="551"/>
      <c r="W191" s="551"/>
      <c r="X191" s="551"/>
      <c r="Y191" s="551"/>
    </row>
    <row r="192" spans="1:25" ht="15">
      <c r="A192" s="745">
        <v>561691</v>
      </c>
      <c r="B192" s="724">
        <v>335966</v>
      </c>
      <c r="C192" s="756">
        <v>0</v>
      </c>
      <c r="D192" s="759">
        <v>4433979</v>
      </c>
      <c r="E192" s="756">
        <v>164275</v>
      </c>
      <c r="F192" s="756">
        <v>0</v>
      </c>
      <c r="G192" s="756">
        <v>60</v>
      </c>
      <c r="H192" s="756">
        <v>131865</v>
      </c>
      <c r="J192" s="813" t="s">
        <v>80</v>
      </c>
      <c r="K192" s="600"/>
      <c r="L192" s="952">
        <v>0</v>
      </c>
      <c r="M192" s="953">
        <v>791142</v>
      </c>
      <c r="N192" s="820"/>
      <c r="O192" s="158"/>
      <c r="P192" s="551"/>
      <c r="Q192" s="551"/>
      <c r="R192" s="590"/>
      <c r="S192" s="551"/>
      <c r="T192" s="551"/>
      <c r="U192" s="551"/>
      <c r="V192" s="551"/>
      <c r="W192" s="551"/>
      <c r="X192" s="551"/>
      <c r="Y192" s="551"/>
    </row>
    <row r="193" spans="1:25" ht="15">
      <c r="A193" s="745">
        <v>113176</v>
      </c>
      <c r="B193" s="724">
        <v>67694</v>
      </c>
      <c r="C193" s="745">
        <v>0</v>
      </c>
      <c r="D193" s="726">
        <v>893410</v>
      </c>
      <c r="E193" s="745">
        <v>33100</v>
      </c>
      <c r="F193" s="745">
        <v>0</v>
      </c>
      <c r="G193" s="745">
        <v>12</v>
      </c>
      <c r="H193" s="745">
        <v>26570</v>
      </c>
      <c r="J193" s="814" t="s">
        <v>81</v>
      </c>
      <c r="K193" s="800"/>
      <c r="L193" s="954">
        <v>24771</v>
      </c>
      <c r="M193" s="955">
        <v>49604</v>
      </c>
      <c r="N193" s="821"/>
      <c r="O193" s="377"/>
      <c r="P193" s="551"/>
      <c r="Q193" s="551"/>
      <c r="R193" s="551"/>
      <c r="S193" s="551"/>
      <c r="T193" s="551"/>
      <c r="U193" s="551"/>
      <c r="V193" s="551"/>
      <c r="W193" s="551"/>
      <c r="X193" s="551"/>
      <c r="Y193" s="551"/>
    </row>
    <row r="194" spans="1:25" ht="15">
      <c r="A194" s="745">
        <v>288295</v>
      </c>
      <c r="B194" s="724">
        <v>172439</v>
      </c>
      <c r="C194" s="745">
        <v>0</v>
      </c>
      <c r="D194" s="726">
        <v>2275796</v>
      </c>
      <c r="E194" s="745">
        <v>84316</v>
      </c>
      <c r="F194" s="745">
        <v>0</v>
      </c>
      <c r="G194" s="745">
        <v>31</v>
      </c>
      <c r="H194" s="745">
        <v>67682</v>
      </c>
      <c r="J194" s="582" t="s">
        <v>82</v>
      </c>
      <c r="K194" s="585"/>
      <c r="L194" s="596">
        <f>SUM(L110:L193)</f>
        <v>1237040</v>
      </c>
      <c r="M194" s="596">
        <f>SUM(M110:M193)</f>
        <v>10679666</v>
      </c>
      <c r="N194" s="582"/>
      <c r="O194" s="551"/>
      <c r="P194" s="709">
        <f>L194-765953</f>
        <v>471087</v>
      </c>
      <c r="Q194" s="551"/>
      <c r="R194" s="551"/>
      <c r="S194" s="590">
        <f>10679666-10679666</f>
        <v>0</v>
      </c>
      <c r="T194" s="551"/>
      <c r="U194" s="551"/>
      <c r="V194" s="551"/>
      <c r="W194" s="551"/>
      <c r="X194" s="551"/>
      <c r="Y194" s="551"/>
    </row>
    <row r="195" spans="1:25" ht="15">
      <c r="A195" s="745">
        <v>369017</v>
      </c>
      <c r="B195" s="724">
        <v>220720</v>
      </c>
      <c r="C195" s="745">
        <v>0</v>
      </c>
      <c r="D195" s="726">
        <v>2913008</v>
      </c>
      <c r="E195" s="745">
        <v>107924</v>
      </c>
      <c r="F195" s="745">
        <v>0</v>
      </c>
      <c r="G195" s="745">
        <v>40</v>
      </c>
      <c r="H195" s="745">
        <v>86632</v>
      </c>
      <c r="J195" s="969">
        <v>422</v>
      </c>
      <c r="K195" s="969"/>
      <c r="L195" s="969"/>
      <c r="M195" s="697">
        <v>460</v>
      </c>
      <c r="N195" s="551"/>
      <c r="O195" s="551" t="s">
        <v>480</v>
      </c>
      <c r="P195" s="551"/>
      <c r="Q195" s="551"/>
      <c r="R195" s="551"/>
      <c r="S195" s="551"/>
      <c r="T195" s="551"/>
      <c r="U195" s="551"/>
      <c r="V195" s="551"/>
      <c r="W195" s="551"/>
      <c r="X195" s="551"/>
      <c r="Y195" s="551"/>
    </row>
    <row r="196" spans="1:25" ht="16.5">
      <c r="A196" s="757">
        <v>297896</v>
      </c>
      <c r="B196" s="757">
        <v>178181</v>
      </c>
      <c r="C196" s="757">
        <v>0</v>
      </c>
      <c r="D196" s="757">
        <v>2351587</v>
      </c>
      <c r="E196" s="757">
        <v>87124</v>
      </c>
      <c r="F196" s="757">
        <v>0</v>
      </c>
      <c r="G196" s="757">
        <v>32</v>
      </c>
      <c r="H196" s="757">
        <v>69936</v>
      </c>
      <c r="J196" s="553" t="s">
        <v>1126</v>
      </c>
      <c r="K196" s="574"/>
      <c r="L196" s="574"/>
      <c r="M196" s="574"/>
      <c r="N196" s="574"/>
      <c r="O196" s="558"/>
      <c r="P196" s="551"/>
      <c r="Q196" s="551"/>
      <c r="R196" s="551"/>
      <c r="S196" s="551"/>
      <c r="T196" s="551"/>
      <c r="U196" s="551"/>
      <c r="V196" s="551"/>
      <c r="W196" s="551"/>
      <c r="X196" s="551"/>
      <c r="Y196" s="551"/>
    </row>
    <row r="197" spans="1:25" ht="15">
      <c r="A197" s="737">
        <f aca="true" t="shared" si="8" ref="A197:H197">SUM(A192:A196)</f>
        <v>1630075</v>
      </c>
      <c r="B197" s="737">
        <f t="shared" si="8"/>
        <v>975000</v>
      </c>
      <c r="C197" s="737">
        <f t="shared" si="8"/>
        <v>0</v>
      </c>
      <c r="D197" s="762">
        <f t="shared" si="8"/>
        <v>12867780</v>
      </c>
      <c r="E197" s="762">
        <f t="shared" si="8"/>
        <v>476739</v>
      </c>
      <c r="F197" s="746">
        <f t="shared" si="8"/>
        <v>0</v>
      </c>
      <c r="G197" s="746">
        <f t="shared" si="8"/>
        <v>175</v>
      </c>
      <c r="H197" s="746">
        <f t="shared" si="8"/>
        <v>382685</v>
      </c>
      <c r="J197" s="609" t="s">
        <v>1974</v>
      </c>
      <c r="K197" s="555"/>
      <c r="L197" s="844" t="s">
        <v>1975</v>
      </c>
      <c r="M197" s="611" t="s">
        <v>1448</v>
      </c>
      <c r="N197" s="554"/>
      <c r="O197" s="639" t="s">
        <v>1966</v>
      </c>
      <c r="P197" s="582"/>
      <c r="Q197" s="582"/>
      <c r="R197" s="582"/>
      <c r="S197" s="582"/>
      <c r="T197" s="582"/>
      <c r="U197" s="582"/>
      <c r="V197" s="582"/>
      <c r="W197" s="582"/>
      <c r="X197" s="551"/>
      <c r="Y197" s="551"/>
    </row>
    <row r="198" spans="1:25" ht="16.5">
      <c r="A198" s="586"/>
      <c r="B198" s="586"/>
      <c r="C198" s="586"/>
      <c r="D198" s="586"/>
      <c r="E198" s="586"/>
      <c r="F198" s="586"/>
      <c r="G198" s="15"/>
      <c r="H198" s="15"/>
      <c r="J198" s="602" t="s">
        <v>1449</v>
      </c>
      <c r="K198" s="575"/>
      <c r="L198" s="575" t="s">
        <v>1449</v>
      </c>
      <c r="M198" s="576" t="s">
        <v>1450</v>
      </c>
      <c r="N198" s="555"/>
      <c r="O198" s="575" t="s">
        <v>844</v>
      </c>
      <c r="P198" s="551"/>
      <c r="Q198" s="551"/>
      <c r="R198" s="551"/>
      <c r="S198" s="551"/>
      <c r="T198" s="551"/>
      <c r="U198" s="551"/>
      <c r="V198" s="551"/>
      <c r="W198" s="551"/>
      <c r="X198" s="551"/>
      <c r="Y198" s="551"/>
    </row>
    <row r="199" spans="1:25" ht="16.5">
      <c r="A199" s="654"/>
      <c r="B199" s="653"/>
      <c r="C199" s="580"/>
      <c r="D199" s="580"/>
      <c r="E199" s="586"/>
      <c r="F199" s="586"/>
      <c r="G199" s="15"/>
      <c r="H199" s="15"/>
      <c r="J199" s="932">
        <v>75463</v>
      </c>
      <c r="K199" s="797"/>
      <c r="L199" s="929">
        <v>334176</v>
      </c>
      <c r="M199" s="854">
        <v>27673793</v>
      </c>
      <c r="N199" s="846"/>
      <c r="O199" s="745">
        <v>3701</v>
      </c>
      <c r="P199" s="551"/>
      <c r="Q199" s="551"/>
      <c r="R199" s="551"/>
      <c r="S199" s="551"/>
      <c r="T199" s="551"/>
      <c r="U199" s="551"/>
      <c r="V199" s="551"/>
      <c r="W199" s="551"/>
      <c r="X199" s="551"/>
      <c r="Y199" s="551"/>
    </row>
    <row r="200" spans="1:25" ht="16.5">
      <c r="A200" s="656" t="s">
        <v>665</v>
      </c>
      <c r="B200" s="625" t="s">
        <v>665</v>
      </c>
      <c r="C200" s="625" t="s">
        <v>665</v>
      </c>
      <c r="D200" s="625" t="s">
        <v>665</v>
      </c>
      <c r="E200" s="586"/>
      <c r="F200" s="586"/>
      <c r="G200" s="15"/>
      <c r="H200" s="15"/>
      <c r="J200" s="932">
        <v>16925</v>
      </c>
      <c r="K200" s="797"/>
      <c r="L200" s="936">
        <v>46198</v>
      </c>
      <c r="M200" s="854">
        <v>2812633</v>
      </c>
      <c r="N200" s="846"/>
      <c r="O200" s="777">
        <v>978</v>
      </c>
      <c r="P200" s="551"/>
      <c r="Q200" s="551"/>
      <c r="R200" s="551"/>
      <c r="S200" s="551"/>
      <c r="T200" s="551"/>
      <c r="U200" s="551"/>
      <c r="V200" s="551"/>
      <c r="W200" s="551"/>
      <c r="X200" s="551"/>
      <c r="Y200" s="551"/>
    </row>
    <row r="201" spans="1:25" ht="16.5">
      <c r="A201" s="660">
        <v>4470.112</v>
      </c>
      <c r="B201" s="658">
        <v>4470.17</v>
      </c>
      <c r="C201" s="659">
        <v>4470.167</v>
      </c>
      <c r="D201" s="659">
        <v>4470.169</v>
      </c>
      <c r="E201" s="586"/>
      <c r="F201" s="586"/>
      <c r="G201" s="15"/>
      <c r="H201" s="15"/>
      <c r="J201" s="932">
        <v>35381</v>
      </c>
      <c r="K201" s="797"/>
      <c r="L201" s="929">
        <v>166703</v>
      </c>
      <c r="M201" s="854">
        <v>11692284</v>
      </c>
      <c r="N201" s="846"/>
      <c r="O201" s="745">
        <v>104256</v>
      </c>
      <c r="P201" s="551"/>
      <c r="Q201" s="551"/>
      <c r="R201" s="551"/>
      <c r="S201" s="551"/>
      <c r="T201" s="551"/>
      <c r="U201" s="551"/>
      <c r="V201" s="551"/>
      <c r="W201" s="551"/>
      <c r="X201" s="551"/>
      <c r="Y201" s="551"/>
    </row>
    <row r="202" spans="1:25" ht="16.5">
      <c r="A202" s="756">
        <v>-1454</v>
      </c>
      <c r="B202" s="745">
        <v>9867889</v>
      </c>
      <c r="C202" s="756">
        <v>7737</v>
      </c>
      <c r="D202" s="928">
        <v>0</v>
      </c>
      <c r="E202" s="586"/>
      <c r="F202" s="586"/>
      <c r="G202" s="15"/>
      <c r="H202" s="15"/>
      <c r="J202" s="932">
        <v>78041</v>
      </c>
      <c r="K202" s="797"/>
      <c r="L202" s="929">
        <v>237441</v>
      </c>
      <c r="M202" s="854">
        <v>16379717</v>
      </c>
      <c r="N202" s="846"/>
      <c r="O202" s="745">
        <v>5244</v>
      </c>
      <c r="P202" s="551"/>
      <c r="Q202" s="551"/>
      <c r="R202" s="551"/>
      <c r="S202" s="551"/>
      <c r="T202" s="551"/>
      <c r="U202" s="551"/>
      <c r="V202" s="551"/>
      <c r="W202" s="551"/>
      <c r="X202" s="551"/>
      <c r="Y202" s="551"/>
    </row>
    <row r="203" spans="1:25" ht="16.5">
      <c r="A203" s="745">
        <v>-293</v>
      </c>
      <c r="B203" s="745">
        <v>1988297</v>
      </c>
      <c r="C203" s="745">
        <v>1559</v>
      </c>
      <c r="D203" s="929">
        <v>0</v>
      </c>
      <c r="E203" s="586"/>
      <c r="F203" s="586"/>
      <c r="G203" s="15"/>
      <c r="H203" s="15"/>
      <c r="J203" s="933">
        <v>55557</v>
      </c>
      <c r="K203" s="797"/>
      <c r="L203" s="930">
        <v>446912</v>
      </c>
      <c r="M203" s="855">
        <v>12151485</v>
      </c>
      <c r="N203" s="846"/>
      <c r="O203" s="757">
        <v>107491</v>
      </c>
      <c r="P203" s="551"/>
      <c r="Q203" s="551"/>
      <c r="R203" s="551"/>
      <c r="S203" s="551"/>
      <c r="T203" s="551"/>
      <c r="U203" s="551"/>
      <c r="V203" s="551"/>
      <c r="W203" s="551"/>
      <c r="X203" s="551"/>
      <c r="Y203" s="551"/>
    </row>
    <row r="204" spans="1:25" ht="16.5">
      <c r="A204" s="745">
        <v>-746</v>
      </c>
      <c r="B204" s="745">
        <v>5064817</v>
      </c>
      <c r="C204" s="745">
        <v>3971</v>
      </c>
      <c r="D204" s="929">
        <v>0</v>
      </c>
      <c r="E204" s="586"/>
      <c r="F204" s="586"/>
      <c r="G204" s="15"/>
      <c r="H204" s="15"/>
      <c r="J204" s="736">
        <f>SUM(J199:J203)</f>
        <v>261367</v>
      </c>
      <c r="K204" s="737"/>
      <c r="L204" s="737">
        <f>SUM(L199:L203)</f>
        <v>1231430</v>
      </c>
      <c r="M204" s="738">
        <f>SUM(M199:M203)</f>
        <v>70709912</v>
      </c>
      <c r="N204" s="845"/>
      <c r="O204" s="738">
        <f>SUM(O199:O203)</f>
        <v>221670</v>
      </c>
      <c r="P204" s="551"/>
      <c r="Q204" s="551"/>
      <c r="R204" s="551"/>
      <c r="S204" s="551"/>
      <c r="T204" s="551"/>
      <c r="U204" s="551"/>
      <c r="V204" s="551"/>
      <c r="W204" s="551"/>
      <c r="X204" s="551"/>
      <c r="Y204" s="551"/>
    </row>
    <row r="205" spans="1:25" ht="16.5">
      <c r="A205" s="745">
        <v>-955</v>
      </c>
      <c r="B205" s="745">
        <v>6482943</v>
      </c>
      <c r="C205" s="745">
        <v>5083</v>
      </c>
      <c r="D205" s="929">
        <v>0</v>
      </c>
      <c r="E205" s="586"/>
      <c r="F205" s="586"/>
      <c r="G205" s="15"/>
      <c r="H205" s="15"/>
      <c r="J205" s="586"/>
      <c r="K205" s="586"/>
      <c r="L205" s="586"/>
      <c r="M205" s="582"/>
      <c r="N205" s="551"/>
      <c r="O205" s="551"/>
      <c r="P205" s="551"/>
      <c r="Q205" s="551"/>
      <c r="R205" s="551"/>
      <c r="S205" s="551"/>
      <c r="T205" s="551"/>
      <c r="U205" s="551"/>
      <c r="V205" s="551"/>
      <c r="W205" s="551"/>
      <c r="X205" s="551"/>
      <c r="Y205" s="551"/>
    </row>
    <row r="206" spans="1:25" ht="16.5">
      <c r="A206" s="757">
        <v>-771</v>
      </c>
      <c r="B206" s="757">
        <v>5233492</v>
      </c>
      <c r="C206" s="757">
        <v>4103</v>
      </c>
      <c r="D206" s="930">
        <v>0</v>
      </c>
      <c r="E206" s="586"/>
      <c r="F206" s="586"/>
      <c r="G206" s="15"/>
      <c r="H206" s="15"/>
      <c r="J206" s="710" t="s">
        <v>1236</v>
      </c>
      <c r="K206" s="710"/>
      <c r="L206" s="710"/>
      <c r="M206" s="697"/>
      <c r="N206" s="551"/>
      <c r="O206" s="551"/>
      <c r="P206" s="551"/>
      <c r="Q206" s="551"/>
      <c r="R206" s="551"/>
      <c r="S206" s="551"/>
      <c r="T206" s="551"/>
      <c r="U206" s="551"/>
      <c r="V206" s="551"/>
      <c r="W206" s="551"/>
      <c r="X206" s="551"/>
      <c r="Y206" s="551"/>
    </row>
    <row r="207" spans="1:25" ht="17.25">
      <c r="A207" s="746">
        <f>SUM(A202:A206)</f>
        <v>-4219</v>
      </c>
      <c r="B207" s="746">
        <f>SUM(B202:B206)</f>
        <v>28637438</v>
      </c>
      <c r="C207" s="746">
        <f>SUM(C202:C206)</f>
        <v>22453</v>
      </c>
      <c r="D207" s="746">
        <f>SUM(D202:D206)</f>
        <v>0</v>
      </c>
      <c r="E207" s="586"/>
      <c r="F207" s="586"/>
      <c r="G207" s="15"/>
      <c r="H207" s="15"/>
      <c r="J207" s="553" t="s">
        <v>764</v>
      </c>
      <c r="K207" s="574"/>
      <c r="L207" s="558"/>
      <c r="M207" s="582"/>
      <c r="N207" s="551"/>
      <c r="O207" s="551"/>
      <c r="P207" s="551"/>
      <c r="Q207" s="551"/>
      <c r="R207" s="551"/>
      <c r="S207" s="551"/>
      <c r="T207" s="551"/>
      <c r="U207" s="551"/>
      <c r="V207" s="551"/>
      <c r="W207" s="551"/>
      <c r="X207" s="551"/>
      <c r="Y207" s="551"/>
    </row>
    <row r="208" spans="1:25" ht="16.5">
      <c r="A208" s="663"/>
      <c r="B208" s="621"/>
      <c r="C208" s="662"/>
      <c r="D208" s="662"/>
      <c r="E208" s="586"/>
      <c r="F208" s="586"/>
      <c r="G208" s="15"/>
      <c r="H208" s="15"/>
      <c r="J208" s="650" t="s">
        <v>1279</v>
      </c>
      <c r="K208" s="574"/>
      <c r="L208" s="558"/>
      <c r="M208" s="551"/>
      <c r="N208" s="551"/>
      <c r="O208" s="551"/>
      <c r="P208" s="551"/>
      <c r="Q208" s="551"/>
      <c r="R208" s="551"/>
      <c r="S208" s="551"/>
      <c r="T208" s="551"/>
      <c r="U208" s="551"/>
      <c r="V208" s="551"/>
      <c r="W208" s="551"/>
      <c r="X208" s="551"/>
      <c r="Y208" s="551"/>
    </row>
    <row r="209" spans="1:25" ht="16.5">
      <c r="A209" s="756">
        <v>-6750</v>
      </c>
      <c r="B209" s="724">
        <v>9917895</v>
      </c>
      <c r="C209" s="756">
        <v>7655</v>
      </c>
      <c r="D209" s="756">
        <v>0</v>
      </c>
      <c r="E209" s="586"/>
      <c r="F209" s="586"/>
      <c r="G209" s="15"/>
      <c r="H209" s="15"/>
      <c r="J209" s="609" t="s">
        <v>388</v>
      </c>
      <c r="K209" s="555"/>
      <c r="L209" s="844" t="s">
        <v>1520</v>
      </c>
      <c r="M209" s="551"/>
      <c r="N209" s="551"/>
      <c r="O209" s="551"/>
      <c r="P209" s="551"/>
      <c r="Q209" s="551"/>
      <c r="R209" s="551"/>
      <c r="S209" s="551"/>
      <c r="T209" s="551"/>
      <c r="U209" s="551"/>
      <c r="V209" s="551"/>
      <c r="W209" s="551"/>
      <c r="X209" s="551"/>
      <c r="Y209" s="551"/>
    </row>
    <row r="210" spans="1:25" ht="16.5">
      <c r="A210" s="745">
        <v>-1360</v>
      </c>
      <c r="B210" s="724">
        <v>1998373</v>
      </c>
      <c r="C210" s="745">
        <v>1543</v>
      </c>
      <c r="D210" s="745">
        <v>0</v>
      </c>
      <c r="E210" s="586"/>
      <c r="F210" s="586"/>
      <c r="G210" s="15"/>
      <c r="H210" s="15"/>
      <c r="J210" s="602" t="s">
        <v>177</v>
      </c>
      <c r="K210" s="575"/>
      <c r="L210" s="575" t="s">
        <v>177</v>
      </c>
      <c r="M210" s="551"/>
      <c r="N210" s="551"/>
      <c r="O210" s="551"/>
      <c r="P210" s="551"/>
      <c r="Q210" s="551"/>
      <c r="R210" s="551"/>
      <c r="S210" s="551"/>
      <c r="T210" s="551"/>
      <c r="U210" s="551"/>
      <c r="V210" s="551"/>
      <c r="W210" s="551"/>
      <c r="X210" s="551"/>
      <c r="Y210" s="551"/>
    </row>
    <row r="211" spans="1:25" ht="16.5">
      <c r="A211" s="745">
        <v>-3465</v>
      </c>
      <c r="B211" s="724">
        <v>5090484</v>
      </c>
      <c r="C211" s="745">
        <v>3929</v>
      </c>
      <c r="D211" s="745">
        <v>0</v>
      </c>
      <c r="E211" s="586"/>
      <c r="F211" s="586"/>
      <c r="G211" s="15"/>
      <c r="H211" s="15"/>
      <c r="J211" s="932">
        <v>2999346</v>
      </c>
      <c r="K211" s="797"/>
      <c r="L211" s="929">
        <v>2455473</v>
      </c>
      <c r="M211" s="551"/>
      <c r="N211" s="551"/>
      <c r="O211" s="551"/>
      <c r="P211" s="551"/>
      <c r="Q211" s="551"/>
      <c r="R211" s="551"/>
      <c r="S211" s="551"/>
      <c r="T211" s="551"/>
      <c r="U211" s="551"/>
      <c r="V211" s="551"/>
      <c r="W211" s="551"/>
      <c r="X211" s="551"/>
      <c r="Y211" s="551"/>
    </row>
    <row r="212" spans="1:25" ht="16.5">
      <c r="A212" s="745">
        <v>-4434</v>
      </c>
      <c r="B212" s="724">
        <v>6515796</v>
      </c>
      <c r="C212" s="745">
        <v>5029</v>
      </c>
      <c r="D212" s="745">
        <v>0</v>
      </c>
      <c r="E212" s="586"/>
      <c r="F212" s="586"/>
      <c r="G212" s="15"/>
      <c r="H212" s="15"/>
      <c r="J212" s="937">
        <v>607527</v>
      </c>
      <c r="K212" s="797"/>
      <c r="L212" s="936">
        <v>494935</v>
      </c>
      <c r="M212" s="551"/>
      <c r="N212" s="551"/>
      <c r="O212" s="551"/>
      <c r="P212" s="551"/>
      <c r="Q212" s="551"/>
      <c r="R212" s="551"/>
      <c r="S212" s="551"/>
      <c r="T212" s="551"/>
      <c r="U212" s="551"/>
      <c r="V212" s="551"/>
      <c r="W212" s="551"/>
      <c r="X212" s="551"/>
      <c r="Y212" s="551"/>
    </row>
    <row r="213" spans="1:25" ht="16.5">
      <c r="A213" s="757">
        <v>-3580</v>
      </c>
      <c r="B213" s="725">
        <v>5260013</v>
      </c>
      <c r="C213" s="757">
        <v>4060</v>
      </c>
      <c r="D213" s="757">
        <v>0</v>
      </c>
      <c r="E213" s="586"/>
      <c r="F213" s="586"/>
      <c r="G213" s="15"/>
      <c r="H213" s="15"/>
      <c r="J213" s="932">
        <v>1562113</v>
      </c>
      <c r="K213" s="797"/>
      <c r="L213" s="929">
        <v>1261572</v>
      </c>
      <c r="M213" s="551"/>
      <c r="N213" s="551"/>
      <c r="O213" s="551"/>
      <c r="P213" s="551"/>
      <c r="Q213" s="551"/>
      <c r="R213" s="551"/>
      <c r="S213" s="551"/>
      <c r="T213" s="551"/>
      <c r="U213" s="551"/>
      <c r="V213" s="551"/>
      <c r="W213" s="551"/>
      <c r="X213" s="551"/>
      <c r="Y213" s="551"/>
    </row>
    <row r="214" spans="1:25" ht="16.5">
      <c r="A214" s="746">
        <f>SUM(A209:A213)</f>
        <v>-19589</v>
      </c>
      <c r="B214" s="737">
        <f>SUM(B209:B213)</f>
        <v>28782561</v>
      </c>
      <c r="C214" s="746">
        <f>SUM(C209:C213)</f>
        <v>22216</v>
      </c>
      <c r="D214" s="746">
        <f>SUM(D209:D213)</f>
        <v>0</v>
      </c>
      <c r="E214" s="586"/>
      <c r="F214" s="586"/>
      <c r="G214" s="15"/>
      <c r="H214" s="15"/>
      <c r="J214" s="932">
        <v>2009053</v>
      </c>
      <c r="K214" s="797"/>
      <c r="L214" s="929">
        <v>1615343</v>
      </c>
      <c r="M214" s="551"/>
      <c r="N214" s="551"/>
      <c r="O214" s="551"/>
      <c r="P214" s="551"/>
      <c r="Q214" s="551"/>
      <c r="R214" s="551"/>
      <c r="S214" s="551"/>
      <c r="T214" s="551"/>
      <c r="U214" s="551"/>
      <c r="V214" s="551"/>
      <c r="W214" s="551"/>
      <c r="X214" s="551"/>
      <c r="Y214" s="551"/>
    </row>
    <row r="215" spans="1:25" ht="16.5">
      <c r="A215" s="586"/>
      <c r="B215" s="597"/>
      <c r="C215" s="586"/>
      <c r="D215" s="598"/>
      <c r="E215" s="598"/>
      <c r="F215" s="586"/>
      <c r="G215" s="15"/>
      <c r="H215" s="340"/>
      <c r="J215" s="933">
        <v>1580172</v>
      </c>
      <c r="K215" s="797"/>
      <c r="L215" s="930">
        <v>1301683</v>
      </c>
      <c r="M215" s="551"/>
      <c r="N215" s="551"/>
      <c r="O215" s="551"/>
      <c r="P215" s="551"/>
      <c r="Q215" s="551"/>
      <c r="R215" s="551"/>
      <c r="S215" s="551"/>
      <c r="T215" s="551"/>
      <c r="U215" s="551"/>
      <c r="V215" s="551"/>
      <c r="W215" s="551"/>
      <c r="X215" s="551"/>
      <c r="Y215" s="551"/>
    </row>
    <row r="216" spans="1:25" ht="16.5">
      <c r="A216" s="551"/>
      <c r="B216" s="624" t="s">
        <v>1078</v>
      </c>
      <c r="C216" s="606"/>
      <c r="D216" s="665" t="s">
        <v>885</v>
      </c>
      <c r="E216" s="666" t="s">
        <v>1083</v>
      </c>
      <c r="F216" s="639" t="s">
        <v>1085</v>
      </c>
      <c r="G216" s="340"/>
      <c r="H216" s="8"/>
      <c r="J216" s="736">
        <f>SUM(J211:J215)</f>
        <v>8758211</v>
      </c>
      <c r="K216" s="737"/>
      <c r="L216" s="737">
        <f>SUM(L211:L215)</f>
        <v>7129006</v>
      </c>
      <c r="M216" s="551"/>
      <c r="N216" s="551"/>
      <c r="O216" s="551"/>
      <c r="P216" s="551"/>
      <c r="Q216" s="551"/>
      <c r="R216" s="551"/>
      <c r="S216" s="551"/>
      <c r="T216" s="551"/>
      <c r="U216" s="551"/>
      <c r="V216" s="551"/>
      <c r="W216" s="551"/>
      <c r="X216" s="551"/>
      <c r="Y216" s="551"/>
    </row>
    <row r="217" spans="1:25" ht="15">
      <c r="A217" s="551"/>
      <c r="B217" s="626" t="s">
        <v>1343</v>
      </c>
      <c r="C217" s="612"/>
      <c r="D217" s="626" t="s">
        <v>1359</v>
      </c>
      <c r="E217" s="626" t="s">
        <v>1084</v>
      </c>
      <c r="F217" s="626" t="s">
        <v>2128</v>
      </c>
      <c r="G217" s="8"/>
      <c r="H217" s="8"/>
      <c r="J217" s="551"/>
      <c r="K217" s="551"/>
      <c r="L217" s="551"/>
      <c r="M217" s="551"/>
      <c r="N217" s="551"/>
      <c r="O217" s="551"/>
      <c r="P217" s="551"/>
      <c r="Q217" s="551"/>
      <c r="R217" s="551"/>
      <c r="S217" s="551"/>
      <c r="T217" s="551"/>
      <c r="U217" s="551"/>
      <c r="V217" s="551"/>
      <c r="W217" s="551"/>
      <c r="X217" s="551"/>
      <c r="Y217" s="551"/>
    </row>
    <row r="218" spans="1:25" ht="16.5">
      <c r="A218" s="551"/>
      <c r="B218" s="618" t="s">
        <v>1348</v>
      </c>
      <c r="C218" s="604"/>
      <c r="D218" s="733">
        <v>0</v>
      </c>
      <c r="E218" s="733">
        <v>0</v>
      </c>
      <c r="F218" s="733">
        <v>0</v>
      </c>
      <c r="G218" s="8"/>
      <c r="H218" s="8"/>
      <c r="J218" s="553" t="s">
        <v>1177</v>
      </c>
      <c r="K218" s="574"/>
      <c r="L218" s="558"/>
      <c r="M218" s="551"/>
      <c r="N218" s="551"/>
      <c r="O218" s="551"/>
      <c r="P218" s="551"/>
      <c r="Q218" s="551"/>
      <c r="R218" s="551"/>
      <c r="S218" s="551"/>
      <c r="T218" s="551"/>
      <c r="U218" s="551"/>
      <c r="V218" s="551"/>
      <c r="W218" s="551"/>
      <c r="X218" s="551"/>
      <c r="Y218" s="551"/>
    </row>
    <row r="219" spans="1:25" ht="15">
      <c r="A219" s="551"/>
      <c r="B219" s="619" t="s">
        <v>1350</v>
      </c>
      <c r="C219" s="620"/>
      <c r="D219" s="762"/>
      <c r="E219" s="765"/>
      <c r="F219" s="766"/>
      <c r="G219" s="8"/>
      <c r="H219" s="8"/>
      <c r="J219" s="650" t="s">
        <v>1279</v>
      </c>
      <c r="K219" s="574"/>
      <c r="L219" s="558"/>
      <c r="M219" s="551"/>
      <c r="N219" s="551"/>
      <c r="O219" s="551"/>
      <c r="P219" s="551"/>
      <c r="Q219" s="551"/>
      <c r="R219" s="551"/>
      <c r="S219" s="551"/>
      <c r="T219" s="551"/>
      <c r="U219" s="551"/>
      <c r="V219" s="551"/>
      <c r="W219" s="551"/>
      <c r="X219" s="551"/>
      <c r="Y219" s="551"/>
    </row>
    <row r="220" spans="1:25" ht="15">
      <c r="A220" s="551"/>
      <c r="B220" s="616" t="s">
        <v>1239</v>
      </c>
      <c r="C220" s="630"/>
      <c r="D220" s="731">
        <v>0</v>
      </c>
      <c r="E220" s="731">
        <v>0</v>
      </c>
      <c r="F220" s="731">
        <v>0</v>
      </c>
      <c r="G220" s="8"/>
      <c r="H220" s="8"/>
      <c r="J220" s="609" t="s">
        <v>388</v>
      </c>
      <c r="K220" s="555"/>
      <c r="L220" s="844" t="s">
        <v>178</v>
      </c>
      <c r="M220" s="551"/>
      <c r="N220" s="551"/>
      <c r="O220" s="551"/>
      <c r="P220" s="551"/>
      <c r="Q220" s="551"/>
      <c r="R220" s="551"/>
      <c r="S220" s="551"/>
      <c r="T220" s="551"/>
      <c r="U220" s="551"/>
      <c r="V220" s="551"/>
      <c r="W220" s="551"/>
      <c r="X220" s="551"/>
      <c r="Y220" s="551"/>
    </row>
    <row r="221" spans="1:25" ht="15">
      <c r="A221" s="551"/>
      <c r="B221" s="617" t="s">
        <v>1240</v>
      </c>
      <c r="C221" s="631"/>
      <c r="D221" s="732">
        <v>0</v>
      </c>
      <c r="E221" s="732">
        <v>0</v>
      </c>
      <c r="F221" s="732">
        <v>0</v>
      </c>
      <c r="G221" s="8"/>
      <c r="H221" s="8"/>
      <c r="J221" s="602" t="s">
        <v>179</v>
      </c>
      <c r="K221" s="575"/>
      <c r="L221" s="575" t="s">
        <v>180</v>
      </c>
      <c r="M221" s="551"/>
      <c r="N221" s="551"/>
      <c r="O221" s="551"/>
      <c r="P221" s="551"/>
      <c r="Q221" s="551"/>
      <c r="R221" s="551"/>
      <c r="S221" s="551"/>
      <c r="T221" s="551"/>
      <c r="U221" s="551"/>
      <c r="V221" s="551"/>
      <c r="W221" s="551"/>
      <c r="X221" s="551"/>
      <c r="Y221" s="551"/>
    </row>
    <row r="222" spans="1:25" ht="15">
      <c r="A222" s="551"/>
      <c r="B222" s="617" t="s">
        <v>1241</v>
      </c>
      <c r="C222" s="631"/>
      <c r="D222" s="732">
        <v>0</v>
      </c>
      <c r="E222" s="732">
        <v>0</v>
      </c>
      <c r="F222" s="732">
        <v>0</v>
      </c>
      <c r="G222" s="8"/>
      <c r="H222" s="8"/>
      <c r="J222" s="928">
        <f>-2774755</f>
        <v>-2774755</v>
      </c>
      <c r="K222" s="797"/>
      <c r="L222" s="756">
        <v>0</v>
      </c>
      <c r="M222" s="551"/>
      <c r="N222" s="586"/>
      <c r="O222" s="551"/>
      <c r="P222" s="551"/>
      <c r="Q222" s="551"/>
      <c r="R222" s="551"/>
      <c r="S222" s="551"/>
      <c r="T222" s="551"/>
      <c r="U222" s="551"/>
      <c r="V222" s="551"/>
      <c r="W222" s="551"/>
      <c r="X222" s="551"/>
      <c r="Y222" s="551"/>
    </row>
    <row r="223" spans="1:25" ht="15">
      <c r="A223" s="551"/>
      <c r="B223" s="617" t="s">
        <v>1242</v>
      </c>
      <c r="C223" s="631"/>
      <c r="D223" s="732">
        <v>0</v>
      </c>
      <c r="E223" s="732">
        <v>0</v>
      </c>
      <c r="F223" s="732">
        <v>0</v>
      </c>
      <c r="G223" s="8"/>
      <c r="H223" s="8"/>
      <c r="J223" s="936">
        <f>-559221</f>
        <v>-559221</v>
      </c>
      <c r="K223" s="797"/>
      <c r="L223" s="777">
        <v>0</v>
      </c>
      <c r="M223" s="551"/>
      <c r="N223" s="586"/>
      <c r="O223" s="551"/>
      <c r="P223" s="551"/>
      <c r="Q223" s="551"/>
      <c r="R223" s="551"/>
      <c r="S223" s="551"/>
      <c r="T223" s="551"/>
      <c r="U223" s="551"/>
      <c r="V223" s="551"/>
      <c r="W223" s="551"/>
      <c r="X223" s="551"/>
      <c r="Y223" s="551"/>
    </row>
    <row r="224" spans="1:25" ht="15">
      <c r="A224" s="551"/>
      <c r="B224" s="617" t="s">
        <v>1243</v>
      </c>
      <c r="C224" s="604"/>
      <c r="D224" s="733">
        <v>0</v>
      </c>
      <c r="E224" s="733">
        <v>0</v>
      </c>
      <c r="F224" s="733">
        <v>0</v>
      </c>
      <c r="G224" s="8"/>
      <c r="H224" s="2"/>
      <c r="J224" s="929">
        <f>-1425109</f>
        <v>-1425109</v>
      </c>
      <c r="K224" s="797"/>
      <c r="L224" s="745">
        <v>0</v>
      </c>
      <c r="M224" s="551"/>
      <c r="N224" s="586"/>
      <c r="O224" s="551"/>
      <c r="P224" s="551"/>
      <c r="Q224" s="551"/>
      <c r="R224" s="551"/>
      <c r="S224" s="551"/>
      <c r="T224" s="551"/>
      <c r="U224" s="551"/>
      <c r="V224" s="551"/>
      <c r="W224" s="551"/>
      <c r="X224" s="551"/>
      <c r="Y224" s="551"/>
    </row>
    <row r="225" spans="1:25" ht="16.5">
      <c r="A225" s="551"/>
      <c r="B225" s="618" t="s">
        <v>1348</v>
      </c>
      <c r="C225" s="604"/>
      <c r="D225" s="737">
        <f>SUM(D220:D224)</f>
        <v>0</v>
      </c>
      <c r="E225" s="737">
        <f>SUM(E220:E224)</f>
        <v>0</v>
      </c>
      <c r="F225" s="737">
        <f>SUM(F220:F224)</f>
        <v>0</v>
      </c>
      <c r="G225" s="2"/>
      <c r="H225" s="338"/>
      <c r="J225" s="929">
        <f>-1824526</f>
        <v>-1824526</v>
      </c>
      <c r="K225" s="797"/>
      <c r="L225" s="745">
        <v>0</v>
      </c>
      <c r="M225" s="551"/>
      <c r="N225" s="586"/>
      <c r="O225" s="551"/>
      <c r="P225" s="551"/>
      <c r="Q225" s="551"/>
      <c r="R225" s="551"/>
      <c r="S225" s="551"/>
      <c r="T225" s="551"/>
      <c r="U225" s="551"/>
      <c r="V225" s="551"/>
      <c r="W225" s="551"/>
      <c r="X225" s="551"/>
      <c r="Y225" s="551"/>
    </row>
    <row r="226" spans="1:25" ht="16.5">
      <c r="A226" s="551"/>
      <c r="B226" s="551"/>
      <c r="C226" s="551"/>
      <c r="D226" s="551"/>
      <c r="E226" s="582"/>
      <c r="F226" s="582"/>
      <c r="G226" s="338"/>
      <c r="H226" s="339"/>
      <c r="J226" s="930">
        <f>-1471174</f>
        <v>-1471174</v>
      </c>
      <c r="K226" s="797"/>
      <c r="L226" s="757">
        <v>0</v>
      </c>
      <c r="M226" s="551"/>
      <c r="N226" s="586"/>
      <c r="O226" s="551"/>
      <c r="P226" s="551"/>
      <c r="Q226" s="551"/>
      <c r="R226" s="551"/>
      <c r="S226" s="551"/>
      <c r="T226" s="551"/>
      <c r="U226" s="551"/>
      <c r="V226" s="551"/>
      <c r="W226" s="551"/>
      <c r="X226" s="551"/>
      <c r="Y226" s="551"/>
    </row>
    <row r="227" spans="1:25" ht="16.5">
      <c r="A227" s="551"/>
      <c r="B227" s="624" t="s">
        <v>1079</v>
      </c>
      <c r="C227" s="606" t="s">
        <v>1086</v>
      </c>
      <c r="D227" s="607" t="s">
        <v>1086</v>
      </c>
      <c r="E227" s="607" t="s">
        <v>1281</v>
      </c>
      <c r="F227" s="625" t="s">
        <v>1281</v>
      </c>
      <c r="G227" s="339"/>
      <c r="H227" s="8"/>
      <c r="J227" s="736">
        <f>SUM(J222:J226)</f>
        <v>-8054785</v>
      </c>
      <c r="K227" s="737"/>
      <c r="L227" s="737">
        <f>SUM(L222:L226)</f>
        <v>0</v>
      </c>
      <c r="M227" s="551"/>
      <c r="N227" s="551"/>
      <c r="O227" s="551"/>
      <c r="P227" s="551"/>
      <c r="Q227" s="551"/>
      <c r="R227" s="551"/>
      <c r="S227" s="551"/>
      <c r="T227" s="551"/>
      <c r="U227" s="551"/>
      <c r="V227" s="551"/>
      <c r="W227" s="551"/>
      <c r="X227" s="551"/>
      <c r="Y227" s="551"/>
    </row>
    <row r="228" spans="1:8" ht="15">
      <c r="A228" s="551"/>
      <c r="B228" s="626" t="s">
        <v>1343</v>
      </c>
      <c r="C228" s="612" t="s">
        <v>1344</v>
      </c>
      <c r="D228" s="614" t="s">
        <v>1294</v>
      </c>
      <c r="E228" s="614" t="s">
        <v>1344</v>
      </c>
      <c r="F228" s="627" t="s">
        <v>1294</v>
      </c>
      <c r="G228" s="8"/>
      <c r="H228" s="8"/>
    </row>
    <row r="229" spans="1:8" ht="15">
      <c r="A229" s="551"/>
      <c r="B229" s="618" t="s">
        <v>1348</v>
      </c>
      <c r="C229" s="733">
        <v>0</v>
      </c>
      <c r="D229" s="733">
        <v>0</v>
      </c>
      <c r="E229" s="733">
        <v>0</v>
      </c>
      <c r="F229" s="733">
        <v>0</v>
      </c>
      <c r="G229" s="8"/>
      <c r="H229" s="8"/>
    </row>
    <row r="230" spans="1:8" ht="15">
      <c r="A230" s="551"/>
      <c r="B230" s="619" t="s">
        <v>1350</v>
      </c>
      <c r="C230" s="762"/>
      <c r="D230" s="765"/>
      <c r="E230" s="765"/>
      <c r="F230" s="766"/>
      <c r="G230" s="8"/>
      <c r="H230" s="8"/>
    </row>
    <row r="231" spans="1:8" ht="15">
      <c r="A231" s="551"/>
      <c r="B231" s="616" t="s">
        <v>1239</v>
      </c>
      <c r="C231" s="731">
        <v>0</v>
      </c>
      <c r="D231" s="731">
        <v>0</v>
      </c>
      <c r="E231" s="731">
        <v>0</v>
      </c>
      <c r="F231" s="731">
        <v>0</v>
      </c>
      <c r="G231" s="8"/>
      <c r="H231" s="8"/>
    </row>
    <row r="232" spans="1:8" ht="15">
      <c r="A232" s="551"/>
      <c r="B232" s="617" t="s">
        <v>1240</v>
      </c>
      <c r="C232" s="732">
        <v>0</v>
      </c>
      <c r="D232" s="732">
        <v>0</v>
      </c>
      <c r="E232" s="732">
        <v>0</v>
      </c>
      <c r="F232" s="732">
        <v>0</v>
      </c>
      <c r="G232" s="8"/>
      <c r="H232" s="8"/>
    </row>
    <row r="233" spans="1:8" ht="15">
      <c r="A233" s="551"/>
      <c r="B233" s="617" t="s">
        <v>1241</v>
      </c>
      <c r="C233" s="732">
        <v>0</v>
      </c>
      <c r="D233" s="732">
        <v>0</v>
      </c>
      <c r="E233" s="732">
        <v>0</v>
      </c>
      <c r="F233" s="732">
        <v>0</v>
      </c>
      <c r="G233" s="8"/>
      <c r="H233" s="8"/>
    </row>
    <row r="234" spans="1:8" ht="15">
      <c r="A234" s="551"/>
      <c r="B234" s="617" t="s">
        <v>1242</v>
      </c>
      <c r="C234" s="732">
        <v>0</v>
      </c>
      <c r="D234" s="732">
        <v>0</v>
      </c>
      <c r="E234" s="732">
        <v>0</v>
      </c>
      <c r="F234" s="732">
        <v>0</v>
      </c>
      <c r="G234" s="8"/>
      <c r="H234" s="8"/>
    </row>
    <row r="235" spans="1:8" ht="15">
      <c r="A235" s="551"/>
      <c r="B235" s="617" t="s">
        <v>1243</v>
      </c>
      <c r="C235" s="733">
        <v>0</v>
      </c>
      <c r="D235" s="733">
        <v>0</v>
      </c>
      <c r="E235" s="733">
        <v>0</v>
      </c>
      <c r="F235" s="733">
        <v>0</v>
      </c>
      <c r="G235" s="8"/>
      <c r="H235" s="2"/>
    </row>
    <row r="236" spans="1:8" ht="16.5">
      <c r="A236" s="551"/>
      <c r="B236" s="618" t="s">
        <v>1348</v>
      </c>
      <c r="C236" s="737">
        <f>SUM(C231:C235)</f>
        <v>0</v>
      </c>
      <c r="D236" s="737">
        <f>SUM(D231:D235)</f>
        <v>0</v>
      </c>
      <c r="E236" s="737">
        <f>SUM(E231:E235)</f>
        <v>0</v>
      </c>
      <c r="F236" s="737">
        <f>SUM(F231:F235)</f>
        <v>0</v>
      </c>
      <c r="G236" s="2"/>
      <c r="H236" s="338"/>
    </row>
    <row r="237" spans="1:8" ht="16.5">
      <c r="A237" s="551"/>
      <c r="B237" s="551"/>
      <c r="C237" s="551"/>
      <c r="D237" s="551"/>
      <c r="E237" s="582"/>
      <c r="F237" s="582"/>
      <c r="G237" s="338"/>
      <c r="H237" s="339"/>
    </row>
    <row r="238" spans="1:8" ht="16.5">
      <c r="A238" s="551"/>
      <c r="B238" s="624" t="s">
        <v>1080</v>
      </c>
      <c r="C238" s="606" t="s">
        <v>1087</v>
      </c>
      <c r="D238" s="607" t="s">
        <v>1088</v>
      </c>
      <c r="E238" s="607"/>
      <c r="F238" s="625"/>
      <c r="G238" s="339"/>
      <c r="H238" s="8"/>
    </row>
    <row r="239" spans="1:8" ht="15">
      <c r="A239" s="551"/>
      <c r="B239" s="626" t="s">
        <v>1343</v>
      </c>
      <c r="C239" s="612" t="s">
        <v>1084</v>
      </c>
      <c r="D239" s="614" t="s">
        <v>2128</v>
      </c>
      <c r="E239" s="614"/>
      <c r="F239" s="627"/>
      <c r="G239" s="8"/>
      <c r="H239" s="8"/>
    </row>
    <row r="240" spans="1:8" ht="15">
      <c r="A240" s="551"/>
      <c r="B240" s="618" t="s">
        <v>1348</v>
      </c>
      <c r="C240" s="733">
        <v>0</v>
      </c>
      <c r="D240" s="733">
        <v>0</v>
      </c>
      <c r="E240" s="604"/>
      <c r="F240" s="604"/>
      <c r="G240" s="8"/>
      <c r="H240" s="8"/>
    </row>
    <row r="241" spans="1:8" ht="15">
      <c r="A241" s="551"/>
      <c r="B241" s="619" t="s">
        <v>1350</v>
      </c>
      <c r="C241" s="762"/>
      <c r="D241" s="765"/>
      <c r="E241" s="621"/>
      <c r="F241" s="622"/>
      <c r="G241" s="8"/>
      <c r="H241" s="8"/>
    </row>
    <row r="242" spans="1:8" ht="15">
      <c r="A242" s="551"/>
      <c r="B242" s="616" t="s">
        <v>1239</v>
      </c>
      <c r="C242" s="731">
        <v>0</v>
      </c>
      <c r="D242" s="731">
        <v>0</v>
      </c>
      <c r="E242" s="630"/>
      <c r="F242" s="630"/>
      <c r="G242" s="8"/>
      <c r="H242" s="8"/>
    </row>
    <row r="243" spans="1:8" ht="15">
      <c r="A243" s="551"/>
      <c r="B243" s="617" t="s">
        <v>1240</v>
      </c>
      <c r="C243" s="732">
        <v>0</v>
      </c>
      <c r="D243" s="732">
        <v>0</v>
      </c>
      <c r="E243" s="631"/>
      <c r="F243" s="631"/>
      <c r="G243" s="8"/>
      <c r="H243" s="8"/>
    </row>
    <row r="244" spans="1:10" ht="15">
      <c r="A244" s="551"/>
      <c r="B244" s="617" t="s">
        <v>1241</v>
      </c>
      <c r="C244" s="732">
        <v>0</v>
      </c>
      <c r="D244" s="732">
        <v>0</v>
      </c>
      <c r="E244" s="631"/>
      <c r="F244" s="631"/>
      <c r="G244" s="8"/>
      <c r="H244" s="8"/>
      <c r="J244" s="849"/>
    </row>
    <row r="245" spans="1:8" ht="15">
      <c r="A245" s="551"/>
      <c r="B245" s="617" t="s">
        <v>1242</v>
      </c>
      <c r="C245" s="732">
        <v>0</v>
      </c>
      <c r="D245" s="732">
        <v>0</v>
      </c>
      <c r="E245" s="631"/>
      <c r="F245" s="631"/>
      <c r="G245" s="8"/>
      <c r="H245" s="8"/>
    </row>
    <row r="246" spans="1:8" ht="15">
      <c r="A246" s="551"/>
      <c r="B246" s="617" t="s">
        <v>1243</v>
      </c>
      <c r="C246" s="733">
        <v>0</v>
      </c>
      <c r="D246" s="733">
        <v>0</v>
      </c>
      <c r="E246" s="604"/>
      <c r="F246" s="604"/>
      <c r="G246" s="8"/>
      <c r="H246" s="2"/>
    </row>
    <row r="247" spans="1:8" ht="16.5">
      <c r="A247" s="551"/>
      <c r="B247" s="618" t="s">
        <v>1348</v>
      </c>
      <c r="C247" s="737">
        <f>SUM(C242:C246)</f>
        <v>0</v>
      </c>
      <c r="D247" s="737">
        <f>SUM(D242:D246)</f>
        <v>0</v>
      </c>
      <c r="E247" s="604"/>
      <c r="F247" s="604"/>
      <c r="G247" s="2"/>
      <c r="H247" s="15"/>
    </row>
    <row r="248" spans="1:8" ht="16.5">
      <c r="A248" s="582"/>
      <c r="B248" s="551"/>
      <c r="C248" s="551"/>
      <c r="D248" s="551"/>
      <c r="E248" s="582"/>
      <c r="F248" s="582"/>
      <c r="G248" s="15"/>
      <c r="H248" s="15"/>
    </row>
    <row r="249" spans="1:8" ht="16.5">
      <c r="A249" s="551"/>
      <c r="B249" s="551"/>
      <c r="C249" s="1011" t="s">
        <v>1091</v>
      </c>
      <c r="D249" s="972"/>
      <c r="E249" s="1011" t="s">
        <v>1092</v>
      </c>
      <c r="F249" s="972"/>
      <c r="G249" s="15"/>
      <c r="H249" s="340"/>
    </row>
    <row r="250" spans="1:8" ht="16.5">
      <c r="A250" s="551"/>
      <c r="B250" s="624" t="s">
        <v>1081</v>
      </c>
      <c r="C250" s="606" t="s">
        <v>1089</v>
      </c>
      <c r="D250" s="608" t="s">
        <v>1089</v>
      </c>
      <c r="E250" s="606" t="s">
        <v>1089</v>
      </c>
      <c r="F250" s="608" t="s">
        <v>1089</v>
      </c>
      <c r="G250" s="340"/>
      <c r="H250" s="8"/>
    </row>
    <row r="251" spans="1:8" ht="15">
      <c r="A251" s="551"/>
      <c r="B251" s="626" t="s">
        <v>1343</v>
      </c>
      <c r="C251" s="612" t="s">
        <v>1090</v>
      </c>
      <c r="D251" s="615" t="s">
        <v>1298</v>
      </c>
      <c r="E251" s="612" t="s">
        <v>1090</v>
      </c>
      <c r="F251" s="615" t="s">
        <v>1298</v>
      </c>
      <c r="G251" s="8"/>
      <c r="H251" s="8"/>
    </row>
    <row r="252" spans="1:8" ht="15">
      <c r="A252" s="551"/>
      <c r="B252" s="618" t="s">
        <v>1348</v>
      </c>
      <c r="C252" s="733">
        <v>0</v>
      </c>
      <c r="D252" s="733">
        <v>0</v>
      </c>
      <c r="E252" s="733">
        <v>0</v>
      </c>
      <c r="F252" s="733">
        <v>0</v>
      </c>
      <c r="G252" s="8"/>
      <c r="H252" s="8"/>
    </row>
    <row r="253" spans="1:8" ht="15">
      <c r="A253" s="551"/>
      <c r="B253" s="619" t="s">
        <v>1350</v>
      </c>
      <c r="C253" s="762"/>
      <c r="D253" s="765"/>
      <c r="E253" s="765"/>
      <c r="F253" s="766"/>
      <c r="G253" s="8"/>
      <c r="H253" s="8"/>
    </row>
    <row r="254" spans="1:8" ht="15">
      <c r="A254" s="551"/>
      <c r="B254" s="616" t="s">
        <v>1239</v>
      </c>
      <c r="C254" s="731">
        <v>0</v>
      </c>
      <c r="D254" s="731">
        <v>0</v>
      </c>
      <c r="E254" s="731">
        <v>0</v>
      </c>
      <c r="F254" s="731">
        <v>0</v>
      </c>
      <c r="G254" s="8"/>
      <c r="H254" s="8"/>
    </row>
    <row r="255" spans="1:8" ht="15">
      <c r="A255" s="551"/>
      <c r="B255" s="617" t="s">
        <v>1240</v>
      </c>
      <c r="C255" s="732">
        <v>0</v>
      </c>
      <c r="D255" s="732">
        <v>0</v>
      </c>
      <c r="E255" s="732">
        <v>0</v>
      </c>
      <c r="F255" s="732">
        <v>0</v>
      </c>
      <c r="G255" s="8"/>
      <c r="H255" s="8"/>
    </row>
    <row r="256" spans="1:8" ht="15">
      <c r="A256" s="551"/>
      <c r="B256" s="617" t="s">
        <v>1241</v>
      </c>
      <c r="C256" s="732">
        <v>0</v>
      </c>
      <c r="D256" s="732">
        <v>0</v>
      </c>
      <c r="E256" s="732">
        <v>0</v>
      </c>
      <c r="F256" s="732">
        <v>0</v>
      </c>
      <c r="G256" s="8"/>
      <c r="H256" s="8"/>
    </row>
    <row r="257" spans="1:8" ht="15">
      <c r="A257" s="551"/>
      <c r="B257" s="617" t="s">
        <v>1242</v>
      </c>
      <c r="C257" s="732">
        <v>0</v>
      </c>
      <c r="D257" s="732">
        <v>0</v>
      </c>
      <c r="E257" s="732">
        <v>0</v>
      </c>
      <c r="F257" s="732">
        <v>0</v>
      </c>
      <c r="G257" s="8"/>
      <c r="H257" s="8"/>
    </row>
    <row r="258" spans="1:8" ht="15">
      <c r="A258" s="551"/>
      <c r="B258" s="617" t="s">
        <v>1243</v>
      </c>
      <c r="C258" s="733">
        <v>0</v>
      </c>
      <c r="D258" s="733">
        <v>0</v>
      </c>
      <c r="E258" s="733">
        <v>0</v>
      </c>
      <c r="F258" s="733">
        <v>0</v>
      </c>
      <c r="G258" s="8"/>
      <c r="H258" s="2"/>
    </row>
    <row r="259" spans="1:8" ht="16.5">
      <c r="A259" s="551"/>
      <c r="B259" s="618" t="s">
        <v>1348</v>
      </c>
      <c r="C259" s="737">
        <f>SUM(C254:C258)</f>
        <v>0</v>
      </c>
      <c r="D259" s="737">
        <f>SUM(D254:D258)</f>
        <v>0</v>
      </c>
      <c r="E259" s="737">
        <f>SUM(E254:E258)</f>
        <v>0</v>
      </c>
      <c r="F259" s="737">
        <f>SUM(F254:F258)</f>
        <v>0</v>
      </c>
      <c r="G259" s="2"/>
      <c r="H259" s="15"/>
    </row>
    <row r="260" spans="1:8" ht="16.5">
      <c r="A260" s="551"/>
      <c r="B260" s="551"/>
      <c r="C260" s="551"/>
      <c r="D260" s="551"/>
      <c r="E260" s="582"/>
      <c r="F260" s="582"/>
      <c r="G260" s="15"/>
      <c r="H260" s="15"/>
    </row>
    <row r="261" spans="1:8" ht="16.5">
      <c r="A261" s="551"/>
      <c r="B261" s="582"/>
      <c r="C261" s="1011" t="s">
        <v>1091</v>
      </c>
      <c r="D261" s="972"/>
      <c r="E261" s="1011" t="s">
        <v>1092</v>
      </c>
      <c r="F261" s="972"/>
      <c r="G261" s="15"/>
      <c r="H261" s="340"/>
    </row>
    <row r="262" spans="1:8" ht="16.5">
      <c r="A262" s="551"/>
      <c r="B262" s="624" t="s">
        <v>1082</v>
      </c>
      <c r="C262" s="606" t="s">
        <v>1089</v>
      </c>
      <c r="D262" s="608" t="s">
        <v>1089</v>
      </c>
      <c r="E262" s="606" t="s">
        <v>1089</v>
      </c>
      <c r="F262" s="608" t="s">
        <v>1089</v>
      </c>
      <c r="G262" s="340"/>
      <c r="H262" s="8"/>
    </row>
    <row r="263" spans="1:8" ht="15">
      <c r="A263" s="551"/>
      <c r="B263" s="626" t="s">
        <v>1343</v>
      </c>
      <c r="C263" s="612" t="s">
        <v>1090</v>
      </c>
      <c r="D263" s="615" t="s">
        <v>1298</v>
      </c>
      <c r="E263" s="612" t="s">
        <v>1090</v>
      </c>
      <c r="F263" s="615" t="s">
        <v>1298</v>
      </c>
      <c r="G263" s="8"/>
      <c r="H263" s="8"/>
    </row>
    <row r="264" spans="1:8" ht="15">
      <c r="A264" s="551"/>
      <c r="B264" s="618" t="s">
        <v>1348</v>
      </c>
      <c r="C264" s="733">
        <v>0</v>
      </c>
      <c r="D264" s="733">
        <v>0</v>
      </c>
      <c r="E264" s="733">
        <v>0</v>
      </c>
      <c r="F264" s="733">
        <v>0</v>
      </c>
      <c r="G264" s="8"/>
      <c r="H264" s="8"/>
    </row>
    <row r="265" spans="1:8" ht="15">
      <c r="A265" s="551"/>
      <c r="B265" s="619" t="s">
        <v>1350</v>
      </c>
      <c r="C265" s="762"/>
      <c r="D265" s="765"/>
      <c r="E265" s="765"/>
      <c r="F265" s="766"/>
      <c r="G265" s="8"/>
      <c r="H265" s="8"/>
    </row>
    <row r="266" spans="1:8" ht="15">
      <c r="A266" s="551"/>
      <c r="B266" s="616" t="s">
        <v>1239</v>
      </c>
      <c r="C266" s="731">
        <v>0</v>
      </c>
      <c r="D266" s="731">
        <v>0</v>
      </c>
      <c r="E266" s="731">
        <v>0</v>
      </c>
      <c r="F266" s="731">
        <v>0</v>
      </c>
      <c r="G266" s="8"/>
      <c r="H266" s="8"/>
    </row>
    <row r="267" spans="1:8" ht="15">
      <c r="A267" s="551"/>
      <c r="B267" s="617" t="s">
        <v>1240</v>
      </c>
      <c r="C267" s="732">
        <v>0</v>
      </c>
      <c r="D267" s="732">
        <v>0</v>
      </c>
      <c r="E267" s="732">
        <v>0</v>
      </c>
      <c r="F267" s="732">
        <v>0</v>
      </c>
      <c r="G267" s="8"/>
      <c r="H267" s="8"/>
    </row>
    <row r="268" spans="1:8" ht="15">
      <c r="A268" s="551"/>
      <c r="B268" s="617" t="s">
        <v>1241</v>
      </c>
      <c r="C268" s="732">
        <v>0</v>
      </c>
      <c r="D268" s="732">
        <v>0</v>
      </c>
      <c r="E268" s="732">
        <v>0</v>
      </c>
      <c r="F268" s="732">
        <v>0</v>
      </c>
      <c r="G268" s="8"/>
      <c r="H268" s="8"/>
    </row>
    <row r="269" spans="1:8" ht="15">
      <c r="A269" s="551"/>
      <c r="B269" s="617" t="s">
        <v>1242</v>
      </c>
      <c r="C269" s="732">
        <v>0</v>
      </c>
      <c r="D269" s="732">
        <v>0</v>
      </c>
      <c r="E269" s="732">
        <v>0</v>
      </c>
      <c r="F269" s="732">
        <v>0</v>
      </c>
      <c r="G269" s="8"/>
      <c r="H269" s="8"/>
    </row>
    <row r="270" spans="1:8" ht="15">
      <c r="A270" s="551"/>
      <c r="B270" s="617" t="s">
        <v>1243</v>
      </c>
      <c r="C270" s="733">
        <v>0</v>
      </c>
      <c r="D270" s="733">
        <v>0</v>
      </c>
      <c r="E270" s="733">
        <v>0</v>
      </c>
      <c r="F270" s="733">
        <v>0</v>
      </c>
      <c r="G270" s="8"/>
      <c r="H270" s="2"/>
    </row>
    <row r="271" spans="1:8" ht="15">
      <c r="A271" s="551"/>
      <c r="B271" s="618" t="s">
        <v>1348</v>
      </c>
      <c r="C271" s="737">
        <f>SUM(C266:C270)</f>
        <v>0</v>
      </c>
      <c r="D271" s="737">
        <f>SUM(D266:D270)</f>
        <v>0</v>
      </c>
      <c r="E271" s="737">
        <f>SUM(E266:E270)</f>
        <v>0</v>
      </c>
      <c r="F271" s="737">
        <f>SUM(F266:F270)</f>
        <v>0</v>
      </c>
      <c r="G271" s="2"/>
      <c r="H271" s="2"/>
    </row>
    <row r="272" spans="5:8" ht="15">
      <c r="E272" s="2"/>
      <c r="F272" s="2"/>
      <c r="G272" s="2"/>
      <c r="H272" s="2"/>
    </row>
    <row r="273" spans="5:8" ht="15">
      <c r="E273" s="2"/>
      <c r="F273" s="2"/>
      <c r="G273" s="2"/>
      <c r="H273" s="2"/>
    </row>
    <row r="274" spans="5:8" ht="15">
      <c r="E274" s="2"/>
      <c r="F274" s="2"/>
      <c r="G274" s="2"/>
      <c r="H274" s="2"/>
    </row>
    <row r="275" spans="5:8" ht="15">
      <c r="E275" s="2"/>
      <c r="F275" s="2"/>
      <c r="G275" s="2"/>
      <c r="H275" s="2"/>
    </row>
    <row r="276" spans="5:8" ht="15">
      <c r="E276" s="2"/>
      <c r="F276" s="2"/>
      <c r="G276" s="2"/>
      <c r="H276" s="2"/>
    </row>
    <row r="277" spans="5:8" ht="15">
      <c r="E277" s="2"/>
      <c r="F277" s="2"/>
      <c r="G277" s="2"/>
      <c r="H277" s="2"/>
    </row>
    <row r="278" spans="5:8" ht="15">
      <c r="E278" s="2"/>
      <c r="F278" s="2"/>
      <c r="G278" s="2"/>
      <c r="H278" s="2"/>
    </row>
    <row r="279" spans="5:8" ht="15">
      <c r="E279" s="2"/>
      <c r="F279" s="2"/>
      <c r="G279" s="2"/>
      <c r="H279" s="2"/>
    </row>
    <row r="280" spans="5:8" ht="15">
      <c r="E280" s="2"/>
      <c r="F280" s="2"/>
      <c r="G280" s="2"/>
      <c r="H280" s="2"/>
    </row>
    <row r="281" spans="5:8" ht="15">
      <c r="E281" s="2"/>
      <c r="F281" s="2"/>
      <c r="G281" s="2"/>
      <c r="H281" s="2"/>
    </row>
    <row r="282" spans="5:8" ht="15">
      <c r="E282" s="2"/>
      <c r="F282" s="2"/>
      <c r="G282" s="2"/>
      <c r="H282" s="2"/>
    </row>
    <row r="283" spans="5:8" ht="15">
      <c r="E283" s="2"/>
      <c r="F283" s="2"/>
      <c r="G283" s="2"/>
      <c r="H283" s="2"/>
    </row>
    <row r="284" spans="5:8" ht="15">
      <c r="E284" s="2"/>
      <c r="F284" s="2"/>
      <c r="G284" s="2"/>
      <c r="H284" s="2"/>
    </row>
    <row r="285" spans="5:8" ht="15">
      <c r="E285" s="2"/>
      <c r="F285" s="2"/>
      <c r="G285" s="2"/>
      <c r="H285" s="2"/>
    </row>
    <row r="286" spans="5:8" ht="15">
      <c r="E286" s="2"/>
      <c r="F286" s="2"/>
      <c r="G286" s="2"/>
      <c r="H286" s="2"/>
    </row>
    <row r="287" spans="5:8" ht="15">
      <c r="E287" s="2"/>
      <c r="F287" s="2"/>
      <c r="G287" s="2"/>
      <c r="H287" s="2"/>
    </row>
    <row r="288" spans="5:8" ht="15">
      <c r="E288" s="2"/>
      <c r="F288" s="2"/>
      <c r="G288" s="2"/>
      <c r="H288" s="2"/>
    </row>
    <row r="289" spans="5:8" ht="15">
      <c r="E289" s="2"/>
      <c r="F289" s="2"/>
      <c r="G289" s="2"/>
      <c r="H289" s="2"/>
    </row>
    <row r="290" spans="5:8" ht="15">
      <c r="E290" s="2"/>
      <c r="F290" s="2"/>
      <c r="G290" s="2"/>
      <c r="H290" s="2"/>
    </row>
    <row r="291" spans="5:8" ht="15">
      <c r="E291" s="2"/>
      <c r="F291" s="2"/>
      <c r="G291" s="2"/>
      <c r="H291" s="2"/>
    </row>
    <row r="292" spans="5:8" ht="15">
      <c r="E292" s="2"/>
      <c r="F292" s="2"/>
      <c r="G292" s="2"/>
      <c r="H292" s="2"/>
    </row>
    <row r="293" spans="5:8" ht="15">
      <c r="E293" s="2"/>
      <c r="F293" s="2"/>
      <c r="G293" s="2"/>
      <c r="H293" s="2"/>
    </row>
    <row r="294" spans="5:8" ht="15">
      <c r="E294" s="2"/>
      <c r="F294" s="2"/>
      <c r="G294" s="2"/>
      <c r="H294" s="2"/>
    </row>
    <row r="295" spans="5:8" ht="15">
      <c r="E295" s="2"/>
      <c r="F295" s="2"/>
      <c r="G295" s="2"/>
      <c r="H295" s="2"/>
    </row>
    <row r="296" spans="5:8" ht="15">
      <c r="E296" s="2"/>
      <c r="F296" s="2"/>
      <c r="G296" s="2"/>
      <c r="H296" s="2"/>
    </row>
    <row r="297" spans="5:8" ht="15">
      <c r="E297" s="2"/>
      <c r="F297" s="2"/>
      <c r="G297" s="2"/>
      <c r="H297" s="2"/>
    </row>
    <row r="298" spans="5:8" ht="15">
      <c r="E298" s="2"/>
      <c r="F298" s="2"/>
      <c r="G298" s="2"/>
      <c r="H298" s="2"/>
    </row>
    <row r="299" spans="5:8" ht="15">
      <c r="E299" s="2"/>
      <c r="F299" s="2"/>
      <c r="G299" s="2"/>
      <c r="H299" s="2"/>
    </row>
    <row r="300" spans="5:8" ht="15">
      <c r="E300" s="2"/>
      <c r="F300" s="2"/>
      <c r="G300" s="2"/>
      <c r="H300" s="2"/>
    </row>
    <row r="301" spans="5:8" ht="15">
      <c r="E301" s="2"/>
      <c r="F301" s="2"/>
      <c r="G301" s="2"/>
      <c r="H301" s="2"/>
    </row>
    <row r="302" spans="5:8" ht="15">
      <c r="E302" s="2"/>
      <c r="F302" s="2"/>
      <c r="G302" s="2"/>
      <c r="H302" s="2"/>
    </row>
    <row r="303" spans="5:8" ht="15">
      <c r="E303" s="2"/>
      <c r="F303" s="2"/>
      <c r="G303" s="2"/>
      <c r="H303" s="2"/>
    </row>
    <row r="304" spans="5:8" ht="15">
      <c r="E304" s="2"/>
      <c r="F304" s="2"/>
      <c r="G304" s="2"/>
      <c r="H304" s="2"/>
    </row>
    <row r="305" spans="5:8" ht="15">
      <c r="E305" s="2"/>
      <c r="F305" s="2"/>
      <c r="G305" s="2"/>
      <c r="H305" s="2"/>
    </row>
    <row r="306" spans="5:8" ht="15">
      <c r="E306" s="2"/>
      <c r="F306" s="2"/>
      <c r="G306" s="2"/>
      <c r="H306" s="2"/>
    </row>
    <row r="307" spans="5:8" ht="15">
      <c r="E307" s="2"/>
      <c r="F307" s="2"/>
      <c r="G307" s="2"/>
      <c r="H307" s="2"/>
    </row>
    <row r="308" spans="5:8" ht="15">
      <c r="E308" s="2"/>
      <c r="F308" s="2"/>
      <c r="G308" s="2"/>
      <c r="H308" s="2"/>
    </row>
    <row r="309" spans="5:8" ht="15">
      <c r="E309" s="2"/>
      <c r="F309" s="2"/>
      <c r="G309" s="2"/>
      <c r="H309" s="2"/>
    </row>
    <row r="310" spans="5:8" ht="15">
      <c r="E310" s="2"/>
      <c r="F310" s="2"/>
      <c r="G310" s="2"/>
      <c r="H310" s="2"/>
    </row>
    <row r="311" spans="5:8" ht="15">
      <c r="E311" s="2"/>
      <c r="F311" s="2"/>
      <c r="G311" s="2"/>
      <c r="H311" s="2"/>
    </row>
    <row r="312" spans="5:8" ht="15">
      <c r="E312" s="2"/>
      <c r="F312" s="2"/>
      <c r="G312" s="2"/>
      <c r="H312" s="2"/>
    </row>
    <row r="313" spans="5:8" ht="15">
      <c r="E313" s="2"/>
      <c r="F313" s="2"/>
      <c r="G313" s="2"/>
      <c r="H313" s="2"/>
    </row>
    <row r="314" spans="5:8" ht="15">
      <c r="E314" s="2"/>
      <c r="F314" s="2"/>
      <c r="G314" s="2"/>
      <c r="H314" s="2"/>
    </row>
    <row r="315" spans="5:8" ht="15">
      <c r="E315" s="2"/>
      <c r="F315" s="2"/>
      <c r="G315" s="2"/>
      <c r="H315" s="2"/>
    </row>
    <row r="316" spans="5:8" ht="15">
      <c r="E316" s="2"/>
      <c r="F316" s="2"/>
      <c r="G316" s="2"/>
      <c r="H316" s="2"/>
    </row>
    <row r="317" spans="5:8" ht="15">
      <c r="E317" s="2"/>
      <c r="F317" s="2"/>
      <c r="G317" s="2"/>
      <c r="H317" s="2"/>
    </row>
    <row r="318" spans="5:8" ht="15">
      <c r="E318" s="2"/>
      <c r="F318" s="2"/>
      <c r="G318" s="2"/>
      <c r="H318" s="2"/>
    </row>
    <row r="319" spans="5:8" ht="15">
      <c r="E319" s="2"/>
      <c r="F319" s="2"/>
      <c r="G319" s="2"/>
      <c r="H319" s="2"/>
    </row>
    <row r="320" spans="5:8" ht="15">
      <c r="E320" s="2"/>
      <c r="F320" s="2"/>
      <c r="G320" s="2"/>
      <c r="H320" s="2"/>
    </row>
    <row r="321" spans="5:8" ht="15">
      <c r="E321" s="2"/>
      <c r="F321" s="2"/>
      <c r="G321" s="2"/>
      <c r="H321" s="2"/>
    </row>
    <row r="322" spans="5:8" ht="15">
      <c r="E322" s="2"/>
      <c r="F322" s="2"/>
      <c r="G322" s="2"/>
      <c r="H322" s="2"/>
    </row>
    <row r="323" spans="5:8" ht="15">
      <c r="E323" s="2"/>
      <c r="F323" s="2"/>
      <c r="G323" s="2"/>
      <c r="H323" s="2"/>
    </row>
    <row r="324" spans="5:8" ht="15">
      <c r="E324" s="2"/>
      <c r="F324" s="2"/>
      <c r="G324" s="2"/>
      <c r="H324" s="2"/>
    </row>
    <row r="325" spans="5:8" ht="15">
      <c r="E325" s="2"/>
      <c r="F325" s="2"/>
      <c r="G325" s="2"/>
      <c r="H325" s="2"/>
    </row>
    <row r="326" spans="5:8" ht="15">
      <c r="E326" s="2"/>
      <c r="F326" s="2"/>
      <c r="G326" s="2"/>
      <c r="H326" s="2"/>
    </row>
    <row r="327" spans="5:8" ht="15">
      <c r="E327" s="2"/>
      <c r="F327" s="2"/>
      <c r="G327" s="2"/>
      <c r="H327" s="2"/>
    </row>
    <row r="328" spans="5:8" ht="15">
      <c r="E328" s="2"/>
      <c r="F328" s="2"/>
      <c r="G328" s="2"/>
      <c r="H328" s="2"/>
    </row>
    <row r="329" spans="5:8" ht="15">
      <c r="E329" s="2"/>
      <c r="F329" s="2"/>
      <c r="G329" s="2"/>
      <c r="H329" s="2"/>
    </row>
    <row r="330" spans="5:8" ht="15">
      <c r="E330" s="2"/>
      <c r="F330" s="2"/>
      <c r="G330" s="2"/>
      <c r="H330" s="2"/>
    </row>
    <row r="331" spans="5:8" ht="15">
      <c r="E331" s="2"/>
      <c r="F331" s="2"/>
      <c r="G331" s="2"/>
      <c r="H331" s="2"/>
    </row>
    <row r="332" spans="5:8" ht="15">
      <c r="E332" s="2"/>
      <c r="F332" s="2"/>
      <c r="G332" s="2"/>
      <c r="H332" s="2"/>
    </row>
    <row r="333" spans="5:8" ht="15">
      <c r="E333" s="2"/>
      <c r="F333" s="2"/>
      <c r="G333" s="2"/>
      <c r="H333" s="2"/>
    </row>
    <row r="334" spans="5:8" ht="15">
      <c r="E334" s="2"/>
      <c r="F334" s="2"/>
      <c r="G334" s="2"/>
      <c r="H334" s="2"/>
    </row>
    <row r="335" spans="5:8" ht="15">
      <c r="E335" s="2"/>
      <c r="F335" s="2"/>
      <c r="G335" s="2"/>
      <c r="H335" s="2"/>
    </row>
    <row r="336" spans="5:8" ht="15">
      <c r="E336" s="2"/>
      <c r="F336" s="2"/>
      <c r="G336" s="2"/>
      <c r="H336" s="2"/>
    </row>
    <row r="337" spans="5:8" ht="15">
      <c r="E337" s="2"/>
      <c r="F337" s="2"/>
      <c r="G337" s="2"/>
      <c r="H337" s="2"/>
    </row>
    <row r="338" spans="5:8" ht="15">
      <c r="E338" s="2"/>
      <c r="F338" s="2"/>
      <c r="G338" s="2"/>
      <c r="H338" s="2"/>
    </row>
    <row r="339" spans="5:8" ht="15">
      <c r="E339" s="2"/>
      <c r="F339" s="2"/>
      <c r="G339" s="2"/>
      <c r="H339" s="2"/>
    </row>
    <row r="340" spans="5:8" ht="15">
      <c r="E340" s="2"/>
      <c r="F340" s="2"/>
      <c r="G340" s="2"/>
      <c r="H340" s="2"/>
    </row>
    <row r="341" spans="5:8" ht="15">
      <c r="E341" s="2"/>
      <c r="F341" s="2"/>
      <c r="G341" s="2"/>
      <c r="H341" s="2"/>
    </row>
    <row r="342" spans="5:8" ht="15">
      <c r="E342" s="2"/>
      <c r="F342" s="2"/>
      <c r="G342" s="2"/>
      <c r="H342" s="2"/>
    </row>
    <row r="343" spans="5:8" ht="15">
      <c r="E343" s="2"/>
      <c r="F343" s="2"/>
      <c r="G343" s="2"/>
      <c r="H343" s="2"/>
    </row>
    <row r="344" spans="5:8" ht="15">
      <c r="E344" s="2"/>
      <c r="F344" s="2"/>
      <c r="G344" s="2"/>
      <c r="H344" s="2"/>
    </row>
    <row r="345" spans="5:8" ht="15">
      <c r="E345" s="2"/>
      <c r="F345" s="2"/>
      <c r="G345" s="2"/>
      <c r="H345" s="2"/>
    </row>
    <row r="346" spans="5:8" ht="15">
      <c r="E346" s="2"/>
      <c r="F346" s="2"/>
      <c r="G346" s="2"/>
      <c r="H346" s="2"/>
    </row>
    <row r="347" spans="5:8" ht="15">
      <c r="E347" s="2"/>
      <c r="F347" s="2"/>
      <c r="G347" s="2"/>
      <c r="H347" s="2"/>
    </row>
    <row r="348" spans="5:8" ht="15">
      <c r="E348" s="2"/>
      <c r="F348" s="2"/>
      <c r="G348" s="2"/>
      <c r="H348" s="2"/>
    </row>
    <row r="349" spans="5:8" ht="15">
      <c r="E349" s="2"/>
      <c r="F349" s="2"/>
      <c r="G349" s="2"/>
      <c r="H349" s="2"/>
    </row>
    <row r="350" spans="5:8" ht="15">
      <c r="E350" s="2"/>
      <c r="F350" s="2"/>
      <c r="G350" s="2"/>
      <c r="H350" s="2"/>
    </row>
    <row r="351" spans="5:8" ht="15">
      <c r="E351" s="2"/>
      <c r="F351" s="2"/>
      <c r="G351" s="2"/>
      <c r="H351" s="2"/>
    </row>
    <row r="352" spans="5:8" ht="15">
      <c r="E352" s="2"/>
      <c r="F352" s="2"/>
      <c r="G352" s="2"/>
      <c r="H352" s="2"/>
    </row>
    <row r="353" spans="5:8" ht="15">
      <c r="E353" s="2"/>
      <c r="F353" s="2"/>
      <c r="G353" s="2"/>
      <c r="H353" s="2"/>
    </row>
    <row r="354" spans="5:8" ht="15">
      <c r="E354" s="2"/>
      <c r="F354" s="2"/>
      <c r="G354" s="2"/>
      <c r="H354" s="2"/>
    </row>
    <row r="355" spans="5:8" ht="15">
      <c r="E355" s="2"/>
      <c r="F355" s="2"/>
      <c r="G355" s="2"/>
      <c r="H355" s="2"/>
    </row>
    <row r="356" spans="5:8" ht="15">
      <c r="E356" s="2"/>
      <c r="F356" s="2"/>
      <c r="G356" s="2"/>
      <c r="H356" s="2"/>
    </row>
    <row r="357" spans="5:8" ht="15">
      <c r="E357" s="2"/>
      <c r="F357" s="2"/>
      <c r="G357" s="2"/>
      <c r="H357" s="2"/>
    </row>
    <row r="358" spans="5:8" ht="15">
      <c r="E358" s="2"/>
      <c r="F358" s="2"/>
      <c r="G358" s="2"/>
      <c r="H358" s="2"/>
    </row>
    <row r="359" spans="5:8" ht="15">
      <c r="E359" s="2"/>
      <c r="F359" s="2"/>
      <c r="G359" s="2"/>
      <c r="H359" s="2"/>
    </row>
    <row r="360" spans="5:8" ht="15">
      <c r="E360" s="2"/>
      <c r="F360" s="2"/>
      <c r="G360" s="2"/>
      <c r="H360" s="2"/>
    </row>
    <row r="361" spans="5:8" ht="15">
      <c r="E361" s="2"/>
      <c r="F361" s="2"/>
      <c r="G361" s="2"/>
      <c r="H361" s="2"/>
    </row>
    <row r="362" spans="5:8" ht="15">
      <c r="E362" s="2"/>
      <c r="F362" s="2"/>
      <c r="G362" s="2"/>
      <c r="H362" s="2"/>
    </row>
    <row r="363" spans="5:8" ht="15">
      <c r="E363" s="2"/>
      <c r="F363" s="2"/>
      <c r="G363" s="2"/>
      <c r="H363" s="2"/>
    </row>
    <row r="364" spans="5:8" ht="15">
      <c r="E364" s="2"/>
      <c r="F364" s="2"/>
      <c r="G364" s="2"/>
      <c r="H364" s="2"/>
    </row>
    <row r="365" spans="5:8" ht="15">
      <c r="E365" s="2"/>
      <c r="F365" s="2"/>
      <c r="G365" s="2"/>
      <c r="H365" s="2"/>
    </row>
    <row r="366" spans="5:8" ht="15">
      <c r="E366" s="2"/>
      <c r="F366" s="2"/>
      <c r="G366" s="2"/>
      <c r="H366" s="2"/>
    </row>
    <row r="367" spans="5:8" ht="15">
      <c r="E367" s="2"/>
      <c r="F367" s="2"/>
      <c r="G367" s="2"/>
      <c r="H367" s="2"/>
    </row>
    <row r="368" spans="5:8" ht="15">
      <c r="E368" s="2"/>
      <c r="F368" s="2"/>
      <c r="G368" s="2"/>
      <c r="H368" s="2"/>
    </row>
    <row r="369" spans="5:8" ht="15">
      <c r="E369" s="2"/>
      <c r="F369" s="2"/>
      <c r="G369" s="2"/>
      <c r="H369" s="2"/>
    </row>
    <row r="370" spans="5:8" ht="15">
      <c r="E370" s="2"/>
      <c r="F370" s="2"/>
      <c r="G370" s="2"/>
      <c r="H370" s="2"/>
    </row>
    <row r="371" spans="5:8" ht="15">
      <c r="E371" s="2"/>
      <c r="F371" s="2"/>
      <c r="G371" s="2"/>
      <c r="H371" s="2"/>
    </row>
    <row r="372" spans="5:8" ht="15">
      <c r="E372" s="2"/>
      <c r="F372" s="2"/>
      <c r="G372" s="2"/>
      <c r="H372" s="2"/>
    </row>
    <row r="373" spans="5:8" ht="15">
      <c r="E373" s="2"/>
      <c r="F373" s="2"/>
      <c r="G373" s="2"/>
      <c r="H373" s="2"/>
    </row>
    <row r="374" spans="5:8" ht="15">
      <c r="E374" s="2"/>
      <c r="F374" s="2"/>
      <c r="G374" s="2"/>
      <c r="H374" s="2"/>
    </row>
    <row r="375" spans="5:8" ht="15">
      <c r="E375" s="2"/>
      <c r="F375" s="2"/>
      <c r="G375" s="2"/>
      <c r="H375" s="2"/>
    </row>
    <row r="376" spans="5:8" ht="15">
      <c r="E376" s="2"/>
      <c r="F376" s="2"/>
      <c r="G376" s="2"/>
      <c r="H376" s="2"/>
    </row>
    <row r="377" spans="5:8" ht="15">
      <c r="E377" s="2"/>
      <c r="F377" s="2"/>
      <c r="G377" s="2"/>
      <c r="H377" s="2"/>
    </row>
    <row r="378" spans="5:8" ht="15">
      <c r="E378" s="2"/>
      <c r="F378" s="2"/>
      <c r="G378" s="2"/>
      <c r="H378" s="2"/>
    </row>
    <row r="379" spans="5:8" ht="15">
      <c r="E379" s="2"/>
      <c r="F379" s="2"/>
      <c r="G379" s="2"/>
      <c r="H379" s="2"/>
    </row>
    <row r="380" spans="5:8" ht="15">
      <c r="E380" s="2"/>
      <c r="F380" s="2"/>
      <c r="G380" s="2"/>
      <c r="H380" s="2"/>
    </row>
    <row r="381" spans="5:8" ht="15">
      <c r="E381" s="2"/>
      <c r="F381" s="2"/>
      <c r="G381" s="2"/>
      <c r="H381" s="2"/>
    </row>
    <row r="382" spans="5:8" ht="15">
      <c r="E382" s="2"/>
      <c r="F382" s="2"/>
      <c r="G382" s="2"/>
      <c r="H382" s="2"/>
    </row>
    <row r="383" spans="5:8" ht="15">
      <c r="E383" s="2"/>
      <c r="F383" s="2"/>
      <c r="G383" s="2"/>
      <c r="H383" s="2"/>
    </row>
    <row r="384" spans="5:8" ht="15">
      <c r="E384" s="2"/>
      <c r="F384" s="2"/>
      <c r="G384" s="2"/>
      <c r="H384" s="2"/>
    </row>
    <row r="385" spans="5:8" ht="15">
      <c r="E385" s="2"/>
      <c r="F385" s="2"/>
      <c r="G385" s="2"/>
      <c r="H385" s="2"/>
    </row>
    <row r="386" spans="5:8" ht="15">
      <c r="E386" s="2"/>
      <c r="F386" s="2"/>
      <c r="G386" s="2"/>
      <c r="H386" s="2"/>
    </row>
    <row r="387" spans="5:8" ht="15">
      <c r="E387" s="2"/>
      <c r="F387" s="2"/>
      <c r="G387" s="2"/>
      <c r="H387" s="2"/>
    </row>
    <row r="388" spans="5:8" ht="15">
      <c r="E388" s="2"/>
      <c r="F388" s="2"/>
      <c r="G388" s="2"/>
      <c r="H388" s="2"/>
    </row>
    <row r="389" spans="5:8" ht="15">
      <c r="E389" s="2"/>
      <c r="F389" s="2"/>
      <c r="G389" s="2"/>
      <c r="H389" s="2"/>
    </row>
    <row r="390" spans="5:8" ht="15">
      <c r="E390" s="2"/>
      <c r="F390" s="2"/>
      <c r="G390" s="2"/>
      <c r="H390" s="2"/>
    </row>
    <row r="391" spans="5:8" ht="15">
      <c r="E391" s="2"/>
      <c r="F391" s="2"/>
      <c r="G391" s="2"/>
      <c r="H391" s="2"/>
    </row>
    <row r="392" spans="5:8" ht="15">
      <c r="E392" s="2"/>
      <c r="F392" s="2"/>
      <c r="G392" s="2"/>
      <c r="H392" s="2"/>
    </row>
    <row r="393" spans="5:8" ht="15">
      <c r="E393" s="2"/>
      <c r="F393" s="2"/>
      <c r="G393" s="2"/>
      <c r="H393" s="2"/>
    </row>
    <row r="394" spans="5:8" ht="15">
      <c r="E394" s="2"/>
      <c r="F394" s="2"/>
      <c r="G394" s="2"/>
      <c r="H394" s="2"/>
    </row>
    <row r="395" spans="5:8" ht="15">
      <c r="E395" s="2"/>
      <c r="F395" s="2"/>
      <c r="G395" s="2"/>
      <c r="H395" s="2"/>
    </row>
    <row r="396" spans="5:8" ht="15">
      <c r="E396" s="2"/>
      <c r="F396" s="2"/>
      <c r="G396" s="2"/>
      <c r="H396" s="2"/>
    </row>
    <row r="397" spans="5:8" ht="15">
      <c r="E397" s="2"/>
      <c r="F397" s="2"/>
      <c r="G397" s="2"/>
      <c r="H397" s="2"/>
    </row>
    <row r="398" spans="5:8" ht="15">
      <c r="E398" s="2"/>
      <c r="F398" s="2"/>
      <c r="G398" s="2"/>
      <c r="H398" s="2"/>
    </row>
    <row r="399" spans="5:8" ht="15">
      <c r="E399" s="2"/>
      <c r="F399" s="2"/>
      <c r="G399" s="2"/>
      <c r="H399" s="2"/>
    </row>
    <row r="400" spans="5:8" ht="15">
      <c r="E400" s="2"/>
      <c r="F400" s="2"/>
      <c r="G400" s="2"/>
      <c r="H400" s="2"/>
    </row>
    <row r="401" spans="5:8" ht="15">
      <c r="E401" s="2"/>
      <c r="F401" s="2"/>
      <c r="G401" s="2"/>
      <c r="H401" s="2"/>
    </row>
    <row r="402" spans="5:8" ht="15">
      <c r="E402" s="2"/>
      <c r="F402" s="2"/>
      <c r="G402" s="2"/>
      <c r="H402" s="2"/>
    </row>
    <row r="403" spans="5:8" ht="15">
      <c r="E403" s="2"/>
      <c r="F403" s="2"/>
      <c r="G403" s="2"/>
      <c r="H403" s="2"/>
    </row>
    <row r="404" spans="5:8" ht="15">
      <c r="E404" s="2"/>
      <c r="F404" s="2"/>
      <c r="G404" s="2"/>
      <c r="H404" s="2"/>
    </row>
    <row r="405" spans="5:8" ht="15">
      <c r="E405" s="2"/>
      <c r="F405" s="2"/>
      <c r="G405" s="2"/>
      <c r="H405" s="2"/>
    </row>
    <row r="406" spans="5:8" ht="15">
      <c r="E406" s="2"/>
      <c r="F406" s="2"/>
      <c r="G406" s="2"/>
      <c r="H406" s="2"/>
    </row>
    <row r="407" spans="5:8" ht="15">
      <c r="E407" s="2"/>
      <c r="F407" s="2"/>
      <c r="G407" s="2"/>
      <c r="H407" s="2"/>
    </row>
    <row r="408" spans="5:8" ht="15">
      <c r="E408" s="2"/>
      <c r="F408" s="2"/>
      <c r="G408" s="2"/>
      <c r="H408" s="2"/>
    </row>
    <row r="409" spans="5:8" ht="15">
      <c r="E409" s="2"/>
      <c r="F409" s="2"/>
      <c r="G409" s="2"/>
      <c r="H409" s="2"/>
    </row>
    <row r="410" spans="5:8" ht="15">
      <c r="E410" s="2"/>
      <c r="F410" s="2"/>
      <c r="G410" s="2"/>
      <c r="H410" s="2"/>
    </row>
    <row r="411" spans="5:8" ht="15">
      <c r="E411" s="2"/>
      <c r="F411" s="2"/>
      <c r="G411" s="2"/>
      <c r="H411" s="2"/>
    </row>
    <row r="412" spans="5:8" ht="15">
      <c r="E412" s="2"/>
      <c r="F412" s="2"/>
      <c r="G412" s="2"/>
      <c r="H412" s="2"/>
    </row>
    <row r="413" spans="5:8" ht="15">
      <c r="E413" s="2"/>
      <c r="F413" s="2"/>
      <c r="G413" s="2"/>
      <c r="H413" s="2"/>
    </row>
    <row r="414" spans="5:8" ht="15">
      <c r="E414" s="2"/>
      <c r="F414" s="2"/>
      <c r="G414" s="2"/>
      <c r="H414" s="2"/>
    </row>
    <row r="415" spans="5:8" ht="15">
      <c r="E415" s="2"/>
      <c r="F415" s="2"/>
      <c r="G415" s="2"/>
      <c r="H415" s="2"/>
    </row>
    <row r="416" spans="5:8" ht="15">
      <c r="E416" s="2"/>
      <c r="F416" s="2"/>
      <c r="G416" s="2"/>
      <c r="H416" s="2"/>
    </row>
    <row r="417" spans="5:8" ht="15">
      <c r="E417" s="2"/>
      <c r="F417" s="2"/>
      <c r="G417" s="2"/>
      <c r="H417" s="2"/>
    </row>
    <row r="418" spans="5:8" ht="15">
      <c r="E418" s="2"/>
      <c r="F418" s="2"/>
      <c r="G418" s="2"/>
      <c r="H418" s="2"/>
    </row>
    <row r="419" spans="5:8" ht="15">
      <c r="E419" s="2"/>
      <c r="F419" s="2"/>
      <c r="G419" s="2"/>
      <c r="H419" s="2"/>
    </row>
    <row r="420" spans="5:8" ht="15">
      <c r="E420" s="2"/>
      <c r="F420" s="2"/>
      <c r="G420" s="2"/>
      <c r="H420" s="2"/>
    </row>
    <row r="421" spans="5:8" ht="15">
      <c r="E421" s="2"/>
      <c r="F421" s="2"/>
      <c r="G421" s="2"/>
      <c r="H421" s="2"/>
    </row>
    <row r="422" spans="5:8" ht="15">
      <c r="E422" s="2"/>
      <c r="F422" s="2"/>
      <c r="G422" s="2"/>
      <c r="H422" s="2"/>
    </row>
    <row r="423" spans="5:8" ht="15">
      <c r="E423" s="2"/>
      <c r="F423" s="2"/>
      <c r="G423" s="2"/>
      <c r="H423" s="2"/>
    </row>
    <row r="424" spans="5:8" ht="15">
      <c r="E424" s="2"/>
      <c r="F424" s="2"/>
      <c r="G424" s="2"/>
      <c r="H424" s="2"/>
    </row>
    <row r="425" spans="5:8" ht="15">
      <c r="E425" s="2"/>
      <c r="F425" s="2"/>
      <c r="G425" s="2"/>
      <c r="H425" s="2"/>
    </row>
    <row r="426" spans="5:8" ht="15">
      <c r="E426" s="2"/>
      <c r="F426" s="2"/>
      <c r="G426" s="2"/>
      <c r="H426" s="2"/>
    </row>
    <row r="427" spans="5:8" ht="15">
      <c r="E427" s="2"/>
      <c r="F427" s="2"/>
      <c r="G427" s="2"/>
      <c r="H427" s="2"/>
    </row>
    <row r="428" spans="5:8" ht="15">
      <c r="E428" s="2"/>
      <c r="F428" s="2"/>
      <c r="G428" s="2"/>
      <c r="H428" s="2"/>
    </row>
    <row r="429" spans="5:8" ht="15">
      <c r="E429" s="2"/>
      <c r="F429" s="2"/>
      <c r="G429" s="2"/>
      <c r="H429" s="2"/>
    </row>
    <row r="430" spans="5:8" ht="15">
      <c r="E430" s="2"/>
      <c r="F430" s="2"/>
      <c r="G430" s="2"/>
      <c r="H430" s="2"/>
    </row>
    <row r="431" spans="5:8" ht="15">
      <c r="E431" s="2"/>
      <c r="F431" s="2"/>
      <c r="G431" s="2"/>
      <c r="H431" s="2"/>
    </row>
    <row r="432" spans="5:8" ht="15">
      <c r="E432" s="2"/>
      <c r="F432" s="2"/>
      <c r="G432" s="2"/>
      <c r="H432" s="2"/>
    </row>
    <row r="433" spans="5:8" ht="15">
      <c r="E433" s="2"/>
      <c r="F433" s="2"/>
      <c r="G433" s="2"/>
      <c r="H433" s="2"/>
    </row>
    <row r="434" spans="5:8" ht="15">
      <c r="E434" s="2"/>
      <c r="F434" s="2"/>
      <c r="G434" s="2"/>
      <c r="H434" s="2"/>
    </row>
    <row r="435" spans="5:8" ht="15">
      <c r="E435" s="2"/>
      <c r="F435" s="2"/>
      <c r="G435" s="2"/>
      <c r="H435" s="2"/>
    </row>
    <row r="436" spans="5:8" ht="15">
      <c r="E436" s="2"/>
      <c r="F436" s="2"/>
      <c r="G436" s="2"/>
      <c r="H436" s="2"/>
    </row>
    <row r="437" spans="5:8" ht="15">
      <c r="E437" s="2"/>
      <c r="F437" s="2"/>
      <c r="G437" s="2"/>
      <c r="H437" s="2"/>
    </row>
    <row r="438" spans="5:8" ht="15">
      <c r="E438" s="2"/>
      <c r="F438" s="2"/>
      <c r="G438" s="2"/>
      <c r="H438" s="2"/>
    </row>
    <row r="439" spans="5:8" ht="15">
      <c r="E439" s="2"/>
      <c r="F439" s="2"/>
      <c r="G439" s="2"/>
      <c r="H439" s="2"/>
    </row>
    <row r="440" spans="5:8" ht="15">
      <c r="E440" s="2"/>
      <c r="F440" s="2"/>
      <c r="G440" s="2"/>
      <c r="H440" s="2"/>
    </row>
    <row r="441" spans="5:8" ht="15">
      <c r="E441" s="2"/>
      <c r="F441" s="2"/>
      <c r="G441" s="2"/>
      <c r="H441" s="2"/>
    </row>
    <row r="442" spans="5:8" ht="15">
      <c r="E442" s="2"/>
      <c r="F442" s="2"/>
      <c r="G442" s="2"/>
      <c r="H442" s="2"/>
    </row>
    <row r="443" spans="5:8" ht="15">
      <c r="E443" s="2"/>
      <c r="F443" s="2"/>
      <c r="G443" s="2"/>
      <c r="H443" s="2"/>
    </row>
    <row r="444" spans="5:8" ht="15">
      <c r="E444" s="2"/>
      <c r="F444" s="2"/>
      <c r="G444" s="2"/>
      <c r="H444" s="2"/>
    </row>
    <row r="445" spans="5:8" ht="15">
      <c r="E445" s="2"/>
      <c r="F445" s="2"/>
      <c r="G445" s="2"/>
      <c r="H445" s="2"/>
    </row>
    <row r="446" spans="5:8" ht="15">
      <c r="E446" s="2"/>
      <c r="F446" s="2"/>
      <c r="G446" s="2"/>
      <c r="H446" s="2"/>
    </row>
    <row r="447" spans="5:8" ht="15">
      <c r="E447" s="2"/>
      <c r="F447" s="2"/>
      <c r="G447" s="2"/>
      <c r="H447" s="2"/>
    </row>
    <row r="448" spans="5:8" ht="15">
      <c r="E448" s="2"/>
      <c r="F448" s="2"/>
      <c r="G448" s="2"/>
      <c r="H448" s="2"/>
    </row>
    <row r="449" spans="5:8" ht="15">
      <c r="E449" s="2"/>
      <c r="F449" s="2"/>
      <c r="G449" s="2"/>
      <c r="H449" s="2"/>
    </row>
    <row r="450" spans="5:8" ht="15">
      <c r="E450" s="2"/>
      <c r="F450" s="2"/>
      <c r="G450" s="2"/>
      <c r="H450" s="2"/>
    </row>
    <row r="451" spans="5:8" ht="15">
      <c r="E451" s="2"/>
      <c r="F451" s="2"/>
      <c r="G451" s="2"/>
      <c r="H451" s="2"/>
    </row>
    <row r="452" spans="5:8" ht="15">
      <c r="E452" s="2"/>
      <c r="F452" s="2"/>
      <c r="G452" s="2"/>
      <c r="H452" s="2"/>
    </row>
    <row r="453" spans="5:8" ht="15">
      <c r="E453" s="2"/>
      <c r="F453" s="2"/>
      <c r="G453" s="2"/>
      <c r="H453" s="2"/>
    </row>
    <row r="454" spans="5:8" ht="15">
      <c r="E454" s="2"/>
      <c r="F454" s="2"/>
      <c r="G454" s="2"/>
      <c r="H454" s="2"/>
    </row>
    <row r="455" spans="5:8" ht="15">
      <c r="E455" s="2"/>
      <c r="F455" s="2"/>
      <c r="G455" s="2"/>
      <c r="H455" s="2"/>
    </row>
    <row r="456" spans="5:8" ht="15">
      <c r="E456" s="2"/>
      <c r="F456" s="2"/>
      <c r="G456" s="2"/>
      <c r="H456" s="2"/>
    </row>
    <row r="457" spans="5:8" ht="15">
      <c r="E457" s="2"/>
      <c r="F457" s="2"/>
      <c r="G457" s="2"/>
      <c r="H457" s="2"/>
    </row>
    <row r="458" spans="5:8" ht="15">
      <c r="E458" s="2"/>
      <c r="F458" s="2"/>
      <c r="G458" s="2"/>
      <c r="H458" s="2"/>
    </row>
    <row r="459" spans="5:8" ht="15">
      <c r="E459" s="2"/>
      <c r="F459" s="2"/>
      <c r="G459" s="2"/>
      <c r="H459" s="2"/>
    </row>
    <row r="460" spans="5:8" ht="15">
      <c r="E460" s="2"/>
      <c r="F460" s="2"/>
      <c r="G460" s="2"/>
      <c r="H460" s="2"/>
    </row>
    <row r="461" spans="5:8" ht="15">
      <c r="E461" s="2"/>
      <c r="F461" s="2"/>
      <c r="G461" s="2"/>
      <c r="H461" s="2"/>
    </row>
    <row r="462" spans="5:8" ht="15">
      <c r="E462" s="2"/>
      <c r="F462" s="2"/>
      <c r="G462" s="2"/>
      <c r="H462" s="2"/>
    </row>
    <row r="463" spans="5:8" ht="15">
      <c r="E463" s="2"/>
      <c r="F463" s="2"/>
      <c r="G463" s="2"/>
      <c r="H463" s="2"/>
    </row>
    <row r="464" spans="5:8" ht="15">
      <c r="E464" s="2"/>
      <c r="F464" s="2"/>
      <c r="G464" s="2"/>
      <c r="H464" s="2"/>
    </row>
    <row r="465" spans="5:8" ht="15">
      <c r="E465" s="2"/>
      <c r="F465" s="2"/>
      <c r="G465" s="2"/>
      <c r="H465" s="2"/>
    </row>
    <row r="466" spans="5:8" ht="15">
      <c r="E466" s="2"/>
      <c r="F466" s="2"/>
      <c r="G466" s="2"/>
      <c r="H466" s="2"/>
    </row>
    <row r="467" spans="5:8" ht="15">
      <c r="E467" s="2"/>
      <c r="F467" s="2"/>
      <c r="G467" s="2"/>
      <c r="H467" s="2"/>
    </row>
    <row r="468" spans="5:8" ht="15">
      <c r="E468" s="2"/>
      <c r="F468" s="2"/>
      <c r="G468" s="2"/>
      <c r="H468" s="2"/>
    </row>
    <row r="469" spans="5:8" ht="15">
      <c r="E469" s="2"/>
      <c r="F469" s="2"/>
      <c r="G469" s="2"/>
      <c r="H469" s="2"/>
    </row>
    <row r="470" spans="5:8" ht="15">
      <c r="E470" s="2"/>
      <c r="F470" s="2"/>
      <c r="G470" s="2"/>
      <c r="H470" s="2"/>
    </row>
    <row r="471" spans="5:8" ht="15">
      <c r="E471" s="2"/>
      <c r="F471" s="2"/>
      <c r="G471" s="2"/>
      <c r="H471" s="2"/>
    </row>
    <row r="472" spans="5:8" ht="15">
      <c r="E472" s="2"/>
      <c r="F472" s="2"/>
      <c r="G472" s="2"/>
      <c r="H472" s="2"/>
    </row>
    <row r="473" spans="5:8" ht="15">
      <c r="E473" s="2"/>
      <c r="F473" s="2"/>
      <c r="G473" s="2"/>
      <c r="H473" s="2"/>
    </row>
    <row r="474" spans="5:8" ht="15">
      <c r="E474" s="2"/>
      <c r="F474" s="2"/>
      <c r="G474" s="2"/>
      <c r="H474" s="2"/>
    </row>
    <row r="475" spans="5:8" ht="15">
      <c r="E475" s="2"/>
      <c r="F475" s="2"/>
      <c r="G475" s="2"/>
      <c r="H475" s="2"/>
    </row>
    <row r="476" spans="5:8" ht="15">
      <c r="E476" s="2"/>
      <c r="F476" s="2"/>
      <c r="G476" s="2"/>
      <c r="H476" s="2"/>
    </row>
    <row r="477" spans="5:8" ht="15">
      <c r="E477" s="2"/>
      <c r="F477" s="2"/>
      <c r="G477" s="2"/>
      <c r="H477" s="2"/>
    </row>
    <row r="478" spans="5:8" ht="15">
      <c r="E478" s="2"/>
      <c r="F478" s="2"/>
      <c r="G478" s="2"/>
      <c r="H478" s="2"/>
    </row>
    <row r="479" spans="5:8" ht="15">
      <c r="E479" s="2"/>
      <c r="F479" s="2"/>
      <c r="G479" s="2"/>
      <c r="H479" s="2"/>
    </row>
    <row r="480" spans="5:8" ht="15">
      <c r="E480" s="2"/>
      <c r="F480" s="2"/>
      <c r="G480" s="2"/>
      <c r="H480" s="2"/>
    </row>
    <row r="481" spans="5:8" ht="15">
      <c r="E481" s="2"/>
      <c r="F481" s="2"/>
      <c r="G481" s="2"/>
      <c r="H481" s="2"/>
    </row>
    <row r="482" spans="5:8" ht="15">
      <c r="E482" s="2"/>
      <c r="F482" s="2"/>
      <c r="G482" s="2"/>
      <c r="H482" s="2"/>
    </row>
    <row r="483" spans="5:8" ht="15">
      <c r="E483" s="2"/>
      <c r="F483" s="2"/>
      <c r="G483" s="2"/>
      <c r="H483" s="2"/>
    </row>
    <row r="484" spans="5:8" ht="15">
      <c r="E484" s="2"/>
      <c r="F484" s="2"/>
      <c r="G484" s="2"/>
      <c r="H484" s="2"/>
    </row>
    <row r="485" spans="5:8" ht="15">
      <c r="E485" s="2"/>
      <c r="F485" s="2"/>
      <c r="G485" s="2"/>
      <c r="H485" s="2"/>
    </row>
    <row r="486" spans="5:8" ht="15">
      <c r="E486" s="2"/>
      <c r="F486" s="2"/>
      <c r="G486" s="2"/>
      <c r="H486" s="2"/>
    </row>
    <row r="487" spans="5:8" ht="15">
      <c r="E487" s="2"/>
      <c r="F487" s="2"/>
      <c r="G487" s="2"/>
      <c r="H487" s="2"/>
    </row>
    <row r="488" spans="5:8" ht="15">
      <c r="E488" s="2"/>
      <c r="F488" s="2"/>
      <c r="G488" s="2"/>
      <c r="H488" s="2"/>
    </row>
    <row r="489" spans="5:8" ht="15">
      <c r="E489" s="2"/>
      <c r="F489" s="2"/>
      <c r="G489" s="2"/>
      <c r="H489" s="2"/>
    </row>
    <row r="490" spans="5:8" ht="15">
      <c r="E490" s="2"/>
      <c r="F490" s="2"/>
      <c r="G490" s="2"/>
      <c r="H490" s="2"/>
    </row>
    <row r="491" spans="5:8" ht="15">
      <c r="E491" s="2"/>
      <c r="F491" s="2"/>
      <c r="G491" s="2"/>
      <c r="H491" s="2"/>
    </row>
    <row r="492" spans="5:8" ht="15">
      <c r="E492" s="2"/>
      <c r="F492" s="2"/>
      <c r="G492" s="2"/>
      <c r="H492" s="2"/>
    </row>
    <row r="493" spans="5:8" ht="15">
      <c r="E493" s="2"/>
      <c r="F493" s="2"/>
      <c r="G493" s="2"/>
      <c r="H493" s="2"/>
    </row>
    <row r="494" spans="5:8" ht="15">
      <c r="E494" s="2"/>
      <c r="F494" s="2"/>
      <c r="G494" s="2"/>
      <c r="H494" s="2"/>
    </row>
    <row r="495" spans="5:8" ht="15">
      <c r="E495" s="2"/>
      <c r="F495" s="2"/>
      <c r="G495" s="2"/>
      <c r="H495" s="2"/>
    </row>
    <row r="496" spans="5:8" ht="15">
      <c r="E496" s="2"/>
      <c r="F496" s="2"/>
      <c r="G496" s="2"/>
      <c r="H496" s="2"/>
    </row>
    <row r="497" spans="5:8" ht="15">
      <c r="E497" s="2"/>
      <c r="F497" s="2"/>
      <c r="G497" s="2"/>
      <c r="H497" s="2"/>
    </row>
    <row r="498" spans="5:8" ht="15">
      <c r="E498" s="2"/>
      <c r="F498" s="2"/>
      <c r="G498" s="2"/>
      <c r="H498" s="2"/>
    </row>
    <row r="499" spans="5:8" ht="15">
      <c r="E499" s="2"/>
      <c r="F499" s="2"/>
      <c r="G499" s="2"/>
      <c r="H499" s="2"/>
    </row>
    <row r="500" spans="5:8" ht="15">
      <c r="E500" s="2"/>
      <c r="F500" s="2"/>
      <c r="G500" s="2"/>
      <c r="H500" s="2"/>
    </row>
    <row r="501" spans="5:8" ht="15">
      <c r="E501" s="2"/>
      <c r="F501" s="2"/>
      <c r="G501" s="2"/>
      <c r="H501" s="2"/>
    </row>
    <row r="502" spans="5:8" ht="15">
      <c r="E502" s="2"/>
      <c r="F502" s="2"/>
      <c r="G502" s="2"/>
      <c r="H502" s="2"/>
    </row>
    <row r="503" spans="5:8" ht="15">
      <c r="E503" s="2"/>
      <c r="F503" s="2"/>
      <c r="G503" s="2"/>
      <c r="H503" s="2"/>
    </row>
    <row r="504" spans="5:8" ht="15">
      <c r="E504" s="2"/>
      <c r="F504" s="2"/>
      <c r="G504" s="2"/>
      <c r="H504" s="2"/>
    </row>
    <row r="505" spans="5:8" ht="15">
      <c r="E505" s="2"/>
      <c r="F505" s="2"/>
      <c r="G505" s="2"/>
      <c r="H505" s="2"/>
    </row>
    <row r="506" spans="5:8" ht="15">
      <c r="E506" s="2"/>
      <c r="F506" s="2"/>
      <c r="G506" s="2"/>
      <c r="H506" s="2"/>
    </row>
    <row r="507" spans="5:8" ht="15">
      <c r="E507" s="2"/>
      <c r="F507" s="2"/>
      <c r="G507" s="2"/>
      <c r="H507" s="2"/>
    </row>
    <row r="508" spans="5:8" ht="15">
      <c r="E508" s="2"/>
      <c r="F508" s="2"/>
      <c r="G508" s="2"/>
      <c r="H508" s="2"/>
    </row>
    <row r="509" spans="5:8" ht="15">
      <c r="E509" s="2"/>
      <c r="F509" s="2"/>
      <c r="G509" s="2"/>
      <c r="H509" s="2"/>
    </row>
    <row r="510" spans="5:8" ht="15">
      <c r="E510" s="2"/>
      <c r="F510" s="2"/>
      <c r="G510" s="2"/>
      <c r="H510" s="2"/>
    </row>
    <row r="511" spans="5:8" ht="15">
      <c r="E511" s="2"/>
      <c r="F511" s="2"/>
      <c r="G511" s="2"/>
      <c r="H511" s="2"/>
    </row>
    <row r="512" spans="5:8" ht="15">
      <c r="E512" s="2"/>
      <c r="F512" s="2"/>
      <c r="G512" s="2"/>
      <c r="H512" s="2"/>
    </row>
    <row r="513" spans="5:8" ht="15">
      <c r="E513" s="2"/>
      <c r="F513" s="2"/>
      <c r="G513" s="2"/>
      <c r="H513" s="2"/>
    </row>
    <row r="514" spans="5:8" ht="15">
      <c r="E514" s="2"/>
      <c r="F514" s="2"/>
      <c r="G514" s="2"/>
      <c r="H514" s="2"/>
    </row>
    <row r="515" spans="5:8" ht="15">
      <c r="E515" s="2"/>
      <c r="F515" s="2"/>
      <c r="G515" s="2"/>
      <c r="H515" s="2"/>
    </row>
    <row r="516" spans="5:8" ht="15">
      <c r="E516" s="2"/>
      <c r="F516" s="2"/>
      <c r="G516" s="2"/>
      <c r="H516" s="2"/>
    </row>
    <row r="517" spans="5:8" ht="15">
      <c r="E517" s="2"/>
      <c r="F517" s="2"/>
      <c r="G517" s="2"/>
      <c r="H517" s="2"/>
    </row>
    <row r="518" spans="5:8" ht="15">
      <c r="E518" s="2"/>
      <c r="F518" s="2"/>
      <c r="G518" s="2"/>
      <c r="H518" s="2"/>
    </row>
    <row r="519" spans="5:8" ht="15">
      <c r="E519" s="2"/>
      <c r="F519" s="2"/>
      <c r="G519" s="2"/>
      <c r="H519" s="2"/>
    </row>
    <row r="520" spans="5:8" ht="15">
      <c r="E520" s="2"/>
      <c r="F520" s="2"/>
      <c r="G520" s="2"/>
      <c r="H520" s="2"/>
    </row>
    <row r="521" spans="5:8" ht="15">
      <c r="E521" s="2"/>
      <c r="F521" s="2"/>
      <c r="G521" s="2"/>
      <c r="H521" s="2"/>
    </row>
    <row r="522" spans="5:8" ht="15">
      <c r="E522" s="2"/>
      <c r="F522" s="2"/>
      <c r="G522" s="2"/>
      <c r="H522" s="2"/>
    </row>
    <row r="523" spans="5:8" ht="15">
      <c r="E523" s="2"/>
      <c r="F523" s="2"/>
      <c r="G523" s="2"/>
      <c r="H523" s="2"/>
    </row>
    <row r="524" spans="5:8" ht="15">
      <c r="E524" s="2"/>
      <c r="F524" s="2"/>
      <c r="G524" s="2"/>
      <c r="H524" s="2"/>
    </row>
    <row r="525" spans="5:8" ht="15">
      <c r="E525" s="2"/>
      <c r="F525" s="2"/>
      <c r="G525" s="2"/>
      <c r="H525" s="2"/>
    </row>
    <row r="526" spans="5:8" ht="15">
      <c r="E526" s="2"/>
      <c r="F526" s="2"/>
      <c r="G526" s="2"/>
      <c r="H526" s="2"/>
    </row>
    <row r="527" spans="5:8" ht="15">
      <c r="E527" s="2"/>
      <c r="F527" s="2"/>
      <c r="G527" s="2"/>
      <c r="H527" s="2"/>
    </row>
    <row r="528" spans="5:8" ht="15">
      <c r="E528" s="2"/>
      <c r="F528" s="2"/>
      <c r="G528" s="2"/>
      <c r="H528" s="2"/>
    </row>
    <row r="529" spans="5:8" ht="15">
      <c r="E529" s="2"/>
      <c r="F529" s="2"/>
      <c r="G529" s="2"/>
      <c r="H529" s="2"/>
    </row>
    <row r="530" spans="5:8" ht="15">
      <c r="E530" s="2"/>
      <c r="F530" s="2"/>
      <c r="G530" s="2"/>
      <c r="H530" s="2"/>
    </row>
    <row r="531" spans="5:8" ht="15">
      <c r="E531" s="2"/>
      <c r="F531" s="2"/>
      <c r="G531" s="2"/>
      <c r="H531" s="2"/>
    </row>
    <row r="532" spans="5:8" ht="15">
      <c r="E532" s="2"/>
      <c r="F532" s="2"/>
      <c r="G532" s="2"/>
      <c r="H532" s="2"/>
    </row>
    <row r="533" spans="5:8" ht="15">
      <c r="E533" s="2"/>
      <c r="F533" s="2"/>
      <c r="G533" s="2"/>
      <c r="H533" s="2"/>
    </row>
    <row r="534" spans="5:8" ht="15">
      <c r="E534" s="2"/>
      <c r="F534" s="2"/>
      <c r="G534" s="2"/>
      <c r="H534" s="2"/>
    </row>
    <row r="535" spans="5:8" ht="15">
      <c r="E535" s="2"/>
      <c r="F535" s="2"/>
      <c r="G535" s="2"/>
      <c r="H535" s="2"/>
    </row>
    <row r="536" spans="5:8" ht="15">
      <c r="E536" s="2"/>
      <c r="F536" s="2"/>
      <c r="G536" s="2"/>
      <c r="H536" s="2"/>
    </row>
    <row r="537" spans="5:8" ht="15">
      <c r="E537" s="2"/>
      <c r="F537" s="2"/>
      <c r="G537" s="2"/>
      <c r="H537" s="2"/>
    </row>
    <row r="538" spans="5:8" ht="15">
      <c r="E538" s="2"/>
      <c r="F538" s="2"/>
      <c r="G538" s="2"/>
      <c r="H538" s="2"/>
    </row>
    <row r="539" spans="5:8" ht="15">
      <c r="E539" s="2"/>
      <c r="F539" s="2"/>
      <c r="G539" s="2"/>
      <c r="H539" s="2"/>
    </row>
    <row r="540" spans="5:8" ht="15">
      <c r="E540" s="2"/>
      <c r="F540" s="2"/>
      <c r="G540" s="2"/>
      <c r="H540" s="2"/>
    </row>
    <row r="541" spans="5:8" ht="15">
      <c r="E541" s="2"/>
      <c r="F541" s="2"/>
      <c r="G541" s="2"/>
      <c r="H541" s="2"/>
    </row>
    <row r="542" spans="5:8" ht="15">
      <c r="E542" s="2"/>
      <c r="F542" s="2"/>
      <c r="G542" s="2"/>
      <c r="H542" s="2"/>
    </row>
    <row r="543" spans="5:8" ht="15">
      <c r="E543" s="2"/>
      <c r="F543" s="2"/>
      <c r="G543" s="2"/>
      <c r="H543" s="2"/>
    </row>
    <row r="544" spans="5:8" ht="15">
      <c r="E544" s="2"/>
      <c r="F544" s="2"/>
      <c r="G544" s="2"/>
      <c r="H544" s="2"/>
    </row>
    <row r="545" spans="5:8" ht="15">
      <c r="E545" s="2"/>
      <c r="F545" s="2"/>
      <c r="G545" s="2"/>
      <c r="H545" s="2"/>
    </row>
    <row r="546" spans="5:8" ht="15">
      <c r="E546" s="2"/>
      <c r="F546" s="2"/>
      <c r="G546" s="2"/>
      <c r="H546" s="2"/>
    </row>
    <row r="547" spans="5:8" ht="15">
      <c r="E547" s="2"/>
      <c r="F547" s="2"/>
      <c r="G547" s="2"/>
      <c r="H547" s="2"/>
    </row>
    <row r="548" spans="5:8" ht="15">
      <c r="E548" s="2"/>
      <c r="F548" s="2"/>
      <c r="G548" s="2"/>
      <c r="H548" s="2"/>
    </row>
    <row r="549" spans="5:8" ht="15">
      <c r="E549" s="2"/>
      <c r="F549" s="2"/>
      <c r="G549" s="2"/>
      <c r="H549" s="2"/>
    </row>
    <row r="550" spans="5:8" ht="15">
      <c r="E550" s="2"/>
      <c r="F550" s="2"/>
      <c r="G550" s="2"/>
      <c r="H550" s="2"/>
    </row>
    <row r="551" spans="5:8" ht="15">
      <c r="E551" s="2"/>
      <c r="F551" s="2"/>
      <c r="G551" s="2"/>
      <c r="H551" s="2"/>
    </row>
    <row r="552" spans="5:8" ht="15">
      <c r="E552" s="2"/>
      <c r="F552" s="2"/>
      <c r="G552" s="2"/>
      <c r="H552" s="2"/>
    </row>
    <row r="553" spans="5:8" ht="15">
      <c r="E553" s="2"/>
      <c r="F553" s="2"/>
      <c r="G553" s="2"/>
      <c r="H553" s="2"/>
    </row>
    <row r="554" spans="5:8" ht="15">
      <c r="E554" s="2"/>
      <c r="F554" s="2"/>
      <c r="G554" s="2"/>
      <c r="H554" s="2"/>
    </row>
    <row r="555" spans="5:8" ht="15">
      <c r="E555" s="2"/>
      <c r="F555" s="2"/>
      <c r="G555" s="2"/>
      <c r="H555" s="2"/>
    </row>
    <row r="556" spans="5:8" ht="15">
      <c r="E556" s="2"/>
      <c r="F556" s="2"/>
      <c r="G556" s="2"/>
      <c r="H556" s="2"/>
    </row>
    <row r="557" spans="5:8" ht="15">
      <c r="E557" s="2"/>
      <c r="F557" s="2"/>
      <c r="G557" s="2"/>
      <c r="H557" s="2"/>
    </row>
    <row r="558" spans="5:8" ht="15">
      <c r="E558" s="2"/>
      <c r="F558" s="2"/>
      <c r="G558" s="2"/>
      <c r="H558" s="2"/>
    </row>
    <row r="559" spans="5:8" ht="15">
      <c r="E559" s="2"/>
      <c r="F559" s="2"/>
      <c r="G559" s="2"/>
      <c r="H559" s="2"/>
    </row>
    <row r="560" spans="5:8" ht="15">
      <c r="E560" s="2"/>
      <c r="F560" s="2"/>
      <c r="G560" s="2"/>
      <c r="H560" s="2"/>
    </row>
    <row r="561" spans="5:8" ht="15">
      <c r="E561" s="2"/>
      <c r="F561" s="2"/>
      <c r="G561" s="2"/>
      <c r="H561" s="2"/>
    </row>
    <row r="562" spans="5:8" ht="15">
      <c r="E562" s="2"/>
      <c r="F562" s="2"/>
      <c r="G562" s="2"/>
      <c r="H562" s="2"/>
    </row>
    <row r="563" spans="5:8" ht="15">
      <c r="E563" s="2"/>
      <c r="F563" s="2"/>
      <c r="G563" s="2"/>
      <c r="H563" s="2"/>
    </row>
    <row r="564" spans="5:8" ht="15">
      <c r="E564" s="2"/>
      <c r="F564" s="2"/>
      <c r="G564" s="2"/>
      <c r="H564" s="2"/>
    </row>
    <row r="565" spans="5:8" ht="15">
      <c r="E565" s="2"/>
      <c r="F565" s="2"/>
      <c r="G565" s="2"/>
      <c r="H565" s="2"/>
    </row>
    <row r="566" spans="5:8" ht="15">
      <c r="E566" s="2"/>
      <c r="F566" s="2"/>
      <c r="G566" s="2"/>
      <c r="H566" s="2"/>
    </row>
    <row r="567" spans="5:8" ht="15">
      <c r="E567" s="2"/>
      <c r="F567" s="2"/>
      <c r="G567" s="2"/>
      <c r="H567" s="2"/>
    </row>
    <row r="568" spans="5:8" ht="15">
      <c r="E568" s="2"/>
      <c r="F568" s="2"/>
      <c r="G568" s="2"/>
      <c r="H568" s="2"/>
    </row>
    <row r="569" spans="5:8" ht="15">
      <c r="E569" s="2"/>
      <c r="F569" s="2"/>
      <c r="G569" s="2"/>
      <c r="H569" s="2"/>
    </row>
    <row r="570" spans="5:8" ht="15">
      <c r="E570" s="2"/>
      <c r="F570" s="2"/>
      <c r="G570" s="2"/>
      <c r="H570" s="2"/>
    </row>
    <row r="571" spans="5:8" ht="15">
      <c r="E571" s="2"/>
      <c r="F571" s="2"/>
      <c r="G571" s="2"/>
      <c r="H571" s="2"/>
    </row>
    <row r="572" spans="5:8" ht="15">
      <c r="E572" s="2"/>
      <c r="F572" s="2"/>
      <c r="G572" s="2"/>
      <c r="H572" s="2"/>
    </row>
    <row r="573" spans="5:8" ht="15">
      <c r="E573" s="2"/>
      <c r="F573" s="2"/>
      <c r="G573" s="2"/>
      <c r="H573" s="2"/>
    </row>
    <row r="574" spans="5:8" ht="15">
      <c r="E574" s="2"/>
      <c r="F574" s="2"/>
      <c r="G574" s="2"/>
      <c r="H574" s="2"/>
    </row>
    <row r="575" spans="5:8" ht="15">
      <c r="E575" s="2"/>
      <c r="F575" s="2"/>
      <c r="G575" s="2"/>
      <c r="H575" s="2"/>
    </row>
    <row r="576" spans="5:8" ht="15">
      <c r="E576" s="2"/>
      <c r="F576" s="2"/>
      <c r="G576" s="2"/>
      <c r="H576" s="2"/>
    </row>
    <row r="577" spans="5:8" ht="15">
      <c r="E577" s="2"/>
      <c r="F577" s="2"/>
      <c r="G577" s="2"/>
      <c r="H577" s="2"/>
    </row>
    <row r="578" spans="5:8" ht="15">
      <c r="E578" s="2"/>
      <c r="F578" s="2"/>
      <c r="G578" s="2"/>
      <c r="H578" s="2"/>
    </row>
    <row r="579" spans="5:8" ht="15">
      <c r="E579" s="2"/>
      <c r="F579" s="2"/>
      <c r="G579" s="2"/>
      <c r="H579" s="2"/>
    </row>
    <row r="580" spans="5:8" ht="15">
      <c r="E580" s="2"/>
      <c r="F580" s="2"/>
      <c r="G580" s="2"/>
      <c r="H580" s="2"/>
    </row>
    <row r="581" spans="5:8" ht="15">
      <c r="E581" s="2"/>
      <c r="F581" s="2"/>
      <c r="G581" s="2"/>
      <c r="H581" s="2"/>
    </row>
    <row r="582" spans="5:8" ht="15">
      <c r="E582" s="2"/>
      <c r="F582" s="2"/>
      <c r="G582" s="2"/>
      <c r="H582" s="2"/>
    </row>
    <row r="583" spans="5:8" ht="15">
      <c r="E583" s="2"/>
      <c r="F583" s="2"/>
      <c r="G583" s="2"/>
      <c r="H583" s="2"/>
    </row>
    <row r="584" spans="5:8" ht="15">
      <c r="E584" s="2"/>
      <c r="F584" s="2"/>
      <c r="G584" s="2"/>
      <c r="H584" s="2"/>
    </row>
    <row r="585" spans="5:8" ht="15">
      <c r="E585" s="2"/>
      <c r="F585" s="2"/>
      <c r="G585" s="2"/>
      <c r="H585" s="2"/>
    </row>
    <row r="586" spans="5:8" ht="15">
      <c r="E586" s="2"/>
      <c r="F586" s="2"/>
      <c r="G586" s="2"/>
      <c r="H586" s="2"/>
    </row>
    <row r="587" spans="5:8" ht="15">
      <c r="E587" s="2"/>
      <c r="F587" s="2"/>
      <c r="G587" s="2"/>
      <c r="H587" s="2"/>
    </row>
    <row r="588" spans="5:8" ht="15">
      <c r="E588" s="2"/>
      <c r="F588" s="2"/>
      <c r="G588" s="2"/>
      <c r="H588" s="2"/>
    </row>
    <row r="589" spans="5:8" ht="15">
      <c r="E589" s="2"/>
      <c r="F589" s="2"/>
      <c r="G589" s="2"/>
      <c r="H589" s="2"/>
    </row>
    <row r="590" spans="5:8" ht="15">
      <c r="E590" s="2"/>
      <c r="F590" s="2"/>
      <c r="G590" s="2"/>
      <c r="H590" s="2"/>
    </row>
    <row r="591" spans="5:8" ht="15">
      <c r="E591" s="2"/>
      <c r="F591" s="2"/>
      <c r="G591" s="2"/>
      <c r="H591" s="2"/>
    </row>
    <row r="592" spans="5:8" ht="15">
      <c r="E592" s="2"/>
      <c r="F592" s="2"/>
      <c r="G592" s="2"/>
      <c r="H592" s="2"/>
    </row>
    <row r="593" spans="5:8" ht="15">
      <c r="E593" s="2"/>
      <c r="F593" s="2"/>
      <c r="G593" s="2"/>
      <c r="H593" s="2"/>
    </row>
    <row r="594" spans="5:8" ht="15">
      <c r="E594" s="2"/>
      <c r="F594" s="2"/>
      <c r="G594" s="2"/>
      <c r="H594" s="2"/>
    </row>
    <row r="595" spans="5:8" ht="15">
      <c r="E595" s="2"/>
      <c r="F595" s="2"/>
      <c r="G595" s="2"/>
      <c r="H595" s="2"/>
    </row>
    <row r="596" spans="5:8" ht="15">
      <c r="E596" s="2"/>
      <c r="F596" s="2"/>
      <c r="G596" s="2"/>
      <c r="H596" s="2"/>
    </row>
    <row r="597" spans="5:8" ht="15">
      <c r="E597" s="2"/>
      <c r="F597" s="2"/>
      <c r="G597" s="2"/>
      <c r="H597" s="2"/>
    </row>
    <row r="598" spans="5:8" ht="15">
      <c r="E598" s="2"/>
      <c r="F598" s="2"/>
      <c r="G598" s="2"/>
      <c r="H598" s="2"/>
    </row>
    <row r="599" spans="5:8" ht="15">
      <c r="E599" s="2"/>
      <c r="F599" s="2"/>
      <c r="G599" s="2"/>
      <c r="H599" s="2"/>
    </row>
    <row r="600" spans="5:8" ht="15">
      <c r="E600" s="2"/>
      <c r="F600" s="2"/>
      <c r="G600" s="2"/>
      <c r="H600" s="2"/>
    </row>
    <row r="601" spans="5:8" ht="15">
      <c r="E601" s="2"/>
      <c r="F601" s="2"/>
      <c r="G601" s="2"/>
      <c r="H601" s="2"/>
    </row>
    <row r="602" spans="5:8" ht="15">
      <c r="E602" s="2"/>
      <c r="F602" s="2"/>
      <c r="G602" s="2"/>
      <c r="H602" s="2"/>
    </row>
    <row r="603" spans="5:8" ht="15">
      <c r="E603" s="2"/>
      <c r="F603" s="2"/>
      <c r="G603" s="2"/>
      <c r="H603" s="2"/>
    </row>
    <row r="604" spans="5:8" ht="15">
      <c r="E604" s="2"/>
      <c r="F604" s="2"/>
      <c r="G604" s="2"/>
      <c r="H604" s="2"/>
    </row>
    <row r="605" spans="5:8" ht="15">
      <c r="E605" s="2"/>
      <c r="F605" s="2"/>
      <c r="G605" s="2"/>
      <c r="H605" s="2"/>
    </row>
    <row r="606" spans="5:8" ht="15">
      <c r="E606" s="2"/>
      <c r="F606" s="2"/>
      <c r="G606" s="2"/>
      <c r="H606" s="2"/>
    </row>
    <row r="607" spans="5:8" ht="15">
      <c r="E607" s="2"/>
      <c r="F607" s="2"/>
      <c r="G607" s="2"/>
      <c r="H607" s="2"/>
    </row>
    <row r="608" spans="5:8" ht="15">
      <c r="E608" s="2"/>
      <c r="F608" s="2"/>
      <c r="G608" s="2"/>
      <c r="H608" s="2"/>
    </row>
    <row r="609" spans="5:8" ht="15">
      <c r="E609" s="2"/>
      <c r="F609" s="2"/>
      <c r="G609" s="2"/>
      <c r="H609" s="2"/>
    </row>
    <row r="610" spans="5:8" ht="15">
      <c r="E610" s="2"/>
      <c r="F610" s="2"/>
      <c r="G610" s="2"/>
      <c r="H610" s="2"/>
    </row>
    <row r="611" spans="5:8" ht="15">
      <c r="E611" s="2"/>
      <c r="F611" s="2"/>
      <c r="G611" s="2"/>
      <c r="H611" s="2"/>
    </row>
    <row r="612" spans="5:8" ht="15">
      <c r="E612" s="2"/>
      <c r="F612" s="2"/>
      <c r="G612" s="2"/>
      <c r="H612" s="2"/>
    </row>
    <row r="613" spans="5:8" ht="15">
      <c r="E613" s="2"/>
      <c r="F613" s="2"/>
      <c r="G613" s="2"/>
      <c r="H613" s="2"/>
    </row>
    <row r="614" spans="5:8" ht="15">
      <c r="E614" s="2"/>
      <c r="F614" s="2"/>
      <c r="G614" s="2"/>
      <c r="H614" s="2"/>
    </row>
    <row r="615" spans="5:8" ht="15">
      <c r="E615" s="2"/>
      <c r="F615" s="2"/>
      <c r="G615" s="2"/>
      <c r="H615" s="2"/>
    </row>
    <row r="616" spans="5:8" ht="15">
      <c r="E616" s="2"/>
      <c r="F616" s="2"/>
      <c r="G616" s="2"/>
      <c r="H616" s="2"/>
    </row>
    <row r="617" spans="5:8" ht="15">
      <c r="E617" s="2"/>
      <c r="F617" s="2"/>
      <c r="G617" s="2"/>
      <c r="H617" s="2"/>
    </row>
    <row r="618" spans="5:8" ht="15">
      <c r="E618" s="2"/>
      <c r="F618" s="2"/>
      <c r="G618" s="2"/>
      <c r="H618" s="2"/>
    </row>
    <row r="619" spans="5:8" ht="15">
      <c r="E619" s="2"/>
      <c r="F619" s="2"/>
      <c r="G619" s="2"/>
      <c r="H619" s="2"/>
    </row>
    <row r="620" spans="5:8" ht="15">
      <c r="E620" s="2"/>
      <c r="F620" s="2"/>
      <c r="G620" s="2"/>
      <c r="H620" s="2"/>
    </row>
    <row r="621" spans="5:8" ht="15">
      <c r="E621" s="2"/>
      <c r="F621" s="2"/>
      <c r="G621" s="2"/>
      <c r="H621" s="2"/>
    </row>
    <row r="622" spans="5:8" ht="15">
      <c r="E622" s="2"/>
      <c r="F622" s="2"/>
      <c r="G622" s="2"/>
      <c r="H622" s="2"/>
    </row>
    <row r="623" spans="5:8" ht="15">
      <c r="E623" s="2"/>
      <c r="F623" s="2"/>
      <c r="G623" s="2"/>
      <c r="H623" s="2"/>
    </row>
    <row r="624" spans="5:8" ht="15">
      <c r="E624" s="2"/>
      <c r="F624" s="2"/>
      <c r="G624" s="2"/>
      <c r="H624" s="2"/>
    </row>
    <row r="625" spans="5:8" ht="15">
      <c r="E625" s="2"/>
      <c r="F625" s="2"/>
      <c r="G625" s="2"/>
      <c r="H625" s="2"/>
    </row>
    <row r="626" spans="5:8" ht="15">
      <c r="E626" s="2"/>
      <c r="F626" s="2"/>
      <c r="G626" s="2"/>
      <c r="H626" s="2"/>
    </row>
    <row r="627" spans="5:8" ht="15">
      <c r="E627" s="2"/>
      <c r="F627" s="2"/>
      <c r="G627" s="2"/>
      <c r="H627" s="2"/>
    </row>
    <row r="628" spans="5:8" ht="15">
      <c r="E628" s="2"/>
      <c r="F628" s="2"/>
      <c r="G628" s="2"/>
      <c r="H628" s="2"/>
    </row>
    <row r="629" spans="5:8" ht="15">
      <c r="E629" s="2"/>
      <c r="F629" s="2"/>
      <c r="G629" s="2"/>
      <c r="H629" s="2"/>
    </row>
    <row r="630" spans="5:8" ht="15">
      <c r="E630" s="2"/>
      <c r="F630" s="2"/>
      <c r="G630" s="2"/>
      <c r="H630" s="2"/>
    </row>
    <row r="631" spans="5:8" ht="15">
      <c r="E631" s="2"/>
      <c r="F631" s="2"/>
      <c r="G631" s="2"/>
      <c r="H631" s="2"/>
    </row>
    <row r="632" spans="5:8" ht="15">
      <c r="E632" s="2"/>
      <c r="F632" s="2"/>
      <c r="G632" s="2"/>
      <c r="H632" s="2"/>
    </row>
    <row r="633" spans="5:8" ht="15">
      <c r="E633" s="2"/>
      <c r="F633" s="2"/>
      <c r="G633" s="2"/>
      <c r="H633" s="2"/>
    </row>
    <row r="634" spans="5:8" ht="15">
      <c r="E634" s="2"/>
      <c r="F634" s="2"/>
      <c r="G634" s="2"/>
      <c r="H634" s="2"/>
    </row>
    <row r="635" spans="5:8" ht="15">
      <c r="E635" s="2"/>
      <c r="F635" s="2"/>
      <c r="G635" s="2"/>
      <c r="H635" s="2"/>
    </row>
    <row r="636" spans="5:8" ht="15">
      <c r="E636" s="2"/>
      <c r="F636" s="2"/>
      <c r="G636" s="2"/>
      <c r="H636" s="2"/>
    </row>
    <row r="637" spans="5:8" ht="15">
      <c r="E637" s="2"/>
      <c r="F637" s="2"/>
      <c r="G637" s="2"/>
      <c r="H637" s="2"/>
    </row>
    <row r="638" spans="5:8" ht="15">
      <c r="E638" s="2"/>
      <c r="F638" s="2"/>
      <c r="G638" s="2"/>
      <c r="H638" s="2"/>
    </row>
    <row r="639" spans="5:8" ht="15">
      <c r="E639" s="2"/>
      <c r="F639" s="2"/>
      <c r="G639" s="2"/>
      <c r="H639" s="2"/>
    </row>
    <row r="640" spans="5:8" ht="15">
      <c r="E640" s="2"/>
      <c r="F640" s="2"/>
      <c r="G640" s="2"/>
      <c r="H640" s="2"/>
    </row>
    <row r="641" spans="5:8" ht="15">
      <c r="E641" s="2"/>
      <c r="F641" s="2"/>
      <c r="G641" s="2"/>
      <c r="H641" s="2"/>
    </row>
    <row r="642" spans="5:8" ht="15">
      <c r="E642" s="2"/>
      <c r="F642" s="2"/>
      <c r="G642" s="2"/>
      <c r="H642" s="2"/>
    </row>
    <row r="643" spans="5:8" ht="15">
      <c r="E643" s="2"/>
      <c r="F643" s="2"/>
      <c r="G643" s="2"/>
      <c r="H643" s="2"/>
    </row>
    <row r="644" spans="5:8" ht="15">
      <c r="E644" s="2"/>
      <c r="F644" s="2"/>
      <c r="G644" s="2"/>
      <c r="H644" s="2"/>
    </row>
    <row r="645" spans="5:8" ht="15">
      <c r="E645" s="2"/>
      <c r="F645" s="2"/>
      <c r="G645" s="2"/>
      <c r="H645" s="2"/>
    </row>
    <row r="646" spans="5:8" ht="15">
      <c r="E646" s="2"/>
      <c r="F646" s="2"/>
      <c r="G646" s="2"/>
      <c r="H646" s="2"/>
    </row>
    <row r="647" spans="5:8" ht="15">
      <c r="E647" s="2"/>
      <c r="F647" s="2"/>
      <c r="G647" s="2"/>
      <c r="H647" s="2"/>
    </row>
    <row r="648" spans="5:8" ht="15">
      <c r="E648" s="2"/>
      <c r="F648" s="2"/>
      <c r="G648" s="2"/>
      <c r="H648" s="2"/>
    </row>
    <row r="649" spans="5:8" ht="15">
      <c r="E649" s="2"/>
      <c r="F649" s="2"/>
      <c r="G649" s="2"/>
      <c r="H649" s="2"/>
    </row>
    <row r="650" spans="5:8" ht="15">
      <c r="E650" s="2"/>
      <c r="F650" s="2"/>
      <c r="G650" s="2"/>
      <c r="H650" s="2"/>
    </row>
    <row r="651" spans="5:8" ht="15">
      <c r="E651" s="2"/>
      <c r="F651" s="2"/>
      <c r="G651" s="2"/>
      <c r="H651" s="2"/>
    </row>
    <row r="652" spans="5:8" ht="15">
      <c r="E652" s="2"/>
      <c r="F652" s="2"/>
      <c r="G652" s="2"/>
      <c r="H652" s="2"/>
    </row>
    <row r="653" spans="5:8" ht="15">
      <c r="E653" s="2"/>
      <c r="F653" s="2"/>
      <c r="G653" s="2"/>
      <c r="H653" s="2"/>
    </row>
    <row r="654" spans="5:8" ht="15">
      <c r="E654" s="2"/>
      <c r="F654" s="2"/>
      <c r="G654" s="2"/>
      <c r="H654" s="2"/>
    </row>
    <row r="655" spans="5:8" ht="15">
      <c r="E655" s="2"/>
      <c r="F655" s="2"/>
      <c r="G655" s="2"/>
      <c r="H655" s="2"/>
    </row>
    <row r="656" spans="5:8" ht="15">
      <c r="E656" s="2"/>
      <c r="F656" s="2"/>
      <c r="G656" s="2"/>
      <c r="H656" s="2"/>
    </row>
    <row r="657" spans="5:8" ht="15">
      <c r="E657" s="2"/>
      <c r="F657" s="2"/>
      <c r="G657" s="2"/>
      <c r="H657" s="2"/>
    </row>
    <row r="658" spans="5:8" ht="15">
      <c r="E658" s="2"/>
      <c r="F658" s="2"/>
      <c r="G658" s="2"/>
      <c r="H658" s="2"/>
    </row>
    <row r="659" spans="5:8" ht="15">
      <c r="E659" s="2"/>
      <c r="F659" s="2"/>
      <c r="G659" s="2"/>
      <c r="H659" s="2"/>
    </row>
    <row r="660" spans="5:8" ht="15">
      <c r="E660" s="2"/>
      <c r="F660" s="2"/>
      <c r="G660" s="2"/>
      <c r="H660" s="2"/>
    </row>
    <row r="661" spans="5:8" ht="15">
      <c r="E661" s="2"/>
      <c r="F661" s="2"/>
      <c r="G661" s="2"/>
      <c r="H661" s="2"/>
    </row>
    <row r="662" spans="5:8" ht="15">
      <c r="E662" s="2"/>
      <c r="F662" s="2"/>
      <c r="G662" s="2"/>
      <c r="H662" s="2"/>
    </row>
    <row r="663" spans="5:8" ht="15">
      <c r="E663" s="2"/>
      <c r="F663" s="2"/>
      <c r="G663" s="2"/>
      <c r="H663" s="2"/>
    </row>
    <row r="664" spans="5:8" ht="15">
      <c r="E664" s="2"/>
      <c r="F664" s="2"/>
      <c r="G664" s="2"/>
      <c r="H664" s="2"/>
    </row>
    <row r="665" spans="5:8" ht="15">
      <c r="E665" s="2"/>
      <c r="F665" s="2"/>
      <c r="G665" s="2"/>
      <c r="H665" s="2"/>
    </row>
    <row r="666" spans="5:8" ht="15">
      <c r="E666" s="2"/>
      <c r="F666" s="2"/>
      <c r="G666" s="2"/>
      <c r="H666" s="2"/>
    </row>
    <row r="667" spans="5:8" ht="15">
      <c r="E667" s="2"/>
      <c r="F667" s="2"/>
      <c r="G667" s="2"/>
      <c r="H667" s="2"/>
    </row>
    <row r="668" spans="5:8" ht="15">
      <c r="E668" s="2"/>
      <c r="F668" s="2"/>
      <c r="G668" s="2"/>
      <c r="H668" s="2"/>
    </row>
    <row r="669" spans="5:8" ht="15">
      <c r="E669" s="2"/>
      <c r="F669" s="2"/>
      <c r="G669" s="2"/>
      <c r="H669" s="2"/>
    </row>
    <row r="670" spans="5:8" ht="15">
      <c r="E670" s="2"/>
      <c r="F670" s="2"/>
      <c r="G670" s="2"/>
      <c r="H670" s="2"/>
    </row>
    <row r="671" spans="5:8" ht="15">
      <c r="E671" s="2"/>
      <c r="F671" s="2"/>
      <c r="G671" s="2"/>
      <c r="H671" s="2"/>
    </row>
    <row r="672" spans="5:8" ht="15">
      <c r="E672" s="2"/>
      <c r="F672" s="2"/>
      <c r="G672" s="2"/>
      <c r="H672" s="2"/>
    </row>
    <row r="673" spans="5:8" ht="15">
      <c r="E673" s="2"/>
      <c r="F673" s="2"/>
      <c r="G673" s="2"/>
      <c r="H673" s="2"/>
    </row>
    <row r="674" spans="5:8" ht="15">
      <c r="E674" s="2"/>
      <c r="F674" s="2"/>
      <c r="G674" s="2"/>
      <c r="H674" s="2"/>
    </row>
    <row r="675" spans="5:8" ht="15">
      <c r="E675" s="2"/>
      <c r="F675" s="2"/>
      <c r="G675" s="2"/>
      <c r="H675" s="2"/>
    </row>
    <row r="676" spans="5:8" ht="15">
      <c r="E676" s="2"/>
      <c r="F676" s="2"/>
      <c r="G676" s="2"/>
      <c r="H676" s="2"/>
    </row>
    <row r="677" spans="5:8" ht="15">
      <c r="E677" s="2"/>
      <c r="F677" s="2"/>
      <c r="G677" s="2"/>
      <c r="H677" s="2"/>
    </row>
    <row r="678" spans="5:8" ht="15">
      <c r="E678" s="2"/>
      <c r="F678" s="2"/>
      <c r="G678" s="2"/>
      <c r="H678" s="2"/>
    </row>
    <row r="679" spans="5:8" ht="15">
      <c r="E679" s="2"/>
      <c r="F679" s="2"/>
      <c r="G679" s="2"/>
      <c r="H679" s="2"/>
    </row>
    <row r="680" spans="5:8" ht="15">
      <c r="E680" s="2"/>
      <c r="F680" s="2"/>
      <c r="G680" s="2"/>
      <c r="H680" s="2"/>
    </row>
    <row r="681" spans="5:8" ht="15">
      <c r="E681" s="2"/>
      <c r="F681" s="2"/>
      <c r="G681" s="2"/>
      <c r="H681" s="2"/>
    </row>
    <row r="682" spans="5:8" ht="15">
      <c r="E682" s="2"/>
      <c r="F682" s="2"/>
      <c r="G682" s="2"/>
      <c r="H682" s="2"/>
    </row>
    <row r="683" spans="5:8" ht="15">
      <c r="E683" s="2"/>
      <c r="F683" s="2"/>
      <c r="G683" s="2"/>
      <c r="H683" s="2"/>
    </row>
    <row r="684" spans="5:8" ht="15">
      <c r="E684" s="2"/>
      <c r="F684" s="2"/>
      <c r="G684" s="2"/>
      <c r="H684" s="2"/>
    </row>
    <row r="685" spans="5:8" ht="15">
      <c r="E685" s="2"/>
      <c r="F685" s="2"/>
      <c r="G685" s="2"/>
      <c r="H685" s="2"/>
    </row>
    <row r="686" spans="5:8" ht="15">
      <c r="E686" s="2"/>
      <c r="F686" s="2"/>
      <c r="G686" s="2"/>
      <c r="H686" s="2"/>
    </row>
    <row r="687" spans="5:8" ht="15">
      <c r="E687" s="2"/>
      <c r="F687" s="2"/>
      <c r="G687" s="2"/>
      <c r="H687" s="2"/>
    </row>
    <row r="688" spans="5:8" ht="15">
      <c r="E688" s="2"/>
      <c r="F688" s="2"/>
      <c r="G688" s="2"/>
      <c r="H688" s="2"/>
    </row>
    <row r="689" spans="5:8" ht="15">
      <c r="E689" s="2"/>
      <c r="F689" s="2"/>
      <c r="G689" s="2"/>
      <c r="H689" s="2"/>
    </row>
    <row r="690" spans="5:8" ht="15">
      <c r="E690" s="2"/>
      <c r="F690" s="2"/>
      <c r="G690" s="2"/>
      <c r="H690" s="2"/>
    </row>
    <row r="691" spans="5:8" ht="15">
      <c r="E691" s="2"/>
      <c r="F691" s="2"/>
      <c r="G691" s="2"/>
      <c r="H691" s="2"/>
    </row>
    <row r="692" spans="5:8" ht="15">
      <c r="E692" s="2"/>
      <c r="F692" s="2"/>
      <c r="G692" s="2"/>
      <c r="H692" s="2"/>
    </row>
    <row r="693" spans="5:8" ht="15">
      <c r="E693" s="2"/>
      <c r="F693" s="2"/>
      <c r="G693" s="2"/>
      <c r="H693" s="2"/>
    </row>
    <row r="694" spans="5:8" ht="15">
      <c r="E694" s="2"/>
      <c r="F694" s="2"/>
      <c r="G694" s="2"/>
      <c r="H694" s="2"/>
    </row>
    <row r="695" spans="5:8" ht="15">
      <c r="E695" s="2"/>
      <c r="F695" s="2"/>
      <c r="G695" s="2"/>
      <c r="H695" s="2"/>
    </row>
    <row r="696" spans="5:8" ht="15">
      <c r="E696" s="2"/>
      <c r="F696" s="2"/>
      <c r="G696" s="2"/>
      <c r="H696" s="2"/>
    </row>
    <row r="697" spans="5:8" ht="15">
      <c r="E697" s="2"/>
      <c r="F697" s="2"/>
      <c r="G697" s="2"/>
      <c r="H697" s="2"/>
    </row>
    <row r="698" spans="5:8" ht="15">
      <c r="E698" s="2"/>
      <c r="F698" s="2"/>
      <c r="G698" s="2"/>
      <c r="H698" s="2"/>
    </row>
    <row r="699" spans="5:8" ht="15">
      <c r="E699" s="2"/>
      <c r="F699" s="2"/>
      <c r="G699" s="2"/>
      <c r="H699" s="2"/>
    </row>
    <row r="700" spans="5:8" ht="15">
      <c r="E700" s="2"/>
      <c r="F700" s="2"/>
      <c r="G700" s="2"/>
      <c r="H700" s="2"/>
    </row>
    <row r="701" spans="5:8" ht="15">
      <c r="E701" s="2"/>
      <c r="F701" s="2"/>
      <c r="G701" s="2"/>
      <c r="H701" s="2"/>
    </row>
    <row r="702" spans="5:8" ht="15">
      <c r="E702" s="2"/>
      <c r="F702" s="2"/>
      <c r="G702" s="2"/>
      <c r="H702" s="2"/>
    </row>
    <row r="703" spans="5:8" ht="15">
      <c r="E703" s="2"/>
      <c r="F703" s="2"/>
      <c r="G703" s="2"/>
      <c r="H703" s="2"/>
    </row>
    <row r="704" spans="5:8" ht="15">
      <c r="E704" s="2"/>
      <c r="F704" s="2"/>
      <c r="G704" s="2"/>
      <c r="H704" s="2"/>
    </row>
    <row r="705" spans="5:8" ht="15">
      <c r="E705" s="2"/>
      <c r="F705" s="2"/>
      <c r="G705" s="2"/>
      <c r="H705" s="2"/>
    </row>
    <row r="706" spans="5:8" ht="15">
      <c r="E706" s="2"/>
      <c r="F706" s="2"/>
      <c r="G706" s="2"/>
      <c r="H706" s="2"/>
    </row>
    <row r="707" spans="5:8" ht="15">
      <c r="E707" s="2"/>
      <c r="F707" s="2"/>
      <c r="G707" s="2"/>
      <c r="H707" s="2"/>
    </row>
    <row r="708" spans="5:8" ht="15">
      <c r="E708" s="2"/>
      <c r="F708" s="2"/>
      <c r="G708" s="2"/>
      <c r="H708" s="2"/>
    </row>
    <row r="709" spans="5:8" ht="15">
      <c r="E709" s="2"/>
      <c r="F709" s="2"/>
      <c r="G709" s="2"/>
      <c r="H709" s="2"/>
    </row>
    <row r="710" spans="5:8" ht="15">
      <c r="E710" s="2"/>
      <c r="F710" s="2"/>
      <c r="G710" s="2"/>
      <c r="H710" s="2"/>
    </row>
    <row r="711" spans="5:8" ht="15">
      <c r="E711" s="2"/>
      <c r="F711" s="2"/>
      <c r="G711" s="2"/>
      <c r="H711" s="2"/>
    </row>
    <row r="712" spans="5:8" ht="15">
      <c r="E712" s="2"/>
      <c r="F712" s="2"/>
      <c r="G712" s="2"/>
      <c r="H712" s="2"/>
    </row>
    <row r="713" spans="5:8" ht="15">
      <c r="E713" s="2"/>
      <c r="F713" s="2"/>
      <c r="G713" s="2"/>
      <c r="H713" s="2"/>
    </row>
    <row r="714" spans="5:8" ht="15">
      <c r="E714" s="2"/>
      <c r="F714" s="2"/>
      <c r="G714" s="2"/>
      <c r="H714" s="2"/>
    </row>
    <row r="715" spans="5:8" ht="15">
      <c r="E715" s="2"/>
      <c r="F715" s="2"/>
      <c r="G715" s="2"/>
      <c r="H715" s="2"/>
    </row>
    <row r="716" spans="5:8" ht="15">
      <c r="E716" s="2"/>
      <c r="F716" s="2"/>
      <c r="G716" s="2"/>
      <c r="H716" s="2"/>
    </row>
    <row r="717" spans="5:8" ht="15">
      <c r="E717" s="2"/>
      <c r="F717" s="2"/>
      <c r="G717" s="2"/>
      <c r="H717" s="2"/>
    </row>
    <row r="718" spans="5:8" ht="15">
      <c r="E718" s="2"/>
      <c r="F718" s="2"/>
      <c r="G718" s="2"/>
      <c r="H718" s="2"/>
    </row>
    <row r="719" spans="5:8" ht="15">
      <c r="E719" s="2"/>
      <c r="F719" s="2"/>
      <c r="G719" s="2"/>
      <c r="H719" s="2"/>
    </row>
    <row r="720" spans="5:8" ht="15">
      <c r="E720" s="2"/>
      <c r="F720" s="2"/>
      <c r="G720" s="2"/>
      <c r="H720" s="2"/>
    </row>
    <row r="721" spans="5:8" ht="15">
      <c r="E721" s="2"/>
      <c r="F721" s="2"/>
      <c r="G721" s="2"/>
      <c r="H721" s="2"/>
    </row>
    <row r="722" spans="5:8" ht="15">
      <c r="E722" s="2"/>
      <c r="F722" s="2"/>
      <c r="G722" s="2"/>
      <c r="H722" s="2"/>
    </row>
    <row r="723" spans="5:8" ht="15">
      <c r="E723" s="2"/>
      <c r="F723" s="2"/>
      <c r="G723" s="2"/>
      <c r="H723" s="2"/>
    </row>
    <row r="724" spans="5:8" ht="15">
      <c r="E724" s="2"/>
      <c r="F724" s="2"/>
      <c r="G724" s="2"/>
      <c r="H724" s="2"/>
    </row>
    <row r="725" spans="5:8" ht="15">
      <c r="E725" s="2"/>
      <c r="F725" s="2"/>
      <c r="G725" s="2"/>
      <c r="H725" s="2"/>
    </row>
    <row r="726" spans="5:8" ht="15">
      <c r="E726" s="2"/>
      <c r="F726" s="2"/>
      <c r="G726" s="2"/>
      <c r="H726" s="2"/>
    </row>
    <row r="727" spans="5:8" ht="15">
      <c r="E727" s="2"/>
      <c r="F727" s="2"/>
      <c r="G727" s="2"/>
      <c r="H727" s="2"/>
    </row>
    <row r="728" spans="5:8" ht="15">
      <c r="E728" s="2"/>
      <c r="F728" s="2"/>
      <c r="G728" s="2"/>
      <c r="H728" s="2"/>
    </row>
    <row r="729" spans="5:8" ht="15">
      <c r="E729" s="2"/>
      <c r="F729" s="2"/>
      <c r="G729" s="2"/>
      <c r="H729" s="2"/>
    </row>
    <row r="730" spans="5:8" ht="15">
      <c r="E730" s="2"/>
      <c r="F730" s="2"/>
      <c r="G730" s="2"/>
      <c r="H730" s="2"/>
    </row>
    <row r="731" spans="5:8" ht="15">
      <c r="E731" s="2"/>
      <c r="F731" s="2"/>
      <c r="G731" s="2"/>
      <c r="H731" s="2"/>
    </row>
    <row r="732" spans="5:8" ht="15">
      <c r="E732" s="2"/>
      <c r="F732" s="2"/>
      <c r="G732" s="2"/>
      <c r="H732" s="2"/>
    </row>
    <row r="733" spans="5:8" ht="15">
      <c r="E733" s="2"/>
      <c r="F733" s="2"/>
      <c r="G733" s="2"/>
      <c r="H733" s="2"/>
    </row>
    <row r="734" spans="5:8" ht="15">
      <c r="E734" s="2"/>
      <c r="F734" s="2"/>
      <c r="G734" s="2"/>
      <c r="H734" s="2"/>
    </row>
    <row r="735" spans="5:8" ht="15">
      <c r="E735" s="2"/>
      <c r="F735" s="2"/>
      <c r="G735" s="2"/>
      <c r="H735" s="2"/>
    </row>
    <row r="736" spans="5:8" ht="15">
      <c r="E736" s="2"/>
      <c r="F736" s="2"/>
      <c r="G736" s="2"/>
      <c r="H736" s="2"/>
    </row>
    <row r="737" spans="5:8" ht="15">
      <c r="E737" s="2"/>
      <c r="F737" s="2"/>
      <c r="G737" s="2"/>
      <c r="H737" s="2"/>
    </row>
    <row r="738" spans="5:8" ht="15">
      <c r="E738" s="2"/>
      <c r="F738" s="2"/>
      <c r="G738" s="2"/>
      <c r="H738" s="2"/>
    </row>
    <row r="739" spans="5:8" ht="15">
      <c r="E739" s="2"/>
      <c r="F739" s="2"/>
      <c r="G739" s="2"/>
      <c r="H739" s="2"/>
    </row>
    <row r="740" spans="5:8" ht="15">
      <c r="E740" s="2"/>
      <c r="F740" s="2"/>
      <c r="G740" s="2"/>
      <c r="H740" s="2"/>
    </row>
    <row r="741" spans="5:8" ht="15">
      <c r="E741" s="2"/>
      <c r="F741" s="2"/>
      <c r="G741" s="2"/>
      <c r="H741" s="2"/>
    </row>
    <row r="742" spans="5:8" ht="15">
      <c r="E742" s="2"/>
      <c r="F742" s="2"/>
      <c r="G742" s="2"/>
      <c r="H742" s="2"/>
    </row>
    <row r="743" spans="5:8" ht="15">
      <c r="E743" s="2"/>
      <c r="F743" s="2"/>
      <c r="G743" s="2"/>
      <c r="H743" s="2"/>
    </row>
    <row r="744" spans="5:8" ht="15">
      <c r="E744" s="2"/>
      <c r="F744" s="2"/>
      <c r="G744" s="2"/>
      <c r="H744" s="2"/>
    </row>
    <row r="745" spans="5:8" ht="15">
      <c r="E745" s="2"/>
      <c r="F745" s="2"/>
      <c r="G745" s="2"/>
      <c r="H745" s="2"/>
    </row>
    <row r="746" spans="5:8" ht="15">
      <c r="E746" s="2"/>
      <c r="F746" s="2"/>
      <c r="G746" s="2"/>
      <c r="H746" s="2"/>
    </row>
    <row r="747" spans="5:8" ht="15">
      <c r="E747" s="2"/>
      <c r="F747" s="2"/>
      <c r="G747" s="2"/>
      <c r="H747" s="2"/>
    </row>
    <row r="748" spans="5:8" ht="15">
      <c r="E748" s="2"/>
      <c r="F748" s="2"/>
      <c r="G748" s="2"/>
      <c r="H748" s="2"/>
    </row>
    <row r="749" spans="5:8" ht="15">
      <c r="E749" s="2"/>
      <c r="F749" s="2"/>
      <c r="G749" s="2"/>
      <c r="H749" s="2"/>
    </row>
    <row r="750" spans="5:8" ht="15">
      <c r="E750" s="2"/>
      <c r="F750" s="2"/>
      <c r="G750" s="2"/>
      <c r="H750" s="2"/>
    </row>
    <row r="751" spans="5:8" ht="15">
      <c r="E751" s="2"/>
      <c r="F751" s="2"/>
      <c r="G751" s="2"/>
      <c r="H751" s="2"/>
    </row>
    <row r="752" spans="5:8" ht="15">
      <c r="E752" s="2"/>
      <c r="F752" s="2"/>
      <c r="G752" s="2"/>
      <c r="H752" s="2"/>
    </row>
    <row r="753" spans="5:8" ht="15">
      <c r="E753" s="2"/>
      <c r="F753" s="2"/>
      <c r="G753" s="2"/>
      <c r="H753" s="2"/>
    </row>
    <row r="754" spans="5:8" ht="15">
      <c r="E754" s="2"/>
      <c r="F754" s="2"/>
      <c r="G754" s="2"/>
      <c r="H754" s="2"/>
    </row>
    <row r="755" spans="5:8" ht="15">
      <c r="E755" s="2"/>
      <c r="F755" s="2"/>
      <c r="G755" s="2"/>
      <c r="H755" s="2"/>
    </row>
    <row r="756" spans="5:8" ht="15">
      <c r="E756" s="2"/>
      <c r="F756" s="2"/>
      <c r="G756" s="2"/>
      <c r="H756" s="2"/>
    </row>
    <row r="757" spans="5:8" ht="15">
      <c r="E757" s="2"/>
      <c r="F757" s="2"/>
      <c r="G757" s="2"/>
      <c r="H757" s="2"/>
    </row>
    <row r="758" spans="5:8" ht="15">
      <c r="E758" s="2"/>
      <c r="F758" s="2"/>
      <c r="G758" s="2"/>
      <c r="H758" s="2"/>
    </row>
    <row r="759" spans="5:8" ht="15">
      <c r="E759" s="2"/>
      <c r="F759" s="2"/>
      <c r="G759" s="2"/>
      <c r="H759" s="2"/>
    </row>
    <row r="760" spans="5:8" ht="15">
      <c r="E760" s="2"/>
      <c r="F760" s="2"/>
      <c r="G760" s="2"/>
      <c r="H760" s="2"/>
    </row>
    <row r="761" spans="5:8" ht="15">
      <c r="E761" s="2"/>
      <c r="F761" s="2"/>
      <c r="G761" s="2"/>
      <c r="H761" s="2"/>
    </row>
    <row r="762" spans="5:8" ht="15">
      <c r="E762" s="2"/>
      <c r="F762" s="2"/>
      <c r="G762" s="2"/>
      <c r="H762" s="2"/>
    </row>
    <row r="763" spans="5:8" ht="15">
      <c r="E763" s="2"/>
      <c r="F763" s="2"/>
      <c r="G763" s="2"/>
      <c r="H763" s="2"/>
    </row>
    <row r="764" spans="5:8" ht="15">
      <c r="E764" s="2"/>
      <c r="F764" s="2"/>
      <c r="G764" s="2"/>
      <c r="H764" s="2"/>
    </row>
    <row r="765" spans="5:8" ht="15">
      <c r="E765" s="2"/>
      <c r="F765" s="2"/>
      <c r="G765" s="2"/>
      <c r="H765" s="2"/>
    </row>
    <row r="766" spans="5:8" ht="15">
      <c r="E766" s="2"/>
      <c r="F766" s="2"/>
      <c r="G766" s="2"/>
      <c r="H766" s="2"/>
    </row>
    <row r="767" spans="5:8" ht="15">
      <c r="E767" s="2"/>
      <c r="F767" s="2"/>
      <c r="G767" s="2"/>
      <c r="H767" s="2"/>
    </row>
    <row r="768" spans="5:8" ht="15">
      <c r="E768" s="2"/>
      <c r="F768" s="2"/>
      <c r="G768" s="2"/>
      <c r="H768" s="2"/>
    </row>
    <row r="769" spans="5:8" ht="15">
      <c r="E769" s="2"/>
      <c r="F769" s="2"/>
      <c r="G769" s="2"/>
      <c r="H769" s="2"/>
    </row>
    <row r="770" spans="5:8" ht="15">
      <c r="E770" s="2"/>
      <c r="F770" s="2"/>
      <c r="G770" s="2"/>
      <c r="H770" s="2"/>
    </row>
    <row r="771" spans="5:8" ht="15">
      <c r="E771" s="2"/>
      <c r="F771" s="2"/>
      <c r="G771" s="2"/>
      <c r="H771" s="2"/>
    </row>
    <row r="772" spans="5:8" ht="15">
      <c r="E772" s="2"/>
      <c r="F772" s="2"/>
      <c r="G772" s="2"/>
      <c r="H772" s="2"/>
    </row>
    <row r="773" spans="5:8" ht="15">
      <c r="E773" s="2"/>
      <c r="F773" s="2"/>
      <c r="G773" s="2"/>
      <c r="H773" s="2"/>
    </row>
    <row r="774" spans="5:8" ht="15">
      <c r="E774" s="2"/>
      <c r="F774" s="2"/>
      <c r="G774" s="2"/>
      <c r="H774" s="2"/>
    </row>
    <row r="775" spans="5:8" ht="15">
      <c r="E775" s="2"/>
      <c r="F775" s="2"/>
      <c r="G775" s="2"/>
      <c r="H775" s="2"/>
    </row>
    <row r="776" spans="5:8" ht="15">
      <c r="E776" s="2"/>
      <c r="F776" s="2"/>
      <c r="G776" s="2"/>
      <c r="H776" s="2"/>
    </row>
    <row r="777" spans="5:8" ht="15">
      <c r="E777" s="2"/>
      <c r="F777" s="2"/>
      <c r="G777" s="2"/>
      <c r="H777" s="2"/>
    </row>
    <row r="778" spans="5:8" ht="15">
      <c r="E778" s="2"/>
      <c r="F778" s="2"/>
      <c r="G778" s="2"/>
      <c r="H778" s="2"/>
    </row>
    <row r="779" spans="5:8" ht="15">
      <c r="E779" s="2"/>
      <c r="F779" s="2"/>
      <c r="G779" s="2"/>
      <c r="H779" s="2"/>
    </row>
    <row r="780" spans="5:8" ht="15">
      <c r="E780" s="2"/>
      <c r="F780" s="2"/>
      <c r="G780" s="2"/>
      <c r="H780" s="2"/>
    </row>
    <row r="781" spans="5:8" ht="15">
      <c r="E781" s="2"/>
      <c r="F781" s="2"/>
      <c r="G781" s="2"/>
      <c r="H781" s="2"/>
    </row>
    <row r="782" spans="5:8" ht="15">
      <c r="E782" s="2"/>
      <c r="F782" s="2"/>
      <c r="G782" s="2"/>
      <c r="H782" s="2"/>
    </row>
    <row r="783" spans="5:8" ht="15">
      <c r="E783" s="2"/>
      <c r="F783" s="2"/>
      <c r="G783" s="2"/>
      <c r="H783" s="2"/>
    </row>
    <row r="784" spans="5:8" ht="15">
      <c r="E784" s="2"/>
      <c r="F784" s="2"/>
      <c r="G784" s="2"/>
      <c r="H784" s="2"/>
    </row>
    <row r="785" spans="5:8" ht="15">
      <c r="E785" s="2"/>
      <c r="F785" s="2"/>
      <c r="G785" s="2"/>
      <c r="H785" s="2"/>
    </row>
    <row r="786" spans="5:8" ht="15">
      <c r="E786" s="2"/>
      <c r="F786" s="2"/>
      <c r="G786" s="2"/>
      <c r="H786" s="2"/>
    </row>
    <row r="787" spans="5:8" ht="15">
      <c r="E787" s="2"/>
      <c r="F787" s="2"/>
      <c r="G787" s="2"/>
      <c r="H787" s="2"/>
    </row>
    <row r="788" spans="5:8" ht="15">
      <c r="E788" s="2"/>
      <c r="F788" s="2"/>
      <c r="G788" s="2"/>
      <c r="H788" s="2"/>
    </row>
    <row r="789" spans="5:8" ht="15">
      <c r="E789" s="2"/>
      <c r="F789" s="2"/>
      <c r="G789" s="2"/>
      <c r="H789" s="2"/>
    </row>
    <row r="790" spans="5:8" ht="15">
      <c r="E790" s="2"/>
      <c r="F790" s="2"/>
      <c r="G790" s="2"/>
      <c r="H790" s="2"/>
    </row>
    <row r="791" spans="5:8" ht="15">
      <c r="E791" s="2"/>
      <c r="F791" s="2"/>
      <c r="G791" s="2"/>
      <c r="H791" s="2"/>
    </row>
    <row r="792" spans="5:8" ht="15">
      <c r="E792" s="2"/>
      <c r="F792" s="2"/>
      <c r="G792" s="2"/>
      <c r="H792" s="2"/>
    </row>
    <row r="793" spans="5:8" ht="15">
      <c r="E793" s="2"/>
      <c r="F793" s="2"/>
      <c r="G793" s="2"/>
      <c r="H793" s="2"/>
    </row>
    <row r="794" spans="5:8" ht="15">
      <c r="E794" s="2"/>
      <c r="F794" s="2"/>
      <c r="G794" s="2"/>
      <c r="H794" s="2"/>
    </row>
    <row r="795" spans="5:8" ht="15">
      <c r="E795" s="2"/>
      <c r="F795" s="2"/>
      <c r="G795" s="2"/>
      <c r="H795" s="2"/>
    </row>
    <row r="796" spans="5:8" ht="15">
      <c r="E796" s="2"/>
      <c r="F796" s="2"/>
      <c r="G796" s="2"/>
      <c r="H796" s="2"/>
    </row>
    <row r="797" spans="5:8" ht="15">
      <c r="E797" s="2"/>
      <c r="F797" s="2"/>
      <c r="G797" s="2"/>
      <c r="H797" s="2"/>
    </row>
    <row r="798" spans="5:8" ht="15">
      <c r="E798" s="2"/>
      <c r="F798" s="2"/>
      <c r="G798" s="2"/>
      <c r="H798" s="2"/>
    </row>
    <row r="799" spans="5:8" ht="15">
      <c r="E799" s="2"/>
      <c r="F799" s="2"/>
      <c r="G799" s="2"/>
      <c r="H799" s="2"/>
    </row>
    <row r="800" spans="5:8" ht="15">
      <c r="E800" s="2"/>
      <c r="F800" s="2"/>
      <c r="G800" s="2"/>
      <c r="H800" s="2"/>
    </row>
    <row r="801" spans="5:8" ht="15">
      <c r="E801" s="2"/>
      <c r="F801" s="2"/>
      <c r="G801" s="2"/>
      <c r="H801" s="2"/>
    </row>
    <row r="802" spans="5:8" ht="15">
      <c r="E802" s="2"/>
      <c r="F802" s="2"/>
      <c r="G802" s="2"/>
      <c r="H802" s="2"/>
    </row>
    <row r="803" spans="5:8" ht="15">
      <c r="E803" s="2"/>
      <c r="F803" s="2"/>
      <c r="G803" s="2"/>
      <c r="H803" s="2"/>
    </row>
    <row r="804" spans="5:8" ht="15">
      <c r="E804" s="2"/>
      <c r="F804" s="2"/>
      <c r="G804" s="2"/>
      <c r="H804" s="2"/>
    </row>
    <row r="805" spans="5:8" ht="15">
      <c r="E805" s="2"/>
      <c r="F805" s="2"/>
      <c r="G805" s="2"/>
      <c r="H805" s="2"/>
    </row>
    <row r="806" spans="5:8" ht="15">
      <c r="E806" s="2"/>
      <c r="F806" s="2"/>
      <c r="G806" s="2"/>
      <c r="H806" s="2"/>
    </row>
    <row r="807" spans="5:8" ht="15">
      <c r="E807" s="2"/>
      <c r="F807" s="2"/>
      <c r="G807" s="2"/>
      <c r="H807" s="2"/>
    </row>
    <row r="808" spans="5:8" ht="15">
      <c r="E808" s="2"/>
      <c r="F808" s="2"/>
      <c r="G808" s="2"/>
      <c r="H808" s="2"/>
    </row>
    <row r="809" spans="5:8" ht="15">
      <c r="E809" s="2"/>
      <c r="F809" s="2"/>
      <c r="G809" s="2"/>
      <c r="H809" s="2"/>
    </row>
    <row r="810" spans="5:8" ht="15">
      <c r="E810" s="2"/>
      <c r="F810" s="2"/>
      <c r="G810" s="2"/>
      <c r="H810" s="2"/>
    </row>
    <row r="811" spans="5:8" ht="15">
      <c r="E811" s="2"/>
      <c r="F811" s="2"/>
      <c r="G811" s="2"/>
      <c r="H811" s="2"/>
    </row>
    <row r="812" spans="5:8" ht="15">
      <c r="E812" s="2"/>
      <c r="F812" s="2"/>
      <c r="G812" s="2"/>
      <c r="H812" s="2"/>
    </row>
    <row r="813" spans="5:8" ht="15">
      <c r="E813" s="2"/>
      <c r="F813" s="2"/>
      <c r="G813" s="2"/>
      <c r="H813" s="2"/>
    </row>
    <row r="814" spans="5:8" ht="15">
      <c r="E814" s="2"/>
      <c r="F814" s="2"/>
      <c r="G814" s="2"/>
      <c r="H814" s="2"/>
    </row>
    <row r="815" spans="5:8" ht="15">
      <c r="E815" s="2"/>
      <c r="F815" s="2"/>
      <c r="G815" s="2"/>
      <c r="H815" s="2"/>
    </row>
    <row r="816" spans="5:8" ht="15">
      <c r="E816" s="2"/>
      <c r="F816" s="2"/>
      <c r="G816" s="2"/>
      <c r="H816" s="2"/>
    </row>
    <row r="817" spans="5:8" ht="15">
      <c r="E817" s="2"/>
      <c r="F817" s="2"/>
      <c r="G817" s="2"/>
      <c r="H817" s="2"/>
    </row>
    <row r="818" spans="5:8" ht="15">
      <c r="E818" s="2"/>
      <c r="F818" s="2"/>
      <c r="G818" s="2"/>
      <c r="H818" s="2"/>
    </row>
    <row r="819" spans="5:8" ht="15">
      <c r="E819" s="2"/>
      <c r="F819" s="2"/>
      <c r="G819" s="2"/>
      <c r="H819" s="2"/>
    </row>
    <row r="820" spans="5:8" ht="15">
      <c r="E820" s="2"/>
      <c r="F820" s="2"/>
      <c r="G820" s="2"/>
      <c r="H820" s="2"/>
    </row>
    <row r="821" spans="5:8" ht="15">
      <c r="E821" s="2"/>
      <c r="F821" s="2"/>
      <c r="G821" s="2"/>
      <c r="H821" s="2"/>
    </row>
    <row r="822" spans="5:8" ht="15">
      <c r="E822" s="2"/>
      <c r="F822" s="2"/>
      <c r="G822" s="2"/>
      <c r="H822" s="2"/>
    </row>
    <row r="823" spans="5:8" ht="15">
      <c r="E823" s="2"/>
      <c r="F823" s="2"/>
      <c r="G823" s="2"/>
      <c r="H823" s="2"/>
    </row>
    <row r="824" spans="5:8" ht="15">
      <c r="E824" s="2"/>
      <c r="F824" s="2"/>
      <c r="G824" s="2"/>
      <c r="H824" s="2"/>
    </row>
    <row r="825" spans="5:8" ht="15">
      <c r="E825" s="2"/>
      <c r="F825" s="2"/>
      <c r="G825" s="2"/>
      <c r="H825" s="2"/>
    </row>
    <row r="826" spans="5:8" ht="15">
      <c r="E826" s="2"/>
      <c r="F826" s="2"/>
      <c r="G826" s="2"/>
      <c r="H826" s="2"/>
    </row>
    <row r="827" spans="5:8" ht="15">
      <c r="E827" s="2"/>
      <c r="F827" s="2"/>
      <c r="G827" s="2"/>
      <c r="H827" s="2"/>
    </row>
    <row r="828" spans="5:8" ht="15">
      <c r="E828" s="2"/>
      <c r="F828" s="2"/>
      <c r="G828" s="2"/>
      <c r="H828" s="2"/>
    </row>
    <row r="829" spans="5:8" ht="15">
      <c r="E829" s="2"/>
      <c r="F829" s="2"/>
      <c r="G829" s="2"/>
      <c r="H829" s="2"/>
    </row>
    <row r="830" spans="5:8" ht="15">
      <c r="E830" s="2"/>
      <c r="F830" s="2"/>
      <c r="G830" s="2"/>
      <c r="H830" s="2"/>
    </row>
    <row r="831" spans="5:8" ht="15">
      <c r="E831" s="2"/>
      <c r="F831" s="2"/>
      <c r="G831" s="2"/>
      <c r="H831" s="2"/>
    </row>
    <row r="832" spans="5:8" ht="15">
      <c r="E832" s="2"/>
      <c r="F832" s="2"/>
      <c r="G832" s="2"/>
      <c r="H832" s="2"/>
    </row>
    <row r="833" spans="5:8" ht="15">
      <c r="E833" s="2"/>
      <c r="F833" s="2"/>
      <c r="G833" s="2"/>
      <c r="H833" s="2"/>
    </row>
    <row r="834" spans="5:8" ht="15">
      <c r="E834" s="2"/>
      <c r="F834" s="2"/>
      <c r="G834" s="2"/>
      <c r="H834" s="2"/>
    </row>
    <row r="835" spans="5:8" ht="15">
      <c r="E835" s="2"/>
      <c r="F835" s="2"/>
      <c r="G835" s="2"/>
      <c r="H835" s="2"/>
    </row>
    <row r="836" spans="5:8" ht="15">
      <c r="E836" s="2"/>
      <c r="F836" s="2"/>
      <c r="G836" s="2"/>
      <c r="H836" s="2"/>
    </row>
    <row r="837" spans="5:8" ht="15">
      <c r="E837" s="2"/>
      <c r="F837" s="2"/>
      <c r="G837" s="2"/>
      <c r="H837" s="2"/>
    </row>
    <row r="838" spans="5:8" ht="15">
      <c r="E838" s="2"/>
      <c r="F838" s="2"/>
      <c r="G838" s="2"/>
      <c r="H838" s="2"/>
    </row>
    <row r="839" spans="5:8" ht="15">
      <c r="E839" s="2"/>
      <c r="F839" s="2"/>
      <c r="G839" s="2"/>
      <c r="H839" s="2"/>
    </row>
    <row r="840" spans="5:8" ht="15">
      <c r="E840" s="2"/>
      <c r="F840" s="2"/>
      <c r="G840" s="2"/>
      <c r="H840" s="2"/>
    </row>
    <row r="841" spans="5:8" ht="15">
      <c r="E841" s="2"/>
      <c r="F841" s="2"/>
      <c r="G841" s="2"/>
      <c r="H841" s="2"/>
    </row>
    <row r="842" spans="5:8" ht="15">
      <c r="E842" s="2"/>
      <c r="F842" s="2"/>
      <c r="G842" s="2"/>
      <c r="H842" s="2"/>
    </row>
    <row r="843" spans="5:8" ht="15">
      <c r="E843" s="2"/>
      <c r="F843" s="2"/>
      <c r="G843" s="2"/>
      <c r="H843" s="2"/>
    </row>
    <row r="844" spans="5:8" ht="15">
      <c r="E844" s="2"/>
      <c r="F844" s="2"/>
      <c r="G844" s="2"/>
      <c r="H844" s="2"/>
    </row>
    <row r="845" spans="5:8" ht="15">
      <c r="E845" s="2"/>
      <c r="F845" s="2"/>
      <c r="G845" s="2"/>
      <c r="H845" s="2"/>
    </row>
    <row r="846" spans="5:8" ht="15">
      <c r="E846" s="2"/>
      <c r="F846" s="2"/>
      <c r="G846" s="2"/>
      <c r="H846" s="2"/>
    </row>
    <row r="847" spans="5:8" ht="15">
      <c r="E847" s="2"/>
      <c r="F847" s="2"/>
      <c r="G847" s="2"/>
      <c r="H847" s="2"/>
    </row>
    <row r="848" spans="5:8" ht="15">
      <c r="E848" s="2"/>
      <c r="F848" s="2"/>
      <c r="G848" s="2"/>
      <c r="H848" s="2"/>
    </row>
    <row r="849" spans="5:8" ht="15">
      <c r="E849" s="2"/>
      <c r="F849" s="2"/>
      <c r="G849" s="2"/>
      <c r="H849" s="2"/>
    </row>
    <row r="850" spans="5:8" ht="15">
      <c r="E850" s="2"/>
      <c r="F850" s="2"/>
      <c r="G850" s="2"/>
      <c r="H850" s="2"/>
    </row>
    <row r="851" spans="5:8" ht="15">
      <c r="E851" s="2"/>
      <c r="F851" s="2"/>
      <c r="G851" s="2"/>
      <c r="H851" s="2"/>
    </row>
    <row r="852" spans="5:8" ht="15">
      <c r="E852" s="2"/>
      <c r="F852" s="2"/>
      <c r="G852" s="2"/>
      <c r="H852" s="2"/>
    </row>
    <row r="853" spans="5:8" ht="15">
      <c r="E853" s="2"/>
      <c r="F853" s="2"/>
      <c r="G853" s="2"/>
      <c r="H853" s="2"/>
    </row>
    <row r="854" spans="5:8" ht="15">
      <c r="E854" s="2"/>
      <c r="F854" s="2"/>
      <c r="G854" s="2"/>
      <c r="H854" s="2"/>
    </row>
    <row r="855" spans="5:8" ht="15">
      <c r="E855" s="2"/>
      <c r="F855" s="2"/>
      <c r="G855" s="2"/>
      <c r="H855" s="2"/>
    </row>
    <row r="856" spans="5:8" ht="15">
      <c r="E856" s="2"/>
      <c r="F856" s="2"/>
      <c r="G856" s="2"/>
      <c r="H856" s="2"/>
    </row>
    <row r="857" spans="5:8" ht="15">
      <c r="E857" s="2"/>
      <c r="F857" s="2"/>
      <c r="G857" s="2"/>
      <c r="H857" s="2"/>
    </row>
    <row r="858" spans="5:8" ht="15">
      <c r="E858" s="2"/>
      <c r="F858" s="2"/>
      <c r="G858" s="2"/>
      <c r="H858" s="2"/>
    </row>
    <row r="859" spans="5:8" ht="15">
      <c r="E859" s="2"/>
      <c r="F859" s="2"/>
      <c r="G859" s="2"/>
      <c r="H859" s="2"/>
    </row>
    <row r="860" spans="5:8" ht="15">
      <c r="E860" s="2"/>
      <c r="F860" s="2"/>
      <c r="G860" s="2"/>
      <c r="H860" s="2"/>
    </row>
    <row r="861" spans="5:8" ht="15">
      <c r="E861" s="2"/>
      <c r="F861" s="2"/>
      <c r="G861" s="2"/>
      <c r="H861" s="2"/>
    </row>
    <row r="862" spans="5:8" ht="15">
      <c r="E862" s="2"/>
      <c r="F862" s="2"/>
      <c r="G862" s="2"/>
      <c r="H862" s="2"/>
    </row>
    <row r="863" spans="5:8" ht="15">
      <c r="E863" s="2"/>
      <c r="F863" s="2"/>
      <c r="G863" s="2"/>
      <c r="H863" s="2"/>
    </row>
    <row r="864" spans="5:8" ht="15">
      <c r="E864" s="2"/>
      <c r="F864" s="2"/>
      <c r="G864" s="2"/>
      <c r="H864" s="2"/>
    </row>
    <row r="865" spans="5:8" ht="15">
      <c r="E865" s="2"/>
      <c r="F865" s="2"/>
      <c r="G865" s="2"/>
      <c r="H865" s="2"/>
    </row>
    <row r="866" spans="5:8" ht="15">
      <c r="E866" s="2"/>
      <c r="F866" s="2"/>
      <c r="G866" s="2"/>
      <c r="H866" s="2"/>
    </row>
    <row r="867" spans="5:8" ht="15">
      <c r="E867" s="2"/>
      <c r="F867" s="2"/>
      <c r="G867" s="2"/>
      <c r="H867" s="2"/>
    </row>
    <row r="868" spans="5:8" ht="15">
      <c r="E868" s="2"/>
      <c r="F868" s="2"/>
      <c r="G868" s="2"/>
      <c r="H868" s="2"/>
    </row>
    <row r="869" spans="5:8" ht="15">
      <c r="E869" s="2"/>
      <c r="F869" s="2"/>
      <c r="G869" s="2"/>
      <c r="H869" s="2"/>
    </row>
    <row r="870" spans="5:8" ht="15">
      <c r="E870" s="2"/>
      <c r="F870" s="2"/>
      <c r="G870" s="2"/>
      <c r="H870" s="2"/>
    </row>
    <row r="871" spans="5:8" ht="15">
      <c r="E871" s="2"/>
      <c r="F871" s="2"/>
      <c r="G871" s="2"/>
      <c r="H871" s="2"/>
    </row>
    <row r="872" spans="5:8" ht="15">
      <c r="E872" s="2"/>
      <c r="F872" s="2"/>
      <c r="G872" s="2"/>
      <c r="H872" s="2"/>
    </row>
    <row r="873" spans="5:8" ht="15">
      <c r="E873" s="2"/>
      <c r="F873" s="2"/>
      <c r="G873" s="2"/>
      <c r="H873" s="2"/>
    </row>
    <row r="874" spans="5:8" ht="15">
      <c r="E874" s="2"/>
      <c r="F874" s="2"/>
      <c r="G874" s="2"/>
      <c r="H874" s="2"/>
    </row>
    <row r="875" spans="5:8" ht="15">
      <c r="E875" s="2"/>
      <c r="F875" s="2"/>
      <c r="G875" s="2"/>
      <c r="H875" s="2"/>
    </row>
    <row r="876" spans="5:8" ht="15">
      <c r="E876" s="2"/>
      <c r="F876" s="2"/>
      <c r="G876" s="2"/>
      <c r="H876" s="2"/>
    </row>
    <row r="877" spans="5:8" ht="15">
      <c r="E877" s="2"/>
      <c r="F877" s="2"/>
      <c r="G877" s="2"/>
      <c r="H877" s="2"/>
    </row>
    <row r="878" spans="5:8" ht="15">
      <c r="E878" s="2"/>
      <c r="F878" s="2"/>
      <c r="G878" s="2"/>
      <c r="H878" s="2"/>
    </row>
    <row r="879" spans="5:8" ht="15">
      <c r="E879" s="2"/>
      <c r="F879" s="2"/>
      <c r="G879" s="2"/>
      <c r="H879" s="2"/>
    </row>
    <row r="880" spans="5:8" ht="15">
      <c r="E880" s="2"/>
      <c r="F880" s="2"/>
      <c r="G880" s="2"/>
      <c r="H880" s="2"/>
    </row>
    <row r="881" spans="5:8" ht="15">
      <c r="E881" s="2"/>
      <c r="F881" s="2"/>
      <c r="G881" s="2"/>
      <c r="H881" s="2"/>
    </row>
    <row r="882" spans="5:8" ht="15">
      <c r="E882" s="2"/>
      <c r="F882" s="2"/>
      <c r="G882" s="2"/>
      <c r="H882" s="2"/>
    </row>
    <row r="883" spans="5:8" ht="15">
      <c r="E883" s="2"/>
      <c r="F883" s="2"/>
      <c r="G883" s="2"/>
      <c r="H883" s="2"/>
    </row>
    <row r="884" spans="5:8" ht="15">
      <c r="E884" s="2"/>
      <c r="F884" s="2"/>
      <c r="G884" s="2"/>
      <c r="H884" s="2"/>
    </row>
    <row r="885" spans="5:8" ht="15">
      <c r="E885" s="2"/>
      <c r="F885" s="2"/>
      <c r="G885" s="2"/>
      <c r="H885" s="2"/>
    </row>
    <row r="886" spans="5:8" ht="15">
      <c r="E886" s="2"/>
      <c r="F886" s="2"/>
      <c r="G886" s="2"/>
      <c r="H886" s="2"/>
    </row>
    <row r="887" spans="5:8" ht="15">
      <c r="E887" s="2"/>
      <c r="F887" s="2"/>
      <c r="G887" s="2"/>
      <c r="H887" s="2"/>
    </row>
    <row r="888" spans="5:8" ht="15">
      <c r="E888" s="2"/>
      <c r="F888" s="2"/>
      <c r="G888" s="2"/>
      <c r="H888" s="2"/>
    </row>
    <row r="889" spans="5:8" ht="15">
      <c r="E889" s="2"/>
      <c r="F889" s="2"/>
      <c r="G889" s="2"/>
      <c r="H889" s="2"/>
    </row>
    <row r="890" spans="5:8" ht="15">
      <c r="E890" s="2"/>
      <c r="F890" s="2"/>
      <c r="G890" s="2"/>
      <c r="H890" s="2"/>
    </row>
    <row r="891" spans="5:8" ht="15">
      <c r="E891" s="2"/>
      <c r="F891" s="2"/>
      <c r="G891" s="2"/>
      <c r="H891" s="2"/>
    </row>
    <row r="892" spans="5:8" ht="15">
      <c r="E892" s="2"/>
      <c r="F892" s="2"/>
      <c r="G892" s="2"/>
      <c r="H892" s="2"/>
    </row>
    <row r="893" spans="5:8" ht="15">
      <c r="E893" s="2"/>
      <c r="F893" s="2"/>
      <c r="G893" s="2"/>
      <c r="H893" s="2"/>
    </row>
    <row r="894" spans="5:8" ht="15">
      <c r="E894" s="2"/>
      <c r="F894" s="2"/>
      <c r="G894" s="2"/>
      <c r="H894" s="2"/>
    </row>
    <row r="895" spans="5:8" ht="15">
      <c r="E895" s="2"/>
      <c r="F895" s="2"/>
      <c r="G895" s="2"/>
      <c r="H895" s="2"/>
    </row>
    <row r="896" spans="5:8" ht="15">
      <c r="E896" s="2"/>
      <c r="F896" s="2"/>
      <c r="G896" s="2"/>
      <c r="H896" s="2"/>
    </row>
    <row r="897" spans="5:8" ht="15">
      <c r="E897" s="2"/>
      <c r="F897" s="2"/>
      <c r="G897" s="2"/>
      <c r="H897" s="2"/>
    </row>
    <row r="898" spans="5:8" ht="15">
      <c r="E898" s="2"/>
      <c r="F898" s="2"/>
      <c r="G898" s="2"/>
      <c r="H898" s="2"/>
    </row>
    <row r="899" spans="5:8" ht="15">
      <c r="E899" s="2"/>
      <c r="F899" s="2"/>
      <c r="G899" s="2"/>
      <c r="H899" s="2"/>
    </row>
    <row r="900" spans="5:8" ht="15">
      <c r="E900" s="2"/>
      <c r="F900" s="2"/>
      <c r="G900" s="2"/>
      <c r="H900" s="2"/>
    </row>
    <row r="901" spans="5:8" ht="15">
      <c r="E901" s="2"/>
      <c r="F901" s="2"/>
      <c r="G901" s="2"/>
      <c r="H901" s="2"/>
    </row>
    <row r="902" spans="5:8" ht="15">
      <c r="E902" s="2"/>
      <c r="F902" s="2"/>
      <c r="G902" s="2"/>
      <c r="H902" s="2"/>
    </row>
    <row r="903" spans="5:8" ht="15">
      <c r="E903" s="2"/>
      <c r="F903" s="2"/>
      <c r="G903" s="2"/>
      <c r="H903" s="2"/>
    </row>
    <row r="904" spans="5:8" ht="15">
      <c r="E904" s="2"/>
      <c r="F904" s="2"/>
      <c r="G904" s="2"/>
      <c r="H904" s="2"/>
    </row>
    <row r="905" spans="5:8" ht="15">
      <c r="E905" s="2"/>
      <c r="F905" s="2"/>
      <c r="G905" s="2"/>
      <c r="H905" s="2"/>
    </row>
    <row r="906" spans="5:8" ht="15">
      <c r="E906" s="2"/>
      <c r="F906" s="2"/>
      <c r="G906" s="2"/>
      <c r="H906" s="2"/>
    </row>
    <row r="907" spans="5:8" ht="15">
      <c r="E907" s="2"/>
      <c r="F907" s="2"/>
      <c r="G907" s="2"/>
      <c r="H907" s="2"/>
    </row>
    <row r="908" spans="5:8" ht="15">
      <c r="E908" s="2"/>
      <c r="F908" s="2"/>
      <c r="G908" s="2"/>
      <c r="H908" s="2"/>
    </row>
    <row r="909" spans="5:8" ht="15">
      <c r="E909" s="2"/>
      <c r="F909" s="2"/>
      <c r="G909" s="2"/>
      <c r="H909" s="2"/>
    </row>
    <row r="910" spans="5:8" ht="15">
      <c r="E910" s="2"/>
      <c r="F910" s="2"/>
      <c r="G910" s="2"/>
      <c r="H910" s="2"/>
    </row>
    <row r="911" spans="5:8" ht="15">
      <c r="E911" s="2"/>
      <c r="F911" s="2"/>
      <c r="G911" s="2"/>
      <c r="H911" s="2"/>
    </row>
    <row r="912" spans="5:8" ht="15">
      <c r="E912" s="2"/>
      <c r="F912" s="2"/>
      <c r="G912" s="2"/>
      <c r="H912" s="2"/>
    </row>
    <row r="913" spans="5:8" ht="15">
      <c r="E913" s="2"/>
      <c r="F913" s="2"/>
      <c r="G913" s="2"/>
      <c r="H913" s="2"/>
    </row>
    <row r="914" spans="5:8" ht="15">
      <c r="E914" s="2"/>
      <c r="F914" s="2"/>
      <c r="G914" s="2"/>
      <c r="H914" s="2"/>
    </row>
    <row r="915" spans="5:8" ht="15">
      <c r="E915" s="2"/>
      <c r="F915" s="2"/>
      <c r="G915" s="2"/>
      <c r="H915" s="2"/>
    </row>
    <row r="916" spans="5:8" ht="15">
      <c r="E916" s="2"/>
      <c r="F916" s="2"/>
      <c r="G916" s="2"/>
      <c r="H916" s="2"/>
    </row>
    <row r="917" spans="5:8" ht="15">
      <c r="E917" s="2"/>
      <c r="F917" s="2"/>
      <c r="G917" s="2"/>
      <c r="H917" s="2"/>
    </row>
    <row r="918" spans="5:8" ht="15">
      <c r="E918" s="2"/>
      <c r="F918" s="2"/>
      <c r="G918" s="2"/>
      <c r="H918" s="2"/>
    </row>
    <row r="919" spans="5:8" ht="15">
      <c r="E919" s="2"/>
      <c r="F919" s="2"/>
      <c r="G919" s="2"/>
      <c r="H919" s="2"/>
    </row>
    <row r="920" spans="5:8" ht="15">
      <c r="E920" s="2"/>
      <c r="F920" s="2"/>
      <c r="G920" s="2"/>
      <c r="H920" s="2"/>
    </row>
    <row r="921" spans="5:8" ht="15">
      <c r="E921" s="2"/>
      <c r="F921" s="2"/>
      <c r="G921" s="2"/>
      <c r="H921" s="2"/>
    </row>
    <row r="922" spans="5:8" ht="15">
      <c r="E922" s="2"/>
      <c r="F922" s="2"/>
      <c r="G922" s="2"/>
      <c r="H922" s="2"/>
    </row>
    <row r="923" spans="5:8" ht="15">
      <c r="E923" s="2"/>
      <c r="F923" s="2"/>
      <c r="G923" s="2"/>
      <c r="H923" s="2"/>
    </row>
    <row r="924" spans="5:8" ht="15">
      <c r="E924" s="2"/>
      <c r="F924" s="2"/>
      <c r="G924" s="2"/>
      <c r="H924" s="2"/>
    </row>
    <row r="925" spans="5:8" ht="15">
      <c r="E925" s="2"/>
      <c r="F925" s="2"/>
      <c r="G925" s="2"/>
      <c r="H925" s="2"/>
    </row>
    <row r="926" spans="5:8" ht="15">
      <c r="E926" s="2"/>
      <c r="F926" s="2"/>
      <c r="G926" s="2"/>
      <c r="H926" s="2"/>
    </row>
    <row r="927" spans="5:8" ht="15">
      <c r="E927" s="2"/>
      <c r="F927" s="2"/>
      <c r="G927" s="2"/>
      <c r="H927" s="2"/>
    </row>
    <row r="928" spans="5:8" ht="15">
      <c r="E928" s="2"/>
      <c r="F928" s="2"/>
      <c r="G928" s="2"/>
      <c r="H928" s="2"/>
    </row>
    <row r="929" spans="5:8" ht="15">
      <c r="E929" s="2"/>
      <c r="F929" s="2"/>
      <c r="G929" s="2"/>
      <c r="H929" s="2"/>
    </row>
    <row r="930" spans="5:8" ht="15">
      <c r="E930" s="2"/>
      <c r="F930" s="2"/>
      <c r="G930" s="2"/>
      <c r="H930" s="2"/>
    </row>
    <row r="931" spans="5:8" ht="15">
      <c r="E931" s="2"/>
      <c r="F931" s="2"/>
      <c r="G931" s="2"/>
      <c r="H931" s="2"/>
    </row>
    <row r="932" spans="5:8" ht="15">
      <c r="E932" s="2"/>
      <c r="F932" s="2"/>
      <c r="G932" s="2"/>
      <c r="H932" s="2"/>
    </row>
    <row r="933" spans="5:8" ht="15">
      <c r="E933" s="2"/>
      <c r="F933" s="2"/>
      <c r="G933" s="2"/>
      <c r="H933" s="2"/>
    </row>
    <row r="934" spans="5:8" ht="15">
      <c r="E934" s="2"/>
      <c r="F934" s="2"/>
      <c r="G934" s="2"/>
      <c r="H934" s="2"/>
    </row>
    <row r="935" spans="5:8" ht="15">
      <c r="E935" s="2"/>
      <c r="F935" s="2"/>
      <c r="G935" s="2"/>
      <c r="H935" s="2"/>
    </row>
    <row r="936" spans="5:8" ht="15">
      <c r="E936" s="2"/>
      <c r="F936" s="2"/>
      <c r="G936" s="2"/>
      <c r="H936" s="2"/>
    </row>
    <row r="937" spans="5:8" ht="15">
      <c r="E937" s="2"/>
      <c r="F937" s="2"/>
      <c r="G937" s="2"/>
      <c r="H937" s="2"/>
    </row>
    <row r="938" spans="5:8" ht="15">
      <c r="E938" s="2"/>
      <c r="F938" s="2"/>
      <c r="G938" s="2"/>
      <c r="H938" s="2"/>
    </row>
    <row r="939" spans="5:8" ht="15">
      <c r="E939" s="2"/>
      <c r="F939" s="2"/>
      <c r="G939" s="2"/>
      <c r="H939" s="2"/>
    </row>
    <row r="940" spans="5:8" ht="15">
      <c r="E940" s="2"/>
      <c r="F940" s="2"/>
      <c r="G940" s="2"/>
      <c r="H940" s="2"/>
    </row>
    <row r="941" spans="5:8" ht="15">
      <c r="E941" s="2"/>
      <c r="F941" s="2"/>
      <c r="G941" s="2"/>
      <c r="H941" s="2"/>
    </row>
    <row r="942" spans="5:8" ht="15">
      <c r="E942" s="2"/>
      <c r="F942" s="2"/>
      <c r="G942" s="2"/>
      <c r="H942" s="2"/>
    </row>
    <row r="943" spans="5:8" ht="15">
      <c r="E943" s="2"/>
      <c r="F943" s="2"/>
      <c r="G943" s="2"/>
      <c r="H943" s="2"/>
    </row>
    <row r="944" spans="5:8" ht="15">
      <c r="E944" s="2"/>
      <c r="F944" s="2"/>
      <c r="G944" s="2"/>
      <c r="H944" s="2"/>
    </row>
    <row r="945" spans="5:8" ht="15">
      <c r="E945" s="2"/>
      <c r="F945" s="2"/>
      <c r="G945" s="2"/>
      <c r="H945" s="2"/>
    </row>
    <row r="946" spans="5:8" ht="15">
      <c r="E946" s="2"/>
      <c r="F946" s="2"/>
      <c r="G946" s="2"/>
      <c r="H946" s="2"/>
    </row>
    <row r="947" spans="5:8" ht="15">
      <c r="E947" s="2"/>
      <c r="F947" s="2"/>
      <c r="G947" s="2"/>
      <c r="H947" s="2"/>
    </row>
    <row r="948" spans="5:8" ht="15">
      <c r="E948" s="2"/>
      <c r="F948" s="2"/>
      <c r="G948" s="2"/>
      <c r="H948" s="2"/>
    </row>
    <row r="949" spans="5:8" ht="15">
      <c r="E949" s="2"/>
      <c r="F949" s="2"/>
      <c r="G949" s="2"/>
      <c r="H949" s="2"/>
    </row>
    <row r="950" spans="6:8" ht="15">
      <c r="F950" s="2"/>
      <c r="G950" s="2"/>
      <c r="H950" s="2"/>
    </row>
    <row r="951" spans="6:8" ht="15">
      <c r="F951" s="2"/>
      <c r="G951" s="2"/>
      <c r="H951" s="2"/>
    </row>
    <row r="952" spans="6:7" ht="15">
      <c r="F952" s="2"/>
      <c r="G952" s="2"/>
    </row>
    <row r="953" ht="15">
      <c r="F953" s="2"/>
    </row>
  </sheetData>
  <sheetProtection/>
  <mergeCells count="17">
    <mergeCell ref="E261:F261"/>
    <mergeCell ref="C249:D249"/>
    <mergeCell ref="C261:D261"/>
    <mergeCell ref="U46:X46"/>
    <mergeCell ref="U47:X47"/>
    <mergeCell ref="U48:X48"/>
    <mergeCell ref="E249:F249"/>
    <mergeCell ref="J195:L195"/>
    <mergeCell ref="S149:W149"/>
    <mergeCell ref="S145:W145"/>
    <mergeCell ref="X5:Y5"/>
    <mergeCell ref="D77:E77"/>
    <mergeCell ref="S58:U58"/>
    <mergeCell ref="R119:S119"/>
    <mergeCell ref="R109:U109"/>
    <mergeCell ref="P35:U35"/>
    <mergeCell ref="U45:X45"/>
  </mergeCells>
  <conditionalFormatting sqref="W59:W63">
    <cfRule type="cellIs" priority="1" dxfId="0" operator="notEqual" stopIfTrue="1">
      <formula>U59</formula>
    </cfRule>
  </conditionalFormatting>
  <conditionalFormatting sqref="U113">
    <cfRule type="cellIs" priority="2" dxfId="0" operator="notEqual" stopIfTrue="1">
      <formula>$U$111+$U$112</formula>
    </cfRule>
  </conditionalFormatting>
  <printOptions/>
  <pageMargins left="0.75" right="0.75" top="1" bottom="1" header="0.5" footer="0.5"/>
  <pageSetup horizontalDpi="600" verticalDpi="600" orientation="landscape" r:id="rId3"/>
  <headerFooter alignWithMargins="0">
    <oddFooter>&amp;CPage &amp;P</oddFooter>
  </headerFooter>
  <colBreaks count="1" manualBreakCount="1">
    <brk id="9" max="194" man="1"/>
  </colBreaks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1"/>
  <dimension ref="A1:V20"/>
  <sheetViews>
    <sheetView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2" width="39.140625" style="0" customWidth="1"/>
    <col min="3" max="3" width="9.7109375" style="0" customWidth="1"/>
    <col min="4" max="4" width="12.28125" style="0" bestFit="1" customWidth="1"/>
    <col min="5" max="5" width="6.421875" style="0" hidden="1" customWidth="1"/>
    <col min="6" max="6" width="3.00390625" style="0" hidden="1" customWidth="1"/>
    <col min="7" max="7" width="6.421875" style="0" hidden="1" customWidth="1"/>
    <col min="8" max="8" width="12.8515625" style="0" hidden="1" customWidth="1"/>
    <col min="9" max="9" width="12.00390625" style="0" hidden="1" customWidth="1"/>
    <col min="10" max="10" width="2.140625" style="0" customWidth="1"/>
    <col min="11" max="11" width="18.28125" style="0" bestFit="1" customWidth="1"/>
    <col min="12" max="12" width="13.57421875" style="0" bestFit="1" customWidth="1"/>
    <col min="13" max="14" width="15.57421875" style="0" bestFit="1" customWidth="1"/>
    <col min="15" max="15" width="13.7109375" style="0" bestFit="1" customWidth="1"/>
    <col min="16" max="16" width="15.140625" style="0" bestFit="1" customWidth="1"/>
    <col min="17" max="17" width="2.57421875" style="0" customWidth="1"/>
    <col min="18" max="18" width="19.00390625" style="0" bestFit="1" customWidth="1"/>
    <col min="19" max="19" width="14.421875" style="0" bestFit="1" customWidth="1"/>
    <col min="20" max="20" width="14.8515625" style="0" bestFit="1" customWidth="1"/>
    <col min="21" max="21" width="14.421875" style="0" bestFit="1" customWidth="1"/>
    <col min="22" max="22" width="16.28125" style="0" bestFit="1" customWidth="1"/>
  </cols>
  <sheetData>
    <row r="1" spans="1:22" ht="12.75">
      <c r="A1" s="161" t="s">
        <v>863</v>
      </c>
      <c r="B1" s="409" t="str">
        <f>INPUT!C1</f>
        <v>June 2009</v>
      </c>
      <c r="V1" s="157" t="s">
        <v>864</v>
      </c>
    </row>
    <row r="2" spans="1:22" ht="12.75">
      <c r="A2" s="161"/>
      <c r="B2" s="409"/>
      <c r="V2" s="157" t="s">
        <v>64</v>
      </c>
    </row>
    <row r="3" ht="18">
      <c r="A3" s="155" t="str">
        <f>"Adjustments in "&amp;INPUT!C1&amp;" Actual Cycle that Apply to ICR for Prior Periods"</f>
        <v>Adjustments in June 2009 Actual Cycle that Apply to ICR for Prior Periods</v>
      </c>
    </row>
    <row r="5" spans="1:5" ht="12.75">
      <c r="A5" s="161" t="s">
        <v>200</v>
      </c>
      <c r="E5" s="156" t="s">
        <v>201</v>
      </c>
    </row>
    <row r="6" spans="1:22" ht="12.75">
      <c r="A6" s="149" t="s">
        <v>189</v>
      </c>
      <c r="B6" s="149" t="s">
        <v>609</v>
      </c>
      <c r="C6" s="149" t="s">
        <v>190</v>
      </c>
      <c r="D6" s="149" t="s">
        <v>341</v>
      </c>
      <c r="E6" s="149" t="s">
        <v>191</v>
      </c>
      <c r="F6" s="149"/>
      <c r="H6" s="149" t="s">
        <v>195</v>
      </c>
      <c r="I6" s="149" t="s">
        <v>198</v>
      </c>
      <c r="K6" s="149" t="s">
        <v>1239</v>
      </c>
      <c r="L6" s="149" t="s">
        <v>1240</v>
      </c>
      <c r="M6" s="149" t="s">
        <v>1241</v>
      </c>
      <c r="N6" s="149" t="s">
        <v>1242</v>
      </c>
      <c r="O6" s="149" t="s">
        <v>1243</v>
      </c>
      <c r="P6" s="149" t="s">
        <v>367</v>
      </c>
      <c r="R6" s="149" t="s">
        <v>199</v>
      </c>
      <c r="S6" s="149" t="s">
        <v>1698</v>
      </c>
      <c r="T6" s="149" t="s">
        <v>1701</v>
      </c>
      <c r="U6" s="149" t="s">
        <v>1700</v>
      </c>
      <c r="V6" s="149" t="s">
        <v>367</v>
      </c>
    </row>
    <row r="7" spans="11:22" ht="12.75">
      <c r="K7" s="542">
        <v>0</v>
      </c>
      <c r="L7" s="542">
        <v>0</v>
      </c>
      <c r="M7" s="542">
        <v>0</v>
      </c>
      <c r="N7" s="542">
        <v>0</v>
      </c>
      <c r="O7" s="542">
        <v>0</v>
      </c>
      <c r="P7" s="542">
        <f>SUM(K7:O7)</f>
        <v>0</v>
      </c>
      <c r="R7" s="543">
        <v>0</v>
      </c>
      <c r="S7" s="543">
        <v>0</v>
      </c>
      <c r="T7" s="543">
        <v>0</v>
      </c>
      <c r="U7" s="543">
        <v>0</v>
      </c>
      <c r="V7" s="543">
        <v>0</v>
      </c>
    </row>
    <row r="8" spans="1:22" ht="12.75">
      <c r="A8" s="413"/>
      <c r="B8" s="151" t="s">
        <v>220</v>
      </c>
      <c r="C8" s="538">
        <v>4470.144</v>
      </c>
      <c r="D8" s="541">
        <v>0</v>
      </c>
      <c r="E8" s="151"/>
      <c r="F8" s="151"/>
      <c r="G8" s="151"/>
      <c r="H8" s="456"/>
      <c r="I8" s="457"/>
      <c r="K8" s="455"/>
      <c r="L8" s="455"/>
      <c r="M8" s="455"/>
      <c r="N8" s="455"/>
      <c r="O8" s="455"/>
      <c r="P8" s="458"/>
      <c r="Q8" s="457"/>
      <c r="R8" s="455"/>
      <c r="S8" s="455"/>
      <c r="T8" s="455"/>
      <c r="U8" s="455"/>
      <c r="V8" s="458"/>
    </row>
    <row r="10" spans="11:21" ht="15.75">
      <c r="K10" s="410" t="s">
        <v>223</v>
      </c>
      <c r="L10" s="410"/>
      <c r="M10" s="410">
        <v>4470.144</v>
      </c>
      <c r="N10" s="410" t="s">
        <v>367</v>
      </c>
      <c r="R10" s="410" t="s">
        <v>224</v>
      </c>
      <c r="S10" s="410"/>
      <c r="T10" s="410">
        <v>4470.144</v>
      </c>
      <c r="U10" s="410" t="s">
        <v>367</v>
      </c>
    </row>
    <row r="12" spans="11:21" ht="15.75">
      <c r="K12" s="411" t="s">
        <v>1239</v>
      </c>
      <c r="L12" s="412"/>
      <c r="M12" s="546">
        <v>0</v>
      </c>
      <c r="N12" s="546">
        <v>0</v>
      </c>
      <c r="R12" s="156" t="s">
        <v>199</v>
      </c>
      <c r="S12" s="412"/>
      <c r="T12" s="545">
        <v>0</v>
      </c>
      <c r="U12" s="545">
        <v>0</v>
      </c>
    </row>
    <row r="13" spans="11:21" ht="15.75">
      <c r="K13" s="411" t="s">
        <v>1240</v>
      </c>
      <c r="L13" s="412"/>
      <c r="M13" s="546">
        <v>0</v>
      </c>
      <c r="N13" s="546">
        <v>0</v>
      </c>
      <c r="R13" s="156" t="s">
        <v>1698</v>
      </c>
      <c r="S13" s="412"/>
      <c r="T13" s="545">
        <v>0</v>
      </c>
      <c r="U13" s="545">
        <v>0</v>
      </c>
    </row>
    <row r="14" spans="11:21" ht="15.75">
      <c r="K14" s="411" t="s">
        <v>1241</v>
      </c>
      <c r="L14" s="412"/>
      <c r="M14" s="546">
        <v>0</v>
      </c>
      <c r="N14" s="546">
        <v>0</v>
      </c>
      <c r="R14" s="156" t="s">
        <v>1701</v>
      </c>
      <c r="S14" s="412"/>
      <c r="T14" s="539">
        <v>0</v>
      </c>
      <c r="U14" s="539">
        <v>0</v>
      </c>
    </row>
    <row r="15" spans="11:21" ht="15.75">
      <c r="K15" s="411" t="s">
        <v>1242</v>
      </c>
      <c r="L15" s="412"/>
      <c r="M15" s="546">
        <v>0</v>
      </c>
      <c r="N15" s="546">
        <v>0</v>
      </c>
      <c r="R15" s="156" t="s">
        <v>1700</v>
      </c>
      <c r="S15" s="414"/>
      <c r="T15" s="539">
        <v>0</v>
      </c>
      <c r="U15" s="539">
        <v>0</v>
      </c>
    </row>
    <row r="16" spans="11:21" ht="15.75">
      <c r="K16" s="411" t="s">
        <v>1243</v>
      </c>
      <c r="L16" s="414"/>
      <c r="M16" s="546">
        <v>0</v>
      </c>
      <c r="N16" s="546">
        <v>0</v>
      </c>
      <c r="R16" s="156"/>
      <c r="S16" s="415"/>
      <c r="T16" s="540"/>
      <c r="U16" s="540"/>
    </row>
    <row r="17" spans="11:21" ht="16.5" thickBot="1">
      <c r="K17" s="411"/>
      <c r="L17" s="415"/>
      <c r="M17" s="415"/>
      <c r="N17" s="412"/>
      <c r="R17" s="156" t="s">
        <v>1348</v>
      </c>
      <c r="S17" s="425"/>
      <c r="T17" s="544">
        <f>SUM(T12:T16)</f>
        <v>0</v>
      </c>
      <c r="U17" s="544">
        <f>SUM(U12:U16)</f>
        <v>0</v>
      </c>
    </row>
    <row r="18" spans="11:14" ht="17.25" thickBot="1" thickTop="1">
      <c r="K18" s="411" t="s">
        <v>1348</v>
      </c>
      <c r="L18" s="425"/>
      <c r="M18" s="544">
        <f>SUM(M12:M17)</f>
        <v>0</v>
      </c>
      <c r="N18" s="544">
        <f>SUM(N12:N17)</f>
        <v>0</v>
      </c>
    </row>
    <row r="19" spans="14:22" ht="16.5" thickTop="1">
      <c r="N19" s="462"/>
      <c r="S19" s="1031" t="s">
        <v>674</v>
      </c>
      <c r="T19" s="1031"/>
      <c r="U19" s="1031"/>
      <c r="V19" s="1031"/>
    </row>
    <row r="20" spans="13:14" ht="12.75">
      <c r="M20" s="1031" t="s">
        <v>807</v>
      </c>
      <c r="N20" s="1031"/>
    </row>
  </sheetData>
  <mergeCells count="2">
    <mergeCell ref="M20:N20"/>
    <mergeCell ref="S19:V19"/>
  </mergeCells>
  <printOptions horizontalCentered="1"/>
  <pageMargins left="0.25" right="0.25" top="1" bottom="1" header="0.5" footer="0.5"/>
  <pageSetup horizontalDpi="600" verticalDpi="600" orientation="landscape" scale="5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Q77"/>
  <sheetViews>
    <sheetView workbookViewId="0" topLeftCell="A1">
      <selection activeCell="A1" sqref="A1"/>
    </sheetView>
  </sheetViews>
  <sheetFormatPr defaultColWidth="9.140625" defaultRowHeight="12.75"/>
  <cols>
    <col min="1" max="1" width="34.7109375" style="0" customWidth="1"/>
    <col min="2" max="2" width="19.140625" style="0" customWidth="1"/>
    <col min="3" max="3" width="15.57421875" style="0" bestFit="1" customWidth="1"/>
    <col min="4" max="4" width="16.28125" style="0" bestFit="1" customWidth="1"/>
    <col min="5" max="6" width="15.421875" style="0" bestFit="1" customWidth="1"/>
    <col min="7" max="10" width="15.28125" style="0" customWidth="1"/>
    <col min="11" max="11" width="15.57421875" style="0" bestFit="1" customWidth="1"/>
    <col min="12" max="12" width="17.00390625" style="0" bestFit="1" customWidth="1"/>
    <col min="13" max="14" width="15.28125" style="0" bestFit="1" customWidth="1"/>
  </cols>
  <sheetData>
    <row r="1" spans="1:10" s="3" customFormat="1" ht="15">
      <c r="A1" s="240" t="s">
        <v>1451</v>
      </c>
      <c r="B1" s="240"/>
      <c r="C1" s="349" t="str">
        <f>INPUT!C1</f>
        <v>June 2009</v>
      </c>
      <c r="D1" s="158"/>
      <c r="E1" s="158"/>
      <c r="F1" s="158"/>
      <c r="G1" s="158"/>
      <c r="H1" s="158"/>
      <c r="I1" s="158"/>
      <c r="J1" s="157" t="s">
        <v>342</v>
      </c>
    </row>
    <row r="2" spans="1:10" s="3" customFormat="1" ht="15">
      <c r="A2" s="158"/>
      <c r="B2" s="158"/>
      <c r="C2" s="158"/>
      <c r="D2" s="158"/>
      <c r="E2" s="158"/>
      <c r="F2" s="158"/>
      <c r="G2" s="158"/>
      <c r="H2" s="158"/>
      <c r="I2" s="158"/>
      <c r="J2" s="157" t="s">
        <v>65</v>
      </c>
    </row>
    <row r="3" spans="1:9" ht="15.75">
      <c r="A3" s="148" t="s">
        <v>286</v>
      </c>
      <c r="B3" s="148"/>
      <c r="C3" s="148"/>
      <c r="G3" s="241"/>
      <c r="H3" s="241"/>
      <c r="I3" s="241"/>
    </row>
    <row r="4" spans="1:8" ht="15.75">
      <c r="A4" s="148"/>
      <c r="B4" s="148"/>
      <c r="C4" s="148"/>
      <c r="F4" s="241"/>
      <c r="G4" s="241"/>
      <c r="H4" s="241"/>
    </row>
    <row r="5" spans="1:10" ht="15.75">
      <c r="A5" s="148"/>
      <c r="B5" s="148"/>
      <c r="C5" s="151" t="s">
        <v>337</v>
      </c>
      <c r="D5" s="151" t="s">
        <v>1680</v>
      </c>
      <c r="E5" s="151"/>
      <c r="F5" s="302" t="s">
        <v>301</v>
      </c>
      <c r="G5" s="302" t="s">
        <v>287</v>
      </c>
      <c r="H5" s="302" t="s">
        <v>1714</v>
      </c>
      <c r="I5" s="151" t="s">
        <v>1674</v>
      </c>
      <c r="J5" s="151" t="s">
        <v>337</v>
      </c>
    </row>
    <row r="6" spans="3:10" ht="12.75">
      <c r="C6" s="229" t="s">
        <v>302</v>
      </c>
      <c r="D6" s="229" t="s">
        <v>1681</v>
      </c>
      <c r="E6" s="229"/>
      <c r="F6" s="303" t="s">
        <v>357</v>
      </c>
      <c r="G6" s="303" t="s">
        <v>357</v>
      </c>
      <c r="H6" s="303" t="s">
        <v>1715</v>
      </c>
      <c r="I6" s="229" t="s">
        <v>1675</v>
      </c>
      <c r="J6" s="230" t="s">
        <v>302</v>
      </c>
    </row>
    <row r="7" spans="1:9" ht="12.75">
      <c r="A7" t="s">
        <v>1687</v>
      </c>
      <c r="C7" s="151">
        <v>4470.081</v>
      </c>
      <c r="D7" s="273">
        <f>VLOOKUP(A7,'APPVIII PG 1'!A:G,7,FALSE)</f>
        <v>0</v>
      </c>
      <c r="F7" s="231"/>
      <c r="G7" s="231"/>
      <c r="H7" s="231"/>
      <c r="I7" s="232"/>
    </row>
    <row r="8" spans="1:9" ht="12.75">
      <c r="A8" s="158" t="s">
        <v>1691</v>
      </c>
      <c r="B8" s="158"/>
      <c r="C8" s="159">
        <v>4470.081</v>
      </c>
      <c r="D8" s="273">
        <f>VLOOKUP(A8,'APPVIII PG 1'!A:G,7,FALSE)</f>
        <v>9363</v>
      </c>
      <c r="F8" s="231"/>
      <c r="G8" s="231"/>
      <c r="H8" s="231"/>
      <c r="I8" s="232"/>
    </row>
    <row r="9" spans="1:9" ht="12.75">
      <c r="A9" t="s">
        <v>1692</v>
      </c>
      <c r="C9" s="151">
        <v>4470.081</v>
      </c>
      <c r="D9" s="273">
        <f>VLOOKUP(A9,'APPVIII PG 1'!A:G,7,FALSE)</f>
        <v>-150</v>
      </c>
      <c r="F9" s="233"/>
      <c r="G9" s="233"/>
      <c r="H9" s="233"/>
      <c r="I9" s="304"/>
    </row>
    <row r="10" spans="1:9" ht="12.75">
      <c r="A10" t="s">
        <v>1031</v>
      </c>
      <c r="C10" s="151">
        <v>4470.081</v>
      </c>
      <c r="D10" s="273">
        <f>VLOOKUP(A10,'APPVIII PG 1'!A:G,7,FALSE)</f>
        <v>0</v>
      </c>
      <c r="F10" s="233"/>
      <c r="G10" s="233"/>
      <c r="H10" s="233"/>
      <c r="I10" s="304"/>
    </row>
    <row r="11" spans="1:10" ht="12.75">
      <c r="A11" t="s">
        <v>2078</v>
      </c>
      <c r="C11" s="151">
        <v>4470.081</v>
      </c>
      <c r="D11" s="273">
        <v>175930</v>
      </c>
      <c r="F11" s="234"/>
      <c r="G11" s="234"/>
      <c r="H11" s="234"/>
      <c r="I11" s="232"/>
      <c r="J11" s="149"/>
    </row>
    <row r="12" spans="1:9" ht="12.75">
      <c r="A12" s="241" t="s">
        <v>668</v>
      </c>
      <c r="C12" s="362">
        <v>4470.01</v>
      </c>
      <c r="D12" s="273">
        <f>VLOOKUP(A12,'APPVIII PG 1'!A:G,7,FALSE)</f>
        <v>-4069</v>
      </c>
      <c r="F12" s="234"/>
      <c r="G12" s="234"/>
      <c r="H12" s="234"/>
      <c r="I12" s="152"/>
    </row>
    <row r="13" spans="1:9" ht="12.75">
      <c r="A13" s="241" t="s">
        <v>669</v>
      </c>
      <c r="C13" s="151">
        <v>4470.006</v>
      </c>
      <c r="D13" s="273">
        <f>VLOOKUP(A13,'APPVIII PG 1'!A:G,7,FALSE)</f>
        <v>-1075</v>
      </c>
      <c r="F13" s="234"/>
      <c r="G13" s="234"/>
      <c r="H13" s="234"/>
      <c r="I13" s="160"/>
    </row>
    <row r="14" spans="1:9" ht="12.75">
      <c r="A14" s="241" t="s">
        <v>1456</v>
      </c>
      <c r="C14" s="352">
        <v>4470.01</v>
      </c>
      <c r="D14" s="273">
        <f>VLOOKUP(A14,'APPVIII PG 1'!A:G,7,FALSE)</f>
        <v>-7921982</v>
      </c>
      <c r="F14" s="234"/>
      <c r="G14" s="234"/>
      <c r="H14" s="234"/>
      <c r="I14" s="160"/>
    </row>
    <row r="15" spans="1:9" ht="12.75">
      <c r="A15" s="241" t="s">
        <v>660</v>
      </c>
      <c r="C15" s="302">
        <v>4470.006</v>
      </c>
      <c r="D15" s="273">
        <f>VLOOKUP(A15,'APPVIII PG 1'!A:G,7,FALSE)</f>
        <v>7593375</v>
      </c>
      <c r="F15" s="234"/>
      <c r="G15" s="234"/>
      <c r="H15" s="234"/>
      <c r="I15" s="160"/>
    </row>
    <row r="16" spans="4:10" ht="12.75">
      <c r="D16" s="152"/>
      <c r="E16" s="152">
        <f>ROUND(SUM(D7:D15),0)</f>
        <v>-148608</v>
      </c>
      <c r="F16" s="234">
        <f>ROUND(E16*E$31,0)</f>
        <v>-146006</v>
      </c>
      <c r="G16" s="234">
        <f>ROUND(E16*E$32,0)</f>
        <v>-2602</v>
      </c>
      <c r="H16" s="234">
        <v>0</v>
      </c>
      <c r="I16" s="160">
        <f>G16-H16</f>
        <v>-2602</v>
      </c>
      <c r="J16" s="162">
        <v>4470.144</v>
      </c>
    </row>
    <row r="17" ht="12.75">
      <c r="D17" s="152"/>
    </row>
    <row r="18" spans="1:9" ht="12.75">
      <c r="A18" t="s">
        <v>617</v>
      </c>
      <c r="C18" s="151">
        <v>4210.032</v>
      </c>
      <c r="D18" s="273">
        <f>VLOOKUP(A18,'APPVIII PG 1'!A:G,7,FALSE)</f>
        <v>-4358619</v>
      </c>
      <c r="F18" s="234"/>
      <c r="G18" s="234"/>
      <c r="H18" s="234"/>
      <c r="I18" s="305"/>
    </row>
    <row r="19" spans="1:9" ht="12.75">
      <c r="A19" t="s">
        <v>618</v>
      </c>
      <c r="C19" s="151">
        <v>4210.031</v>
      </c>
      <c r="D19" s="273">
        <f>VLOOKUP(A19,'APPVIII PG 1'!A:G,7,FALSE)</f>
        <v>4519616</v>
      </c>
      <c r="F19" s="234"/>
      <c r="G19" s="234"/>
      <c r="H19" s="234"/>
      <c r="I19" s="305"/>
    </row>
    <row r="20" spans="4:10" ht="12.75">
      <c r="D20" s="152"/>
      <c r="E20" s="300">
        <f>ROUND(SUM(D18:D19),0)</f>
        <v>160997</v>
      </c>
      <c r="F20" s="234">
        <f>ROUND(E20*E$31,0)</f>
        <v>158178</v>
      </c>
      <c r="G20" s="234">
        <f>ROUND(E20*E$32,0)</f>
        <v>2819</v>
      </c>
      <c r="H20" s="234">
        <v>0</v>
      </c>
      <c r="I20" s="160">
        <f>G20-H20</f>
        <v>2819</v>
      </c>
      <c r="J20">
        <v>4210.043</v>
      </c>
    </row>
    <row r="21" spans="4:9" ht="12.75">
      <c r="D21" s="152"/>
      <c r="E21" s="300"/>
      <c r="F21" s="301"/>
      <c r="G21" s="301"/>
      <c r="H21" s="301"/>
      <c r="I21" s="300"/>
    </row>
    <row r="22" spans="1:17" ht="12.75">
      <c r="A22" s="241"/>
      <c r="C22" s="302"/>
      <c r="D22" s="460"/>
      <c r="E22" s="300"/>
      <c r="F22" s="301"/>
      <c r="G22" s="301"/>
      <c r="H22" s="301"/>
      <c r="I22" s="300"/>
      <c r="K22" s="154"/>
      <c r="L22" s="238"/>
      <c r="M22" s="238"/>
      <c r="N22" s="238"/>
      <c r="O22" s="238"/>
      <c r="P22" s="238"/>
      <c r="Q22" s="238"/>
    </row>
    <row r="23" spans="4:10" ht="12.75">
      <c r="D23" s="152"/>
      <c r="E23" s="235">
        <f>ROUND(SUM(D22:D22),0)</f>
        <v>0</v>
      </c>
      <c r="F23" s="236">
        <f>ROUND(E23*E$31,0)</f>
        <v>0</v>
      </c>
      <c r="G23" s="236">
        <f>ROUND(E23*E$32,0)</f>
        <v>0</v>
      </c>
      <c r="H23" s="236">
        <v>0</v>
      </c>
      <c r="I23" s="235">
        <f>G23-H23</f>
        <v>0</v>
      </c>
      <c r="J23">
        <v>4210.044</v>
      </c>
    </row>
    <row r="24" spans="4:9" ht="12.75">
      <c r="D24" s="152"/>
      <c r="F24" s="234"/>
      <c r="G24" s="234"/>
      <c r="H24" s="234"/>
      <c r="I24" s="160"/>
    </row>
    <row r="25" spans="1:9" ht="13.5" thickBot="1">
      <c r="A25" t="s">
        <v>367</v>
      </c>
      <c r="D25" s="244"/>
      <c r="E25" s="153">
        <f>SUM(E7:E24)</f>
        <v>12389</v>
      </c>
      <c r="F25" s="153">
        <f>SUM(F11:F23)</f>
        <v>12172</v>
      </c>
      <c r="G25" s="153">
        <f>SUM(G16:G23)</f>
        <v>217</v>
      </c>
      <c r="H25" s="153">
        <f>SUM(H16:H23)</f>
        <v>0</v>
      </c>
      <c r="I25" s="153">
        <f>SUM(I11:I23)</f>
        <v>217</v>
      </c>
    </row>
    <row r="26" spans="4:9" ht="13.5" thickTop="1">
      <c r="D26" s="244"/>
      <c r="E26" s="154"/>
      <c r="F26" s="154"/>
      <c r="G26" s="154"/>
      <c r="H26" s="154"/>
      <c r="I26" s="154"/>
    </row>
    <row r="27" spans="4:10" ht="12.75">
      <c r="D27" s="244"/>
      <c r="E27" s="154"/>
      <c r="F27" s="453">
        <f>ABS(I25)</f>
        <v>217</v>
      </c>
      <c r="G27" s="154"/>
      <c r="H27" s="154"/>
      <c r="J27" s="363" t="str">
        <f>IF(I25&lt;0,"TO BE TRANSFERRED FROM WESTERN AEP TO EASTERN AEP","TO BE TRANSFERRED FROM EASTERN AEP TO WESTERN AEP")</f>
        <v>TO BE TRANSFERRED FROM EASTERN AEP TO WESTERN AEP</v>
      </c>
    </row>
    <row r="28" spans="4:10" ht="12.75">
      <c r="D28" s="244"/>
      <c r="E28" s="154"/>
      <c r="F28" s="154"/>
      <c r="G28" s="154"/>
      <c r="H28" s="154"/>
      <c r="J28" s="363"/>
    </row>
    <row r="29" spans="4:10" ht="13.5" thickBot="1">
      <c r="D29" s="152"/>
      <c r="G29" s="237"/>
      <c r="H29" s="237"/>
      <c r="I29" s="237"/>
      <c r="J29" s="154"/>
    </row>
    <row r="30" spans="2:5" ht="12.75">
      <c r="B30" s="364" t="s">
        <v>1697</v>
      </c>
      <c r="C30" s="359"/>
      <c r="D30" s="359"/>
      <c r="E30" s="360"/>
    </row>
    <row r="31" spans="2:5" ht="12.75">
      <c r="B31" s="355" t="s">
        <v>1703</v>
      </c>
      <c r="C31" s="238"/>
      <c r="D31" s="365">
        <f>'APPVIII PG 5'!E25</f>
        <v>477413158</v>
      </c>
      <c r="E31" s="366">
        <f>'APPVIII PG 5'!E27</f>
        <v>0.9824887606146891</v>
      </c>
    </row>
    <row r="32" spans="2:5" ht="12.75">
      <c r="B32" s="355" t="s">
        <v>1704</v>
      </c>
      <c r="C32" s="238"/>
      <c r="D32" s="367">
        <f>'APPVIII PG 5'!I25</f>
        <v>8509101</v>
      </c>
      <c r="E32" s="366">
        <f>'APPVIII PG 5'!I27</f>
        <v>0.01751123938531081</v>
      </c>
    </row>
    <row r="33" spans="2:5" ht="13.5" thickBot="1">
      <c r="B33" s="368" t="s">
        <v>1705</v>
      </c>
      <c r="C33" s="361"/>
      <c r="D33" s="369">
        <f>SUM(D31:D32)</f>
        <v>485922259</v>
      </c>
      <c r="E33" s="370"/>
    </row>
    <row r="36" ht="15.75">
      <c r="A36" s="148" t="s">
        <v>1671</v>
      </c>
    </row>
    <row r="37" spans="1:10" ht="15.75" customHeight="1">
      <c r="A37" s="28"/>
      <c r="J37" s="15"/>
    </row>
    <row r="38" spans="1:7" ht="12.75">
      <c r="A38" s="161" t="s">
        <v>1673</v>
      </c>
      <c r="B38" s="161"/>
      <c r="C38" s="156" t="s">
        <v>333</v>
      </c>
      <c r="D38" s="156" t="s">
        <v>333</v>
      </c>
      <c r="E38" s="156" t="s">
        <v>333</v>
      </c>
      <c r="F38" s="156" t="s">
        <v>334</v>
      </c>
      <c r="G38" s="156"/>
    </row>
    <row r="39" spans="1:7" ht="12.75">
      <c r="A39" s="158"/>
      <c r="B39" s="371" t="s">
        <v>1752</v>
      </c>
      <c r="C39" s="372" t="s">
        <v>1696</v>
      </c>
      <c r="D39" s="372">
        <v>4210.043</v>
      </c>
      <c r="E39" s="371">
        <v>4210.044</v>
      </c>
      <c r="F39" s="371" t="s">
        <v>335</v>
      </c>
      <c r="G39" s="373"/>
    </row>
    <row r="40" spans="1:7" ht="12.75">
      <c r="A40" s="374" t="s">
        <v>1239</v>
      </c>
      <c r="B40" s="375">
        <f>INPUT!C5</f>
        <v>0.34458</v>
      </c>
      <c r="C40" s="376">
        <f>ROUND(B40*$I$16,0)</f>
        <v>-897</v>
      </c>
      <c r="D40" s="377">
        <f>ROUND(B40*I$20,0)</f>
        <v>971</v>
      </c>
      <c r="E40" s="376">
        <f>ROUND(B40*I$23,0)</f>
        <v>0</v>
      </c>
      <c r="F40" s="376">
        <f>C40+D40+E40</f>
        <v>74</v>
      </c>
      <c r="G40" s="376"/>
    </row>
    <row r="41" spans="1:7" ht="12.75">
      <c r="A41" s="374" t="s">
        <v>1240</v>
      </c>
      <c r="B41" s="375">
        <f>INPUT!C6</f>
        <v>0.06943</v>
      </c>
      <c r="C41" s="376">
        <f>ROUND(B41*$I$16,0)+1</f>
        <v>-180</v>
      </c>
      <c r="D41" s="377">
        <f>ROUND(B41*I$20,0)</f>
        <v>196</v>
      </c>
      <c r="E41" s="376">
        <f>ROUND(B41*I$23,0)</f>
        <v>0</v>
      </c>
      <c r="F41" s="376">
        <f>C41+D41+E41</f>
        <v>16</v>
      </c>
      <c r="G41" s="376"/>
    </row>
    <row r="42" spans="1:7" ht="12.75">
      <c r="A42" s="374" t="s">
        <v>1241</v>
      </c>
      <c r="B42" s="375">
        <f>INPUT!C7</f>
        <v>0.17686</v>
      </c>
      <c r="C42" s="376">
        <f>ROUND(B42*$I$16,0)</f>
        <v>-460</v>
      </c>
      <c r="D42" s="377">
        <f>ROUND(B42*I$20,0)</f>
        <v>499</v>
      </c>
      <c r="E42" s="376">
        <f>ROUND(B42*I$23,0)</f>
        <v>0</v>
      </c>
      <c r="F42" s="376">
        <f>C42+D42+E42</f>
        <v>39</v>
      </c>
      <c r="G42" s="376"/>
    </row>
    <row r="43" spans="1:7" ht="12.75">
      <c r="A43" s="374" t="s">
        <v>1242</v>
      </c>
      <c r="B43" s="375">
        <f>INPUT!C8</f>
        <v>0.22638</v>
      </c>
      <c r="C43" s="376">
        <f>ROUND(B43*$I$16,0)</f>
        <v>-589</v>
      </c>
      <c r="D43" s="377">
        <f>ROUND(B43*I$20,0)</f>
        <v>638</v>
      </c>
      <c r="E43" s="376">
        <f>ROUND(B43*I$23,0)</f>
        <v>0</v>
      </c>
      <c r="F43" s="376">
        <f>C43+D43+E43</f>
        <v>49</v>
      </c>
      <c r="G43" s="376"/>
    </row>
    <row r="44" spans="1:7" ht="12.75">
      <c r="A44" s="374" t="s">
        <v>1243</v>
      </c>
      <c r="B44" s="375">
        <f>INPUT!C9</f>
        <v>0.18275</v>
      </c>
      <c r="C44" s="378">
        <f>ROUND(B44*$I$16,0)</f>
        <v>-476</v>
      </c>
      <c r="D44" s="379">
        <f>ROUND(B44*I$20,0)</f>
        <v>515</v>
      </c>
      <c r="E44" s="378">
        <f>ROUND(B44*I$23,0)</f>
        <v>0</v>
      </c>
      <c r="F44" s="378">
        <f>C44+D44+E44</f>
        <v>39</v>
      </c>
      <c r="G44" s="380"/>
    </row>
    <row r="45" spans="1:7" ht="12.75">
      <c r="A45" s="374" t="s">
        <v>1348</v>
      </c>
      <c r="B45" s="381">
        <f>SUM(B40:B44)</f>
        <v>1</v>
      </c>
      <c r="C45" s="376">
        <f>SUM(C40:C44)</f>
        <v>-2602</v>
      </c>
      <c r="D45" s="377">
        <f>SUM(D40:D44)</f>
        <v>2819</v>
      </c>
      <c r="E45" s="376">
        <f>SUM(E40:E44)</f>
        <v>0</v>
      </c>
      <c r="F45" s="377">
        <f>SUM(F40:F44)</f>
        <v>217</v>
      </c>
      <c r="G45" s="377"/>
    </row>
    <row r="46" spans="1:7" ht="12.75">
      <c r="A46" s="374"/>
      <c r="B46" s="381"/>
      <c r="C46" s="376"/>
      <c r="D46" s="377"/>
      <c r="E46" s="376"/>
      <c r="F46" s="377"/>
      <c r="G46" s="377"/>
    </row>
    <row r="47" spans="1:7" ht="12.75">
      <c r="A47" s="374"/>
      <c r="B47" s="381"/>
      <c r="C47" s="376"/>
      <c r="D47" s="377"/>
      <c r="E47" s="376"/>
      <c r="F47" s="377"/>
      <c r="G47" s="377"/>
    </row>
    <row r="48" spans="1:7" ht="12.75">
      <c r="A48" s="374"/>
      <c r="B48" s="381"/>
      <c r="C48" s="376"/>
      <c r="D48" s="377"/>
      <c r="E48" s="376"/>
      <c r="F48" s="377"/>
      <c r="G48" s="377"/>
    </row>
    <row r="49" spans="1:7" ht="12.75">
      <c r="A49" s="374"/>
      <c r="B49" s="381"/>
      <c r="C49" s="376"/>
      <c r="D49" s="377"/>
      <c r="E49" s="376"/>
      <c r="F49" s="377"/>
      <c r="G49" s="377"/>
    </row>
    <row r="50" spans="1:7" ht="12.75">
      <c r="A50" s="374"/>
      <c r="B50" s="381"/>
      <c r="C50" s="376"/>
      <c r="D50" s="377"/>
      <c r="E50" s="376"/>
      <c r="F50" s="377"/>
      <c r="G50" s="377"/>
    </row>
    <row r="51" spans="1:7" ht="12.75">
      <c r="A51" s="161" t="s">
        <v>1672</v>
      </c>
      <c r="B51" s="161"/>
      <c r="C51" s="156" t="s">
        <v>333</v>
      </c>
      <c r="D51" s="156" t="s">
        <v>333</v>
      </c>
      <c r="E51" s="156" t="s">
        <v>333</v>
      </c>
      <c r="F51" s="156" t="s">
        <v>334</v>
      </c>
      <c r="G51" s="156"/>
    </row>
    <row r="52" spans="1:7" ht="12.75">
      <c r="A52" s="158"/>
      <c r="B52" s="371" t="s">
        <v>1706</v>
      </c>
      <c r="C52" s="372" t="s">
        <v>1696</v>
      </c>
      <c r="D52" s="372">
        <v>4210.043</v>
      </c>
      <c r="E52" s="371">
        <v>4210.044</v>
      </c>
      <c r="F52" s="371" t="s">
        <v>335</v>
      </c>
      <c r="G52" s="373"/>
    </row>
    <row r="53" spans="1:7" ht="12.75">
      <c r="A53" s="374" t="s">
        <v>1698</v>
      </c>
      <c r="B53" s="375">
        <f>INPUT!F5</f>
        <v>0.45902</v>
      </c>
      <c r="C53" s="376">
        <f>ROUND(B53*$I$16,0)*-1</f>
        <v>1194</v>
      </c>
      <c r="D53" s="377">
        <f>ROUND(B53*I$20,0)*-1</f>
        <v>-1294</v>
      </c>
      <c r="E53" s="376">
        <f>ROUND(B53*I$23,0)*-1</f>
        <v>0</v>
      </c>
      <c r="F53" s="376">
        <f>C53+D53+E53</f>
        <v>-100</v>
      </c>
      <c r="G53" s="376"/>
    </row>
    <row r="54" spans="1:7" ht="12.75">
      <c r="A54" s="374" t="s">
        <v>1699</v>
      </c>
      <c r="B54" s="375">
        <f>INPUT!F6</f>
        <v>0.54098</v>
      </c>
      <c r="C54" s="376">
        <f>ROUND(B54*$I$16,0)*-1</f>
        <v>1408</v>
      </c>
      <c r="D54" s="377">
        <f>ROUND(B54*I$20,0)*-1</f>
        <v>-1525</v>
      </c>
      <c r="E54" s="376">
        <f>ROUND(B54*I$23,0)*-1</f>
        <v>0</v>
      </c>
      <c r="F54" s="376">
        <f>C54+D54+E54</f>
        <v>-117</v>
      </c>
      <c r="G54" s="376"/>
    </row>
    <row r="55" spans="1:7" ht="12.75">
      <c r="A55" s="374" t="s">
        <v>1700</v>
      </c>
      <c r="B55" s="375">
        <f>INPUT!F7</f>
        <v>0</v>
      </c>
      <c r="C55" s="376">
        <f>ROUND(B55*$I$16,0)*-1</f>
        <v>0</v>
      </c>
      <c r="D55" s="377">
        <f>ROUND(B55*I$20,0)*-1</f>
        <v>0</v>
      </c>
      <c r="E55" s="376">
        <f>ROUND(B55*I$23,0)*-1</f>
        <v>0</v>
      </c>
      <c r="F55" s="376">
        <f>C55+D55+E55</f>
        <v>0</v>
      </c>
      <c r="G55" s="376"/>
    </row>
    <row r="56" spans="1:7" ht="12.75">
      <c r="A56" s="374" t="s">
        <v>1701</v>
      </c>
      <c r="B56" s="375">
        <f>INPUT!F8</f>
        <v>0</v>
      </c>
      <c r="C56" s="378">
        <f>ROUND(B56*$I$16,0)*-1</f>
        <v>0</v>
      </c>
      <c r="D56" s="379">
        <f>ROUND(B56*I$20,0)*-1</f>
        <v>0</v>
      </c>
      <c r="E56" s="378">
        <f>ROUND(B56*I$23,0)*-1</f>
        <v>0</v>
      </c>
      <c r="F56" s="378">
        <f>C56+D56+E56</f>
        <v>0</v>
      </c>
      <c r="G56" s="380"/>
    </row>
    <row r="57" spans="1:7" ht="12.75">
      <c r="A57" s="374" t="s">
        <v>1348</v>
      </c>
      <c r="B57" s="381">
        <f>SUM(B53:B56)</f>
        <v>1</v>
      </c>
      <c r="C57" s="376">
        <f>SUM(C53:C56)</f>
        <v>2602</v>
      </c>
      <c r="D57" s="377">
        <f>SUM(D53:D56)</f>
        <v>-2819</v>
      </c>
      <c r="E57" s="376">
        <f>SUM(E53:E56)</f>
        <v>0</v>
      </c>
      <c r="F57" s="377">
        <f>SUM(F53:F56)</f>
        <v>-217</v>
      </c>
      <c r="G57" s="377"/>
    </row>
    <row r="58" spans="1:7" ht="12.75">
      <c r="A58" s="158"/>
      <c r="B58" s="158"/>
      <c r="C58" s="158"/>
      <c r="D58" s="382"/>
      <c r="E58" s="324"/>
      <c r="F58" s="383"/>
      <c r="G58" s="383"/>
    </row>
    <row r="59" spans="1:7" ht="12.75">
      <c r="A59" s="161"/>
      <c r="B59" s="161"/>
      <c r="C59" s="158"/>
      <c r="D59" s="158"/>
      <c r="E59" s="158"/>
      <c r="F59" s="156"/>
      <c r="G59" s="156"/>
    </row>
    <row r="60" spans="1:7" ht="12.75">
      <c r="A60" s="158"/>
      <c r="B60" s="158"/>
      <c r="C60" s="158"/>
      <c r="D60" s="158"/>
      <c r="E60" s="158"/>
      <c r="F60" s="158"/>
      <c r="G60" s="158"/>
    </row>
    <row r="61" spans="1:7" ht="12.75">
      <c r="A61" s="158"/>
      <c r="B61" s="158"/>
      <c r="C61" s="158"/>
      <c r="D61" s="158"/>
      <c r="E61" s="158"/>
      <c r="F61" s="158"/>
      <c r="G61" s="158"/>
    </row>
    <row r="62" spans="1:7" ht="12.75">
      <c r="A62" s="158"/>
      <c r="B62" s="158"/>
      <c r="C62" s="158"/>
      <c r="D62" s="158"/>
      <c r="E62" s="158"/>
      <c r="F62" s="158"/>
      <c r="G62" s="158"/>
    </row>
    <row r="63" spans="1:7" ht="12.75">
      <c r="A63" s="158"/>
      <c r="B63" s="158"/>
      <c r="C63" s="158"/>
      <c r="D63" s="158"/>
      <c r="E63" s="158"/>
      <c r="F63" s="158"/>
      <c r="G63" s="158"/>
    </row>
    <row r="64" spans="1:7" ht="12.75">
      <c r="A64" s="384"/>
      <c r="B64" s="384"/>
      <c r="C64" s="150" t="s">
        <v>769</v>
      </c>
      <c r="D64" s="158"/>
      <c r="E64" s="158"/>
      <c r="F64" s="158"/>
      <c r="G64" s="158"/>
    </row>
    <row r="65" spans="1:7" ht="12.75">
      <c r="A65" s="158"/>
      <c r="B65" s="158"/>
      <c r="C65" s="385">
        <f>($B40*$I$16)*-1</f>
        <v>896.59716</v>
      </c>
      <c r="D65" s="307">
        <f>($B40*$G$20)*-1</f>
        <v>-971.37102</v>
      </c>
      <c r="E65" s="308">
        <f>($B40*$G$23)*-1</f>
        <v>0</v>
      </c>
      <c r="F65" s="282"/>
      <c r="G65" s="282"/>
    </row>
    <row r="66" spans="1:7" ht="12.75">
      <c r="A66" s="158"/>
      <c r="B66" s="158"/>
      <c r="C66" s="386">
        <f>($B41*$I$16)*-1</f>
        <v>180.65686000000002</v>
      </c>
      <c r="D66" s="309">
        <f>($B41*$G$20)*-1</f>
        <v>-195.72317</v>
      </c>
      <c r="E66" s="310">
        <f>($B41*$G$23)*-1</f>
        <v>0</v>
      </c>
      <c r="F66" s="282"/>
      <c r="G66" s="282"/>
    </row>
    <row r="67" spans="1:7" ht="12.75">
      <c r="A67" s="158"/>
      <c r="B67" s="158"/>
      <c r="C67" s="386">
        <f>($B42*$I$16)*-1</f>
        <v>460.18971999999997</v>
      </c>
      <c r="D67" s="309">
        <f>($B42*$G$20)*-1</f>
        <v>-498.56834</v>
      </c>
      <c r="E67" s="310">
        <f>($B42*$G$23)*-1</f>
        <v>0</v>
      </c>
      <c r="F67" s="282"/>
      <c r="G67" s="282"/>
    </row>
    <row r="68" spans="1:7" ht="12.75">
      <c r="A68" s="158"/>
      <c r="B68" s="158"/>
      <c r="C68" s="386">
        <f>($B43*$I$16)*-1</f>
        <v>589.04076</v>
      </c>
      <c r="D68" s="309">
        <f>($B43*$G$20)*-1</f>
        <v>-638.16522</v>
      </c>
      <c r="E68" s="310">
        <f>($B43*$G$23)*-1</f>
        <v>0</v>
      </c>
      <c r="F68" s="282"/>
      <c r="G68" s="282"/>
    </row>
    <row r="69" spans="1:7" ht="12.75">
      <c r="A69" s="158"/>
      <c r="B69" s="158"/>
      <c r="C69" s="387">
        <f>($B44*$I$16)*-1</f>
        <v>475.5155</v>
      </c>
      <c r="D69" s="311">
        <f>($B44*$G$20)*-1</f>
        <v>-515.17225</v>
      </c>
      <c r="E69" s="312">
        <f>($B44*$G$23)*-1</f>
        <v>0</v>
      </c>
      <c r="F69" s="282"/>
      <c r="G69" s="282"/>
    </row>
    <row r="70" spans="1:7" ht="12.75">
      <c r="A70" s="158"/>
      <c r="B70" s="158"/>
      <c r="C70" s="158"/>
      <c r="D70" s="158"/>
      <c r="E70" s="158"/>
      <c r="F70" s="158"/>
      <c r="G70" s="158"/>
    </row>
    <row r="71" spans="1:7" ht="12.75">
      <c r="A71" s="158"/>
      <c r="B71" s="158"/>
      <c r="C71" s="158"/>
      <c r="D71" s="158"/>
      <c r="E71" s="158"/>
      <c r="F71" s="158"/>
      <c r="G71" s="158"/>
    </row>
    <row r="72" spans="1:7" ht="12.75">
      <c r="A72" s="158"/>
      <c r="B72" s="158"/>
      <c r="C72" s="388" t="s">
        <v>769</v>
      </c>
      <c r="D72" s="158"/>
      <c r="E72" s="158"/>
      <c r="F72" s="158"/>
      <c r="G72" s="158"/>
    </row>
    <row r="73" spans="1:7" ht="12.75">
      <c r="A73" s="158"/>
      <c r="B73" s="158"/>
      <c r="C73" s="386">
        <f>($B53*$I$16)</f>
        <v>-1194.37004</v>
      </c>
      <c r="D73" s="307">
        <f>($B53*$G$20)</f>
        <v>1293.97738</v>
      </c>
      <c r="E73" s="308">
        <f>($B53*$G$23)</f>
        <v>0</v>
      </c>
      <c r="F73" s="158"/>
      <c r="G73" s="158"/>
    </row>
    <row r="74" spans="1:7" ht="12.75">
      <c r="A74" s="158"/>
      <c r="B74" s="158"/>
      <c r="C74" s="386">
        <f>($B54*$I$16)</f>
        <v>-1407.62996</v>
      </c>
      <c r="D74" s="309">
        <f>($B54*$G$20)</f>
        <v>1525.02262</v>
      </c>
      <c r="E74" s="310">
        <f>($B54*$G$23)</f>
        <v>0</v>
      </c>
      <c r="F74" s="158"/>
      <c r="G74" s="158"/>
    </row>
    <row r="75" spans="1:7" ht="12.75">
      <c r="A75" s="158"/>
      <c r="B75" s="158"/>
      <c r="C75" s="386">
        <f>($B55*$I$16)</f>
        <v>0</v>
      </c>
      <c r="D75" s="309">
        <f>($B55*$G$20)</f>
        <v>0</v>
      </c>
      <c r="E75" s="310">
        <f>($B55*$G$23)</f>
        <v>0</v>
      </c>
      <c r="F75" s="158"/>
      <c r="G75" s="158"/>
    </row>
    <row r="76" spans="1:7" ht="12.75">
      <c r="A76" s="158"/>
      <c r="B76" s="158"/>
      <c r="C76" s="387">
        <f>($B56*$I$16)</f>
        <v>0</v>
      </c>
      <c r="D76" s="311">
        <f>($B56*$G$20)</f>
        <v>0</v>
      </c>
      <c r="E76" s="312">
        <f>($B56*$G$23)</f>
        <v>0</v>
      </c>
      <c r="F76" s="158"/>
      <c r="G76" s="158"/>
    </row>
    <row r="77" spans="3:6" ht="12.75">
      <c r="C77" s="309"/>
      <c r="D77" s="309"/>
      <c r="E77" s="309"/>
      <c r="F77" s="309"/>
    </row>
  </sheetData>
  <printOptions horizontalCentered="1"/>
  <pageMargins left="0.25" right="0.25" top="0.5" bottom="0.25" header="0.68" footer="0.25"/>
  <pageSetup fitToHeight="1" fitToWidth="1" horizontalDpi="600" verticalDpi="600" orientation="landscape" scale="72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IO259"/>
  <sheetViews>
    <sheetView workbookViewId="0" topLeftCell="A1">
      <selection activeCell="A1" sqref="A1:M1"/>
    </sheetView>
  </sheetViews>
  <sheetFormatPr defaultColWidth="9.140625" defaultRowHeight="12.75"/>
  <cols>
    <col min="1" max="1" width="94.140625" style="3" customWidth="1"/>
    <col min="2" max="2" width="12.28125" style="2" bestFit="1" customWidth="1"/>
    <col min="3" max="3" width="14.57421875" style="286" bestFit="1" customWidth="1"/>
    <col min="4" max="4" width="12.8515625" style="286" bestFit="1" customWidth="1"/>
    <col min="5" max="5" width="14.00390625" style="286" bestFit="1" customWidth="1"/>
    <col min="6" max="6" width="14.57421875" style="286" bestFit="1" customWidth="1"/>
    <col min="7" max="7" width="14.28125" style="286" bestFit="1" customWidth="1"/>
    <col min="8" max="8" width="2.7109375" style="287" customWidth="1"/>
    <col min="9" max="9" width="20.140625" style="286" customWidth="1"/>
    <col min="10" max="10" width="2.7109375" style="286" customWidth="1"/>
    <col min="11" max="11" width="15.421875" style="3" bestFit="1" customWidth="1"/>
    <col min="12" max="12" width="2.7109375" style="2" customWidth="1"/>
    <col min="13" max="13" width="16.8515625" style="298" bestFit="1" customWidth="1"/>
    <col min="14" max="14" width="9.140625" style="3" customWidth="1"/>
    <col min="15" max="15" width="12.00390625" style="3" bestFit="1" customWidth="1"/>
    <col min="16" max="16384" width="9.140625" style="3" customWidth="1"/>
  </cols>
  <sheetData>
    <row r="1" spans="1:13" ht="16.5">
      <c r="A1" s="1015" t="s">
        <v>76</v>
      </c>
      <c r="B1" s="1015"/>
      <c r="C1" s="1015"/>
      <c r="D1" s="1015"/>
      <c r="E1" s="1015"/>
      <c r="F1" s="1015"/>
      <c r="G1" s="1015"/>
      <c r="H1" s="1015"/>
      <c r="I1" s="1015"/>
      <c r="J1" s="1015"/>
      <c r="K1" s="1015"/>
      <c r="L1" s="1015"/>
      <c r="M1" s="1015"/>
    </row>
    <row r="2" spans="1:13" ht="49.5">
      <c r="A2" s="22" t="s">
        <v>1178</v>
      </c>
      <c r="B2" s="297" t="s">
        <v>333</v>
      </c>
      <c r="C2" s="289" t="s">
        <v>1179</v>
      </c>
      <c r="D2" s="289" t="s">
        <v>1180</v>
      </c>
      <c r="E2" s="289" t="s">
        <v>1181</v>
      </c>
      <c r="F2" s="289" t="s">
        <v>1182</v>
      </c>
      <c r="G2" s="289" t="s">
        <v>1183</v>
      </c>
      <c r="H2" s="290"/>
      <c r="I2" s="289" t="s">
        <v>1185</v>
      </c>
      <c r="J2" s="290"/>
      <c r="K2" s="289" t="s">
        <v>894</v>
      </c>
      <c r="M2" s="326" t="s">
        <v>329</v>
      </c>
    </row>
    <row r="3" spans="1:11" ht="16.5">
      <c r="A3" s="292"/>
      <c r="B3" s="281"/>
      <c r="C3" s="290"/>
      <c r="D3" s="290"/>
      <c r="E3" s="290"/>
      <c r="F3" s="290"/>
      <c r="G3" s="290"/>
      <c r="H3" s="290"/>
      <c r="I3" s="290"/>
      <c r="J3" s="290"/>
      <c r="K3" s="151"/>
    </row>
    <row r="4" spans="1:249" ht="17.25">
      <c r="A4" s="28" t="s">
        <v>1518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330"/>
      <c r="M4" s="330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48"/>
      <c r="FI4" s="148"/>
      <c r="FJ4" s="148"/>
      <c r="FK4" s="148"/>
      <c r="FL4" s="148"/>
      <c r="FM4" s="148"/>
      <c r="FN4" s="148"/>
      <c r="FO4" s="148"/>
      <c r="FP4" s="148"/>
      <c r="FQ4" s="148"/>
      <c r="FR4" s="148"/>
      <c r="FS4" s="148"/>
      <c r="FT4" s="148"/>
      <c r="FU4" s="148"/>
      <c r="FV4" s="148"/>
      <c r="FW4" s="148"/>
      <c r="FX4" s="148"/>
      <c r="FY4" s="148"/>
      <c r="FZ4" s="148"/>
      <c r="GA4" s="148"/>
      <c r="GB4" s="148"/>
      <c r="GC4" s="148"/>
      <c r="GD4" s="148"/>
      <c r="GE4" s="148"/>
      <c r="GF4" s="148"/>
      <c r="GG4" s="148"/>
      <c r="GH4" s="148"/>
      <c r="GI4" s="148"/>
      <c r="GJ4" s="148"/>
      <c r="GK4" s="148"/>
      <c r="GL4" s="148"/>
      <c r="GM4" s="148"/>
      <c r="GN4" s="148"/>
      <c r="GO4" s="148"/>
      <c r="GP4" s="148"/>
      <c r="GQ4" s="148"/>
      <c r="GR4" s="148"/>
      <c r="GS4" s="148"/>
      <c r="GT4" s="148"/>
      <c r="GU4" s="148"/>
      <c r="GV4" s="148"/>
      <c r="GW4" s="148"/>
      <c r="GX4" s="148"/>
      <c r="GY4" s="148"/>
      <c r="GZ4" s="148"/>
      <c r="HA4" s="148"/>
      <c r="HB4" s="148"/>
      <c r="HC4" s="148"/>
      <c r="HD4" s="148"/>
      <c r="HE4" s="148"/>
      <c r="HF4" s="148"/>
      <c r="HG4" s="148"/>
      <c r="HH4" s="148"/>
      <c r="HI4" s="148"/>
      <c r="HJ4" s="148"/>
      <c r="HK4" s="148"/>
      <c r="HL4" s="148"/>
      <c r="HM4" s="148"/>
      <c r="HN4" s="148"/>
      <c r="HO4" s="148"/>
      <c r="HP4" s="148"/>
      <c r="HQ4" s="148"/>
      <c r="HR4" s="148"/>
      <c r="HS4" s="148"/>
      <c r="HT4" s="148"/>
      <c r="HU4" s="148"/>
      <c r="HV4" s="148"/>
      <c r="HW4" s="148"/>
      <c r="HX4" s="148"/>
      <c r="HY4" s="148"/>
      <c r="HZ4" s="148"/>
      <c r="IA4" s="148"/>
      <c r="IB4" s="148"/>
      <c r="IC4" s="148"/>
      <c r="ID4" s="148"/>
      <c r="IE4" s="148"/>
      <c r="IF4" s="148"/>
      <c r="IG4" s="148"/>
      <c r="IH4" s="148"/>
      <c r="II4" s="148"/>
      <c r="IJ4" s="148"/>
      <c r="IK4" s="148"/>
      <c r="IL4" s="148"/>
      <c r="IM4" s="148"/>
      <c r="IN4" s="148"/>
      <c r="IO4" s="148"/>
    </row>
    <row r="5" spans="1:13" ht="16.5">
      <c r="A5" s="2" t="s">
        <v>40</v>
      </c>
      <c r="B5" s="328">
        <v>5550083</v>
      </c>
      <c r="C5" s="344">
        <v>24838.525538399997</v>
      </c>
      <c r="D5" s="344">
        <v>5004.7560164</v>
      </c>
      <c r="E5" s="344">
        <v>12748.6842728</v>
      </c>
      <c r="F5" s="344">
        <v>16318.258202399998</v>
      </c>
      <c r="G5" s="344">
        <v>13173.255969999998</v>
      </c>
      <c r="H5" s="423"/>
      <c r="I5" s="298">
        <f>SUM(C5:G5)</f>
        <v>72083.48</v>
      </c>
      <c r="J5" s="298"/>
      <c r="K5" s="328" t="s">
        <v>1547</v>
      </c>
      <c r="M5" s="298">
        <f aca="true" t="shared" si="0" ref="M5:M68">IF(K5="East Zone SIA",I5,"")</f>
      </c>
    </row>
    <row r="6" spans="1:13" ht="16.5">
      <c r="A6" s="2" t="s">
        <v>533</v>
      </c>
      <c r="B6" s="328">
        <v>5650012</v>
      </c>
      <c r="C6" s="344">
        <v>436611.93566039996</v>
      </c>
      <c r="D6" s="344">
        <v>87973.6685034</v>
      </c>
      <c r="E6" s="344">
        <v>224096.54344679997</v>
      </c>
      <c r="F6" s="344">
        <v>286842.56194439996</v>
      </c>
      <c r="G6" s="344">
        <v>231559.67044499997</v>
      </c>
      <c r="H6" s="423"/>
      <c r="I6" s="298">
        <f aca="true" t="shared" si="1" ref="I6:I69">SUM(C6:G6)</f>
        <v>1267084.38</v>
      </c>
      <c r="J6" s="298"/>
      <c r="K6" s="328" t="s">
        <v>1547</v>
      </c>
      <c r="M6" s="298">
        <f t="shared" si="0"/>
      </c>
    </row>
    <row r="7" spans="1:13" ht="16.5">
      <c r="A7" s="2" t="s">
        <v>205</v>
      </c>
      <c r="B7" s="328">
        <v>4470107</v>
      </c>
      <c r="C7" s="344">
        <v>-176.45597220000002</v>
      </c>
      <c r="D7" s="344">
        <v>-35.5544087</v>
      </c>
      <c r="E7" s="344">
        <v>-90.5682374</v>
      </c>
      <c r="F7" s="344">
        <v>-115.9269342</v>
      </c>
      <c r="G7" s="344">
        <v>-93.58444750000001</v>
      </c>
      <c r="H7" s="423"/>
      <c r="I7" s="298">
        <f t="shared" si="1"/>
        <v>-512.09</v>
      </c>
      <c r="J7" s="298"/>
      <c r="K7" s="328" t="s">
        <v>328</v>
      </c>
      <c r="M7" s="298">
        <f t="shared" si="0"/>
        <v>-512.09</v>
      </c>
    </row>
    <row r="8" spans="1:13" ht="16.5">
      <c r="A8" s="2" t="s">
        <v>534</v>
      </c>
      <c r="B8" s="328">
        <v>4561005</v>
      </c>
      <c r="C8" s="344">
        <v>51.0219606</v>
      </c>
      <c r="D8" s="344">
        <v>10.280500100000001</v>
      </c>
      <c r="E8" s="344">
        <v>26.187660199999996</v>
      </c>
      <c r="F8" s="344">
        <v>33.5200866</v>
      </c>
      <c r="G8" s="344">
        <v>27.059792499999997</v>
      </c>
      <c r="H8" s="423"/>
      <c r="I8" s="298">
        <f t="shared" si="1"/>
        <v>148.07</v>
      </c>
      <c r="J8" s="298"/>
      <c r="K8" s="328" t="s">
        <v>1547</v>
      </c>
      <c r="M8" s="298">
        <f t="shared" si="0"/>
      </c>
    </row>
    <row r="9" spans="1:13" ht="16.5">
      <c r="A9" s="2" t="s">
        <v>1536</v>
      </c>
      <c r="B9" s="328">
        <v>4470106</v>
      </c>
      <c r="C9" s="344">
        <v>3541.817217</v>
      </c>
      <c r="D9" s="344">
        <v>713.6466695</v>
      </c>
      <c r="E9" s="344">
        <v>1817.8820389999998</v>
      </c>
      <c r="F9" s="344">
        <v>2326.880787</v>
      </c>
      <c r="G9" s="344">
        <v>1878.4232874999998</v>
      </c>
      <c r="H9" s="423"/>
      <c r="I9" s="298">
        <f t="shared" si="1"/>
        <v>10278.65</v>
      </c>
      <c r="J9" s="298"/>
      <c r="K9" s="328" t="s">
        <v>328</v>
      </c>
      <c r="M9" s="298">
        <f t="shared" si="0"/>
        <v>10278.65</v>
      </c>
    </row>
    <row r="10" spans="1:13" ht="16.5">
      <c r="A10" s="2" t="s">
        <v>1530</v>
      </c>
      <c r="B10" s="328">
        <v>4470093</v>
      </c>
      <c r="C10" s="344">
        <v>1959516.916013923</v>
      </c>
      <c r="D10" s="344">
        <v>394826.3377991952</v>
      </c>
      <c r="E10" s="344">
        <v>1005746.5951773823</v>
      </c>
      <c r="F10" s="344">
        <v>1287351.092481374</v>
      </c>
      <c r="G10" s="344">
        <v>1039241.1527121261</v>
      </c>
      <c r="H10" s="423"/>
      <c r="I10" s="298">
        <f t="shared" si="1"/>
        <v>5686682.094184001</v>
      </c>
      <c r="J10" s="298"/>
      <c r="K10" s="328" t="s">
        <v>1547</v>
      </c>
      <c r="M10" s="298">
        <f t="shared" si="0"/>
      </c>
    </row>
    <row r="11" spans="1:13" ht="16.5">
      <c r="A11" s="2" t="s">
        <v>1530</v>
      </c>
      <c r="B11" s="328">
        <v>4470126</v>
      </c>
      <c r="C11" s="344">
        <v>1254386.5053636774</v>
      </c>
      <c r="D11" s="344">
        <v>252748.43307040492</v>
      </c>
      <c r="E11" s="344">
        <v>643829.5819218177</v>
      </c>
      <c r="F11" s="344">
        <v>824098.9525922261</v>
      </c>
      <c r="G11" s="344">
        <v>665271.152867874</v>
      </c>
      <c r="H11" s="423"/>
      <c r="I11" s="298">
        <f t="shared" si="1"/>
        <v>3640334.625816</v>
      </c>
      <c r="J11" s="298"/>
      <c r="K11" s="328" t="s">
        <v>328</v>
      </c>
      <c r="M11" s="298">
        <f t="shared" si="0"/>
        <v>3640334.625816</v>
      </c>
    </row>
    <row r="12" spans="1:13" ht="16.5">
      <c r="A12" s="2" t="s">
        <v>1525</v>
      </c>
      <c r="B12" s="328">
        <v>4470093</v>
      </c>
      <c r="C12" s="344">
        <v>233011.3429155024</v>
      </c>
      <c r="D12" s="344">
        <v>46949.8448506104</v>
      </c>
      <c r="E12" s="344">
        <v>119595.9896338608</v>
      </c>
      <c r="F12" s="344">
        <v>153082.3257566064</v>
      </c>
      <c r="G12" s="344">
        <v>123578.91612342</v>
      </c>
      <c r="H12" s="423"/>
      <c r="I12" s="298">
        <f t="shared" si="1"/>
        <v>676218.41928</v>
      </c>
      <c r="J12" s="298"/>
      <c r="K12" s="328" t="s">
        <v>1547</v>
      </c>
      <c r="M12" s="298">
        <f t="shared" si="0"/>
      </c>
    </row>
    <row r="13" spans="1:13" ht="16.5">
      <c r="A13" s="2" t="s">
        <v>1525</v>
      </c>
      <c r="B13" s="328">
        <v>4470126</v>
      </c>
      <c r="C13" s="344">
        <v>-172857.6505065024</v>
      </c>
      <c r="D13" s="344">
        <v>-34829.3768491104</v>
      </c>
      <c r="E13" s="344">
        <v>-88721.35373086079</v>
      </c>
      <c r="F13" s="344">
        <v>-113562.93145760639</v>
      </c>
      <c r="G13" s="344">
        <v>-91676.05673591999</v>
      </c>
      <c r="H13" s="423"/>
      <c r="I13" s="298">
        <f t="shared" si="1"/>
        <v>-501647.36928</v>
      </c>
      <c r="J13" s="298"/>
      <c r="K13" s="328" t="s">
        <v>328</v>
      </c>
      <c r="M13" s="298">
        <f t="shared" si="0"/>
        <v>-501647.36928</v>
      </c>
    </row>
    <row r="14" spans="1:13" ht="16.5">
      <c r="A14" s="2" t="s">
        <v>50</v>
      </c>
      <c r="B14" s="328">
        <v>4470207</v>
      </c>
      <c r="C14" s="344">
        <v>0.0034458</v>
      </c>
      <c r="D14" s="344">
        <v>0.0006943</v>
      </c>
      <c r="E14" s="344">
        <v>0.0017686</v>
      </c>
      <c r="F14" s="344">
        <v>0.0022638</v>
      </c>
      <c r="G14" s="344">
        <v>0.0018275</v>
      </c>
      <c r="H14" s="423"/>
      <c r="I14" s="298">
        <f t="shared" si="1"/>
        <v>0.009999999999999998</v>
      </c>
      <c r="J14" s="298"/>
      <c r="K14" s="328" t="s">
        <v>1547</v>
      </c>
      <c r="M14" s="298">
        <f t="shared" si="0"/>
      </c>
    </row>
    <row r="15" spans="1:13" ht="16.5">
      <c r="A15" s="2" t="s">
        <v>1531</v>
      </c>
      <c r="B15" s="328">
        <v>4470207</v>
      </c>
      <c r="C15" s="344">
        <v>4122211.274796175</v>
      </c>
      <c r="D15" s="344">
        <v>830591.2380553092</v>
      </c>
      <c r="E15" s="344">
        <v>2115776.557143338</v>
      </c>
      <c r="F15" s="344">
        <v>2708184.422741767</v>
      </c>
      <c r="G15" s="344">
        <v>2186238.6397034097</v>
      </c>
      <c r="H15" s="423"/>
      <c r="I15" s="298">
        <f t="shared" si="1"/>
        <v>11963002.132439999</v>
      </c>
      <c r="J15" s="298"/>
      <c r="K15" s="328" t="s">
        <v>1547</v>
      </c>
      <c r="M15" s="298">
        <f t="shared" si="0"/>
      </c>
    </row>
    <row r="16" spans="1:13" ht="16.5">
      <c r="A16" s="2" t="s">
        <v>50</v>
      </c>
      <c r="B16" s="328">
        <v>4470209</v>
      </c>
      <c r="C16" s="344">
        <v>0</v>
      </c>
      <c r="D16" s="344">
        <v>0</v>
      </c>
      <c r="E16" s="344">
        <v>0</v>
      </c>
      <c r="F16" s="344">
        <v>0</v>
      </c>
      <c r="G16" s="344">
        <v>0</v>
      </c>
      <c r="H16" s="423"/>
      <c r="I16" s="298">
        <f t="shared" si="1"/>
        <v>0</v>
      </c>
      <c r="J16" s="298"/>
      <c r="K16" s="328" t="s">
        <v>328</v>
      </c>
      <c r="M16" s="298">
        <f t="shared" si="0"/>
        <v>0</v>
      </c>
    </row>
    <row r="17" spans="1:13" ht="16.5">
      <c r="A17" s="2" t="s">
        <v>1531</v>
      </c>
      <c r="B17" s="328">
        <v>4470209</v>
      </c>
      <c r="C17" s="344">
        <v>1837325.0484598249</v>
      </c>
      <c r="D17" s="344">
        <v>370205.6942206909</v>
      </c>
      <c r="E17" s="344">
        <v>943030.0890086616</v>
      </c>
      <c r="F17" s="344">
        <v>1207074.248274233</v>
      </c>
      <c r="G17" s="344">
        <v>974435.9875965901</v>
      </c>
      <c r="H17" s="423"/>
      <c r="I17" s="298">
        <f t="shared" si="1"/>
        <v>5332071.06756</v>
      </c>
      <c r="J17" s="298"/>
      <c r="K17" s="328" t="s">
        <v>328</v>
      </c>
      <c r="M17" s="298">
        <f t="shared" si="0"/>
        <v>5332071.06756</v>
      </c>
    </row>
    <row r="18" spans="1:13" ht="16.5">
      <c r="A18" s="2" t="s">
        <v>1526</v>
      </c>
      <c r="B18" s="328">
        <v>4470207</v>
      </c>
      <c r="C18" s="344">
        <v>438754.2530940317</v>
      </c>
      <c r="D18" s="344">
        <v>88405.3276229573</v>
      </c>
      <c r="E18" s="344">
        <v>225196.11469676255</v>
      </c>
      <c r="F18" s="344">
        <v>288250.0081706045</v>
      </c>
      <c r="G18" s="344">
        <v>232695.860911644</v>
      </c>
      <c r="H18" s="423"/>
      <c r="I18" s="298">
        <f t="shared" si="1"/>
        <v>1273301.564496</v>
      </c>
      <c r="J18" s="298"/>
      <c r="K18" s="328" t="s">
        <v>1547</v>
      </c>
      <c r="M18" s="298">
        <f t="shared" si="0"/>
      </c>
    </row>
    <row r="19" spans="1:13" ht="16.5">
      <c r="A19" s="2" t="s">
        <v>1526</v>
      </c>
      <c r="B19" s="328">
        <v>4470209</v>
      </c>
      <c r="C19" s="344">
        <v>-299174.7362988317</v>
      </c>
      <c r="D19" s="344">
        <v>-60281.217543757295</v>
      </c>
      <c r="E19" s="344">
        <v>-153555.17981836258</v>
      </c>
      <c r="F19" s="344">
        <v>-196549.9355834045</v>
      </c>
      <c r="G19" s="344">
        <v>-158669.05525164402</v>
      </c>
      <c r="H19" s="423"/>
      <c r="I19" s="298">
        <f t="shared" si="1"/>
        <v>-868230.1244960001</v>
      </c>
      <c r="J19" s="298"/>
      <c r="K19" s="328" t="s">
        <v>328</v>
      </c>
      <c r="M19" s="298">
        <f t="shared" si="0"/>
        <v>-868230.1244960001</v>
      </c>
    </row>
    <row r="20" spans="1:13" ht="16.5">
      <c r="A20" s="2" t="s">
        <v>139</v>
      </c>
      <c r="B20" s="328">
        <v>5550040</v>
      </c>
      <c r="C20" s="344">
        <v>61626.9821028</v>
      </c>
      <c r="D20" s="344">
        <v>12417.323603800001</v>
      </c>
      <c r="E20" s="344">
        <v>31630.8202876</v>
      </c>
      <c r="F20" s="344">
        <v>40487.3068908</v>
      </c>
      <c r="G20" s="344">
        <v>32684.227115</v>
      </c>
      <c r="H20" s="423"/>
      <c r="I20" s="298">
        <f t="shared" si="1"/>
        <v>178846.66000000003</v>
      </c>
      <c r="J20" s="298"/>
      <c r="K20" s="328" t="s">
        <v>1547</v>
      </c>
      <c r="M20" s="298">
        <f t="shared" si="0"/>
      </c>
    </row>
    <row r="21" spans="1:13" ht="16.5">
      <c r="A21" s="2" t="s">
        <v>139</v>
      </c>
      <c r="B21" s="328">
        <v>5550039</v>
      </c>
      <c r="C21" s="344">
        <v>5351.585835</v>
      </c>
      <c r="D21" s="344">
        <v>1078.2999725000002</v>
      </c>
      <c r="E21" s="344">
        <v>2746.7684449999997</v>
      </c>
      <c r="F21" s="344">
        <v>3515.851185</v>
      </c>
      <c r="G21" s="344">
        <v>2838.2445625</v>
      </c>
      <c r="H21" s="423"/>
      <c r="I21" s="298">
        <f t="shared" si="1"/>
        <v>15530.75</v>
      </c>
      <c r="J21" s="298"/>
      <c r="K21" s="328" t="s">
        <v>328</v>
      </c>
      <c r="M21" s="298">
        <f t="shared" si="0"/>
        <v>15530.75</v>
      </c>
    </row>
    <row r="22" spans="1:13" ht="16.5">
      <c r="A22" s="2" t="s">
        <v>463</v>
      </c>
      <c r="B22" s="328">
        <v>5550036</v>
      </c>
      <c r="C22" s="344">
        <v>757.1594172</v>
      </c>
      <c r="D22" s="344">
        <v>152.56131620000002</v>
      </c>
      <c r="E22" s="344">
        <v>388.6215524</v>
      </c>
      <c r="F22" s="344">
        <v>497.43382920000005</v>
      </c>
      <c r="G22" s="344">
        <v>401.563885</v>
      </c>
      <c r="H22" s="423"/>
      <c r="I22" s="298">
        <f t="shared" si="1"/>
        <v>2197.34</v>
      </c>
      <c r="J22" s="298"/>
      <c r="K22" s="328" t="s">
        <v>1547</v>
      </c>
      <c r="M22" s="298">
        <f t="shared" si="0"/>
      </c>
    </row>
    <row r="23" spans="1:13" ht="16.5">
      <c r="A23" s="2" t="s">
        <v>1917</v>
      </c>
      <c r="B23" s="328">
        <v>5550036</v>
      </c>
      <c r="C23" s="344">
        <v>-676.0797431999999</v>
      </c>
      <c r="D23" s="344">
        <v>-136.2244372</v>
      </c>
      <c r="E23" s="344">
        <v>-347.0063944</v>
      </c>
      <c r="F23" s="344">
        <v>-444.16661519999997</v>
      </c>
      <c r="G23" s="344">
        <v>-358.56281</v>
      </c>
      <c r="H23" s="423"/>
      <c r="I23" s="298">
        <f t="shared" si="1"/>
        <v>-1962.04</v>
      </c>
      <c r="J23" s="298"/>
      <c r="K23" s="328" t="s">
        <v>1547</v>
      </c>
      <c r="M23" s="298">
        <f t="shared" si="0"/>
      </c>
    </row>
    <row r="24" spans="1:13" ht="16.5">
      <c r="A24" s="2" t="s">
        <v>25</v>
      </c>
      <c r="B24" s="328">
        <v>4470116</v>
      </c>
      <c r="C24" s="344">
        <v>-3098.8906392</v>
      </c>
      <c r="D24" s="344">
        <v>-624.4006532000001</v>
      </c>
      <c r="E24" s="344">
        <v>-1590.5444263999998</v>
      </c>
      <c r="F24" s="344">
        <v>-2035.8896711999998</v>
      </c>
      <c r="G24" s="344">
        <v>-1643.51461</v>
      </c>
      <c r="H24" s="423"/>
      <c r="I24" s="298">
        <f t="shared" si="1"/>
        <v>-8993.24</v>
      </c>
      <c r="J24" s="298"/>
      <c r="K24" s="328" t="s">
        <v>1547</v>
      </c>
      <c r="M24" s="298">
        <f t="shared" si="0"/>
      </c>
    </row>
    <row r="25" spans="1:13" ht="16.5">
      <c r="A25" s="2" t="s">
        <v>25</v>
      </c>
      <c r="B25" s="328">
        <v>4470115</v>
      </c>
      <c r="C25" s="344">
        <v>-269.099751</v>
      </c>
      <c r="D25" s="344">
        <v>-54.22135850000001</v>
      </c>
      <c r="E25" s="344">
        <v>-138.118817</v>
      </c>
      <c r="F25" s="344">
        <v>-176.791461</v>
      </c>
      <c r="G25" s="344">
        <v>-142.7186125</v>
      </c>
      <c r="H25" s="423"/>
      <c r="I25" s="298">
        <f t="shared" si="1"/>
        <v>-780.95</v>
      </c>
      <c r="J25" s="298"/>
      <c r="K25" s="328" t="s">
        <v>328</v>
      </c>
      <c r="M25" s="298">
        <f t="shared" si="0"/>
        <v>-780.95</v>
      </c>
    </row>
    <row r="26" spans="1:13" ht="16.5">
      <c r="A26" s="2" t="s">
        <v>1911</v>
      </c>
      <c r="B26" s="328">
        <v>5614001</v>
      </c>
      <c r="C26" s="344">
        <v>-4805.9192844</v>
      </c>
      <c r="D26" s="344">
        <v>-968.3527074000001</v>
      </c>
      <c r="E26" s="344">
        <v>-2466.6982548</v>
      </c>
      <c r="F26" s="344">
        <v>-3157.3626084</v>
      </c>
      <c r="G26" s="344">
        <v>-2548.847145</v>
      </c>
      <c r="H26" s="423"/>
      <c r="I26" s="298">
        <f t="shared" si="1"/>
        <v>-13947.18</v>
      </c>
      <c r="J26" s="298"/>
      <c r="K26" s="328" t="s">
        <v>1547</v>
      </c>
      <c r="M26" s="298">
        <f t="shared" si="0"/>
      </c>
    </row>
    <row r="27" spans="1:13" ht="16.5">
      <c r="A27" s="2" t="s">
        <v>1911</v>
      </c>
      <c r="B27" s="328">
        <v>5614000</v>
      </c>
      <c r="C27" s="344">
        <v>-417.3346212</v>
      </c>
      <c r="D27" s="344">
        <v>-84.08945020000002</v>
      </c>
      <c r="E27" s="344">
        <v>-214.20222040000002</v>
      </c>
      <c r="F27" s="344">
        <v>-274.1778732</v>
      </c>
      <c r="G27" s="344">
        <v>-221.335835</v>
      </c>
      <c r="H27" s="423"/>
      <c r="I27" s="298">
        <f t="shared" si="1"/>
        <v>-1211.14</v>
      </c>
      <c r="J27" s="298"/>
      <c r="K27" s="328" t="s">
        <v>328</v>
      </c>
      <c r="M27" s="298">
        <f t="shared" si="0"/>
        <v>-1211.14</v>
      </c>
    </row>
    <row r="28" spans="1:13" ht="16.5">
      <c r="A28" s="2" t="s">
        <v>51</v>
      </c>
      <c r="B28" s="328">
        <v>5550075</v>
      </c>
      <c r="C28" s="344">
        <v>196.5208656</v>
      </c>
      <c r="D28" s="344">
        <v>39.597317600000004</v>
      </c>
      <c r="E28" s="344">
        <v>100.8667952</v>
      </c>
      <c r="F28" s="344">
        <v>129.1090416</v>
      </c>
      <c r="G28" s="344">
        <v>104.22598</v>
      </c>
      <c r="H28" s="423"/>
      <c r="I28" s="298">
        <f t="shared" si="1"/>
        <v>570.32</v>
      </c>
      <c r="J28" s="298"/>
      <c r="K28" s="328" t="s">
        <v>1547</v>
      </c>
      <c r="M28" s="298">
        <f t="shared" si="0"/>
      </c>
    </row>
    <row r="29" spans="1:13" ht="16.5">
      <c r="A29" s="2" t="s">
        <v>1541</v>
      </c>
      <c r="B29" s="328">
        <v>5550074</v>
      </c>
      <c r="C29" s="344">
        <v>982222.1749968</v>
      </c>
      <c r="D29" s="344">
        <v>197909.5873528</v>
      </c>
      <c r="E29" s="344">
        <v>504137.83118559996</v>
      </c>
      <c r="F29" s="344">
        <v>645294.1435248</v>
      </c>
      <c r="G29" s="344">
        <v>520927.22294</v>
      </c>
      <c r="H29" s="423"/>
      <c r="I29" s="298">
        <f t="shared" si="1"/>
        <v>2850490.96</v>
      </c>
      <c r="J29" s="298"/>
      <c r="K29" s="328" t="s">
        <v>1547</v>
      </c>
      <c r="M29" s="298">
        <f t="shared" si="0"/>
      </c>
    </row>
    <row r="30" spans="1:13" ht="16.5">
      <c r="A30" s="2" t="s">
        <v>1915</v>
      </c>
      <c r="B30" s="328">
        <v>5550078</v>
      </c>
      <c r="C30" s="344">
        <v>-45.5500302</v>
      </c>
      <c r="D30" s="344">
        <v>-9.177951700000001</v>
      </c>
      <c r="E30" s="344">
        <v>-23.379123399999997</v>
      </c>
      <c r="F30" s="344">
        <v>-29.9251722</v>
      </c>
      <c r="G30" s="344">
        <v>-24.1577225</v>
      </c>
      <c r="H30" s="423"/>
      <c r="I30" s="298">
        <f t="shared" si="1"/>
        <v>-132.19</v>
      </c>
      <c r="J30" s="298"/>
      <c r="K30" s="328" t="s">
        <v>1547</v>
      </c>
      <c r="M30" s="298">
        <f t="shared" si="0"/>
      </c>
    </row>
    <row r="31" spans="1:13" ht="16.5">
      <c r="A31" s="2" t="s">
        <v>1543</v>
      </c>
      <c r="B31" s="328">
        <v>5550078</v>
      </c>
      <c r="C31" s="344">
        <v>1431959.0077962</v>
      </c>
      <c r="D31" s="344">
        <v>288527.8133127</v>
      </c>
      <c r="E31" s="344">
        <v>734970.8924454</v>
      </c>
      <c r="F31" s="344">
        <v>940759.4177982</v>
      </c>
      <c r="G31" s="344">
        <v>759447.7586475</v>
      </c>
      <c r="H31" s="423"/>
      <c r="I31" s="298">
        <f t="shared" si="1"/>
        <v>4155664.89</v>
      </c>
      <c r="J31" s="298"/>
      <c r="K31" s="328" t="s">
        <v>1547</v>
      </c>
      <c r="M31" s="298">
        <f t="shared" si="0"/>
      </c>
    </row>
    <row r="32" spans="1:13" ht="16.5">
      <c r="A32" s="2" t="s">
        <v>1912</v>
      </c>
      <c r="B32" s="328">
        <v>4470215</v>
      </c>
      <c r="C32" s="344">
        <v>10918.8753042</v>
      </c>
      <c r="D32" s="344">
        <v>2200.0624307000003</v>
      </c>
      <c r="E32" s="344">
        <v>5604.2494814</v>
      </c>
      <c r="F32" s="344">
        <v>7173.4139862</v>
      </c>
      <c r="G32" s="344">
        <v>5790.8887975</v>
      </c>
      <c r="H32" s="423"/>
      <c r="I32" s="298">
        <f t="shared" si="1"/>
        <v>31687.49</v>
      </c>
      <c r="J32" s="298"/>
      <c r="K32" s="328" t="s">
        <v>328</v>
      </c>
      <c r="M32" s="298">
        <f t="shared" si="0"/>
        <v>31687.49</v>
      </c>
    </row>
    <row r="33" spans="1:13" ht="16.5">
      <c r="A33" s="2" t="s">
        <v>1913</v>
      </c>
      <c r="B33" s="328">
        <v>4470203</v>
      </c>
      <c r="C33" s="344">
        <v>316641.6362274</v>
      </c>
      <c r="D33" s="344">
        <v>63800.652397900005</v>
      </c>
      <c r="E33" s="344">
        <v>162520.2849358</v>
      </c>
      <c r="F33" s="344">
        <v>208025.2295814</v>
      </c>
      <c r="G33" s="344">
        <v>167932.7268575</v>
      </c>
      <c r="H33" s="423"/>
      <c r="I33" s="298">
        <f t="shared" si="1"/>
        <v>918920.5300000001</v>
      </c>
      <c r="J33" s="298"/>
      <c r="K33" s="328" t="s">
        <v>1547</v>
      </c>
      <c r="M33" s="298">
        <f t="shared" si="0"/>
      </c>
    </row>
    <row r="34" spans="1:13" ht="16.5">
      <c r="A34" s="2" t="s">
        <v>1913</v>
      </c>
      <c r="B34" s="328">
        <v>4470098</v>
      </c>
      <c r="C34" s="344">
        <v>27496.646670600003</v>
      </c>
      <c r="D34" s="344">
        <v>5540.345285100001</v>
      </c>
      <c r="E34" s="344">
        <v>14112.9982302</v>
      </c>
      <c r="F34" s="344">
        <v>18064.573896600003</v>
      </c>
      <c r="G34" s="344">
        <v>14583.0059175</v>
      </c>
      <c r="H34" s="423"/>
      <c r="I34" s="298">
        <f t="shared" si="1"/>
        <v>79797.57</v>
      </c>
      <c r="J34" s="298"/>
      <c r="K34" s="328" t="s">
        <v>328</v>
      </c>
      <c r="M34" s="298">
        <f t="shared" si="0"/>
        <v>79797.57</v>
      </c>
    </row>
    <row r="35" spans="1:13" ht="16.5">
      <c r="A35" s="2" t="s">
        <v>41</v>
      </c>
      <c r="B35" s="328">
        <v>4470203</v>
      </c>
      <c r="C35" s="344">
        <v>7791.66844754886</v>
      </c>
      <c r="D35" s="344">
        <v>1569.9562955288102</v>
      </c>
      <c r="E35" s="344">
        <v>3999.17140180362</v>
      </c>
      <c r="F35" s="344">
        <v>5118.92130464946</v>
      </c>
      <c r="G35" s="344">
        <v>4132.35651746925</v>
      </c>
      <c r="H35" s="423"/>
      <c r="I35" s="298">
        <f t="shared" si="1"/>
        <v>22612.073967000004</v>
      </c>
      <c r="J35" s="298"/>
      <c r="K35" s="328" t="s">
        <v>1547</v>
      </c>
      <c r="M35" s="298">
        <f t="shared" si="0"/>
      </c>
    </row>
    <row r="36" spans="1:13" ht="16.5">
      <c r="A36" s="2" t="s">
        <v>41</v>
      </c>
      <c r="B36" s="328">
        <v>4470098</v>
      </c>
      <c r="C36" s="344">
        <v>676.6159210511399</v>
      </c>
      <c r="D36" s="344">
        <v>136.33247257119</v>
      </c>
      <c r="E36" s="344">
        <v>347.28159439637994</v>
      </c>
      <c r="F36" s="344">
        <v>444.51886995053997</v>
      </c>
      <c r="G36" s="344">
        <v>358.84717503074995</v>
      </c>
      <c r="H36" s="423"/>
      <c r="I36" s="298">
        <f t="shared" si="1"/>
        <v>1963.5960329999998</v>
      </c>
      <c r="J36" s="298"/>
      <c r="K36" s="328" t="s">
        <v>328</v>
      </c>
      <c r="M36" s="298">
        <f t="shared" si="0"/>
        <v>1963.5960329999998</v>
      </c>
    </row>
    <row r="37" spans="1:13" ht="16.5">
      <c r="A37" s="2" t="s">
        <v>1584</v>
      </c>
      <c r="B37" s="328">
        <v>4470203</v>
      </c>
      <c r="C37" s="344">
        <v>5870.867895</v>
      </c>
      <c r="D37" s="344">
        <v>1182.9309825</v>
      </c>
      <c r="E37" s="344">
        <v>3013.296465</v>
      </c>
      <c r="F37" s="344">
        <v>3857.005845</v>
      </c>
      <c r="G37" s="344">
        <v>3113.6488125</v>
      </c>
      <c r="H37" s="423"/>
      <c r="I37" s="298">
        <f t="shared" si="1"/>
        <v>17037.75</v>
      </c>
      <c r="J37" s="298"/>
      <c r="K37" s="328" t="s">
        <v>1547</v>
      </c>
      <c r="M37" s="298">
        <f t="shared" si="0"/>
      </c>
    </row>
    <row r="38" spans="1:13" ht="16.5">
      <c r="A38" s="2" t="s">
        <v>1523</v>
      </c>
      <c r="B38" s="328">
        <v>4470203</v>
      </c>
      <c r="C38" s="344">
        <v>483673.7933814</v>
      </c>
      <c r="D38" s="344">
        <v>97456.24085690001</v>
      </c>
      <c r="E38" s="344">
        <v>248251.6312538</v>
      </c>
      <c r="F38" s="344">
        <v>317760.9650754</v>
      </c>
      <c r="G38" s="344">
        <v>256519.1994325</v>
      </c>
      <c r="H38" s="423"/>
      <c r="I38" s="298">
        <f t="shared" si="1"/>
        <v>1403661.83</v>
      </c>
      <c r="J38" s="298"/>
      <c r="K38" s="328" t="s">
        <v>1547</v>
      </c>
      <c r="M38" s="298">
        <f t="shared" si="0"/>
      </c>
    </row>
    <row r="39" spans="1:13" ht="16.5">
      <c r="A39" s="2" t="s">
        <v>1584</v>
      </c>
      <c r="B39" s="328">
        <v>4470098</v>
      </c>
      <c r="C39" s="344">
        <v>509.8130016</v>
      </c>
      <c r="D39" s="344">
        <v>102.7230736</v>
      </c>
      <c r="E39" s="344">
        <v>261.6679072</v>
      </c>
      <c r="F39" s="344">
        <v>334.9337376</v>
      </c>
      <c r="G39" s="344">
        <v>270.38228</v>
      </c>
      <c r="H39" s="423"/>
      <c r="I39" s="298">
        <f t="shared" si="1"/>
        <v>1479.5200000000002</v>
      </c>
      <c r="J39" s="298"/>
      <c r="K39" s="328" t="s">
        <v>328</v>
      </c>
      <c r="M39" s="298">
        <f t="shared" si="0"/>
        <v>1479.5200000000002</v>
      </c>
    </row>
    <row r="40" spans="1:13" ht="16.5">
      <c r="A40" s="2" t="s">
        <v>1523</v>
      </c>
      <c r="B40" s="328">
        <v>4470098</v>
      </c>
      <c r="C40" s="344">
        <v>42001.4488776</v>
      </c>
      <c r="D40" s="344">
        <v>8462.9421196</v>
      </c>
      <c r="E40" s="344">
        <v>21557.769599199997</v>
      </c>
      <c r="F40" s="344">
        <v>27593.8475736</v>
      </c>
      <c r="G40" s="344">
        <v>22275.71183</v>
      </c>
      <c r="H40" s="423"/>
      <c r="I40" s="298">
        <f t="shared" si="1"/>
        <v>121891.71999999999</v>
      </c>
      <c r="J40" s="298"/>
      <c r="K40" s="328" t="s">
        <v>328</v>
      </c>
      <c r="M40" s="298">
        <f t="shared" si="0"/>
        <v>121891.71999999999</v>
      </c>
    </row>
    <row r="41" spans="1:13" ht="16.5">
      <c r="A41" s="2" t="s">
        <v>1914</v>
      </c>
      <c r="B41" s="328">
        <v>4470203</v>
      </c>
      <c r="C41" s="344">
        <v>195.66303851412</v>
      </c>
      <c r="D41" s="344">
        <v>39.424472587020006</v>
      </c>
      <c r="E41" s="344">
        <v>100.42650470603999</v>
      </c>
      <c r="F41" s="344">
        <v>128.54547175932</v>
      </c>
      <c r="G41" s="344">
        <v>103.7710264335</v>
      </c>
      <c r="H41" s="423"/>
      <c r="I41" s="298">
        <f t="shared" si="1"/>
        <v>567.830514</v>
      </c>
      <c r="J41" s="298"/>
      <c r="K41" s="328" t="s">
        <v>1547</v>
      </c>
      <c r="M41" s="298">
        <f t="shared" si="0"/>
      </c>
    </row>
    <row r="42" spans="1:13" s="2" customFormat="1" ht="16.5">
      <c r="A42" s="2" t="s">
        <v>1914</v>
      </c>
      <c r="B42" s="328">
        <v>4470098</v>
      </c>
      <c r="C42" s="344">
        <v>16.99106268588</v>
      </c>
      <c r="D42" s="344">
        <v>3.4235576129800003</v>
      </c>
      <c r="E42" s="344">
        <v>8.72087569396</v>
      </c>
      <c r="F42" s="344">
        <v>11.16268144068</v>
      </c>
      <c r="G42" s="344">
        <v>9.0113085665</v>
      </c>
      <c r="H42" s="423"/>
      <c r="I42" s="298">
        <f t="shared" si="1"/>
        <v>49.309486</v>
      </c>
      <c r="J42" s="298"/>
      <c r="K42" s="328" t="s">
        <v>328</v>
      </c>
      <c r="M42" s="298">
        <f t="shared" si="0"/>
        <v>49.309486</v>
      </c>
    </row>
    <row r="43" spans="1:13" ht="16.5">
      <c r="A43" s="2" t="s">
        <v>52</v>
      </c>
      <c r="B43" s="328">
        <v>5550076</v>
      </c>
      <c r="C43" s="344">
        <v>-7.701363000000001</v>
      </c>
      <c r="D43" s="344">
        <v>-1.5517605000000003</v>
      </c>
      <c r="E43" s="344">
        <v>-3.952821</v>
      </c>
      <c r="F43" s="344">
        <v>-5.0595930000000005</v>
      </c>
      <c r="G43" s="344">
        <v>-4.0844625</v>
      </c>
      <c r="H43" s="423"/>
      <c r="I43" s="298">
        <f t="shared" si="1"/>
        <v>-22.35</v>
      </c>
      <c r="J43" s="298"/>
      <c r="K43" s="328" t="s">
        <v>1547</v>
      </c>
      <c r="M43" s="298">
        <f t="shared" si="0"/>
      </c>
    </row>
    <row r="44" spans="1:13" ht="16.5">
      <c r="A44" s="2" t="s">
        <v>1527</v>
      </c>
      <c r="B44" s="328">
        <v>5550076</v>
      </c>
      <c r="C44" s="344">
        <v>20894.5869072</v>
      </c>
      <c r="D44" s="344">
        <v>4210.0852312</v>
      </c>
      <c r="E44" s="344">
        <v>10724.408382399999</v>
      </c>
      <c r="F44" s="344">
        <v>13727.194219199999</v>
      </c>
      <c r="G44" s="344">
        <v>11081.56526</v>
      </c>
      <c r="H44" s="423"/>
      <c r="I44" s="298">
        <f t="shared" si="1"/>
        <v>60637.84</v>
      </c>
      <c r="J44" s="298"/>
      <c r="K44" s="328" t="s">
        <v>1547</v>
      </c>
      <c r="M44" s="298">
        <f t="shared" si="0"/>
      </c>
    </row>
    <row r="45" spans="1:13" ht="16.5">
      <c r="A45" s="2" t="s">
        <v>1580</v>
      </c>
      <c r="B45" s="328">
        <v>4470115</v>
      </c>
      <c r="C45" s="344">
        <v>112778.1188532</v>
      </c>
      <c r="D45" s="344">
        <v>22723.8516222</v>
      </c>
      <c r="E45" s="344">
        <v>57884.781764399995</v>
      </c>
      <c r="F45" s="344">
        <v>74092.2588252</v>
      </c>
      <c r="G45" s="344">
        <v>59812.528934999995</v>
      </c>
      <c r="H45" s="423"/>
      <c r="I45" s="298">
        <f t="shared" si="1"/>
        <v>327291.54</v>
      </c>
      <c r="J45" s="298"/>
      <c r="K45" s="328" t="s">
        <v>328</v>
      </c>
      <c r="M45" s="298">
        <f t="shared" si="0"/>
        <v>327291.54</v>
      </c>
    </row>
    <row r="46" spans="1:13" ht="16.5">
      <c r="A46" s="2" t="s">
        <v>1585</v>
      </c>
      <c r="B46" s="328">
        <v>4470093</v>
      </c>
      <c r="C46" s="344">
        <v>-1661.530302</v>
      </c>
      <c r="D46" s="344">
        <v>-334.784517</v>
      </c>
      <c r="E46" s="344">
        <v>-852.8012339999999</v>
      </c>
      <c r="F46" s="344">
        <v>-1091.581722</v>
      </c>
      <c r="G46" s="344">
        <v>-881.2022249999999</v>
      </c>
      <c r="H46" s="423"/>
      <c r="I46" s="298">
        <f t="shared" si="1"/>
        <v>-4821.9</v>
      </c>
      <c r="J46" s="298"/>
      <c r="K46" s="328" t="s">
        <v>1547</v>
      </c>
      <c r="M46" s="298">
        <f t="shared" si="0"/>
      </c>
    </row>
    <row r="47" spans="1:13" ht="16.5">
      <c r="A47" s="2" t="s">
        <v>1585</v>
      </c>
      <c r="B47" s="328">
        <v>4470126</v>
      </c>
      <c r="C47" s="344">
        <v>-144.2825376</v>
      </c>
      <c r="D47" s="344">
        <v>-29.071729600000005</v>
      </c>
      <c r="E47" s="344">
        <v>-74.0548192</v>
      </c>
      <c r="F47" s="344">
        <v>-94.78983360000001</v>
      </c>
      <c r="G47" s="344">
        <v>-76.52108</v>
      </c>
      <c r="H47" s="423"/>
      <c r="I47" s="298">
        <f t="shared" si="1"/>
        <v>-418.72</v>
      </c>
      <c r="J47" s="298"/>
      <c r="K47" s="328" t="s">
        <v>328</v>
      </c>
      <c r="M47" s="298">
        <f t="shared" si="0"/>
        <v>-418.72</v>
      </c>
    </row>
    <row r="48" spans="1:13" ht="16.5">
      <c r="A48" s="2" t="s">
        <v>1586</v>
      </c>
      <c r="B48" s="328">
        <v>4470207</v>
      </c>
      <c r="C48" s="344">
        <v>-3067.6992576</v>
      </c>
      <c r="D48" s="344">
        <v>-618.1158496</v>
      </c>
      <c r="E48" s="344">
        <v>-1574.5350591999998</v>
      </c>
      <c r="F48" s="344">
        <v>-2015.3977535999998</v>
      </c>
      <c r="G48" s="344">
        <v>-1626.9720799999998</v>
      </c>
      <c r="H48" s="423"/>
      <c r="I48" s="298">
        <f t="shared" si="1"/>
        <v>-8902.72</v>
      </c>
      <c r="J48" s="298"/>
      <c r="K48" s="328" t="s">
        <v>1547</v>
      </c>
      <c r="M48" s="298">
        <f t="shared" si="0"/>
      </c>
    </row>
    <row r="49" spans="1:13" ht="16.5">
      <c r="A49" s="2" t="s">
        <v>1586</v>
      </c>
      <c r="B49" s="328">
        <v>4470209</v>
      </c>
      <c r="C49" s="344">
        <v>-266.39135220000003</v>
      </c>
      <c r="D49" s="344">
        <v>-53.67563870000001</v>
      </c>
      <c r="E49" s="344">
        <v>-136.7286974</v>
      </c>
      <c r="F49" s="344">
        <v>-175.0121142</v>
      </c>
      <c r="G49" s="344">
        <v>-141.2821975</v>
      </c>
      <c r="H49" s="423"/>
      <c r="I49" s="298">
        <f t="shared" si="1"/>
        <v>-773.0900000000001</v>
      </c>
      <c r="J49" s="298"/>
      <c r="K49" s="328" t="s">
        <v>328</v>
      </c>
      <c r="M49" s="298">
        <f t="shared" si="0"/>
        <v>-773.0900000000001</v>
      </c>
    </row>
    <row r="50" spans="1:13" ht="16.5">
      <c r="A50" s="2" t="s">
        <v>206</v>
      </c>
      <c r="B50" s="328">
        <v>5550040</v>
      </c>
      <c r="C50" s="344">
        <v>12.559941</v>
      </c>
      <c r="D50" s="344">
        <v>2.5307235000000006</v>
      </c>
      <c r="E50" s="344">
        <v>6.446547</v>
      </c>
      <c r="F50" s="344">
        <v>8.251551000000001</v>
      </c>
      <c r="G50" s="344">
        <v>6.6612375</v>
      </c>
      <c r="H50" s="423"/>
      <c r="I50" s="298">
        <f t="shared" si="1"/>
        <v>36.45</v>
      </c>
      <c r="J50" s="298"/>
      <c r="K50" s="328" t="s">
        <v>1547</v>
      </c>
      <c r="M50" s="298">
        <f t="shared" si="0"/>
      </c>
    </row>
    <row r="51" spans="1:13" ht="16.5">
      <c r="A51" s="2" t="s">
        <v>206</v>
      </c>
      <c r="B51" s="328">
        <v>5550039</v>
      </c>
      <c r="C51" s="344">
        <v>1.0888728</v>
      </c>
      <c r="D51" s="344">
        <v>0.21939880000000003</v>
      </c>
      <c r="E51" s="344">
        <v>0.5588776</v>
      </c>
      <c r="F51" s="344">
        <v>0.7153608</v>
      </c>
      <c r="G51" s="344">
        <v>0.5774900000000001</v>
      </c>
      <c r="H51" s="423"/>
      <c r="I51" s="298">
        <f t="shared" si="1"/>
        <v>3.16</v>
      </c>
      <c r="J51" s="298"/>
      <c r="K51" s="328" t="s">
        <v>328</v>
      </c>
      <c r="M51" s="298">
        <f t="shared" si="0"/>
        <v>3.16</v>
      </c>
    </row>
    <row r="52" spans="1:13" ht="16.5">
      <c r="A52" s="2" t="s">
        <v>1576</v>
      </c>
      <c r="B52" s="328">
        <v>5614000</v>
      </c>
      <c r="C52" s="344">
        <v>799.5496488</v>
      </c>
      <c r="D52" s="344">
        <v>161.10259480000002</v>
      </c>
      <c r="E52" s="344">
        <v>410.3788696</v>
      </c>
      <c r="F52" s="344">
        <v>525.2830968000001</v>
      </c>
      <c r="G52" s="344">
        <v>424.04579</v>
      </c>
      <c r="H52" s="423"/>
      <c r="I52" s="298">
        <f t="shared" si="1"/>
        <v>2320.36</v>
      </c>
      <c r="J52" s="298"/>
      <c r="K52" s="328" t="s">
        <v>328</v>
      </c>
      <c r="M52" s="298">
        <f t="shared" si="0"/>
        <v>2320.36</v>
      </c>
    </row>
    <row r="53" spans="1:13" ht="16.5">
      <c r="A53" s="2" t="s">
        <v>207</v>
      </c>
      <c r="B53" s="328">
        <v>5614001</v>
      </c>
      <c r="C53" s="344">
        <v>-247.21892100000002</v>
      </c>
      <c r="D53" s="344">
        <v>-49.81255350000001</v>
      </c>
      <c r="E53" s="344">
        <v>-126.888207</v>
      </c>
      <c r="F53" s="344">
        <v>-162.416331</v>
      </c>
      <c r="G53" s="344">
        <v>-131.1139875</v>
      </c>
      <c r="H53" s="423"/>
      <c r="I53" s="298">
        <f t="shared" si="1"/>
        <v>-717.45</v>
      </c>
      <c r="J53" s="298"/>
      <c r="K53" s="328" t="s">
        <v>1547</v>
      </c>
      <c r="M53" s="298">
        <f t="shared" si="0"/>
      </c>
    </row>
    <row r="54" spans="1:13" ht="16.5">
      <c r="A54" s="2" t="s">
        <v>207</v>
      </c>
      <c r="B54" s="328">
        <v>5614000</v>
      </c>
      <c r="C54" s="344">
        <v>-21.467333999999997</v>
      </c>
      <c r="D54" s="344">
        <v>-4.325489</v>
      </c>
      <c r="E54" s="344">
        <v>-11.018377999999998</v>
      </c>
      <c r="F54" s="344">
        <v>-14.103473999999999</v>
      </c>
      <c r="G54" s="344">
        <v>-11.385325</v>
      </c>
      <c r="H54" s="423"/>
      <c r="I54" s="298">
        <f t="shared" si="1"/>
        <v>-62.3</v>
      </c>
      <c r="J54" s="298"/>
      <c r="K54" s="328" t="s">
        <v>328</v>
      </c>
      <c r="M54" s="298">
        <f t="shared" si="0"/>
        <v>-62.3</v>
      </c>
    </row>
    <row r="55" spans="1:13" ht="16.5">
      <c r="A55" s="2" t="s">
        <v>208</v>
      </c>
      <c r="B55" s="328">
        <v>5614001</v>
      </c>
      <c r="C55" s="344">
        <v>185.918139</v>
      </c>
      <c r="D55" s="344">
        <v>37.4609565</v>
      </c>
      <c r="E55" s="344">
        <v>95.42481299999999</v>
      </c>
      <c r="F55" s="344">
        <v>122.143329</v>
      </c>
      <c r="G55" s="344">
        <v>98.60276249999998</v>
      </c>
      <c r="H55" s="423"/>
      <c r="I55" s="298">
        <f t="shared" si="1"/>
        <v>539.55</v>
      </c>
      <c r="J55" s="298"/>
      <c r="K55" s="328" t="s">
        <v>1547</v>
      </c>
      <c r="M55" s="298">
        <f t="shared" si="0"/>
      </c>
    </row>
    <row r="56" spans="1:13" ht="16.5">
      <c r="A56" s="2" t="s">
        <v>208</v>
      </c>
      <c r="B56" s="328">
        <v>5614000</v>
      </c>
      <c r="C56" s="344">
        <v>16.143573</v>
      </c>
      <c r="D56" s="344">
        <v>3.2527955000000004</v>
      </c>
      <c r="E56" s="344">
        <v>8.285891</v>
      </c>
      <c r="F56" s="344">
        <v>10.605903</v>
      </c>
      <c r="G56" s="344">
        <v>8.5618375</v>
      </c>
      <c r="H56" s="423"/>
      <c r="I56" s="298">
        <f t="shared" si="1"/>
        <v>46.849999999999994</v>
      </c>
      <c r="J56" s="298"/>
      <c r="K56" s="328" t="s">
        <v>328</v>
      </c>
      <c r="M56" s="298">
        <f t="shared" si="0"/>
        <v>46.849999999999994</v>
      </c>
    </row>
    <row r="57" spans="1:13" ht="16.5">
      <c r="A57" s="2" t="s">
        <v>209</v>
      </c>
      <c r="B57" s="328">
        <v>5614001</v>
      </c>
      <c r="C57" s="344">
        <v>2.1019379999999996</v>
      </c>
      <c r="D57" s="344">
        <v>0.423523</v>
      </c>
      <c r="E57" s="344">
        <v>1.078846</v>
      </c>
      <c r="F57" s="344">
        <v>1.3809179999999999</v>
      </c>
      <c r="G57" s="344">
        <v>1.1147749999999998</v>
      </c>
      <c r="H57" s="423"/>
      <c r="I57" s="298">
        <f t="shared" si="1"/>
        <v>6.1</v>
      </c>
      <c r="J57" s="298"/>
      <c r="K57" s="328" t="s">
        <v>1547</v>
      </c>
      <c r="M57" s="298">
        <f t="shared" si="0"/>
      </c>
    </row>
    <row r="58" spans="1:13" ht="16.5">
      <c r="A58" s="2" t="s">
        <v>209</v>
      </c>
      <c r="B58" s="328">
        <v>5614000</v>
      </c>
      <c r="C58" s="344">
        <v>0.1791816</v>
      </c>
      <c r="D58" s="344">
        <v>0.036103600000000007</v>
      </c>
      <c r="E58" s="344">
        <v>0.0919672</v>
      </c>
      <c r="F58" s="344">
        <v>0.1177176</v>
      </c>
      <c r="G58" s="344">
        <v>0.09503</v>
      </c>
      <c r="H58" s="423"/>
      <c r="I58" s="298">
        <f t="shared" si="1"/>
        <v>0.52</v>
      </c>
      <c r="J58" s="298"/>
      <c r="K58" s="328" t="s">
        <v>328</v>
      </c>
      <c r="M58" s="298">
        <f t="shared" si="0"/>
        <v>0.52</v>
      </c>
    </row>
    <row r="59" spans="1:13" ht="16.5">
      <c r="A59" s="2" t="s">
        <v>210</v>
      </c>
      <c r="B59" s="328">
        <v>5618001</v>
      </c>
      <c r="C59" s="344">
        <v>22.6595808</v>
      </c>
      <c r="D59" s="344">
        <v>4.565716800000001</v>
      </c>
      <c r="E59" s="344">
        <v>11.630313600000001</v>
      </c>
      <c r="F59" s="344">
        <v>14.886748800000001</v>
      </c>
      <c r="G59" s="344">
        <v>12.01764</v>
      </c>
      <c r="H59" s="423"/>
      <c r="I59" s="298">
        <f t="shared" si="1"/>
        <v>65.75999999999999</v>
      </c>
      <c r="J59" s="298"/>
      <c r="K59" s="328" t="s">
        <v>1547</v>
      </c>
      <c r="M59" s="298">
        <f t="shared" si="0"/>
      </c>
    </row>
    <row r="60" spans="1:13" ht="16.5">
      <c r="A60" s="2" t="s">
        <v>210</v>
      </c>
      <c r="B60" s="328">
        <v>5618000</v>
      </c>
      <c r="C60" s="344">
        <v>1.9641060000000001</v>
      </c>
      <c r="D60" s="344">
        <v>0.395751</v>
      </c>
      <c r="E60" s="344">
        <v>1.008102</v>
      </c>
      <c r="F60" s="344">
        <v>1.2903660000000001</v>
      </c>
      <c r="G60" s="344">
        <v>1.041675</v>
      </c>
      <c r="H60" s="423"/>
      <c r="I60" s="298">
        <f t="shared" si="1"/>
        <v>5.7</v>
      </c>
      <c r="J60" s="298"/>
      <c r="K60" s="328" t="s">
        <v>328</v>
      </c>
      <c r="M60" s="298">
        <f t="shared" si="0"/>
        <v>5.7</v>
      </c>
    </row>
    <row r="61" spans="1:13" ht="16.5">
      <c r="A61" s="2" t="s">
        <v>211</v>
      </c>
      <c r="B61" s="328">
        <v>5618001</v>
      </c>
      <c r="C61" s="344">
        <v>28.9895154</v>
      </c>
      <c r="D61" s="344">
        <v>5.8411459</v>
      </c>
      <c r="E61" s="344">
        <v>14.879231799999998</v>
      </c>
      <c r="F61" s="344">
        <v>19.0453494</v>
      </c>
      <c r="G61" s="344">
        <v>15.3747575</v>
      </c>
      <c r="H61" s="423"/>
      <c r="I61" s="298">
        <f t="shared" si="1"/>
        <v>84.13</v>
      </c>
      <c r="J61" s="298"/>
      <c r="K61" s="328" t="s">
        <v>1547</v>
      </c>
      <c r="M61" s="298">
        <f t="shared" si="0"/>
      </c>
    </row>
    <row r="62" spans="1:13" ht="16.5">
      <c r="A62" s="2" t="s">
        <v>211</v>
      </c>
      <c r="B62" s="328">
        <v>5618000</v>
      </c>
      <c r="C62" s="344">
        <v>2.515434</v>
      </c>
      <c r="D62" s="344">
        <v>0.506839</v>
      </c>
      <c r="E62" s="344">
        <v>1.291078</v>
      </c>
      <c r="F62" s="344">
        <v>1.652574</v>
      </c>
      <c r="G62" s="344">
        <v>1.334075</v>
      </c>
      <c r="H62" s="423"/>
      <c r="I62" s="298">
        <f t="shared" si="1"/>
        <v>7.300000000000001</v>
      </c>
      <c r="J62" s="298"/>
      <c r="K62" s="328" t="s">
        <v>328</v>
      </c>
      <c r="M62" s="298">
        <f t="shared" si="0"/>
        <v>7.300000000000001</v>
      </c>
    </row>
    <row r="63" spans="1:13" ht="16.5">
      <c r="A63" s="2" t="s">
        <v>1578</v>
      </c>
      <c r="B63" s="328">
        <v>4470110</v>
      </c>
      <c r="C63" s="344">
        <v>199.1637942</v>
      </c>
      <c r="D63" s="344">
        <v>40.129845700000004</v>
      </c>
      <c r="E63" s="344">
        <v>102.2233114</v>
      </c>
      <c r="F63" s="344">
        <v>130.8453762</v>
      </c>
      <c r="G63" s="344">
        <v>105.6276725</v>
      </c>
      <c r="H63" s="423"/>
      <c r="I63" s="298">
        <f t="shared" si="1"/>
        <v>577.99</v>
      </c>
      <c r="J63" s="298"/>
      <c r="K63" s="328" t="s">
        <v>328</v>
      </c>
      <c r="M63" s="298">
        <f t="shared" si="0"/>
        <v>577.99</v>
      </c>
    </row>
    <row r="64" spans="1:13" ht="16.5">
      <c r="A64" s="2" t="s">
        <v>1579</v>
      </c>
      <c r="B64" s="328">
        <v>5550078</v>
      </c>
      <c r="C64" s="344">
        <v>854.2792902</v>
      </c>
      <c r="D64" s="344">
        <v>172.13016170000003</v>
      </c>
      <c r="E64" s="344">
        <v>438.46954339999996</v>
      </c>
      <c r="F64" s="344">
        <v>561.2390322</v>
      </c>
      <c r="G64" s="344">
        <v>453.0719725</v>
      </c>
      <c r="H64" s="423"/>
      <c r="I64" s="298">
        <f t="shared" si="1"/>
        <v>2479.19</v>
      </c>
      <c r="J64" s="298"/>
      <c r="K64" s="328" t="s">
        <v>1547</v>
      </c>
      <c r="M64" s="298">
        <f t="shared" si="0"/>
      </c>
    </row>
    <row r="65" spans="1:13" ht="16.5">
      <c r="A65" s="2" t="s">
        <v>1577</v>
      </c>
      <c r="B65" s="328">
        <v>5550083</v>
      </c>
      <c r="C65" s="344">
        <v>46.00487579999999</v>
      </c>
      <c r="D65" s="344">
        <v>9.2695993</v>
      </c>
      <c r="E65" s="344">
        <v>23.612578599999996</v>
      </c>
      <c r="F65" s="344">
        <v>30.2239938</v>
      </c>
      <c r="G65" s="344">
        <v>24.398952499999996</v>
      </c>
      <c r="H65" s="423"/>
      <c r="I65" s="298">
        <f t="shared" si="1"/>
        <v>133.51</v>
      </c>
      <c r="J65" s="298"/>
      <c r="K65" s="328" t="s">
        <v>1547</v>
      </c>
      <c r="M65" s="298">
        <f t="shared" si="0"/>
      </c>
    </row>
    <row r="66" spans="1:13" ht="16.5">
      <c r="A66" s="2" t="s">
        <v>1575</v>
      </c>
      <c r="B66" s="328">
        <v>5550041</v>
      </c>
      <c r="C66" s="344">
        <v>1.2887292000000001</v>
      </c>
      <c r="D66" s="344">
        <v>0.2596682</v>
      </c>
      <c r="E66" s="344">
        <v>0.6614563999999999</v>
      </c>
      <c r="F66" s="344">
        <v>0.8466612</v>
      </c>
      <c r="G66" s="344">
        <v>0.683485</v>
      </c>
      <c r="H66" s="423"/>
      <c r="I66" s="298">
        <f t="shared" si="1"/>
        <v>3.74</v>
      </c>
      <c r="J66" s="298"/>
      <c r="K66" s="328" t="s">
        <v>1547</v>
      </c>
      <c r="M66" s="298">
        <f t="shared" si="0"/>
      </c>
    </row>
    <row r="67" spans="1:13" ht="16.5">
      <c r="A67" s="2" t="s">
        <v>138</v>
      </c>
      <c r="B67" s="328">
        <v>4470100</v>
      </c>
      <c r="C67" s="344">
        <v>-152786.4549864</v>
      </c>
      <c r="D67" s="344">
        <v>-30785.198124400005</v>
      </c>
      <c r="E67" s="344">
        <v>-78419.5612888</v>
      </c>
      <c r="F67" s="344">
        <v>-100376.68373040001</v>
      </c>
      <c r="G67" s="344">
        <v>-81031.18187</v>
      </c>
      <c r="H67" s="423"/>
      <c r="I67" s="298">
        <f t="shared" si="1"/>
        <v>-443399.0800000001</v>
      </c>
      <c r="J67" s="298"/>
      <c r="K67" s="328" t="s">
        <v>328</v>
      </c>
      <c r="M67" s="298">
        <f t="shared" si="0"/>
        <v>-443399.0800000001</v>
      </c>
    </row>
    <row r="68" spans="1:13" ht="16.5">
      <c r="A68" s="2" t="s">
        <v>1535</v>
      </c>
      <c r="B68" s="328">
        <v>4470099</v>
      </c>
      <c r="C68" s="344">
        <v>192182.91352200002</v>
      </c>
      <c r="D68" s="344">
        <v>38723.256387</v>
      </c>
      <c r="E68" s="344">
        <v>98640.286974</v>
      </c>
      <c r="F68" s="344">
        <v>126259.121142</v>
      </c>
      <c r="G68" s="344">
        <v>101925.321975</v>
      </c>
      <c r="H68" s="423"/>
      <c r="I68" s="298">
        <f t="shared" si="1"/>
        <v>557730.9</v>
      </c>
      <c r="J68" s="298"/>
      <c r="K68" s="328" t="s">
        <v>328</v>
      </c>
      <c r="M68" s="298">
        <f t="shared" si="0"/>
        <v>557730.9</v>
      </c>
    </row>
    <row r="69" spans="1:13" ht="16.5">
      <c r="A69" s="2" t="s">
        <v>2051</v>
      </c>
      <c r="B69" s="328">
        <v>4561002</v>
      </c>
      <c r="C69" s="344">
        <v>48572.365079999996</v>
      </c>
      <c r="D69" s="344">
        <v>11705.229</v>
      </c>
      <c r="E69" s="344">
        <v>38583.903</v>
      </c>
      <c r="F69" s="344">
        <v>55144.634399999995</v>
      </c>
      <c r="G69" s="344">
        <v>19404.66852</v>
      </c>
      <c r="H69" s="423"/>
      <c r="I69" s="298">
        <f t="shared" si="1"/>
        <v>173410.8</v>
      </c>
      <c r="J69" s="298"/>
      <c r="K69" s="328" t="s">
        <v>1547</v>
      </c>
      <c r="M69" s="298">
        <f aca="true" t="shared" si="2" ref="M69:M132">IF(K69="East Zone SIA",I69,"")</f>
      </c>
    </row>
    <row r="70" spans="1:13" ht="16.5">
      <c r="A70" s="2" t="s">
        <v>1532</v>
      </c>
      <c r="B70" s="328">
        <v>4561003</v>
      </c>
      <c r="C70" s="344">
        <v>32042.403630000004</v>
      </c>
      <c r="D70" s="344">
        <v>7721.750250000001</v>
      </c>
      <c r="E70" s="344">
        <v>25453.176750000002</v>
      </c>
      <c r="F70" s="344">
        <v>36378.0234</v>
      </c>
      <c r="G70" s="344">
        <v>12800.94597</v>
      </c>
      <c r="H70" s="423"/>
      <c r="I70" s="298">
        <f aca="true" t="shared" si="3" ref="I70:I123">SUM(C70:G70)</f>
        <v>114396.30000000002</v>
      </c>
      <c r="J70" s="298"/>
      <c r="K70" s="328" t="s">
        <v>1547</v>
      </c>
      <c r="M70" s="298">
        <f t="shared" si="2"/>
      </c>
    </row>
    <row r="71" spans="1:13" ht="16.5">
      <c r="A71" s="2" t="s">
        <v>1533</v>
      </c>
      <c r="B71" s="328">
        <v>4561005</v>
      </c>
      <c r="C71" s="344">
        <v>-202267.19883719998</v>
      </c>
      <c r="D71" s="344">
        <v>-40755.1558862</v>
      </c>
      <c r="E71" s="344">
        <v>-103816.17269239998</v>
      </c>
      <c r="F71" s="344">
        <v>-132884.2314492</v>
      </c>
      <c r="G71" s="344">
        <v>-107273.58113499999</v>
      </c>
      <c r="H71" s="423"/>
      <c r="I71" s="298">
        <f t="shared" si="3"/>
        <v>-586996.34</v>
      </c>
      <c r="J71" s="298"/>
      <c r="K71" s="328" t="s">
        <v>1547</v>
      </c>
      <c r="M71" s="298">
        <f t="shared" si="2"/>
      </c>
    </row>
    <row r="72" spans="1:13" ht="16.5">
      <c r="A72" s="2" t="s">
        <v>1573</v>
      </c>
      <c r="B72" s="328">
        <v>4561005</v>
      </c>
      <c r="C72" s="344">
        <v>-2365.1798909999998</v>
      </c>
      <c r="D72" s="344">
        <v>-476.5640485</v>
      </c>
      <c r="E72" s="344">
        <v>-1213.958197</v>
      </c>
      <c r="F72" s="344">
        <v>-1553.861001</v>
      </c>
      <c r="G72" s="344">
        <v>-1254.3868625</v>
      </c>
      <c r="H72" s="423"/>
      <c r="I72" s="298">
        <f t="shared" si="3"/>
        <v>-6863.949999999999</v>
      </c>
      <c r="J72" s="298"/>
      <c r="K72" s="328" t="s">
        <v>1547</v>
      </c>
      <c r="M72" s="298">
        <f t="shared" si="2"/>
      </c>
    </row>
    <row r="73" spans="1:13" ht="16.5">
      <c r="A73" s="2" t="s">
        <v>1537</v>
      </c>
      <c r="B73" s="328">
        <v>4561005</v>
      </c>
      <c r="C73" s="344">
        <v>-97683.4714938</v>
      </c>
      <c r="D73" s="344">
        <v>-19682.4059023</v>
      </c>
      <c r="E73" s="344">
        <v>-50137.26498459999</v>
      </c>
      <c r="F73" s="344">
        <v>-64175.472391799995</v>
      </c>
      <c r="G73" s="344">
        <v>-51806.995227499996</v>
      </c>
      <c r="H73" s="423"/>
      <c r="I73" s="298">
        <f t="shared" si="3"/>
        <v>-283485.61</v>
      </c>
      <c r="J73" s="298"/>
      <c r="K73" s="328" t="s">
        <v>1547</v>
      </c>
      <c r="M73" s="298">
        <f t="shared" si="2"/>
      </c>
    </row>
    <row r="74" spans="1:13" ht="16.5">
      <c r="A74" s="2" t="s">
        <v>1564</v>
      </c>
      <c r="B74" s="328">
        <v>4470101</v>
      </c>
      <c r="C74" s="344">
        <v>0</v>
      </c>
      <c r="D74" s="344">
        <v>0</v>
      </c>
      <c r="E74" s="344">
        <v>0</v>
      </c>
      <c r="F74" s="344">
        <v>0</v>
      </c>
      <c r="G74" s="344">
        <v>0</v>
      </c>
      <c r="H74" s="423"/>
      <c r="I74" s="298">
        <f t="shared" si="3"/>
        <v>0</v>
      </c>
      <c r="J74" s="298"/>
      <c r="K74" s="328" t="s">
        <v>1547</v>
      </c>
      <c r="M74" s="298">
        <f t="shared" si="2"/>
      </c>
    </row>
    <row r="75" spans="1:13" ht="16.5">
      <c r="A75" s="2" t="s">
        <v>1534</v>
      </c>
      <c r="B75" s="328">
        <v>4470101</v>
      </c>
      <c r="C75" s="344">
        <v>-2510206.107328806</v>
      </c>
      <c r="D75" s="344">
        <v>-505785.62316976907</v>
      </c>
      <c r="E75" s="344">
        <v>-1288394.71862027</v>
      </c>
      <c r="F75" s="344">
        <v>-1649139.4119713714</v>
      </c>
      <c r="G75" s="344">
        <v>-1331302.3568237836</v>
      </c>
      <c r="H75" s="423"/>
      <c r="I75" s="298">
        <f t="shared" si="3"/>
        <v>-7284828.217914</v>
      </c>
      <c r="J75" s="298"/>
      <c r="K75" s="328" t="s">
        <v>1547</v>
      </c>
      <c r="M75" s="298">
        <f t="shared" si="2"/>
      </c>
    </row>
    <row r="76" spans="1:13" ht="16.5">
      <c r="A76" s="2" t="s">
        <v>1564</v>
      </c>
      <c r="B76" s="328">
        <v>4470100</v>
      </c>
      <c r="C76" s="344">
        <v>0</v>
      </c>
      <c r="D76" s="344">
        <v>0</v>
      </c>
      <c r="E76" s="344">
        <v>0</v>
      </c>
      <c r="F76" s="344">
        <v>0</v>
      </c>
      <c r="G76" s="344">
        <v>0</v>
      </c>
      <c r="H76" s="423"/>
      <c r="I76" s="298">
        <f t="shared" si="3"/>
        <v>0</v>
      </c>
      <c r="J76" s="298"/>
      <c r="K76" s="328" t="s">
        <v>328</v>
      </c>
      <c r="M76" s="298">
        <f t="shared" si="2"/>
        <v>0</v>
      </c>
    </row>
    <row r="77" spans="1:13" ht="16.5">
      <c r="A77" s="2" t="s">
        <v>1534</v>
      </c>
      <c r="B77" s="328">
        <v>4470100</v>
      </c>
      <c r="C77" s="344">
        <v>-1121273.6214292939</v>
      </c>
      <c r="D77" s="344">
        <v>-225927.29565220236</v>
      </c>
      <c r="E77" s="344">
        <v>-575507.7273375846</v>
      </c>
      <c r="F77" s="344">
        <v>-736647.2877681919</v>
      </c>
      <c r="G77" s="344">
        <v>-594673.9634227275</v>
      </c>
      <c r="H77" s="423"/>
      <c r="I77" s="298">
        <f t="shared" si="3"/>
        <v>-3254029.89561</v>
      </c>
      <c r="J77" s="298"/>
      <c r="K77" s="328" t="s">
        <v>328</v>
      </c>
      <c r="M77" s="298">
        <f t="shared" si="2"/>
        <v>-3254029.89561</v>
      </c>
    </row>
    <row r="78" spans="1:13" ht="16.5">
      <c r="A78" s="2" t="s">
        <v>1534</v>
      </c>
      <c r="B78" s="328">
        <v>4470109</v>
      </c>
      <c r="C78" s="344">
        <v>-387422.14016410004</v>
      </c>
      <c r="D78" s="344">
        <v>-78062.33441172868</v>
      </c>
      <c r="E78" s="344">
        <v>-198849.26492954534</v>
      </c>
      <c r="F78" s="344">
        <v>-254526.15964463685</v>
      </c>
      <c r="G78" s="344">
        <v>-205471.57732598897</v>
      </c>
      <c r="H78" s="423"/>
      <c r="I78" s="298">
        <f t="shared" si="3"/>
        <v>-1124331.476476</v>
      </c>
      <c r="J78" s="298"/>
      <c r="K78" s="328" t="s">
        <v>328</v>
      </c>
      <c r="M78" s="298">
        <f t="shared" si="2"/>
        <v>-1124331.476476</v>
      </c>
    </row>
    <row r="79" spans="1:13" ht="16.5">
      <c r="A79" s="2" t="s">
        <v>39</v>
      </c>
      <c r="B79" s="328">
        <v>4470208</v>
      </c>
      <c r="C79" s="344">
        <v>1063.597857</v>
      </c>
      <c r="D79" s="344">
        <v>214.30610950000002</v>
      </c>
      <c r="E79" s="344">
        <v>545.904919</v>
      </c>
      <c r="F79" s="344">
        <v>698.7558270000001</v>
      </c>
      <c r="G79" s="344">
        <v>564.0852875</v>
      </c>
      <c r="H79" s="423"/>
      <c r="I79" s="298">
        <f t="shared" si="3"/>
        <v>3086.65</v>
      </c>
      <c r="J79" s="298"/>
      <c r="K79" s="328" t="s">
        <v>1547</v>
      </c>
      <c r="M79" s="298">
        <f t="shared" si="2"/>
      </c>
    </row>
    <row r="80" spans="1:13" ht="16.5">
      <c r="A80" s="2" t="s">
        <v>1546</v>
      </c>
      <c r="B80" s="328">
        <v>4470208</v>
      </c>
      <c r="C80" s="344">
        <v>-2169560.005424305</v>
      </c>
      <c r="D80" s="344">
        <v>-437148.27087065263</v>
      </c>
      <c r="E80" s="344">
        <v>-1113553.8410799887</v>
      </c>
      <c r="F80" s="344">
        <v>-1425343.87958661</v>
      </c>
      <c r="G80" s="344">
        <v>-1150638.7224774847</v>
      </c>
      <c r="H80" s="423"/>
      <c r="I80" s="298">
        <f t="shared" si="3"/>
        <v>-6296244.719439041</v>
      </c>
      <c r="J80" s="298"/>
      <c r="K80" s="328" t="s">
        <v>1547</v>
      </c>
      <c r="M80" s="298">
        <f t="shared" si="2"/>
      </c>
    </row>
    <row r="81" spans="1:13" ht="16.5">
      <c r="A81" s="2" t="s">
        <v>39</v>
      </c>
      <c r="B81" s="328">
        <v>4470206</v>
      </c>
      <c r="C81" s="344">
        <v>92.35777739999999</v>
      </c>
      <c r="D81" s="344">
        <v>18.6093229</v>
      </c>
      <c r="E81" s="344">
        <v>47.403785799999994</v>
      </c>
      <c r="F81" s="344">
        <v>60.67663139999999</v>
      </c>
      <c r="G81" s="344">
        <v>48.982482499999996</v>
      </c>
      <c r="H81" s="423"/>
      <c r="I81" s="298">
        <f t="shared" si="3"/>
        <v>268.03</v>
      </c>
      <c r="J81" s="298"/>
      <c r="K81" s="328" t="s">
        <v>328</v>
      </c>
      <c r="M81" s="298">
        <f t="shared" si="2"/>
        <v>268.03</v>
      </c>
    </row>
    <row r="82" spans="1:13" ht="16.5">
      <c r="A82" s="2" t="s">
        <v>1546</v>
      </c>
      <c r="B82" s="328">
        <v>4470206</v>
      </c>
      <c r="C82" s="344">
        <v>-656919.5826870948</v>
      </c>
      <c r="D82" s="344">
        <v>-132363.8244412473</v>
      </c>
      <c r="E82" s="344">
        <v>-337172.202083811</v>
      </c>
      <c r="F82" s="344">
        <v>-431578.8935187896</v>
      </c>
      <c r="G82" s="344">
        <v>-348401.107830015</v>
      </c>
      <c r="H82" s="423"/>
      <c r="I82" s="298">
        <f t="shared" si="3"/>
        <v>-1906435.6105609578</v>
      </c>
      <c r="J82" s="298"/>
      <c r="K82" s="328" t="s">
        <v>328</v>
      </c>
      <c r="M82" s="298">
        <f t="shared" si="2"/>
        <v>-1906435.6105609578</v>
      </c>
    </row>
    <row r="83" spans="1:13" ht="16.5">
      <c r="A83" s="2" t="s">
        <v>1546</v>
      </c>
      <c r="B83" s="328">
        <v>4470109</v>
      </c>
      <c r="C83" s="344">
        <v>0</v>
      </c>
      <c r="D83" s="344">
        <v>0</v>
      </c>
      <c r="E83" s="344">
        <v>0</v>
      </c>
      <c r="F83" s="344">
        <v>0</v>
      </c>
      <c r="G83" s="344">
        <v>0</v>
      </c>
      <c r="H83" s="423"/>
      <c r="I83" s="298">
        <f t="shared" si="3"/>
        <v>0</v>
      </c>
      <c r="J83" s="298"/>
      <c r="K83" s="328" t="s">
        <v>328</v>
      </c>
      <c r="M83" s="298">
        <f t="shared" si="2"/>
        <v>0</v>
      </c>
    </row>
    <row r="84" spans="1:13" ht="16.5">
      <c r="A84" s="2" t="s">
        <v>1542</v>
      </c>
      <c r="B84" s="328">
        <v>5550075</v>
      </c>
      <c r="C84" s="344">
        <v>-980796.4821384</v>
      </c>
      <c r="D84" s="344">
        <v>-197622.32211640003</v>
      </c>
      <c r="E84" s="344">
        <v>-503406.0764728</v>
      </c>
      <c r="F84" s="344">
        <v>-644357.5008023999</v>
      </c>
      <c r="G84" s="344">
        <v>-520171.09846999997</v>
      </c>
      <c r="H84" s="423"/>
      <c r="I84" s="298">
        <f t="shared" si="3"/>
        <v>-2846353.48</v>
      </c>
      <c r="J84" s="298"/>
      <c r="K84" s="328" t="s">
        <v>1547</v>
      </c>
      <c r="M84" s="298">
        <f t="shared" si="2"/>
      </c>
    </row>
    <row r="85" spans="1:13" ht="16.5">
      <c r="A85" s="2" t="s">
        <v>1544</v>
      </c>
      <c r="B85" s="328">
        <v>5550079</v>
      </c>
      <c r="C85" s="344">
        <v>-651352.699629</v>
      </c>
      <c r="D85" s="344">
        <v>-131242.1438715</v>
      </c>
      <c r="E85" s="344">
        <v>-334314.929643</v>
      </c>
      <c r="F85" s="344">
        <v>-427921.597719</v>
      </c>
      <c r="G85" s="344">
        <v>-345448.6791375</v>
      </c>
      <c r="H85" s="423"/>
      <c r="I85" s="298">
        <f t="shared" si="3"/>
        <v>-1890280.05</v>
      </c>
      <c r="J85" s="298"/>
      <c r="K85" s="328" t="s">
        <v>1547</v>
      </c>
      <c r="M85" s="298">
        <f t="shared" si="2"/>
      </c>
    </row>
    <row r="86" spans="1:13" ht="16.5">
      <c r="A86" s="2" t="s">
        <v>1581</v>
      </c>
      <c r="B86" s="328">
        <v>5550084</v>
      </c>
      <c r="C86" s="344">
        <v>-14511.773060399999</v>
      </c>
      <c r="D86" s="344">
        <v>-2924.0014034</v>
      </c>
      <c r="E86" s="344">
        <v>-7448.3492467999995</v>
      </c>
      <c r="F86" s="344">
        <v>-9533.853344399999</v>
      </c>
      <c r="G86" s="344">
        <v>-7696.402944999999</v>
      </c>
      <c r="H86" s="423"/>
      <c r="I86" s="298">
        <f t="shared" si="3"/>
        <v>-42114.38</v>
      </c>
      <c r="J86" s="298"/>
      <c r="K86" s="328" t="s">
        <v>1547</v>
      </c>
      <c r="M86" s="298">
        <f t="shared" si="2"/>
      </c>
    </row>
    <row r="87" spans="1:13" ht="16.5">
      <c r="A87" s="2" t="s">
        <v>1919</v>
      </c>
      <c r="B87" s="328">
        <v>4470214</v>
      </c>
      <c r="C87" s="344">
        <v>-15299.5897602</v>
      </c>
      <c r="D87" s="344">
        <v>-3082.7399067000006</v>
      </c>
      <c r="E87" s="344">
        <v>-7852.7060334</v>
      </c>
      <c r="F87" s="344">
        <v>-10051.4282022</v>
      </c>
      <c r="G87" s="344">
        <v>-8114.2260975</v>
      </c>
      <c r="H87" s="423"/>
      <c r="I87" s="298">
        <f t="shared" si="3"/>
        <v>-44400.69000000001</v>
      </c>
      <c r="J87" s="298"/>
      <c r="K87" s="328" t="s">
        <v>328</v>
      </c>
      <c r="M87" s="298">
        <f t="shared" si="2"/>
        <v>-44400.69000000001</v>
      </c>
    </row>
    <row r="88" spans="1:13" ht="16.5">
      <c r="A88" s="2" t="s">
        <v>1529</v>
      </c>
      <c r="B88" s="328">
        <v>4470202</v>
      </c>
      <c r="C88" s="344">
        <v>-331677.2260826244</v>
      </c>
      <c r="D88" s="344">
        <v>-66830.1985225974</v>
      </c>
      <c r="E88" s="344">
        <v>-170237.4897120348</v>
      </c>
      <c r="F88" s="344">
        <v>-217903.2167873484</v>
      </c>
      <c r="G88" s="344">
        <v>-175906.939075395</v>
      </c>
      <c r="H88" s="423"/>
      <c r="I88" s="298">
        <f t="shared" si="3"/>
        <v>-962555.07018</v>
      </c>
      <c r="J88" s="298"/>
      <c r="K88" s="328" t="s">
        <v>1547</v>
      </c>
      <c r="M88" s="298">
        <f t="shared" si="2"/>
      </c>
    </row>
    <row r="89" spans="1:13" ht="16.5">
      <c r="A89" s="2" t="s">
        <v>1529</v>
      </c>
      <c r="B89" s="328">
        <v>4470098</v>
      </c>
      <c r="C89" s="344">
        <v>-28802.315361375604</v>
      </c>
      <c r="D89" s="344">
        <v>-5803.426651402601</v>
      </c>
      <c r="E89" s="344">
        <v>-14783.1490359652</v>
      </c>
      <c r="F89" s="344">
        <v>-18922.3638966516</v>
      </c>
      <c r="G89" s="344">
        <v>-15275.474874605</v>
      </c>
      <c r="H89" s="423"/>
      <c r="I89" s="298">
        <f t="shared" si="3"/>
        <v>-83586.72982000001</v>
      </c>
      <c r="J89" s="298"/>
      <c r="K89" s="328" t="s">
        <v>328</v>
      </c>
      <c r="M89" s="298">
        <f t="shared" si="2"/>
        <v>-83586.72982000001</v>
      </c>
    </row>
    <row r="90" spans="1:13" ht="16.5">
      <c r="A90" s="2" t="s">
        <v>1565</v>
      </c>
      <c r="B90" s="328">
        <v>4470202</v>
      </c>
      <c r="C90" s="344">
        <v>-755499.7717506</v>
      </c>
      <c r="D90" s="344">
        <v>-152226.9114651</v>
      </c>
      <c r="E90" s="344">
        <v>-387769.71859019995</v>
      </c>
      <c r="F90" s="344">
        <v>-496343.48577659996</v>
      </c>
      <c r="G90" s="344">
        <v>-400683.68241749995</v>
      </c>
      <c r="H90" s="423"/>
      <c r="I90" s="298">
        <f t="shared" si="3"/>
        <v>-2192523.57</v>
      </c>
      <c r="J90" s="298"/>
      <c r="K90" s="328" t="s">
        <v>1547</v>
      </c>
      <c r="M90" s="298">
        <f t="shared" si="2"/>
      </c>
    </row>
    <row r="91" spans="1:13" ht="16.5">
      <c r="A91" s="2" t="s">
        <v>1524</v>
      </c>
      <c r="B91" s="328">
        <v>4470202</v>
      </c>
      <c r="C91" s="344">
        <v>-268050.8971905468</v>
      </c>
      <c r="D91" s="344">
        <v>-54010.023193277804</v>
      </c>
      <c r="E91" s="344">
        <v>-137580.4796480356</v>
      </c>
      <c r="F91" s="344">
        <v>-176102.3916245748</v>
      </c>
      <c r="G91" s="344">
        <v>-142162.34680356501</v>
      </c>
      <c r="H91" s="423"/>
      <c r="I91" s="298">
        <f t="shared" si="3"/>
        <v>-777906.13846</v>
      </c>
      <c r="J91" s="298"/>
      <c r="K91" s="328" t="s">
        <v>1547</v>
      </c>
      <c r="M91" s="298">
        <f t="shared" si="2"/>
      </c>
    </row>
    <row r="92" spans="1:13" ht="16.5">
      <c r="A92" s="2" t="s">
        <v>1524</v>
      </c>
      <c r="B92" s="328">
        <v>4470098</v>
      </c>
      <c r="C92" s="344">
        <v>-601679.4635834533</v>
      </c>
      <c r="D92" s="344">
        <v>-121233.40053572222</v>
      </c>
      <c r="E92" s="344">
        <v>-308819.51920996443</v>
      </c>
      <c r="F92" s="344">
        <v>-395287.5876894253</v>
      </c>
      <c r="G92" s="344">
        <v>-319104.19052143506</v>
      </c>
      <c r="H92" s="423"/>
      <c r="I92" s="298">
        <f t="shared" si="3"/>
        <v>-1746124.1615400005</v>
      </c>
      <c r="J92" s="298"/>
      <c r="K92" s="328" t="s">
        <v>328</v>
      </c>
      <c r="M92" s="298">
        <f t="shared" si="2"/>
        <v>-1746124.1615400005</v>
      </c>
    </row>
    <row r="93" spans="1:13" ht="16.5">
      <c r="A93" s="2" t="s">
        <v>53</v>
      </c>
      <c r="B93" s="328">
        <v>4470202</v>
      </c>
      <c r="C93" s="344">
        <v>-10623.3531588</v>
      </c>
      <c r="D93" s="344">
        <v>-2140.5171798</v>
      </c>
      <c r="E93" s="344">
        <v>-5452.5690396</v>
      </c>
      <c r="F93" s="344">
        <v>-6979.2637068</v>
      </c>
      <c r="G93" s="344">
        <v>-5634.156915</v>
      </c>
      <c r="H93" s="423"/>
      <c r="I93" s="298">
        <f t="shared" si="3"/>
        <v>-30829.86</v>
      </c>
      <c r="J93" s="298"/>
      <c r="K93" s="328" t="s">
        <v>1547</v>
      </c>
      <c r="M93" s="298">
        <f t="shared" si="2"/>
      </c>
    </row>
    <row r="94" spans="1:13" ht="16.5">
      <c r="A94" s="2" t="s">
        <v>53</v>
      </c>
      <c r="B94" s="328">
        <v>4470098</v>
      </c>
      <c r="C94" s="344">
        <v>-34876.8507732</v>
      </c>
      <c r="D94" s="344">
        <v>-7027.3949422000005</v>
      </c>
      <c r="E94" s="344">
        <v>-17900.980404399997</v>
      </c>
      <c r="F94" s="344">
        <v>-22913.173945199997</v>
      </c>
      <c r="G94" s="344">
        <v>-18497.139935</v>
      </c>
      <c r="H94" s="423"/>
      <c r="I94" s="298">
        <f t="shared" si="3"/>
        <v>-101215.54</v>
      </c>
      <c r="J94" s="298"/>
      <c r="K94" s="328" t="s">
        <v>328</v>
      </c>
      <c r="M94" s="298">
        <f t="shared" si="2"/>
        <v>-101215.54</v>
      </c>
    </row>
    <row r="95" spans="1:13" ht="16.5">
      <c r="A95" s="2" t="s">
        <v>1528</v>
      </c>
      <c r="B95" s="328">
        <v>5550077</v>
      </c>
      <c r="C95" s="344">
        <v>-9561.1232844</v>
      </c>
      <c r="D95" s="344">
        <v>-1926.4867074000001</v>
      </c>
      <c r="E95" s="344">
        <v>-4907.3662548</v>
      </c>
      <c r="F95" s="344">
        <v>-6281.4066084</v>
      </c>
      <c r="G95" s="344">
        <v>-5070.797145</v>
      </c>
      <c r="H95" s="423"/>
      <c r="I95" s="298">
        <f t="shared" si="3"/>
        <v>-27747.18</v>
      </c>
      <c r="J95" s="298"/>
      <c r="K95" s="328" t="s">
        <v>1547</v>
      </c>
      <c r="M95" s="298">
        <f t="shared" si="2"/>
      </c>
    </row>
    <row r="96" spans="1:13" ht="16.5">
      <c r="A96" s="2" t="s">
        <v>1587</v>
      </c>
      <c r="B96" s="328">
        <v>4470208</v>
      </c>
      <c r="C96" s="344">
        <v>-2366.5444278</v>
      </c>
      <c r="D96" s="344">
        <v>-476.83899130000003</v>
      </c>
      <c r="E96" s="344">
        <v>-1214.6585625999999</v>
      </c>
      <c r="F96" s="344">
        <v>-1554.7574657999999</v>
      </c>
      <c r="G96" s="344">
        <v>-1255.1105525</v>
      </c>
      <c r="H96" s="423"/>
      <c r="I96" s="298">
        <f t="shared" si="3"/>
        <v>-6867.91</v>
      </c>
      <c r="J96" s="298"/>
      <c r="K96" s="328" t="s">
        <v>1547</v>
      </c>
      <c r="M96" s="298">
        <f t="shared" si="2"/>
      </c>
    </row>
    <row r="97" spans="1:13" ht="16.5">
      <c r="A97" s="2" t="s">
        <v>1587</v>
      </c>
      <c r="B97" s="328">
        <v>4470206</v>
      </c>
      <c r="C97" s="344">
        <v>-205.50406619999998</v>
      </c>
      <c r="D97" s="344">
        <v>-41.407357700000006</v>
      </c>
      <c r="E97" s="344">
        <v>-105.4775354</v>
      </c>
      <c r="F97" s="344">
        <v>-135.0107682</v>
      </c>
      <c r="G97" s="344">
        <v>-108.99027249999999</v>
      </c>
      <c r="H97" s="423"/>
      <c r="I97" s="298">
        <f t="shared" si="3"/>
        <v>-596.39</v>
      </c>
      <c r="J97" s="298"/>
      <c r="K97" s="328" t="s">
        <v>328</v>
      </c>
      <c r="M97" s="298">
        <f t="shared" si="2"/>
        <v>-596.39</v>
      </c>
    </row>
    <row r="98" spans="1:13" ht="16.5">
      <c r="A98" s="2" t="s">
        <v>1920</v>
      </c>
      <c r="B98" s="328">
        <v>4470109</v>
      </c>
      <c r="C98" s="344">
        <v>0</v>
      </c>
      <c r="D98" s="344">
        <v>0</v>
      </c>
      <c r="E98" s="344">
        <v>0</v>
      </c>
      <c r="F98" s="344">
        <v>0</v>
      </c>
      <c r="G98" s="344">
        <v>0</v>
      </c>
      <c r="H98" s="423"/>
      <c r="I98" s="298">
        <f t="shared" si="3"/>
        <v>0</v>
      </c>
      <c r="J98" s="298"/>
      <c r="K98" s="328" t="s">
        <v>328</v>
      </c>
      <c r="M98" s="298">
        <f t="shared" si="2"/>
        <v>0</v>
      </c>
    </row>
    <row r="99" spans="1:13" ht="16.5">
      <c r="A99" s="2" t="s">
        <v>1522</v>
      </c>
      <c r="B99" s="328">
        <v>4470109</v>
      </c>
      <c r="C99" s="344">
        <v>444768.1787184</v>
      </c>
      <c r="D99" s="344">
        <v>89617.08354640001</v>
      </c>
      <c r="E99" s="344">
        <v>228282.83733279997</v>
      </c>
      <c r="F99" s="344">
        <v>292200.9991824</v>
      </c>
      <c r="G99" s="344">
        <v>235885.38121999998</v>
      </c>
      <c r="H99" s="423"/>
      <c r="I99" s="298">
        <f t="shared" si="3"/>
        <v>1290754.48</v>
      </c>
      <c r="J99" s="298"/>
      <c r="K99" s="328" t="s">
        <v>328</v>
      </c>
      <c r="M99" s="298">
        <f t="shared" si="2"/>
        <v>1290754.48</v>
      </c>
    </row>
    <row r="100" spans="1:13" ht="16.5">
      <c r="A100" s="2" t="s">
        <v>1545</v>
      </c>
      <c r="B100" s="328">
        <v>4470099</v>
      </c>
      <c r="C100" s="344">
        <v>-1342374.551514</v>
      </c>
      <c r="D100" s="344">
        <v>-270477.291519</v>
      </c>
      <c r="E100" s="344">
        <v>-688990.5484379999</v>
      </c>
      <c r="F100" s="344">
        <v>-881904.785454</v>
      </c>
      <c r="G100" s="344">
        <v>-711936.1230749999</v>
      </c>
      <c r="H100" s="423"/>
      <c r="I100" s="298">
        <f t="shared" si="3"/>
        <v>-3895683.3</v>
      </c>
      <c r="J100" s="298"/>
      <c r="K100" s="328" t="s">
        <v>328</v>
      </c>
      <c r="M100" s="298">
        <f t="shared" si="2"/>
        <v>-3895683.3</v>
      </c>
    </row>
    <row r="101" spans="1:13" ht="16.5">
      <c r="A101" s="2" t="s">
        <v>1538</v>
      </c>
      <c r="B101" s="328">
        <v>4470169</v>
      </c>
      <c r="C101" s="344">
        <v>-42193.13184</v>
      </c>
      <c r="D101" s="344">
        <v>-8501.56464</v>
      </c>
      <c r="E101" s="344">
        <v>-21656.15328</v>
      </c>
      <c r="F101" s="344">
        <v>-27719.77824</v>
      </c>
      <c r="G101" s="344">
        <v>-22377.372</v>
      </c>
      <c r="H101" s="423"/>
      <c r="I101" s="298">
        <f t="shared" si="3"/>
        <v>-122448</v>
      </c>
      <c r="J101" s="298"/>
      <c r="K101" s="328" t="s">
        <v>328</v>
      </c>
      <c r="M101" s="298">
        <f t="shared" si="2"/>
        <v>-122448</v>
      </c>
    </row>
    <row r="102" spans="1:13" ht="16.5">
      <c r="A102" s="2" t="s">
        <v>1574</v>
      </c>
      <c r="B102" s="328">
        <v>4470099</v>
      </c>
      <c r="C102" s="344">
        <v>-10.623401399999999</v>
      </c>
      <c r="D102" s="344">
        <v>-2.1405269000000002</v>
      </c>
      <c r="E102" s="344">
        <v>-5.452593799999999</v>
      </c>
      <c r="F102" s="344">
        <v>-6.9792954</v>
      </c>
      <c r="G102" s="344">
        <v>-5.6341825</v>
      </c>
      <c r="H102" s="423"/>
      <c r="I102" s="298">
        <f t="shared" si="3"/>
        <v>-30.83</v>
      </c>
      <c r="J102" s="298"/>
      <c r="K102" s="328" t="s">
        <v>328</v>
      </c>
      <c r="M102" s="298">
        <f t="shared" si="2"/>
        <v>-30.83</v>
      </c>
    </row>
    <row r="103" spans="1:13" ht="16.5">
      <c r="A103" s="2" t="s">
        <v>1561</v>
      </c>
      <c r="B103" s="328">
        <v>5614001</v>
      </c>
      <c r="C103" s="344">
        <v>22.69429999164</v>
      </c>
      <c r="D103" s="344">
        <v>4.572712427940001</v>
      </c>
      <c r="E103" s="344">
        <v>11.64813365988</v>
      </c>
      <c r="F103" s="344">
        <v>14.909558396040001</v>
      </c>
      <c r="G103" s="344">
        <v>12.0360535245</v>
      </c>
      <c r="H103" s="423"/>
      <c r="I103" s="298">
        <f t="shared" si="3"/>
        <v>65.860758</v>
      </c>
      <c r="J103" s="298"/>
      <c r="K103" s="328" t="s">
        <v>1547</v>
      </c>
      <c r="M103" s="298">
        <f t="shared" si="2"/>
      </c>
    </row>
    <row r="104" spans="1:13" ht="16.5">
      <c r="A104" s="2" t="s">
        <v>1561</v>
      </c>
      <c r="B104" s="328">
        <v>5614000</v>
      </c>
      <c r="C104" s="344">
        <v>1.9707364083599999</v>
      </c>
      <c r="D104" s="344">
        <v>0.39708697206</v>
      </c>
      <c r="E104" s="344">
        <v>1.01150514012</v>
      </c>
      <c r="F104" s="344">
        <v>1.2947220039599998</v>
      </c>
      <c r="G104" s="344">
        <v>1.0451914754999998</v>
      </c>
      <c r="H104" s="423"/>
      <c r="I104" s="298">
        <f t="shared" si="3"/>
        <v>5.7192419999999995</v>
      </c>
      <c r="J104" s="298"/>
      <c r="K104" s="328" t="s">
        <v>328</v>
      </c>
      <c r="M104" s="298">
        <f t="shared" si="2"/>
        <v>5.7192419999999995</v>
      </c>
    </row>
    <row r="105" spans="1:13" ht="16.5">
      <c r="A105" s="2" t="s">
        <v>1562</v>
      </c>
      <c r="B105" s="328">
        <v>5614001</v>
      </c>
      <c r="C105" s="344">
        <v>17.659576830600002</v>
      </c>
      <c r="D105" s="344">
        <v>3.5582576451000008</v>
      </c>
      <c r="E105" s="344">
        <v>9.0639989502</v>
      </c>
      <c r="F105" s="344">
        <v>11.601877656600001</v>
      </c>
      <c r="G105" s="344">
        <v>9.3658589175</v>
      </c>
      <c r="H105" s="423"/>
      <c r="I105" s="298">
        <f t="shared" si="3"/>
        <v>51.249570000000006</v>
      </c>
      <c r="J105" s="298"/>
      <c r="K105" s="328" t="s">
        <v>1547</v>
      </c>
      <c r="M105" s="298">
        <f t="shared" si="2"/>
      </c>
    </row>
    <row r="106" spans="1:13" ht="16.5">
      <c r="A106" s="2" t="s">
        <v>1562</v>
      </c>
      <c r="B106" s="328">
        <v>5614000</v>
      </c>
      <c r="C106" s="344">
        <v>1.5335291694</v>
      </c>
      <c r="D106" s="344">
        <v>0.3089933549</v>
      </c>
      <c r="E106" s="344">
        <v>0.7871030497999999</v>
      </c>
      <c r="F106" s="344">
        <v>1.0074883434</v>
      </c>
      <c r="G106" s="344">
        <v>0.8133160825</v>
      </c>
      <c r="H106" s="423"/>
      <c r="I106" s="298">
        <f t="shared" si="3"/>
        <v>4.45043</v>
      </c>
      <c r="J106" s="298"/>
      <c r="K106" s="328" t="s">
        <v>328</v>
      </c>
      <c r="M106" s="298">
        <f t="shared" si="2"/>
        <v>4.45043</v>
      </c>
    </row>
    <row r="107" spans="1:13" ht="16.5">
      <c r="A107" s="2" t="s">
        <v>1563</v>
      </c>
      <c r="B107" s="328">
        <v>5550090</v>
      </c>
      <c r="C107" s="344">
        <v>3.9247662</v>
      </c>
      <c r="D107" s="344">
        <v>0.7908077000000001</v>
      </c>
      <c r="E107" s="344">
        <v>2.0144354</v>
      </c>
      <c r="F107" s="344">
        <v>2.5784682</v>
      </c>
      <c r="G107" s="344">
        <v>2.0815225</v>
      </c>
      <c r="H107" s="423"/>
      <c r="I107" s="298">
        <f t="shared" si="3"/>
        <v>11.39</v>
      </c>
      <c r="J107" s="298"/>
      <c r="K107" s="328" t="s">
        <v>1547</v>
      </c>
      <c r="M107" s="298">
        <f t="shared" si="2"/>
      </c>
    </row>
    <row r="108" spans="1:13" ht="16.5">
      <c r="A108" s="2" t="s">
        <v>535</v>
      </c>
      <c r="B108" s="328">
        <v>4470203</v>
      </c>
      <c r="C108" s="344">
        <v>177.53423055768</v>
      </c>
      <c r="D108" s="344">
        <v>35.77166877828</v>
      </c>
      <c r="E108" s="344">
        <v>91.12166700456</v>
      </c>
      <c r="F108" s="344">
        <v>116.63532159048</v>
      </c>
      <c r="G108" s="344">
        <v>94.156308069</v>
      </c>
      <c r="H108" s="423"/>
      <c r="I108" s="298">
        <f t="shared" si="3"/>
        <v>515.219196</v>
      </c>
      <c r="J108" s="298"/>
      <c r="K108" s="328" t="s">
        <v>1547</v>
      </c>
      <c r="M108" s="298">
        <f t="shared" si="2"/>
      </c>
    </row>
    <row r="109" spans="1:13" ht="16.5">
      <c r="A109" s="2" t="s">
        <v>535</v>
      </c>
      <c r="B109" s="328">
        <v>4470098</v>
      </c>
      <c r="C109" s="344">
        <v>15.41678624232</v>
      </c>
      <c r="D109" s="344">
        <v>3.1063540217200005</v>
      </c>
      <c r="E109" s="344">
        <v>7.91285859544</v>
      </c>
      <c r="F109" s="344">
        <v>10.128423209520001</v>
      </c>
      <c r="G109" s="344">
        <v>8.176381931</v>
      </c>
      <c r="H109" s="423"/>
      <c r="I109" s="298">
        <f t="shared" si="3"/>
        <v>44.740804000000004</v>
      </c>
      <c r="J109" s="298"/>
      <c r="K109" s="328" t="s">
        <v>328</v>
      </c>
      <c r="M109" s="298">
        <f t="shared" si="2"/>
        <v>44.740804000000004</v>
      </c>
    </row>
    <row r="110" spans="1:13" ht="16.5">
      <c r="A110" s="2" t="s">
        <v>54</v>
      </c>
      <c r="B110" s="328">
        <v>4470099</v>
      </c>
      <c r="C110" s="344">
        <v>14679.108</v>
      </c>
      <c r="D110" s="344">
        <v>2957.7180000000003</v>
      </c>
      <c r="E110" s="344">
        <v>7534.236</v>
      </c>
      <c r="F110" s="344">
        <v>9643.788</v>
      </c>
      <c r="G110" s="344">
        <v>7785.15</v>
      </c>
      <c r="H110" s="423"/>
      <c r="I110" s="298">
        <f t="shared" si="3"/>
        <v>42600.00000000001</v>
      </c>
      <c r="J110" s="298"/>
      <c r="K110" s="328" t="s">
        <v>328</v>
      </c>
      <c r="M110" s="298">
        <f t="shared" si="2"/>
        <v>42600.00000000001</v>
      </c>
    </row>
    <row r="111" spans="1:13" ht="16.5">
      <c r="A111" s="2" t="s">
        <v>55</v>
      </c>
      <c r="B111" s="328">
        <v>4470093</v>
      </c>
      <c r="C111" s="344">
        <v>-0.22510412117999998</v>
      </c>
      <c r="D111" s="344">
        <v>-0.045356605529999997</v>
      </c>
      <c r="E111" s="344">
        <v>-0.11553750905999999</v>
      </c>
      <c r="F111" s="344">
        <v>-0.14788748897999998</v>
      </c>
      <c r="G111" s="344">
        <v>-0.11938527524999999</v>
      </c>
      <c r="H111" s="423"/>
      <c r="I111" s="298">
        <f t="shared" si="3"/>
        <v>-0.6532709999999999</v>
      </c>
      <c r="J111" s="298"/>
      <c r="K111" s="328" t="s">
        <v>1547</v>
      </c>
      <c r="M111" s="298">
        <f t="shared" si="2"/>
      </c>
    </row>
    <row r="112" spans="1:13" ht="16.5">
      <c r="A112" s="2" t="s">
        <v>55</v>
      </c>
      <c r="B112" s="328">
        <v>4470126</v>
      </c>
      <c r="C112" s="344">
        <v>-0.019547678819999997</v>
      </c>
      <c r="D112" s="344">
        <v>-0.00393869447</v>
      </c>
      <c r="E112" s="344">
        <v>-0.010033090939999998</v>
      </c>
      <c r="F112" s="344">
        <v>-0.012842311019999999</v>
      </c>
      <c r="G112" s="344">
        <v>-0.01036722475</v>
      </c>
      <c r="H112" s="423"/>
      <c r="I112" s="298">
        <f t="shared" si="3"/>
        <v>-0.056728999999999995</v>
      </c>
      <c r="J112" s="298"/>
      <c r="K112" s="328" t="s">
        <v>328</v>
      </c>
      <c r="M112" s="298">
        <f t="shared" si="2"/>
        <v>-0.056728999999999995</v>
      </c>
    </row>
    <row r="113" spans="1:13" ht="16.5">
      <c r="A113" s="2" t="s">
        <v>1567</v>
      </c>
      <c r="B113" s="328">
        <v>5550083</v>
      </c>
      <c r="C113" s="344">
        <v>0.068916</v>
      </c>
      <c r="D113" s="344">
        <v>0.013886000000000003</v>
      </c>
      <c r="E113" s="344">
        <v>0.035372</v>
      </c>
      <c r="F113" s="344">
        <v>0.045276000000000004</v>
      </c>
      <c r="G113" s="344">
        <v>0.03655</v>
      </c>
      <c r="H113" s="423"/>
      <c r="I113" s="298">
        <f t="shared" si="3"/>
        <v>0.2</v>
      </c>
      <c r="J113" s="298"/>
      <c r="K113" s="328" t="s">
        <v>1547</v>
      </c>
      <c r="M113" s="298">
        <f t="shared" si="2"/>
      </c>
    </row>
    <row r="114" spans="1:13" ht="16.5">
      <c r="A114" s="2" t="s">
        <v>43</v>
      </c>
      <c r="B114" s="328">
        <v>4470203</v>
      </c>
      <c r="C114" s="344">
        <v>9962.84525353866</v>
      </c>
      <c r="D114" s="344">
        <v>2007.43033824711</v>
      </c>
      <c r="E114" s="344">
        <v>5113.555086020219</v>
      </c>
      <c r="F114" s="344">
        <v>6545.32737969726</v>
      </c>
      <c r="G114" s="344">
        <v>5283.85271949675</v>
      </c>
      <c r="H114" s="423"/>
      <c r="I114" s="298">
        <f t="shared" si="3"/>
        <v>28913.010777</v>
      </c>
      <c r="J114" s="298"/>
      <c r="K114" s="328" t="s">
        <v>1547</v>
      </c>
      <c r="M114" s="298">
        <f t="shared" si="2"/>
      </c>
    </row>
    <row r="115" spans="1:13" ht="16.5">
      <c r="A115" s="2" t="s">
        <v>43</v>
      </c>
      <c r="B115" s="328">
        <v>4470098</v>
      </c>
      <c r="C115" s="344">
        <v>865.15741306134</v>
      </c>
      <c r="D115" s="344">
        <v>174.32201285289003</v>
      </c>
      <c r="E115" s="344">
        <v>444.05287617977996</v>
      </c>
      <c r="F115" s="344">
        <v>568.38567290274</v>
      </c>
      <c r="G115" s="344">
        <v>458.84124800325</v>
      </c>
      <c r="H115" s="423"/>
      <c r="I115" s="298">
        <f t="shared" si="3"/>
        <v>2510.7592229999996</v>
      </c>
      <c r="J115" s="298"/>
      <c r="K115" s="328" t="s">
        <v>328</v>
      </c>
      <c r="M115" s="298">
        <f t="shared" si="2"/>
        <v>2510.7592229999996</v>
      </c>
    </row>
    <row r="116" spans="1:13" ht="16.5">
      <c r="A116" s="2" t="s">
        <v>42</v>
      </c>
      <c r="B116" s="328">
        <v>4470203</v>
      </c>
      <c r="C116" s="344">
        <v>1852.96518161694</v>
      </c>
      <c r="D116" s="344">
        <v>373.35705078549006</v>
      </c>
      <c r="E116" s="344">
        <v>951.05758320498</v>
      </c>
      <c r="F116" s="344">
        <v>1217.34940453434</v>
      </c>
      <c r="G116" s="344">
        <v>982.73082285825</v>
      </c>
      <c r="H116" s="423"/>
      <c r="I116" s="298">
        <f t="shared" si="3"/>
        <v>5377.460042999999</v>
      </c>
      <c r="J116" s="298"/>
      <c r="K116" s="328" t="s">
        <v>1547</v>
      </c>
      <c r="M116" s="298">
        <f t="shared" si="2"/>
      </c>
    </row>
    <row r="117" spans="1:13" ht="16.5">
      <c r="A117" s="2" t="s">
        <v>42</v>
      </c>
      <c r="B117" s="328">
        <v>4470098</v>
      </c>
      <c r="C117" s="344">
        <v>160.90850778306</v>
      </c>
      <c r="D117" s="344">
        <v>32.421724114510006</v>
      </c>
      <c r="E117" s="344">
        <v>82.58830659502</v>
      </c>
      <c r="F117" s="344">
        <v>105.71265886566</v>
      </c>
      <c r="G117" s="344">
        <v>85.33875964175</v>
      </c>
      <c r="H117" s="423"/>
      <c r="I117" s="298">
        <f t="shared" si="3"/>
        <v>466.969957</v>
      </c>
      <c r="J117" s="298"/>
      <c r="K117" s="328" t="s">
        <v>328</v>
      </c>
      <c r="M117" s="298">
        <f t="shared" si="2"/>
        <v>466.969957</v>
      </c>
    </row>
    <row r="118" spans="1:13" ht="16.5">
      <c r="A118" s="2" t="s">
        <v>462</v>
      </c>
      <c r="B118" s="328">
        <v>5550041</v>
      </c>
      <c r="C118" s="344">
        <v>7386.0860832</v>
      </c>
      <c r="D118" s="344">
        <v>1488.2348272000002</v>
      </c>
      <c r="E118" s="344">
        <v>3791.0011744</v>
      </c>
      <c r="F118" s="344">
        <v>4852.4643552</v>
      </c>
      <c r="G118" s="344">
        <v>3917.25356</v>
      </c>
      <c r="H118" s="423"/>
      <c r="I118" s="298">
        <f t="shared" si="3"/>
        <v>21435.04</v>
      </c>
      <c r="J118" s="298"/>
      <c r="K118" s="328" t="s">
        <v>1547</v>
      </c>
      <c r="M118" s="298">
        <f t="shared" si="2"/>
      </c>
    </row>
    <row r="119" spans="1:13" ht="16.5">
      <c r="A119" s="2" t="s">
        <v>1473</v>
      </c>
      <c r="B119" s="328">
        <v>4470101</v>
      </c>
      <c r="C119" s="344">
        <v>-864.2285294445</v>
      </c>
      <c r="D119" s="344">
        <v>-174.13485054075002</v>
      </c>
      <c r="E119" s="344">
        <v>-443.57611503149997</v>
      </c>
      <c r="F119" s="344">
        <v>-567.7754207895</v>
      </c>
      <c r="G119" s="344">
        <v>-458.34860919375</v>
      </c>
      <c r="H119" s="423"/>
      <c r="I119" s="298">
        <f t="shared" si="3"/>
        <v>-2508.0635250000005</v>
      </c>
      <c r="J119" s="298"/>
      <c r="K119" s="328" t="s">
        <v>1547</v>
      </c>
      <c r="M119" s="298">
        <f t="shared" si="2"/>
      </c>
    </row>
    <row r="120" spans="1:13" ht="16.5">
      <c r="A120" s="2" t="s">
        <v>1473</v>
      </c>
      <c r="B120" s="328">
        <v>4470100</v>
      </c>
      <c r="C120" s="344">
        <v>-1115.6764635555</v>
      </c>
      <c r="D120" s="344">
        <v>-224.79951495925005</v>
      </c>
      <c r="E120" s="344">
        <v>-572.6349159685001</v>
      </c>
      <c r="F120" s="344">
        <v>-732.9701022105</v>
      </c>
      <c r="G120" s="344">
        <v>-591.70547830625</v>
      </c>
      <c r="H120" s="423"/>
      <c r="I120" s="298">
        <f t="shared" si="3"/>
        <v>-3237.7864750000003</v>
      </c>
      <c r="J120" s="298"/>
      <c r="K120" s="328" t="s">
        <v>328</v>
      </c>
      <c r="M120" s="298">
        <f t="shared" si="2"/>
        <v>-3237.7864750000003</v>
      </c>
    </row>
    <row r="121" spans="1:13" ht="16.5">
      <c r="A121" s="2" t="s">
        <v>45</v>
      </c>
      <c r="B121" s="328">
        <v>4470099</v>
      </c>
      <c r="C121" s="344">
        <v>-11.6674788</v>
      </c>
      <c r="D121" s="344">
        <v>-2.3508998</v>
      </c>
      <c r="E121" s="344">
        <v>-5.9884796</v>
      </c>
      <c r="F121" s="344">
        <v>-7.6652268</v>
      </c>
      <c r="G121" s="344">
        <v>-6.187914999999999</v>
      </c>
      <c r="H121" s="423"/>
      <c r="I121" s="298">
        <f t="shared" si="3"/>
        <v>-33.86</v>
      </c>
      <c r="J121" s="298"/>
      <c r="K121" s="328" t="s">
        <v>328</v>
      </c>
      <c r="M121" s="298">
        <f t="shared" si="2"/>
        <v>-33.86</v>
      </c>
    </row>
    <row r="122" spans="1:13" ht="16.5">
      <c r="A122" s="2" t="s">
        <v>1918</v>
      </c>
      <c r="B122" s="328">
        <v>4470101</v>
      </c>
      <c r="C122" s="344">
        <v>-7774.06938</v>
      </c>
      <c r="D122" s="344">
        <v>-1566.4102300000002</v>
      </c>
      <c r="E122" s="344">
        <v>-3990.1384599999997</v>
      </c>
      <c r="F122" s="344">
        <v>-5107.35918</v>
      </c>
      <c r="G122" s="344">
        <v>-4123.02275</v>
      </c>
      <c r="H122" s="423"/>
      <c r="I122" s="298">
        <f t="shared" si="3"/>
        <v>-22561</v>
      </c>
      <c r="J122" s="298"/>
      <c r="K122" s="328" t="s">
        <v>1547</v>
      </c>
      <c r="M122" s="298">
        <f t="shared" si="2"/>
      </c>
    </row>
    <row r="123" spans="1:13" ht="16.5">
      <c r="A123" s="2" t="s">
        <v>1918</v>
      </c>
      <c r="B123" s="328">
        <v>4470100</v>
      </c>
      <c r="C123" s="344">
        <v>7774.06938</v>
      </c>
      <c r="D123" s="344">
        <v>1566.4102300000002</v>
      </c>
      <c r="E123" s="344">
        <v>3990.1384599999997</v>
      </c>
      <c r="F123" s="344">
        <v>5107.35918</v>
      </c>
      <c r="G123" s="344">
        <v>4123.02275</v>
      </c>
      <c r="H123" s="423"/>
      <c r="I123" s="298">
        <f t="shared" si="3"/>
        <v>22561</v>
      </c>
      <c r="J123" s="298"/>
      <c r="K123" s="328" t="s">
        <v>328</v>
      </c>
      <c r="M123" s="298">
        <f t="shared" si="2"/>
        <v>22561</v>
      </c>
    </row>
    <row r="124" spans="1:13" ht="15">
      <c r="A124" s="2"/>
      <c r="B124" s="328"/>
      <c r="C124" s="298"/>
      <c r="D124" s="298"/>
      <c r="E124" s="298"/>
      <c r="F124" s="298"/>
      <c r="G124" s="298"/>
      <c r="H124" s="346"/>
      <c r="I124" s="298"/>
      <c r="J124" s="275"/>
      <c r="K124" s="328"/>
      <c r="L124" s="241"/>
      <c r="M124" s="298">
        <f t="shared" si="2"/>
      </c>
    </row>
    <row r="125" spans="1:13" s="241" customFormat="1" ht="15">
      <c r="A125" s="2" t="s">
        <v>1582</v>
      </c>
      <c r="B125" s="328">
        <v>5614000</v>
      </c>
      <c r="C125" s="344">
        <v>32649.053341138293</v>
      </c>
      <c r="D125" s="344">
        <v>6578.51</v>
      </c>
      <c r="E125" s="344">
        <v>16757.53</v>
      </c>
      <c r="F125" s="344">
        <v>21449.56</v>
      </c>
      <c r="G125" s="344">
        <v>17315.61</v>
      </c>
      <c r="H125" s="454"/>
      <c r="I125" s="298">
        <f>SUM(C125:G125)</f>
        <v>94750.2633411383</v>
      </c>
      <c r="J125" s="275"/>
      <c r="K125" s="328" t="s">
        <v>328</v>
      </c>
      <c r="M125" s="298">
        <f t="shared" si="2"/>
        <v>94750.2633411383</v>
      </c>
    </row>
    <row r="126" spans="1:13" s="241" customFormat="1" ht="15">
      <c r="A126" s="2" t="s">
        <v>1583</v>
      </c>
      <c r="B126" s="328">
        <v>5614001</v>
      </c>
      <c r="C126" s="344">
        <v>375974.80419501045</v>
      </c>
      <c r="D126" s="344">
        <v>75755.79</v>
      </c>
      <c r="E126" s="344">
        <v>192973.78</v>
      </c>
      <c r="F126" s="344">
        <v>247005.56</v>
      </c>
      <c r="G126" s="344">
        <v>199400.42</v>
      </c>
      <c r="H126" s="454"/>
      <c r="I126" s="298">
        <f aca="true" t="shared" si="4" ref="I126:I167">SUM(C126:G126)</f>
        <v>1091110.3541950104</v>
      </c>
      <c r="J126" s="275"/>
      <c r="K126" s="328" t="s">
        <v>1921</v>
      </c>
      <c r="M126" s="298">
        <f t="shared" si="2"/>
      </c>
    </row>
    <row r="127" spans="1:13" s="241" customFormat="1" ht="15">
      <c r="A127" s="2" t="s">
        <v>1582</v>
      </c>
      <c r="B127" s="328">
        <v>5618000</v>
      </c>
      <c r="C127" s="344">
        <v>2146.1524953685694</v>
      </c>
      <c r="D127" s="344">
        <v>432.43</v>
      </c>
      <c r="E127" s="344">
        <v>1101.54</v>
      </c>
      <c r="F127" s="344">
        <v>1409.97</v>
      </c>
      <c r="G127" s="344">
        <v>1138.22</v>
      </c>
      <c r="H127" s="454"/>
      <c r="I127" s="298">
        <f t="shared" si="4"/>
        <v>6228.312495368569</v>
      </c>
      <c r="J127" s="275"/>
      <c r="K127" s="328" t="s">
        <v>328</v>
      </c>
      <c r="M127" s="298">
        <f t="shared" si="2"/>
        <v>6228.312495368569</v>
      </c>
    </row>
    <row r="128" spans="1:13" s="241" customFormat="1" ht="15">
      <c r="A128" s="2" t="s">
        <v>1583</v>
      </c>
      <c r="B128" s="328">
        <v>5618001</v>
      </c>
      <c r="C128" s="344">
        <v>24714.322878455838</v>
      </c>
      <c r="D128" s="344">
        <v>4979.73</v>
      </c>
      <c r="E128" s="344">
        <v>12684.94</v>
      </c>
      <c r="F128" s="344">
        <v>16236.66</v>
      </c>
      <c r="G128" s="344">
        <v>13107.38</v>
      </c>
      <c r="H128" s="454"/>
      <c r="I128" s="298">
        <f t="shared" si="4"/>
        <v>71723.03287845584</v>
      </c>
      <c r="J128" s="275"/>
      <c r="K128" s="328" t="s">
        <v>1921</v>
      </c>
      <c r="M128" s="298">
        <f t="shared" si="2"/>
      </c>
    </row>
    <row r="129" spans="1:13" s="241" customFormat="1" ht="15">
      <c r="A129" s="2" t="s">
        <v>1582</v>
      </c>
      <c r="B129" s="328">
        <v>5757000</v>
      </c>
      <c r="C129" s="344">
        <v>33948.13642849313</v>
      </c>
      <c r="D129" s="344">
        <v>6840.27</v>
      </c>
      <c r="E129" s="344">
        <v>17424.3</v>
      </c>
      <c r="F129" s="344">
        <v>22303.03</v>
      </c>
      <c r="G129" s="344">
        <v>18004.59</v>
      </c>
      <c r="H129" s="454"/>
      <c r="I129" s="298">
        <f t="shared" si="4"/>
        <v>98520.32642849314</v>
      </c>
      <c r="J129" s="275"/>
      <c r="K129" s="328" t="s">
        <v>328</v>
      </c>
      <c r="M129" s="298">
        <f t="shared" si="2"/>
        <v>98520.32642849314</v>
      </c>
    </row>
    <row r="130" spans="1:13" s="241" customFormat="1" ht="15">
      <c r="A130" s="2" t="s">
        <v>1583</v>
      </c>
      <c r="B130" s="328">
        <v>5757001</v>
      </c>
      <c r="C130" s="344">
        <v>390934.66066153353</v>
      </c>
      <c r="D130" s="344">
        <v>78770.07</v>
      </c>
      <c r="E130" s="344">
        <v>200652.1</v>
      </c>
      <c r="F130" s="344">
        <v>256833.78</v>
      </c>
      <c r="G130" s="344">
        <v>207334.45</v>
      </c>
      <c r="H130" s="454"/>
      <c r="I130" s="298">
        <f t="shared" si="4"/>
        <v>1134525.0606615336</v>
      </c>
      <c r="J130" s="275"/>
      <c r="K130" s="328" t="s">
        <v>1921</v>
      </c>
      <c r="M130" s="298">
        <f t="shared" si="2"/>
      </c>
    </row>
    <row r="131" spans="1:13" s="241" customFormat="1" ht="15">
      <c r="A131" s="2" t="s">
        <v>1582</v>
      </c>
      <c r="B131" s="328">
        <v>5618000</v>
      </c>
      <c r="C131" s="344">
        <v>1787.759434</v>
      </c>
      <c r="D131" s="344">
        <v>360.22</v>
      </c>
      <c r="E131" s="344">
        <v>917.58</v>
      </c>
      <c r="F131" s="344">
        <v>1174.5</v>
      </c>
      <c r="G131" s="344">
        <v>948.14</v>
      </c>
      <c r="H131" s="454"/>
      <c r="I131" s="298">
        <f t="shared" si="4"/>
        <v>5188.199434</v>
      </c>
      <c r="J131" s="275"/>
      <c r="K131" s="328" t="s">
        <v>328</v>
      </c>
      <c r="M131" s="298">
        <f t="shared" si="2"/>
        <v>5188.199434</v>
      </c>
    </row>
    <row r="132" spans="1:13" s="241" customFormat="1" ht="15">
      <c r="A132" s="2" t="s">
        <v>1583</v>
      </c>
      <c r="B132" s="328">
        <v>5618001</v>
      </c>
      <c r="C132" s="344">
        <v>20587.090566000003</v>
      </c>
      <c r="D132" s="344">
        <v>4148.13</v>
      </c>
      <c r="E132" s="344">
        <v>10566.58</v>
      </c>
      <c r="F132" s="344">
        <v>13525.18</v>
      </c>
      <c r="G132" s="344">
        <v>10918.48</v>
      </c>
      <c r="H132" s="454"/>
      <c r="I132" s="298">
        <f t="shared" si="4"/>
        <v>59745.46056600001</v>
      </c>
      <c r="J132" s="275"/>
      <c r="K132" s="328" t="s">
        <v>1921</v>
      </c>
      <c r="M132" s="298">
        <f t="shared" si="2"/>
      </c>
    </row>
    <row r="133" spans="1:13" s="241" customFormat="1" ht="15">
      <c r="A133" s="2" t="s">
        <v>1582</v>
      </c>
      <c r="B133" s="328">
        <v>5618000</v>
      </c>
      <c r="C133" s="344">
        <v>2287.255907999999</v>
      </c>
      <c r="D133" s="344">
        <v>460.87</v>
      </c>
      <c r="E133" s="344">
        <v>1173.97</v>
      </c>
      <c r="F133" s="344">
        <v>1502.68</v>
      </c>
      <c r="G133" s="344">
        <v>1213.07</v>
      </c>
      <c r="H133" s="454"/>
      <c r="I133" s="298">
        <f t="shared" si="4"/>
        <v>6637.845907999999</v>
      </c>
      <c r="J133" s="275"/>
      <c r="K133" s="328" t="s">
        <v>328</v>
      </c>
      <c r="M133" s="298">
        <f aca="true" t="shared" si="5" ref="M133:M167">IF(K133="East Zone SIA",I133,"")</f>
        <v>6637.845907999999</v>
      </c>
    </row>
    <row r="134" spans="1:13" s="241" customFormat="1" ht="15">
      <c r="A134" s="2" t="s">
        <v>1583</v>
      </c>
      <c r="B134" s="328">
        <v>5618001</v>
      </c>
      <c r="C134" s="344">
        <v>26339.384091999993</v>
      </c>
      <c r="D134" s="344">
        <v>5307.16</v>
      </c>
      <c r="E134" s="344">
        <v>13519.01</v>
      </c>
      <c r="F134" s="344">
        <v>17304.28</v>
      </c>
      <c r="G134" s="344">
        <v>13969.24</v>
      </c>
      <c r="H134" s="454"/>
      <c r="I134" s="298">
        <f t="shared" si="4"/>
        <v>76439.074092</v>
      </c>
      <c r="J134" s="275"/>
      <c r="K134" s="328" t="s">
        <v>1921</v>
      </c>
      <c r="M134" s="298">
        <f t="shared" si="5"/>
      </c>
    </row>
    <row r="135" spans="1:13" ht="15">
      <c r="A135" s="2"/>
      <c r="B135" s="328"/>
      <c r="C135" s="298"/>
      <c r="D135" s="298"/>
      <c r="E135" s="298"/>
      <c r="F135" s="298"/>
      <c r="G135" s="298"/>
      <c r="H135" s="454"/>
      <c r="I135" s="298">
        <f t="shared" si="4"/>
        <v>0</v>
      </c>
      <c r="J135" s="275"/>
      <c r="K135" s="328"/>
      <c r="L135" s="241"/>
      <c r="M135" s="298">
        <f t="shared" si="5"/>
      </c>
    </row>
    <row r="136" spans="1:13" s="241" customFormat="1" ht="15">
      <c r="A136" s="2" t="s">
        <v>299</v>
      </c>
      <c r="B136" s="328">
        <v>5757000</v>
      </c>
      <c r="C136" s="344">
        <v>3152.2529720000007</v>
      </c>
      <c r="D136" s="344">
        <v>635.15</v>
      </c>
      <c r="E136" s="344">
        <v>1617.93</v>
      </c>
      <c r="F136" s="344">
        <v>2070.95</v>
      </c>
      <c r="G136" s="344">
        <v>1671.81</v>
      </c>
      <c r="H136" s="454"/>
      <c r="I136" s="298">
        <f t="shared" si="4"/>
        <v>9148.092972</v>
      </c>
      <c r="J136" s="275"/>
      <c r="K136" s="328" t="s">
        <v>328</v>
      </c>
      <c r="M136" s="298">
        <f t="shared" si="5"/>
        <v>9148.092972</v>
      </c>
    </row>
    <row r="137" spans="1:13" s="241" customFormat="1" ht="15">
      <c r="A137" s="2" t="s">
        <v>299</v>
      </c>
      <c r="B137" s="328">
        <v>5757001</v>
      </c>
      <c r="C137" s="344">
        <v>36300.17702799999</v>
      </c>
      <c r="D137" s="344">
        <v>7314.19</v>
      </c>
      <c r="E137" s="344">
        <v>18631.53</v>
      </c>
      <c r="F137" s="344">
        <v>23848.27</v>
      </c>
      <c r="G137" s="344">
        <v>19252.02</v>
      </c>
      <c r="H137" s="454"/>
      <c r="I137" s="298">
        <f t="shared" si="4"/>
        <v>105346.187028</v>
      </c>
      <c r="J137" s="275"/>
      <c r="K137" s="328" t="s">
        <v>1547</v>
      </c>
      <c r="M137" s="298">
        <f t="shared" si="5"/>
      </c>
    </row>
    <row r="138" spans="1:13" ht="15">
      <c r="A138" s="2"/>
      <c r="B138" s="328"/>
      <c r="C138" s="275"/>
      <c r="D138" s="298"/>
      <c r="E138" s="298"/>
      <c r="F138" s="298"/>
      <c r="G138" s="298"/>
      <c r="H138" s="346"/>
      <c r="I138" s="298"/>
      <c r="J138" s="275"/>
      <c r="K138" s="329"/>
      <c r="L138" s="241"/>
      <c r="M138" s="298">
        <f t="shared" si="5"/>
      </c>
    </row>
    <row r="139" spans="1:13" s="241" customFormat="1" ht="15">
      <c r="A139" s="962" t="s">
        <v>2160</v>
      </c>
      <c r="B139" s="328">
        <v>4470107</v>
      </c>
      <c r="C139" s="344">
        <v>-137.24000000119213</v>
      </c>
      <c r="D139" s="344">
        <v>-27.65</v>
      </c>
      <c r="E139" s="344">
        <v>-70.44</v>
      </c>
      <c r="F139" s="344">
        <v>-90.16</v>
      </c>
      <c r="G139" s="344">
        <v>-72.79</v>
      </c>
      <c r="H139" s="346"/>
      <c r="I139" s="298">
        <f t="shared" si="4"/>
        <v>-398.28000000119215</v>
      </c>
      <c r="J139" s="275"/>
      <c r="K139" s="329" t="s">
        <v>328</v>
      </c>
      <c r="M139" s="298">
        <f t="shared" si="5"/>
        <v>-398.28000000119215</v>
      </c>
    </row>
    <row r="140" spans="1:13" s="241" customFormat="1" ht="15">
      <c r="A140" s="962" t="s">
        <v>2161</v>
      </c>
      <c r="B140" s="328">
        <v>4470110</v>
      </c>
      <c r="C140" s="344">
        <v>4047.989999999977</v>
      </c>
      <c r="D140" s="344">
        <v>815.64</v>
      </c>
      <c r="E140" s="344">
        <v>2077.68</v>
      </c>
      <c r="F140" s="344">
        <v>2659.42</v>
      </c>
      <c r="G140" s="344">
        <v>2146.87</v>
      </c>
      <c r="H140" s="346"/>
      <c r="I140" s="298">
        <f t="shared" si="4"/>
        <v>11747.599999999977</v>
      </c>
      <c r="J140" s="275"/>
      <c r="K140" s="329" t="s">
        <v>328</v>
      </c>
      <c r="M140" s="298">
        <f t="shared" si="5"/>
        <v>11747.599999999977</v>
      </c>
    </row>
    <row r="141" spans="1:13" s="241" customFormat="1" ht="15">
      <c r="A141" s="962" t="s">
        <v>2162</v>
      </c>
      <c r="B141" s="328">
        <v>5550039</v>
      </c>
      <c r="C141" s="344">
        <v>-4014.03</v>
      </c>
      <c r="D141" s="344">
        <v>-808.79</v>
      </c>
      <c r="E141" s="344">
        <v>-2060.25</v>
      </c>
      <c r="F141" s="344">
        <v>-2637.11</v>
      </c>
      <c r="G141" s="344">
        <v>-2128.86</v>
      </c>
      <c r="H141" s="346"/>
      <c r="I141" s="298">
        <f t="shared" si="4"/>
        <v>-11649.04</v>
      </c>
      <c r="J141" s="275"/>
      <c r="K141" s="329" t="s">
        <v>328</v>
      </c>
      <c r="M141" s="298">
        <f t="shared" si="5"/>
        <v>-11649.04</v>
      </c>
    </row>
    <row r="142" spans="1:13" s="241" customFormat="1" ht="15">
      <c r="A142" s="962" t="s">
        <v>2163</v>
      </c>
      <c r="B142" s="328">
        <v>4470107</v>
      </c>
      <c r="C142" s="344">
        <v>0</v>
      </c>
      <c r="D142" s="344">
        <v>0</v>
      </c>
      <c r="E142" s="344">
        <v>0</v>
      </c>
      <c r="F142" s="344">
        <v>0</v>
      </c>
      <c r="G142" s="344">
        <v>0</v>
      </c>
      <c r="H142" s="346"/>
      <c r="I142" s="298">
        <f t="shared" si="4"/>
        <v>0</v>
      </c>
      <c r="J142" s="275"/>
      <c r="K142" s="329" t="s">
        <v>328</v>
      </c>
      <c r="M142" s="298">
        <f t="shared" si="5"/>
        <v>0</v>
      </c>
    </row>
    <row r="143" spans="1:13" ht="15">
      <c r="A143" s="2"/>
      <c r="B143" s="328"/>
      <c r="C143" s="275"/>
      <c r="D143" s="298"/>
      <c r="E143" s="298"/>
      <c r="F143" s="298"/>
      <c r="G143" s="298"/>
      <c r="H143" s="346"/>
      <c r="I143" s="298"/>
      <c r="J143" s="275"/>
      <c r="K143" s="329"/>
      <c r="L143" s="241"/>
      <c r="M143" s="298">
        <f t="shared" si="5"/>
      </c>
    </row>
    <row r="144" spans="1:13" s="241" customFormat="1" ht="15">
      <c r="A144" s="2" t="s">
        <v>1600</v>
      </c>
      <c r="B144" s="328">
        <v>4470124</v>
      </c>
      <c r="C144" s="344">
        <v>-2.2466615999999995</v>
      </c>
      <c r="D144" s="344">
        <v>-0.4526836</v>
      </c>
      <c r="E144" s="344">
        <v>-1.1531272</v>
      </c>
      <c r="F144" s="344">
        <v>-1.4759976</v>
      </c>
      <c r="G144" s="344">
        <v>-1.19153</v>
      </c>
      <c r="H144" s="346"/>
      <c r="I144" s="298">
        <f t="shared" si="4"/>
        <v>-6.52</v>
      </c>
      <c r="J144" s="275"/>
      <c r="K144" s="329" t="s">
        <v>328</v>
      </c>
      <c r="M144" s="298">
        <f t="shared" si="5"/>
        <v>-6.52</v>
      </c>
    </row>
    <row r="145" spans="1:13" ht="15">
      <c r="A145" s="2"/>
      <c r="B145" s="328"/>
      <c r="C145" s="275"/>
      <c r="D145" s="298"/>
      <c r="E145" s="298"/>
      <c r="F145" s="298"/>
      <c r="G145" s="298"/>
      <c r="H145" s="346"/>
      <c r="I145" s="298"/>
      <c r="J145" s="275"/>
      <c r="K145" s="329"/>
      <c r="L145" s="241"/>
      <c r="M145" s="298">
        <f t="shared" si="5"/>
      </c>
    </row>
    <row r="146" spans="1:13" s="241" customFormat="1" ht="15">
      <c r="A146" s="2" t="s">
        <v>1166</v>
      </c>
      <c r="B146" s="328">
        <v>4470126</v>
      </c>
      <c r="C146" s="344">
        <v>-37175.2</v>
      </c>
      <c r="D146" s="344">
        <v>-7490.49</v>
      </c>
      <c r="E146" s="344">
        <v>-19080.63</v>
      </c>
      <c r="F146" s="344">
        <v>-24423.12</v>
      </c>
      <c r="G146" s="344">
        <v>-19716.08</v>
      </c>
      <c r="H146" s="454"/>
      <c r="I146" s="298">
        <f t="shared" si="4"/>
        <v>-107885.51999999999</v>
      </c>
      <c r="J146" s="275"/>
      <c r="K146" s="329" t="s">
        <v>328</v>
      </c>
      <c r="M146" s="298">
        <f t="shared" si="5"/>
        <v>-107885.51999999999</v>
      </c>
    </row>
    <row r="147" spans="1:13" s="241" customFormat="1" ht="15">
      <c r="A147" s="2" t="s">
        <v>1167</v>
      </c>
      <c r="B147" s="328">
        <v>4470116</v>
      </c>
      <c r="C147" s="344">
        <v>7502.85</v>
      </c>
      <c r="D147" s="344">
        <v>1511.76</v>
      </c>
      <c r="E147" s="344">
        <v>3850.93</v>
      </c>
      <c r="F147" s="344">
        <v>4929.17</v>
      </c>
      <c r="G147" s="344">
        <v>3979.18</v>
      </c>
      <c r="H147" s="454"/>
      <c r="I147" s="298">
        <f t="shared" si="4"/>
        <v>21773.89</v>
      </c>
      <c r="J147" s="275"/>
      <c r="K147" s="329" t="s">
        <v>1547</v>
      </c>
      <c r="M147" s="298">
        <f t="shared" si="5"/>
      </c>
    </row>
    <row r="148" spans="1:13" s="241" customFormat="1" ht="15">
      <c r="A148" s="2" t="s">
        <v>1873</v>
      </c>
      <c r="B148" s="328">
        <v>5550039</v>
      </c>
      <c r="C148" s="344">
        <v>0</v>
      </c>
      <c r="D148" s="344">
        <v>0</v>
      </c>
      <c r="E148" s="344">
        <v>0</v>
      </c>
      <c r="F148" s="344">
        <v>0</v>
      </c>
      <c r="G148" s="344">
        <v>0</v>
      </c>
      <c r="H148" s="454"/>
      <c r="I148" s="298">
        <f t="shared" si="4"/>
        <v>0</v>
      </c>
      <c r="J148" s="275"/>
      <c r="K148" s="329" t="s">
        <v>328</v>
      </c>
      <c r="M148" s="298">
        <f t="shared" si="5"/>
        <v>0</v>
      </c>
    </row>
    <row r="149" spans="1:13" s="241" customFormat="1" ht="15">
      <c r="A149" s="2" t="s">
        <v>1874</v>
      </c>
      <c r="B149" s="328">
        <v>5550040</v>
      </c>
      <c r="C149" s="344">
        <v>0</v>
      </c>
      <c r="D149" s="344">
        <v>0</v>
      </c>
      <c r="E149" s="344">
        <v>0</v>
      </c>
      <c r="F149" s="344">
        <v>0</v>
      </c>
      <c r="G149" s="344">
        <v>0</v>
      </c>
      <c r="H149" s="454"/>
      <c r="I149" s="298">
        <f t="shared" si="4"/>
        <v>0</v>
      </c>
      <c r="J149" s="275"/>
      <c r="K149" s="329" t="s">
        <v>1547</v>
      </c>
      <c r="M149" s="298">
        <f t="shared" si="5"/>
      </c>
    </row>
    <row r="150" spans="1:13" s="241" customFormat="1" ht="15">
      <c r="A150" s="2" t="s">
        <v>212</v>
      </c>
      <c r="B150" s="328">
        <v>4470107</v>
      </c>
      <c r="C150" s="344">
        <v>0.02</v>
      </c>
      <c r="D150" s="344">
        <v>0</v>
      </c>
      <c r="E150" s="344">
        <v>0</v>
      </c>
      <c r="F150" s="344">
        <v>0</v>
      </c>
      <c r="G150" s="344">
        <v>0</v>
      </c>
      <c r="H150" s="454"/>
      <c r="I150" s="298">
        <f t="shared" si="4"/>
        <v>0.02</v>
      </c>
      <c r="J150" s="275"/>
      <c r="K150" s="329" t="s">
        <v>328</v>
      </c>
      <c r="M150" s="298">
        <f t="shared" si="5"/>
        <v>0.02</v>
      </c>
    </row>
    <row r="151" spans="1:13" s="241" customFormat="1" ht="15">
      <c r="A151" s="2" t="s">
        <v>2086</v>
      </c>
      <c r="B151" s="328">
        <v>4470116</v>
      </c>
      <c r="C151" s="344">
        <v>0</v>
      </c>
      <c r="D151" s="344">
        <v>0</v>
      </c>
      <c r="E151" s="344">
        <v>0</v>
      </c>
      <c r="F151" s="344">
        <v>0</v>
      </c>
      <c r="G151" s="344">
        <v>0</v>
      </c>
      <c r="H151" s="454"/>
      <c r="I151" s="298">
        <f t="shared" si="4"/>
        <v>0</v>
      </c>
      <c r="J151" s="275"/>
      <c r="K151" s="329" t="s">
        <v>1547</v>
      </c>
      <c r="M151" s="298">
        <f t="shared" si="5"/>
      </c>
    </row>
    <row r="152" spans="1:13" s="241" customFormat="1" ht="15">
      <c r="A152" s="2"/>
      <c r="B152" s="328"/>
      <c r="C152" s="298"/>
      <c r="D152" s="298"/>
      <c r="E152" s="298"/>
      <c r="F152" s="298"/>
      <c r="G152" s="298"/>
      <c r="H152" s="454"/>
      <c r="I152" s="298"/>
      <c r="J152" s="275"/>
      <c r="K152" s="329"/>
      <c r="M152" s="298"/>
    </row>
    <row r="153" spans="1:13" s="241" customFormat="1" ht="15">
      <c r="A153" s="2" t="s">
        <v>1166</v>
      </c>
      <c r="B153" s="328">
        <v>4470126</v>
      </c>
      <c r="C153" s="344">
        <v>-6120.48</v>
      </c>
      <c r="D153" s="344">
        <v>-1233.23</v>
      </c>
      <c r="E153" s="344">
        <v>-3141.42</v>
      </c>
      <c r="F153" s="344">
        <v>-4021</v>
      </c>
      <c r="G153" s="344">
        <v>-3246.03</v>
      </c>
      <c r="H153" s="454"/>
      <c r="I153" s="298">
        <f t="shared" si="4"/>
        <v>-17762.16</v>
      </c>
      <c r="J153" s="275"/>
      <c r="K153" s="329" t="s">
        <v>328</v>
      </c>
      <c r="M153" s="298"/>
    </row>
    <row r="154" spans="1:13" ht="15">
      <c r="A154" s="2" t="s">
        <v>1167</v>
      </c>
      <c r="B154" s="328">
        <v>4470116</v>
      </c>
      <c r="C154" s="963">
        <v>7364.13</v>
      </c>
      <c r="D154" s="344">
        <v>1483.81</v>
      </c>
      <c r="E154" s="344">
        <v>3779.73</v>
      </c>
      <c r="F154" s="344">
        <v>4838.04</v>
      </c>
      <c r="G154" s="344">
        <v>3905.61</v>
      </c>
      <c r="H154" s="346"/>
      <c r="I154" s="298">
        <f t="shared" si="4"/>
        <v>21371.32</v>
      </c>
      <c r="J154" s="275"/>
      <c r="K154" s="329" t="s">
        <v>1547</v>
      </c>
      <c r="L154" s="241"/>
      <c r="M154" s="298">
        <f t="shared" si="5"/>
      </c>
    </row>
    <row r="155" spans="1:12" ht="15">
      <c r="A155" s="2"/>
      <c r="B155" s="328"/>
      <c r="C155" s="275"/>
      <c r="D155" s="298"/>
      <c r="E155" s="298"/>
      <c r="F155" s="298"/>
      <c r="G155" s="298"/>
      <c r="H155" s="346"/>
      <c r="I155" s="298"/>
      <c r="J155" s="275"/>
      <c r="K155" s="329"/>
      <c r="L155" s="241"/>
    </row>
    <row r="156" spans="1:13" s="241" customFormat="1" ht="15">
      <c r="A156" s="2" t="s">
        <v>1398</v>
      </c>
      <c r="B156" s="328">
        <v>4470093</v>
      </c>
      <c r="C156" s="344">
        <v>0</v>
      </c>
      <c r="D156" s="344">
        <v>0</v>
      </c>
      <c r="E156" s="344">
        <v>0</v>
      </c>
      <c r="F156" s="344">
        <v>0</v>
      </c>
      <c r="G156" s="344">
        <v>0</v>
      </c>
      <c r="H156" s="346"/>
      <c r="I156" s="298">
        <f t="shared" si="4"/>
        <v>0</v>
      </c>
      <c r="J156" s="275"/>
      <c r="K156" s="329" t="s">
        <v>1547</v>
      </c>
      <c r="M156" s="298">
        <f t="shared" si="5"/>
      </c>
    </row>
    <row r="157" spans="1:13" s="241" customFormat="1" ht="15">
      <c r="A157" s="2" t="s">
        <v>1399</v>
      </c>
      <c r="B157" s="328">
        <v>4470126</v>
      </c>
      <c r="C157" s="344">
        <v>0</v>
      </c>
      <c r="D157" s="344">
        <v>0</v>
      </c>
      <c r="E157" s="344">
        <v>0</v>
      </c>
      <c r="F157" s="344">
        <v>0</v>
      </c>
      <c r="G157" s="344">
        <v>0</v>
      </c>
      <c r="H157" s="346"/>
      <c r="I157" s="298">
        <f t="shared" si="4"/>
        <v>0</v>
      </c>
      <c r="J157" s="275"/>
      <c r="K157" s="329" t="s">
        <v>328</v>
      </c>
      <c r="M157" s="298">
        <f t="shared" si="5"/>
        <v>0</v>
      </c>
    </row>
    <row r="158" spans="1:13" s="241" customFormat="1" ht="15">
      <c r="A158" s="2" t="s">
        <v>1398</v>
      </c>
      <c r="B158" s="328">
        <v>4470093</v>
      </c>
      <c r="C158" s="344">
        <v>0</v>
      </c>
      <c r="D158" s="344">
        <v>0</v>
      </c>
      <c r="E158" s="344">
        <v>0</v>
      </c>
      <c r="F158" s="344">
        <v>0</v>
      </c>
      <c r="G158" s="344">
        <v>0</v>
      </c>
      <c r="H158" s="346"/>
      <c r="I158" s="298">
        <f t="shared" si="4"/>
        <v>0</v>
      </c>
      <c r="J158" s="275"/>
      <c r="K158" s="329" t="s">
        <v>1547</v>
      </c>
      <c r="M158" s="298">
        <f t="shared" si="5"/>
      </c>
    </row>
    <row r="159" spans="1:13" s="241" customFormat="1" ht="15">
      <c r="A159" s="2" t="s">
        <v>1399</v>
      </c>
      <c r="B159" s="328">
        <v>4470126</v>
      </c>
      <c r="C159" s="344">
        <v>0</v>
      </c>
      <c r="D159" s="344">
        <v>0</v>
      </c>
      <c r="E159" s="344">
        <v>0</v>
      </c>
      <c r="F159" s="344">
        <v>0</v>
      </c>
      <c r="G159" s="344">
        <v>0</v>
      </c>
      <c r="H159" s="346"/>
      <c r="I159" s="298">
        <f t="shared" si="4"/>
        <v>0</v>
      </c>
      <c r="J159" s="275"/>
      <c r="K159" s="329" t="s">
        <v>328</v>
      </c>
      <c r="M159" s="298">
        <f t="shared" si="5"/>
        <v>0</v>
      </c>
    </row>
    <row r="160" spans="1:13" ht="15">
      <c r="A160" s="2"/>
      <c r="B160" s="328"/>
      <c r="C160" s="275"/>
      <c r="D160" s="298"/>
      <c r="E160" s="298"/>
      <c r="F160" s="298"/>
      <c r="G160" s="298"/>
      <c r="H160" s="298"/>
      <c r="I160" s="298"/>
      <c r="J160" s="275"/>
      <c r="K160" s="329"/>
      <c r="L160" s="241"/>
      <c r="M160" s="298">
        <f t="shared" si="5"/>
      </c>
    </row>
    <row r="161" spans="1:13" ht="15">
      <c r="A161" s="2" t="s">
        <v>58</v>
      </c>
      <c r="B161" s="328">
        <v>5614007</v>
      </c>
      <c r="C161" s="963">
        <v>72654</v>
      </c>
      <c r="D161" s="344">
        <v>14639</v>
      </c>
      <c r="E161" s="344">
        <v>37290</v>
      </c>
      <c r="F161" s="344">
        <v>47732</v>
      </c>
      <c r="G161" s="344">
        <v>38532</v>
      </c>
      <c r="H161" s="298"/>
      <c r="I161" s="298">
        <f t="shared" si="4"/>
        <v>210847</v>
      </c>
      <c r="J161" s="275"/>
      <c r="K161" s="329" t="s">
        <v>1547</v>
      </c>
      <c r="L161" s="241"/>
      <c r="M161" s="298">
        <f t="shared" si="5"/>
      </c>
    </row>
    <row r="162" spans="1:13" ht="15">
      <c r="A162" s="2" t="s">
        <v>58</v>
      </c>
      <c r="B162" s="328">
        <v>5614008</v>
      </c>
      <c r="C162" s="963">
        <v>6309.12</v>
      </c>
      <c r="D162" s="344">
        <v>1271.26</v>
      </c>
      <c r="E162" s="344">
        <v>3238.28</v>
      </c>
      <c r="F162" s="344">
        <v>4144.92</v>
      </c>
      <c r="G162" s="344">
        <v>3346.09</v>
      </c>
      <c r="H162" s="298"/>
      <c r="I162" s="298">
        <f t="shared" si="4"/>
        <v>18309.67</v>
      </c>
      <c r="J162" s="275"/>
      <c r="K162" s="329" t="s">
        <v>328</v>
      </c>
      <c r="L162" s="241"/>
      <c r="M162" s="298">
        <f t="shared" si="5"/>
        <v>18309.67</v>
      </c>
    </row>
    <row r="163" spans="1:13" ht="15">
      <c r="A163" s="2"/>
      <c r="B163" s="328"/>
      <c r="C163" s="275"/>
      <c r="D163" s="298"/>
      <c r="E163" s="298"/>
      <c r="F163" s="298"/>
      <c r="G163" s="298"/>
      <c r="H163" s="298"/>
      <c r="I163" s="298"/>
      <c r="J163" s="275"/>
      <c r="K163" s="329"/>
      <c r="L163" s="241"/>
      <c r="M163" s="298">
        <f t="shared" si="5"/>
      </c>
    </row>
    <row r="164" spans="1:13" s="241" customFormat="1" ht="15">
      <c r="A164" s="2" t="s">
        <v>148</v>
      </c>
      <c r="B164" s="328">
        <v>4470093</v>
      </c>
      <c r="C164" s="344">
        <v>7774.1489</v>
      </c>
      <c r="D164" s="344">
        <v>1566.43</v>
      </c>
      <c r="E164" s="344">
        <v>3990.18</v>
      </c>
      <c r="F164" s="344">
        <v>5107.41</v>
      </c>
      <c r="G164" s="344">
        <v>4123.07</v>
      </c>
      <c r="H164" s="344"/>
      <c r="I164" s="298">
        <f t="shared" si="4"/>
        <v>22561.2389</v>
      </c>
      <c r="J164" s="275"/>
      <c r="K164" s="329" t="s">
        <v>962</v>
      </c>
      <c r="M164" s="298">
        <f t="shared" si="5"/>
      </c>
    </row>
    <row r="165" spans="1:13" s="241" customFormat="1" ht="15">
      <c r="A165" s="2" t="s">
        <v>149</v>
      </c>
      <c r="B165" s="328">
        <v>4470125</v>
      </c>
      <c r="C165" s="344">
        <v>17303.761099999996</v>
      </c>
      <c r="D165" s="344">
        <v>3486.56</v>
      </c>
      <c r="E165" s="344">
        <v>8881.37</v>
      </c>
      <c r="F165" s="344">
        <v>11368.11</v>
      </c>
      <c r="G165" s="344">
        <v>9177.15</v>
      </c>
      <c r="H165" s="346"/>
      <c r="I165" s="298">
        <f t="shared" si="4"/>
        <v>50216.9511</v>
      </c>
      <c r="J165" s="275"/>
      <c r="K165" s="329" t="s">
        <v>328</v>
      </c>
      <c r="M165" s="298">
        <f t="shared" si="5"/>
        <v>50216.9511</v>
      </c>
    </row>
    <row r="166" spans="1:13" s="241" customFormat="1" ht="15">
      <c r="A166" s="2" t="s">
        <v>150</v>
      </c>
      <c r="B166" s="328">
        <v>4470207</v>
      </c>
      <c r="C166" s="344">
        <v>67539.3824</v>
      </c>
      <c r="D166" s="344">
        <v>13608.62</v>
      </c>
      <c r="E166" s="344">
        <v>34665.44</v>
      </c>
      <c r="F166" s="344">
        <v>44371.6</v>
      </c>
      <c r="G166" s="344">
        <v>35819.91</v>
      </c>
      <c r="H166" s="346"/>
      <c r="I166" s="298">
        <f t="shared" si="4"/>
        <v>196004.9524</v>
      </c>
      <c r="J166" s="275"/>
      <c r="K166" s="329" t="s">
        <v>1547</v>
      </c>
      <c r="M166" s="298">
        <f t="shared" si="5"/>
      </c>
    </row>
    <row r="167" spans="1:13" s="241" customFormat="1" ht="15">
      <c r="A167" s="2" t="s">
        <v>151</v>
      </c>
      <c r="B167" s="328">
        <v>4470216</v>
      </c>
      <c r="C167" s="344">
        <v>150329.5976</v>
      </c>
      <c r="D167" s="344">
        <v>30290.16</v>
      </c>
      <c r="E167" s="344">
        <v>77158.55</v>
      </c>
      <c r="F167" s="344">
        <v>98762.6</v>
      </c>
      <c r="G167" s="344">
        <v>79728.18</v>
      </c>
      <c r="H167" s="346"/>
      <c r="I167" s="298">
        <f t="shared" si="4"/>
        <v>436269.0876</v>
      </c>
      <c r="J167" s="275"/>
      <c r="K167" s="329" t="s">
        <v>1547</v>
      </c>
      <c r="M167" s="298">
        <f t="shared" si="5"/>
      </c>
    </row>
    <row r="168" spans="1:13" ht="15">
      <c r="A168" s="2"/>
      <c r="B168" s="328"/>
      <c r="C168" s="275"/>
      <c r="D168" s="275"/>
      <c r="E168" s="275"/>
      <c r="F168" s="275"/>
      <c r="G168" s="275"/>
      <c r="H168" s="346"/>
      <c r="I168" s="275"/>
      <c r="J168" s="275"/>
      <c r="K168" s="329"/>
      <c r="L168" s="241"/>
      <c r="M168" s="275"/>
    </row>
    <row r="169" spans="1:13" ht="15.75" thickBot="1">
      <c r="A169" s="3" t="s">
        <v>410</v>
      </c>
      <c r="C169" s="274">
        <f>ROUND(SUM(C5:C167),2)</f>
        <v>2942774.26</v>
      </c>
      <c r="D169" s="274">
        <f>ROUND(SUM(D5:D167),2)</f>
        <v>596128.12</v>
      </c>
      <c r="E169" s="274">
        <f>ROUND(SUM(E5:E167),2)</f>
        <v>1533075.72</v>
      </c>
      <c r="F169" s="274">
        <f>ROUND(SUM(F5:F167),2)</f>
        <v>1971886.4</v>
      </c>
      <c r="G169" s="274">
        <f>ROUND(SUM(G5:G167),2)</f>
        <v>1550168.02</v>
      </c>
      <c r="H169" s="274"/>
      <c r="I169" s="274">
        <f>ROUND(SUM(I3:I167),0)</f>
        <v>8594033</v>
      </c>
      <c r="J169" s="274"/>
      <c r="M169" s="316">
        <f>SUM(M3:M165)</f>
        <v>-2436096.500756957</v>
      </c>
    </row>
    <row r="170" spans="1:13" ht="15.75" thickTop="1">
      <c r="A170" s="2"/>
      <c r="C170" s="287"/>
      <c r="D170" s="287"/>
      <c r="E170" s="287"/>
      <c r="F170" s="287"/>
      <c r="G170" s="287"/>
      <c r="I170" s="287"/>
      <c r="J170" s="287"/>
      <c r="M170" s="275"/>
    </row>
    <row r="171" spans="1:13" ht="15">
      <c r="A171" s="3" t="s">
        <v>409</v>
      </c>
      <c r="C171" s="294">
        <f>INPUT!J211</f>
        <v>2999346</v>
      </c>
      <c r="D171" s="294">
        <f>INPUT!J212</f>
        <v>607527</v>
      </c>
      <c r="E171" s="294">
        <f>INPUT!J213</f>
        <v>1562113</v>
      </c>
      <c r="F171" s="294">
        <f>INPUT!J214</f>
        <v>2009053</v>
      </c>
      <c r="G171" s="294">
        <f>INPUT!J215</f>
        <v>1580172</v>
      </c>
      <c r="H171" s="274"/>
      <c r="I171" s="299">
        <f>SUM(C171:H171)</f>
        <v>8758211</v>
      </c>
      <c r="J171" s="274"/>
      <c r="M171" s="275"/>
    </row>
    <row r="172" spans="3:13" ht="15">
      <c r="C172" s="274"/>
      <c r="D172" s="274"/>
      <c r="E172" s="274"/>
      <c r="F172" s="274"/>
      <c r="G172" s="274"/>
      <c r="H172" s="274"/>
      <c r="I172" s="275"/>
      <c r="J172" s="274"/>
      <c r="M172" s="275"/>
    </row>
    <row r="173" spans="1:13" ht="15.75" thickBot="1">
      <c r="A173" s="3" t="s">
        <v>411</v>
      </c>
      <c r="B173" s="306" t="s">
        <v>1504</v>
      </c>
      <c r="C173" s="295">
        <f>C169-C171</f>
        <v>-56571.74000000022</v>
      </c>
      <c r="D173" s="295">
        <f>D169-D171</f>
        <v>-11398.880000000005</v>
      </c>
      <c r="E173" s="295">
        <f>E169-E171+0.2</f>
        <v>-29037.080000000027</v>
      </c>
      <c r="F173" s="295">
        <f>F169-F171</f>
        <v>-37166.60000000009</v>
      </c>
      <c r="G173" s="295">
        <f>G169-G171</f>
        <v>-30003.97999999998</v>
      </c>
      <c r="H173" s="274"/>
      <c r="I173" s="295">
        <f>SUM(C173:H173)</f>
        <v>-164178.28000000032</v>
      </c>
      <c r="J173" s="274"/>
      <c r="M173" s="275"/>
    </row>
    <row r="174" spans="2:13" ht="15.75" thickTop="1">
      <c r="B174" s="306"/>
      <c r="C174" s="274"/>
      <c r="D174" s="274"/>
      <c r="E174" s="274"/>
      <c r="F174" s="274"/>
      <c r="G174" s="274"/>
      <c r="H174" s="274"/>
      <c r="I174" s="274"/>
      <c r="J174" s="274"/>
      <c r="M174" s="275"/>
    </row>
    <row r="175" spans="1:10" ht="16.5">
      <c r="A175" s="1015" t="s">
        <v>1519</v>
      </c>
      <c r="B175" s="1015"/>
      <c r="C175" s="1015"/>
      <c r="D175" s="1015"/>
      <c r="E175" s="1015"/>
      <c r="F175" s="1015"/>
      <c r="G175" s="1015"/>
      <c r="H175" s="1015"/>
      <c r="I175" s="1015"/>
      <c r="J175" s="19"/>
    </row>
    <row r="177" spans="1:13" ht="49.5">
      <c r="A177" s="22" t="s">
        <v>1178</v>
      </c>
      <c r="B177" s="297" t="s">
        <v>333</v>
      </c>
      <c r="C177" s="289" t="s">
        <v>1179</v>
      </c>
      <c r="D177" s="289" t="s">
        <v>1180</v>
      </c>
      <c r="E177" s="289" t="s">
        <v>1181</v>
      </c>
      <c r="F177" s="289" t="s">
        <v>1182</v>
      </c>
      <c r="G177" s="289" t="s">
        <v>1183</v>
      </c>
      <c r="H177" s="290"/>
      <c r="I177" s="289" t="s">
        <v>1185</v>
      </c>
      <c r="J177" s="290"/>
      <c r="K177" s="289" t="s">
        <v>894</v>
      </c>
      <c r="M177" s="326" t="s">
        <v>329</v>
      </c>
    </row>
    <row r="178" spans="3:21" ht="15">
      <c r="C178" s="293"/>
      <c r="D178" s="293"/>
      <c r="E178" s="293"/>
      <c r="F178" s="293"/>
      <c r="G178" s="293"/>
      <c r="H178" s="274"/>
      <c r="I178" s="293"/>
      <c r="J178" s="293"/>
      <c r="Q178" s="144"/>
      <c r="R178" s="144"/>
      <c r="S178" s="144"/>
      <c r="T178" s="144"/>
      <c r="U178" s="144"/>
    </row>
    <row r="179" spans="1:13" ht="15">
      <c r="A179" s="2" t="s">
        <v>1548</v>
      </c>
      <c r="B179" s="328">
        <v>4470141</v>
      </c>
      <c r="C179" s="344">
        <v>859342.4798039999</v>
      </c>
      <c r="D179" s="344">
        <v>173150.352234</v>
      </c>
      <c r="E179" s="344">
        <v>441068.2888679999</v>
      </c>
      <c r="F179" s="344">
        <v>564565.414644</v>
      </c>
      <c r="G179" s="344">
        <v>455757.26444999996</v>
      </c>
      <c r="H179" s="274"/>
      <c r="I179" s="298">
        <f aca="true" t="shared" si="6" ref="I179:I249">SUM(C179:G179)</f>
        <v>2493883.8</v>
      </c>
      <c r="J179" s="298"/>
      <c r="K179" s="329" t="s">
        <v>1547</v>
      </c>
      <c r="M179" s="298">
        <f aca="true" t="shared" si="7" ref="M179:M250">IF(K179="East Zone SIA",I179,"")</f>
      </c>
    </row>
    <row r="180" spans="1:13" ht="15">
      <c r="A180" s="2" t="s">
        <v>533</v>
      </c>
      <c r="B180" s="328">
        <v>4470141</v>
      </c>
      <c r="C180" s="344">
        <v>27666.4729236</v>
      </c>
      <c r="D180" s="344">
        <v>5574.5638606</v>
      </c>
      <c r="E180" s="344">
        <v>14200.1636812</v>
      </c>
      <c r="F180" s="344">
        <v>18176.1452796</v>
      </c>
      <c r="G180" s="344">
        <v>14673.074255</v>
      </c>
      <c r="H180" s="274"/>
      <c r="I180" s="298">
        <f t="shared" si="6"/>
        <v>80290.42</v>
      </c>
      <c r="J180" s="298"/>
      <c r="K180" s="329" t="s">
        <v>1547</v>
      </c>
      <c r="M180" s="298">
        <f t="shared" si="7"/>
      </c>
    </row>
    <row r="181" spans="1:13" ht="15">
      <c r="A181" s="2" t="s">
        <v>205</v>
      </c>
      <c r="B181" s="328">
        <v>4470126</v>
      </c>
      <c r="C181" s="344">
        <v>-221.5201446</v>
      </c>
      <c r="D181" s="344">
        <v>-44.6344641</v>
      </c>
      <c r="E181" s="344">
        <v>-113.6979882</v>
      </c>
      <c r="F181" s="344">
        <v>-145.5329106</v>
      </c>
      <c r="G181" s="344">
        <v>-117.4844925</v>
      </c>
      <c r="H181" s="274"/>
      <c r="I181" s="298">
        <f t="shared" si="6"/>
        <v>-642.87</v>
      </c>
      <c r="J181" s="298"/>
      <c r="K181" s="329" t="s">
        <v>328</v>
      </c>
      <c r="M181" s="298">
        <f t="shared" si="7"/>
        <v>-642.87</v>
      </c>
    </row>
    <row r="182" spans="1:13" ht="15">
      <c r="A182" s="2" t="s">
        <v>1916</v>
      </c>
      <c r="B182" s="328">
        <v>4470141</v>
      </c>
      <c r="C182" s="344">
        <v>16099.969846799999</v>
      </c>
      <c r="D182" s="344">
        <v>3244.0098278</v>
      </c>
      <c r="E182" s="344">
        <v>8263.5111356</v>
      </c>
      <c r="F182" s="344">
        <v>10577.2568748</v>
      </c>
      <c r="G182" s="344">
        <v>8538.712314999999</v>
      </c>
      <c r="H182" s="274"/>
      <c r="I182" s="298">
        <f t="shared" si="6"/>
        <v>46723.45999999999</v>
      </c>
      <c r="J182" s="298"/>
      <c r="K182" s="329" t="s">
        <v>1547</v>
      </c>
      <c r="M182" s="298">
        <f t="shared" si="7"/>
      </c>
    </row>
    <row r="183" spans="1:13" ht="15">
      <c r="A183" s="2" t="s">
        <v>1540</v>
      </c>
      <c r="B183" s="328">
        <v>4470141</v>
      </c>
      <c r="C183" s="344">
        <v>40074.7091328</v>
      </c>
      <c r="D183" s="344">
        <v>8074.720108800001</v>
      </c>
      <c r="E183" s="344">
        <v>20568.8462976</v>
      </c>
      <c r="F183" s="344">
        <v>26328.0302208</v>
      </c>
      <c r="G183" s="344">
        <v>21253.85424</v>
      </c>
      <c r="H183" s="274"/>
      <c r="I183" s="298">
        <f t="shared" si="6"/>
        <v>116300.15999999999</v>
      </c>
      <c r="J183" s="298"/>
      <c r="K183" s="329" t="s">
        <v>1547</v>
      </c>
      <c r="M183" s="298">
        <f t="shared" si="7"/>
      </c>
    </row>
    <row r="184" spans="1:13" ht="15">
      <c r="A184" s="2" t="s">
        <v>1530</v>
      </c>
      <c r="B184" s="328">
        <v>4470126</v>
      </c>
      <c r="C184" s="344">
        <v>-133871.32511819998</v>
      </c>
      <c r="D184" s="344">
        <v>-26973.9569997</v>
      </c>
      <c r="E184" s="344">
        <v>-68711.1340194</v>
      </c>
      <c r="F184" s="344">
        <v>-87949.94074019999</v>
      </c>
      <c r="G184" s="344">
        <v>-70999.43312249999</v>
      </c>
      <c r="H184" s="274"/>
      <c r="I184" s="298">
        <f t="shared" si="6"/>
        <v>-388505.7899999999</v>
      </c>
      <c r="J184" s="298"/>
      <c r="K184" s="329" t="s">
        <v>328</v>
      </c>
      <c r="M184" s="298">
        <f t="shared" si="7"/>
        <v>-388505.7899999999</v>
      </c>
    </row>
    <row r="185" spans="1:13" ht="15">
      <c r="A185" s="2" t="s">
        <v>1525</v>
      </c>
      <c r="B185" s="328">
        <v>4470126</v>
      </c>
      <c r="C185" s="344">
        <v>18654.906498</v>
      </c>
      <c r="D185" s="344">
        <v>3758.8082830000003</v>
      </c>
      <c r="E185" s="344">
        <v>9574.864366</v>
      </c>
      <c r="F185" s="344">
        <v>12255.783078</v>
      </c>
      <c r="G185" s="344">
        <v>9893.737775</v>
      </c>
      <c r="H185" s="274"/>
      <c r="I185" s="298">
        <f t="shared" si="6"/>
        <v>54138.100000000006</v>
      </c>
      <c r="J185" s="298"/>
      <c r="K185" s="329" t="s">
        <v>328</v>
      </c>
      <c r="M185" s="298">
        <f t="shared" si="7"/>
        <v>54138.100000000006</v>
      </c>
    </row>
    <row r="186" spans="1:13" ht="15">
      <c r="A186" s="2" t="s">
        <v>1531</v>
      </c>
      <c r="B186" s="328">
        <v>4470209</v>
      </c>
      <c r="C186" s="344">
        <v>-266395.9213308</v>
      </c>
      <c r="D186" s="344">
        <v>-53676.559341800006</v>
      </c>
      <c r="E186" s="344">
        <v>-136731.0425636</v>
      </c>
      <c r="F186" s="344">
        <v>-175015.1159988</v>
      </c>
      <c r="G186" s="344">
        <v>-141284.620765</v>
      </c>
      <c r="H186" s="274"/>
      <c r="I186" s="298">
        <f t="shared" si="6"/>
        <v>-773103.26</v>
      </c>
      <c r="J186" s="298"/>
      <c r="K186" s="329" t="s">
        <v>328</v>
      </c>
      <c r="M186" s="298">
        <f t="shared" si="7"/>
        <v>-773103.26</v>
      </c>
    </row>
    <row r="187" spans="1:13" ht="15">
      <c r="A187" s="2" t="s">
        <v>1526</v>
      </c>
      <c r="B187" s="328">
        <v>4470209</v>
      </c>
      <c r="C187" s="344">
        <v>5119.6180248</v>
      </c>
      <c r="D187" s="344">
        <v>1031.5603908</v>
      </c>
      <c r="E187" s="344">
        <v>2627.7080616</v>
      </c>
      <c r="F187" s="344">
        <v>3363.4544327999997</v>
      </c>
      <c r="G187" s="344">
        <v>2715.21909</v>
      </c>
      <c r="H187" s="274"/>
      <c r="I187" s="298">
        <f t="shared" si="6"/>
        <v>14857.56</v>
      </c>
      <c r="J187" s="298"/>
      <c r="K187" s="329" t="s">
        <v>328</v>
      </c>
      <c r="M187" s="298">
        <f t="shared" si="7"/>
        <v>14857.56</v>
      </c>
    </row>
    <row r="188" spans="1:13" ht="15">
      <c r="A188" s="2" t="s">
        <v>139</v>
      </c>
      <c r="B188" s="328">
        <v>4470141</v>
      </c>
      <c r="C188" s="344">
        <v>3881.1010224</v>
      </c>
      <c r="D188" s="344">
        <v>782.0095304000001</v>
      </c>
      <c r="E188" s="344">
        <v>1992.0237008</v>
      </c>
      <c r="F188" s="344">
        <v>2549.7813264</v>
      </c>
      <c r="G188" s="344">
        <v>2058.36442</v>
      </c>
      <c r="H188" s="274"/>
      <c r="I188" s="298">
        <f t="shared" si="6"/>
        <v>11263.28</v>
      </c>
      <c r="J188" s="298"/>
      <c r="K188" s="329" t="s">
        <v>1547</v>
      </c>
      <c r="M188" s="298">
        <f t="shared" si="7"/>
      </c>
    </row>
    <row r="189" spans="1:13" ht="15">
      <c r="A189" s="2" t="s">
        <v>25</v>
      </c>
      <c r="B189" s="328">
        <v>4470141</v>
      </c>
      <c r="C189" s="344">
        <v>77.3547642</v>
      </c>
      <c r="D189" s="344">
        <v>15.586340700000003</v>
      </c>
      <c r="E189" s="344">
        <v>39.7033014</v>
      </c>
      <c r="F189" s="344">
        <v>50.8200462</v>
      </c>
      <c r="G189" s="344">
        <v>41.0255475</v>
      </c>
      <c r="H189" s="274"/>
      <c r="I189" s="298">
        <f t="shared" si="6"/>
        <v>224.49</v>
      </c>
      <c r="J189" s="298"/>
      <c r="K189" s="329" t="s">
        <v>1547</v>
      </c>
      <c r="M189" s="298">
        <f t="shared" si="7"/>
      </c>
    </row>
    <row r="190" spans="1:13" ht="15">
      <c r="A190" s="2" t="s">
        <v>1911</v>
      </c>
      <c r="B190" s="328">
        <v>4470141</v>
      </c>
      <c r="C190" s="344">
        <v>0.0379038</v>
      </c>
      <c r="D190" s="344">
        <v>0.0076373000000000005</v>
      </c>
      <c r="E190" s="344">
        <v>0.0194546</v>
      </c>
      <c r="F190" s="344">
        <v>0.024901799999999998</v>
      </c>
      <c r="G190" s="344">
        <v>0.0201025</v>
      </c>
      <c r="H190" s="274"/>
      <c r="I190" s="298">
        <f t="shared" si="6"/>
        <v>0.11</v>
      </c>
      <c r="J190" s="298"/>
      <c r="K190" s="329" t="s">
        <v>1547</v>
      </c>
      <c r="M190" s="298">
        <f t="shared" si="7"/>
      </c>
    </row>
    <row r="191" spans="1:13" ht="15">
      <c r="A191" s="2" t="s">
        <v>536</v>
      </c>
      <c r="B191" s="328">
        <v>4470141</v>
      </c>
      <c r="C191" s="344">
        <v>1374.5502948</v>
      </c>
      <c r="D191" s="344">
        <v>276.9604358</v>
      </c>
      <c r="E191" s="344">
        <v>705.5051516</v>
      </c>
      <c r="F191" s="344">
        <v>903.0434028</v>
      </c>
      <c r="G191" s="344">
        <v>729.000715</v>
      </c>
      <c r="H191" s="314"/>
      <c r="I191" s="298">
        <f t="shared" si="6"/>
        <v>3989.06</v>
      </c>
      <c r="J191" s="298"/>
      <c r="K191" s="329" t="s">
        <v>1547</v>
      </c>
      <c r="M191" s="298">
        <f t="shared" si="7"/>
      </c>
    </row>
    <row r="192" spans="1:13" ht="15">
      <c r="A192" s="2" t="s">
        <v>537</v>
      </c>
      <c r="B192" s="328">
        <v>4470141</v>
      </c>
      <c r="C192" s="344">
        <v>12463.537853400001</v>
      </c>
      <c r="D192" s="344">
        <v>2511.2990689000003</v>
      </c>
      <c r="E192" s="344">
        <v>6397.0668778</v>
      </c>
      <c r="F192" s="344">
        <v>8188.216667400001</v>
      </c>
      <c r="G192" s="344">
        <v>6610.109532500001</v>
      </c>
      <c r="H192" s="314"/>
      <c r="I192" s="298">
        <f t="shared" si="6"/>
        <v>36170.23</v>
      </c>
      <c r="J192" s="298"/>
      <c r="K192" s="331" t="s">
        <v>1547</v>
      </c>
      <c r="M192" s="298">
        <f t="shared" si="7"/>
      </c>
    </row>
    <row r="193" spans="1:13" ht="15">
      <c r="A193" s="2" t="s">
        <v>538</v>
      </c>
      <c r="B193" s="328">
        <v>4470141</v>
      </c>
      <c r="C193" s="344">
        <v>140.7161346</v>
      </c>
      <c r="D193" s="344">
        <v>28.353129100000004</v>
      </c>
      <c r="E193" s="344">
        <v>72.2243182</v>
      </c>
      <c r="F193" s="344">
        <v>92.4468006</v>
      </c>
      <c r="G193" s="344">
        <v>74.6296175</v>
      </c>
      <c r="H193" s="314"/>
      <c r="I193" s="298">
        <f t="shared" si="6"/>
        <v>408.37</v>
      </c>
      <c r="J193" s="298"/>
      <c r="K193" s="329" t="s">
        <v>1547</v>
      </c>
      <c r="M193" s="298">
        <f t="shared" si="7"/>
      </c>
    </row>
    <row r="194" spans="1:13" ht="15">
      <c r="A194" s="2" t="s">
        <v>1539</v>
      </c>
      <c r="B194" s="328">
        <v>4470141</v>
      </c>
      <c r="C194" s="344">
        <v>1290.9586325999999</v>
      </c>
      <c r="D194" s="344">
        <v>260.1174121</v>
      </c>
      <c r="E194" s="344">
        <v>662.6006841999999</v>
      </c>
      <c r="F194" s="344">
        <v>848.1258786</v>
      </c>
      <c r="G194" s="344">
        <v>684.6673924999999</v>
      </c>
      <c r="H194" s="314"/>
      <c r="I194" s="298">
        <f t="shared" si="6"/>
        <v>3746.47</v>
      </c>
      <c r="J194" s="298"/>
      <c r="K194" s="331" t="s">
        <v>1547</v>
      </c>
      <c r="M194" s="298">
        <f t="shared" si="7"/>
      </c>
    </row>
    <row r="195" spans="1:13" ht="15">
      <c r="A195" s="2" t="s">
        <v>141</v>
      </c>
      <c r="B195" s="328">
        <v>4470141</v>
      </c>
      <c r="C195" s="344">
        <v>1651.6615308</v>
      </c>
      <c r="D195" s="344">
        <v>332.79604180000007</v>
      </c>
      <c r="E195" s="344">
        <v>847.7359636</v>
      </c>
      <c r="F195" s="344">
        <v>1085.0981988</v>
      </c>
      <c r="G195" s="344">
        <v>875.968265</v>
      </c>
      <c r="H195" s="314"/>
      <c r="I195" s="298">
        <f t="shared" si="6"/>
        <v>4793.26</v>
      </c>
      <c r="J195" s="298"/>
      <c r="K195" s="331" t="s">
        <v>1547</v>
      </c>
      <c r="M195" s="298">
        <f t="shared" si="7"/>
      </c>
    </row>
    <row r="196" spans="1:13" ht="15">
      <c r="A196" s="2" t="s">
        <v>1549</v>
      </c>
      <c r="B196" s="328">
        <v>4470141</v>
      </c>
      <c r="C196" s="344">
        <v>14786.8512744</v>
      </c>
      <c r="D196" s="344">
        <v>2979.4273724000004</v>
      </c>
      <c r="E196" s="344">
        <v>7589.536584799999</v>
      </c>
      <c r="F196" s="344">
        <v>9714.5724984</v>
      </c>
      <c r="G196" s="344">
        <v>7842.29227</v>
      </c>
      <c r="H196" s="314"/>
      <c r="I196" s="298">
        <f t="shared" si="6"/>
        <v>42912.68</v>
      </c>
      <c r="J196" s="298"/>
      <c r="K196" s="329" t="s">
        <v>1547</v>
      </c>
      <c r="M196" s="298">
        <f t="shared" si="7"/>
      </c>
    </row>
    <row r="197" spans="1:13" s="2" customFormat="1" ht="15" customHeight="1">
      <c r="A197" s="2" t="s">
        <v>1541</v>
      </c>
      <c r="B197" s="328">
        <v>4470141</v>
      </c>
      <c r="C197" s="344">
        <v>75079.0097106</v>
      </c>
      <c r="D197" s="344">
        <v>15127.795125100001</v>
      </c>
      <c r="E197" s="344">
        <v>38535.2419102</v>
      </c>
      <c r="F197" s="344">
        <v>49324.9353366</v>
      </c>
      <c r="G197" s="344">
        <v>39818.5879175</v>
      </c>
      <c r="H197" s="314"/>
      <c r="I197" s="298">
        <f t="shared" si="6"/>
        <v>217885.57</v>
      </c>
      <c r="J197" s="298"/>
      <c r="K197" s="329" t="s">
        <v>1547</v>
      </c>
      <c r="M197" s="298">
        <f t="shared" si="7"/>
      </c>
    </row>
    <row r="198" spans="1:13" s="2" customFormat="1" ht="15" customHeight="1">
      <c r="A198" s="2" t="s">
        <v>1543</v>
      </c>
      <c r="B198" s="328">
        <v>4470141</v>
      </c>
      <c r="C198" s="344">
        <v>96936.63224759999</v>
      </c>
      <c r="D198" s="344">
        <v>19531.9240146</v>
      </c>
      <c r="E198" s="344">
        <v>49753.94038919999</v>
      </c>
      <c r="F198" s="344">
        <v>63684.818643599996</v>
      </c>
      <c r="G198" s="344">
        <v>51410.90470499999</v>
      </c>
      <c r="H198" s="314"/>
      <c r="I198" s="298">
        <f t="shared" si="6"/>
        <v>281318.22</v>
      </c>
      <c r="J198" s="298"/>
      <c r="K198" s="329" t="s">
        <v>1547</v>
      </c>
      <c r="M198" s="298">
        <f t="shared" si="7"/>
      </c>
    </row>
    <row r="199" spans="1:13" ht="15">
      <c r="A199" s="2" t="s">
        <v>1912</v>
      </c>
      <c r="B199" s="328">
        <v>4470141</v>
      </c>
      <c r="C199" s="344">
        <v>783.9229458000001</v>
      </c>
      <c r="D199" s="344">
        <v>157.95394430000002</v>
      </c>
      <c r="E199" s="344">
        <v>402.35826860000003</v>
      </c>
      <c r="F199" s="344">
        <v>515.0167638</v>
      </c>
      <c r="G199" s="344">
        <v>415.7580775</v>
      </c>
      <c r="H199" s="314"/>
      <c r="I199" s="298">
        <f t="shared" si="6"/>
        <v>2275.01</v>
      </c>
      <c r="J199" s="298"/>
      <c r="K199" s="329" t="s">
        <v>1547</v>
      </c>
      <c r="M199" s="298">
        <f t="shared" si="7"/>
      </c>
    </row>
    <row r="200" spans="1:13" ht="15">
      <c r="A200" s="2" t="s">
        <v>1913</v>
      </c>
      <c r="B200" s="328">
        <v>4470141</v>
      </c>
      <c r="C200" s="344">
        <v>21938.9882124</v>
      </c>
      <c r="D200" s="344">
        <v>4420.5233954000005</v>
      </c>
      <c r="E200" s="344">
        <v>11260.4604308</v>
      </c>
      <c r="F200" s="344">
        <v>14413.3384164</v>
      </c>
      <c r="G200" s="344">
        <v>11635.469545</v>
      </c>
      <c r="H200" s="314"/>
      <c r="I200" s="298">
        <f t="shared" si="6"/>
        <v>63668.78</v>
      </c>
      <c r="J200" s="298"/>
      <c r="K200" s="329" t="s">
        <v>1547</v>
      </c>
      <c r="M200" s="298">
        <f t="shared" si="7"/>
      </c>
    </row>
    <row r="201" spans="1:13" ht="15">
      <c r="A201" s="2" t="s">
        <v>1584</v>
      </c>
      <c r="B201" s="328">
        <v>4470098</v>
      </c>
      <c r="C201" s="344">
        <v>247.2602706</v>
      </c>
      <c r="D201" s="344">
        <v>49.820885100000005</v>
      </c>
      <c r="E201" s="344">
        <v>126.9094302</v>
      </c>
      <c r="F201" s="344">
        <v>162.4434966</v>
      </c>
      <c r="G201" s="344">
        <v>131.1359175</v>
      </c>
      <c r="H201" s="314"/>
      <c r="I201" s="298">
        <f t="shared" si="6"/>
        <v>717.57</v>
      </c>
      <c r="J201" s="298"/>
      <c r="K201" s="329" t="s">
        <v>328</v>
      </c>
      <c r="M201" s="298">
        <f t="shared" si="7"/>
        <v>717.57</v>
      </c>
    </row>
    <row r="202" spans="1:13" ht="15">
      <c r="A202" s="2" t="s">
        <v>1523</v>
      </c>
      <c r="B202" s="328">
        <v>4470098</v>
      </c>
      <c r="C202" s="344">
        <v>26066.160704399997</v>
      </c>
      <c r="D202" s="344">
        <v>5252.1142774</v>
      </c>
      <c r="E202" s="344">
        <v>13378.783394799999</v>
      </c>
      <c r="F202" s="344">
        <v>17124.7822284</v>
      </c>
      <c r="G202" s="344">
        <v>13824.339394999999</v>
      </c>
      <c r="H202" s="314"/>
      <c r="I202" s="298">
        <f t="shared" si="6"/>
        <v>75646.18</v>
      </c>
      <c r="J202" s="298"/>
      <c r="K202" s="329" t="s">
        <v>328</v>
      </c>
      <c r="M202" s="298">
        <f t="shared" si="7"/>
        <v>75646.18</v>
      </c>
    </row>
    <row r="203" spans="1:13" ht="15">
      <c r="A203" s="2" t="s">
        <v>1527</v>
      </c>
      <c r="B203" s="328">
        <v>4470141</v>
      </c>
      <c r="C203" s="344">
        <v>1934.2102392</v>
      </c>
      <c r="D203" s="344">
        <v>389.7272532</v>
      </c>
      <c r="E203" s="344">
        <v>992.7576263999999</v>
      </c>
      <c r="F203" s="344">
        <v>1270.7252712</v>
      </c>
      <c r="G203" s="344">
        <v>1025.81961</v>
      </c>
      <c r="H203" s="314"/>
      <c r="I203" s="298">
        <f t="shared" si="6"/>
        <v>5613.24</v>
      </c>
      <c r="J203" s="298"/>
      <c r="K203" s="329" t="s">
        <v>1547</v>
      </c>
      <c r="M203" s="298">
        <f t="shared" si="7"/>
      </c>
    </row>
    <row r="204" spans="1:13" ht="15">
      <c r="A204" s="2" t="s">
        <v>1580</v>
      </c>
      <c r="B204" s="328">
        <v>4470115</v>
      </c>
      <c r="C204" s="344">
        <v>-41497.0492278</v>
      </c>
      <c r="D204" s="344">
        <v>-8361.3097913</v>
      </c>
      <c r="E204" s="344">
        <v>-21298.8801626</v>
      </c>
      <c r="F204" s="344">
        <v>-27262.4702658</v>
      </c>
      <c r="G204" s="344">
        <v>-22008.2005525</v>
      </c>
      <c r="H204" s="314"/>
      <c r="I204" s="298">
        <f t="shared" si="6"/>
        <v>-120427.91</v>
      </c>
      <c r="J204" s="298"/>
      <c r="K204" s="329" t="s">
        <v>328</v>
      </c>
      <c r="M204" s="298">
        <f t="shared" si="7"/>
        <v>-120427.91</v>
      </c>
    </row>
    <row r="205" spans="1:13" ht="15">
      <c r="A205" s="2" t="s">
        <v>1585</v>
      </c>
      <c r="B205" s="328">
        <v>4470126</v>
      </c>
      <c r="C205" s="344">
        <v>1025.9421545999999</v>
      </c>
      <c r="D205" s="344">
        <v>206.7187991</v>
      </c>
      <c r="E205" s="344">
        <v>526.5776582</v>
      </c>
      <c r="F205" s="344">
        <v>674.0170206</v>
      </c>
      <c r="G205" s="344">
        <v>544.1143675</v>
      </c>
      <c r="H205" s="314"/>
      <c r="I205" s="298">
        <f t="shared" si="6"/>
        <v>2977.3699999999994</v>
      </c>
      <c r="J205" s="298"/>
      <c r="K205" s="329" t="s">
        <v>328</v>
      </c>
      <c r="M205" s="298">
        <f t="shared" si="7"/>
        <v>2977.3699999999994</v>
      </c>
    </row>
    <row r="206" spans="1:13" ht="15">
      <c r="A206" s="2" t="s">
        <v>1586</v>
      </c>
      <c r="B206" s="328">
        <v>4470209</v>
      </c>
      <c r="C206" s="344">
        <v>1270.98333</v>
      </c>
      <c r="D206" s="344">
        <v>256.092555</v>
      </c>
      <c r="E206" s="344">
        <v>652.3481099999999</v>
      </c>
      <c r="F206" s="344">
        <v>835.00263</v>
      </c>
      <c r="G206" s="344">
        <v>674.0733749999999</v>
      </c>
      <c r="H206" s="314"/>
      <c r="I206" s="298">
        <f t="shared" si="6"/>
        <v>3688.5</v>
      </c>
      <c r="J206" s="298"/>
      <c r="K206" s="329" t="s">
        <v>328</v>
      </c>
      <c r="M206" s="298">
        <f t="shared" si="7"/>
        <v>3688.5</v>
      </c>
    </row>
    <row r="207" spans="1:13" ht="15">
      <c r="A207" s="2" t="s">
        <v>206</v>
      </c>
      <c r="B207" s="328">
        <v>4470141</v>
      </c>
      <c r="C207" s="344">
        <v>5.744148600000001</v>
      </c>
      <c r="D207" s="344">
        <v>1.1573981000000002</v>
      </c>
      <c r="E207" s="344">
        <v>2.9482562000000003</v>
      </c>
      <c r="F207" s="344">
        <v>3.7737546</v>
      </c>
      <c r="G207" s="344">
        <v>3.0464425000000004</v>
      </c>
      <c r="H207" s="314"/>
      <c r="I207" s="298">
        <f t="shared" si="6"/>
        <v>16.67</v>
      </c>
      <c r="J207" s="298"/>
      <c r="K207" s="329" t="s">
        <v>1547</v>
      </c>
      <c r="M207" s="298">
        <f t="shared" si="7"/>
      </c>
    </row>
    <row r="208" spans="1:13" ht="15">
      <c r="A208" s="2" t="s">
        <v>1576</v>
      </c>
      <c r="B208" s="328">
        <v>4470141</v>
      </c>
      <c r="C208" s="344">
        <v>-271.41877439999996</v>
      </c>
      <c r="D208" s="344">
        <v>-54.6886224</v>
      </c>
      <c r="E208" s="344">
        <v>-139.3090848</v>
      </c>
      <c r="F208" s="344">
        <v>-178.31499839999998</v>
      </c>
      <c r="G208" s="344">
        <v>-143.94851999999997</v>
      </c>
      <c r="H208" s="314"/>
      <c r="I208" s="298">
        <f t="shared" si="6"/>
        <v>-787.6799999999998</v>
      </c>
      <c r="J208" s="298"/>
      <c r="K208" s="329" t="s">
        <v>1547</v>
      </c>
      <c r="M208" s="298">
        <f t="shared" si="7"/>
      </c>
    </row>
    <row r="209" spans="1:13" ht="15">
      <c r="A209" s="2" t="s">
        <v>207</v>
      </c>
      <c r="B209" s="328">
        <v>4470141</v>
      </c>
      <c r="C209" s="344">
        <v>91.210326</v>
      </c>
      <c r="D209" s="344">
        <v>18.378121</v>
      </c>
      <c r="E209" s="344">
        <v>46.814842</v>
      </c>
      <c r="F209" s="344">
        <v>59.922785999999995</v>
      </c>
      <c r="G209" s="344">
        <v>48.373925</v>
      </c>
      <c r="H209" s="314"/>
      <c r="I209" s="298">
        <f t="shared" si="6"/>
        <v>264.7</v>
      </c>
      <c r="J209" s="298"/>
      <c r="K209" s="329" t="s">
        <v>1547</v>
      </c>
      <c r="M209" s="298">
        <f t="shared" si="7"/>
      </c>
    </row>
    <row r="210" spans="1:13" ht="15">
      <c r="A210" s="2" t="s">
        <v>208</v>
      </c>
      <c r="B210" s="328">
        <v>4470141</v>
      </c>
      <c r="C210" s="344">
        <v>-68.5920948</v>
      </c>
      <c r="D210" s="344">
        <v>-13.820735800000001</v>
      </c>
      <c r="E210" s="344">
        <v>-35.2057516</v>
      </c>
      <c r="F210" s="344">
        <v>-45.0632028</v>
      </c>
      <c r="G210" s="344">
        <v>-36.378215</v>
      </c>
      <c r="H210" s="314"/>
      <c r="I210" s="298">
        <f t="shared" si="6"/>
        <v>-199.06</v>
      </c>
      <c r="J210" s="298"/>
      <c r="K210" s="329" t="s">
        <v>1547</v>
      </c>
      <c r="M210" s="298">
        <f t="shared" si="7"/>
      </c>
    </row>
    <row r="211" spans="1:13" ht="15">
      <c r="A211" s="2" t="s">
        <v>209</v>
      </c>
      <c r="B211" s="328">
        <v>4470141</v>
      </c>
      <c r="C211" s="344">
        <v>-0.775305</v>
      </c>
      <c r="D211" s="344">
        <v>-0.1562175</v>
      </c>
      <c r="E211" s="344">
        <v>-0.397935</v>
      </c>
      <c r="F211" s="344">
        <v>-0.509355</v>
      </c>
      <c r="G211" s="344">
        <v>-0.4111875</v>
      </c>
      <c r="H211" s="314"/>
      <c r="I211" s="298">
        <f t="shared" si="6"/>
        <v>-2.25</v>
      </c>
      <c r="J211" s="298"/>
      <c r="K211" s="329" t="s">
        <v>1547</v>
      </c>
      <c r="M211" s="298">
        <f t="shared" si="7"/>
      </c>
    </row>
    <row r="212" spans="1:13" ht="15">
      <c r="A212" s="2" t="s">
        <v>210</v>
      </c>
      <c r="B212" s="328">
        <v>4470141</v>
      </c>
      <c r="C212" s="344">
        <v>-8.3595108</v>
      </c>
      <c r="D212" s="344">
        <v>-1.6843718000000003</v>
      </c>
      <c r="E212" s="344">
        <v>-4.2906236</v>
      </c>
      <c r="F212" s="344">
        <v>-5.4919788</v>
      </c>
      <c r="G212" s="344">
        <v>-4.433515</v>
      </c>
      <c r="H212" s="314"/>
      <c r="I212" s="298">
        <f t="shared" si="6"/>
        <v>-24.26</v>
      </c>
      <c r="J212" s="298"/>
      <c r="K212" s="329" t="s">
        <v>1547</v>
      </c>
      <c r="M212" s="298">
        <f t="shared" si="7"/>
      </c>
    </row>
    <row r="213" spans="1:13" ht="15">
      <c r="A213" s="2" t="s">
        <v>211</v>
      </c>
      <c r="B213" s="328">
        <v>4470141</v>
      </c>
      <c r="C213" s="344">
        <v>-10.6957632</v>
      </c>
      <c r="D213" s="344">
        <v>-2.1551072000000002</v>
      </c>
      <c r="E213" s="344">
        <v>-5.4897344</v>
      </c>
      <c r="F213" s="344">
        <v>-7.0268352</v>
      </c>
      <c r="G213" s="344">
        <v>-5.67256</v>
      </c>
      <c r="H213" s="314"/>
      <c r="I213" s="298">
        <f t="shared" si="6"/>
        <v>-31.040000000000003</v>
      </c>
      <c r="J213" s="298"/>
      <c r="K213" s="329" t="s">
        <v>1547</v>
      </c>
      <c r="M213" s="298">
        <f t="shared" si="7"/>
      </c>
    </row>
    <row r="214" spans="1:13" ht="15">
      <c r="A214" s="2" t="s">
        <v>1578</v>
      </c>
      <c r="B214" s="328">
        <v>4470141</v>
      </c>
      <c r="C214" s="344">
        <v>-77.6373198</v>
      </c>
      <c r="D214" s="344">
        <v>-15.6432733</v>
      </c>
      <c r="E214" s="344">
        <v>-39.8483266</v>
      </c>
      <c r="F214" s="344">
        <v>-51.0056778</v>
      </c>
      <c r="G214" s="344">
        <v>-41.1754025</v>
      </c>
      <c r="H214" s="314"/>
      <c r="I214" s="298">
        <f t="shared" si="6"/>
        <v>-225.31</v>
      </c>
      <c r="J214" s="298"/>
      <c r="K214" s="329" t="s">
        <v>1547</v>
      </c>
      <c r="M214" s="298">
        <f t="shared" si="7"/>
      </c>
    </row>
    <row r="215" spans="1:13" ht="15">
      <c r="A215" s="2" t="s">
        <v>1579</v>
      </c>
      <c r="B215" s="328">
        <v>4470141</v>
      </c>
      <c r="C215" s="344">
        <v>-267.2872602</v>
      </c>
      <c r="D215" s="344">
        <v>-53.85615670000001</v>
      </c>
      <c r="E215" s="344">
        <v>-137.1885334</v>
      </c>
      <c r="F215" s="344">
        <v>-175.6007022</v>
      </c>
      <c r="G215" s="344">
        <v>-141.7573475</v>
      </c>
      <c r="H215" s="314"/>
      <c r="I215" s="298">
        <f t="shared" si="6"/>
        <v>-775.69</v>
      </c>
      <c r="J215" s="298"/>
      <c r="K215" s="329" t="s">
        <v>1547</v>
      </c>
      <c r="M215" s="298">
        <f t="shared" si="7"/>
      </c>
    </row>
    <row r="216" spans="1:13" ht="15">
      <c r="A216" s="2" t="s">
        <v>1577</v>
      </c>
      <c r="B216" s="328">
        <v>4470141</v>
      </c>
      <c r="C216" s="344">
        <v>-17.5632426</v>
      </c>
      <c r="D216" s="344">
        <v>-3.5388471000000004</v>
      </c>
      <c r="E216" s="344">
        <v>-9.0145542</v>
      </c>
      <c r="F216" s="344">
        <v>-11.538588599999999</v>
      </c>
      <c r="G216" s="344">
        <v>-9.3147675</v>
      </c>
      <c r="H216" s="314"/>
      <c r="I216" s="298">
        <f t="shared" si="6"/>
        <v>-50.97</v>
      </c>
      <c r="J216" s="298"/>
      <c r="K216" s="329" t="s">
        <v>1547</v>
      </c>
      <c r="M216" s="298">
        <f t="shared" si="7"/>
      </c>
    </row>
    <row r="217" spans="1:13" ht="15">
      <c r="A217" s="2" t="s">
        <v>56</v>
      </c>
      <c r="B217" s="328">
        <v>4470141</v>
      </c>
      <c r="C217" s="344">
        <v>-1.7711412</v>
      </c>
      <c r="D217" s="344">
        <v>-0.3568702</v>
      </c>
      <c r="E217" s="344">
        <v>-0.9090603999999999</v>
      </c>
      <c r="F217" s="344">
        <v>-1.1635932</v>
      </c>
      <c r="G217" s="344">
        <v>-0.9393349999999999</v>
      </c>
      <c r="H217" s="314"/>
      <c r="I217" s="298">
        <f t="shared" si="6"/>
        <v>-5.14</v>
      </c>
      <c r="J217" s="298"/>
      <c r="K217" s="329" t="s">
        <v>1547</v>
      </c>
      <c r="M217" s="298">
        <f t="shared" si="7"/>
      </c>
    </row>
    <row r="218" spans="1:13" ht="15">
      <c r="A218" s="2" t="s">
        <v>1575</v>
      </c>
      <c r="B218" s="328">
        <v>4470141</v>
      </c>
      <c r="C218" s="344">
        <v>0.0379038</v>
      </c>
      <c r="D218" s="344">
        <v>0.0076373000000000005</v>
      </c>
      <c r="E218" s="344">
        <v>0.0194546</v>
      </c>
      <c r="F218" s="344">
        <v>0.024901799999999998</v>
      </c>
      <c r="G218" s="344">
        <v>0.0201025</v>
      </c>
      <c r="H218" s="314"/>
      <c r="I218" s="298">
        <f t="shared" si="6"/>
        <v>0.11</v>
      </c>
      <c r="J218" s="298"/>
      <c r="K218" s="329" t="s">
        <v>1547</v>
      </c>
      <c r="M218" s="298">
        <f t="shared" si="7"/>
      </c>
    </row>
    <row r="219" spans="1:13" ht="15">
      <c r="A219" s="2" t="s">
        <v>138</v>
      </c>
      <c r="B219" s="328">
        <v>4470100</v>
      </c>
      <c r="C219" s="344">
        <v>322538.147766</v>
      </c>
      <c r="D219" s="344">
        <v>64988.750361</v>
      </c>
      <c r="E219" s="344">
        <v>165546.743322</v>
      </c>
      <c r="F219" s="344">
        <v>211899.082626</v>
      </c>
      <c r="G219" s="344">
        <v>171059.97592499998</v>
      </c>
      <c r="H219" s="314"/>
      <c r="I219" s="298">
        <f t="shared" si="6"/>
        <v>936032.7</v>
      </c>
      <c r="J219" s="298"/>
      <c r="K219" s="329" t="s">
        <v>328</v>
      </c>
      <c r="M219" s="298">
        <f t="shared" si="7"/>
        <v>936032.7</v>
      </c>
    </row>
    <row r="220" spans="1:13" ht="15">
      <c r="A220" s="2" t="s">
        <v>1535</v>
      </c>
      <c r="B220" s="328">
        <v>4470141</v>
      </c>
      <c r="C220" s="344">
        <v>1806126.0283620001</v>
      </c>
      <c r="D220" s="344">
        <v>363919.3515270001</v>
      </c>
      <c r="E220" s="344">
        <v>927016.801254</v>
      </c>
      <c r="F220" s="344">
        <v>1186577.312382</v>
      </c>
      <c r="G220" s="344">
        <v>957889.4064750001</v>
      </c>
      <c r="H220" s="314"/>
      <c r="I220" s="298">
        <f t="shared" si="6"/>
        <v>5241528.9</v>
      </c>
      <c r="J220" s="298"/>
      <c r="K220" s="329" t="s">
        <v>1547</v>
      </c>
      <c r="M220" s="298">
        <f t="shared" si="7"/>
      </c>
    </row>
    <row r="221" spans="1:13" ht="15">
      <c r="A221" s="2" t="s">
        <v>2051</v>
      </c>
      <c r="B221" s="328">
        <v>4470141</v>
      </c>
      <c r="C221" s="344">
        <v>2488.71651</v>
      </c>
      <c r="D221" s="344">
        <v>599.7442500000001</v>
      </c>
      <c r="E221" s="344">
        <v>1976.9347500000001</v>
      </c>
      <c r="F221" s="344">
        <v>2825.4618</v>
      </c>
      <c r="G221" s="344">
        <v>994.24269</v>
      </c>
      <c r="H221" s="314"/>
      <c r="I221" s="298">
        <f t="shared" si="6"/>
        <v>8885.1</v>
      </c>
      <c r="J221" s="298"/>
      <c r="K221" s="329" t="s">
        <v>1547</v>
      </c>
      <c r="M221" s="298">
        <f t="shared" si="7"/>
      </c>
    </row>
    <row r="222" spans="1:13" ht="15">
      <c r="A222" s="2" t="s">
        <v>1532</v>
      </c>
      <c r="B222" s="328">
        <v>4470141</v>
      </c>
      <c r="C222" s="344">
        <v>2030.1648</v>
      </c>
      <c r="D222" s="344">
        <v>489.24</v>
      </c>
      <c r="E222" s="344">
        <v>1612.68</v>
      </c>
      <c r="F222" s="344">
        <v>2304.864</v>
      </c>
      <c r="G222" s="344">
        <v>811.0512</v>
      </c>
      <c r="H222" s="314"/>
      <c r="I222" s="298">
        <f t="shared" si="6"/>
        <v>7248</v>
      </c>
      <c r="J222" s="298"/>
      <c r="K222" s="329" t="s">
        <v>1547</v>
      </c>
      <c r="M222" s="298">
        <f t="shared" si="7"/>
      </c>
    </row>
    <row r="223" spans="1:13" ht="15">
      <c r="A223" s="2" t="s">
        <v>1533</v>
      </c>
      <c r="B223" s="328">
        <v>4470141</v>
      </c>
      <c r="C223" s="344">
        <v>-10363.5639594</v>
      </c>
      <c r="D223" s="344">
        <v>-2088.1718199</v>
      </c>
      <c r="E223" s="344">
        <v>-5319.2289798</v>
      </c>
      <c r="F223" s="344">
        <v>-6808.5890334</v>
      </c>
      <c r="G223" s="344">
        <v>-5496.3762074999995</v>
      </c>
      <c r="H223" s="314"/>
      <c r="I223" s="298">
        <f t="shared" si="6"/>
        <v>-30075.93</v>
      </c>
      <c r="J223" s="298"/>
      <c r="K223" s="329" t="s">
        <v>1547</v>
      </c>
      <c r="M223" s="298">
        <f t="shared" si="7"/>
      </c>
    </row>
    <row r="224" spans="1:13" ht="15">
      <c r="A224" s="2" t="s">
        <v>1537</v>
      </c>
      <c r="B224" s="328">
        <v>4470141</v>
      </c>
      <c r="C224" s="344">
        <v>-5654.419967999999</v>
      </c>
      <c r="D224" s="344">
        <v>-1139.318528</v>
      </c>
      <c r="E224" s="344">
        <v>-2902.2018559999997</v>
      </c>
      <c r="F224" s="344">
        <v>-3714.8052479999997</v>
      </c>
      <c r="G224" s="344">
        <v>-2998.8543999999997</v>
      </c>
      <c r="H224" s="314"/>
      <c r="I224" s="298">
        <f t="shared" si="6"/>
        <v>-16409.6</v>
      </c>
      <c r="J224" s="298"/>
      <c r="K224" s="329" t="s">
        <v>1547</v>
      </c>
      <c r="M224" s="298">
        <f t="shared" si="7"/>
      </c>
    </row>
    <row r="225" spans="1:13" ht="15">
      <c r="A225" s="2" t="s">
        <v>1534</v>
      </c>
      <c r="B225" s="328">
        <v>4470100</v>
      </c>
      <c r="C225" s="344">
        <v>-128930.723295</v>
      </c>
      <c r="D225" s="344">
        <v>-25978.4668825</v>
      </c>
      <c r="E225" s="344">
        <v>-66175.308265</v>
      </c>
      <c r="F225" s="344">
        <v>-84704.095245</v>
      </c>
      <c r="G225" s="344">
        <v>-68379.1563125</v>
      </c>
      <c r="H225" s="314"/>
      <c r="I225" s="298">
        <f t="shared" si="6"/>
        <v>-374167.75</v>
      </c>
      <c r="J225" s="298"/>
      <c r="K225" s="329" t="s">
        <v>328</v>
      </c>
      <c r="M225" s="298">
        <f t="shared" si="7"/>
        <v>-374167.75</v>
      </c>
    </row>
    <row r="226" spans="1:13" ht="15">
      <c r="A226" s="2" t="s">
        <v>39</v>
      </c>
      <c r="B226" s="328">
        <v>4470206</v>
      </c>
      <c r="C226" s="344">
        <v>75.43545359999999</v>
      </c>
      <c r="D226" s="344">
        <v>15.1996156</v>
      </c>
      <c r="E226" s="344">
        <v>38.71819119999999</v>
      </c>
      <c r="F226" s="344">
        <v>49.5591096</v>
      </c>
      <c r="G226" s="344">
        <v>40.00763</v>
      </c>
      <c r="H226" s="314"/>
      <c r="I226" s="298">
        <f t="shared" si="6"/>
        <v>218.92</v>
      </c>
      <c r="J226" s="298"/>
      <c r="K226" s="329" t="s">
        <v>328</v>
      </c>
      <c r="M226" s="298">
        <f t="shared" si="7"/>
        <v>218.92</v>
      </c>
    </row>
    <row r="227" spans="1:13" ht="15">
      <c r="A227" s="2" t="s">
        <v>1546</v>
      </c>
      <c r="B227" s="328">
        <v>4470141</v>
      </c>
      <c r="C227" s="344">
        <v>0</v>
      </c>
      <c r="D227" s="344">
        <v>0</v>
      </c>
      <c r="E227" s="344">
        <v>0</v>
      </c>
      <c r="F227" s="344">
        <v>0</v>
      </c>
      <c r="G227" s="344">
        <v>0</v>
      </c>
      <c r="H227" s="314"/>
      <c r="I227" s="298">
        <f t="shared" si="6"/>
        <v>0</v>
      </c>
      <c r="J227" s="298"/>
      <c r="K227" s="329" t="s">
        <v>1547</v>
      </c>
      <c r="M227" s="298">
        <f t="shared" si="7"/>
      </c>
    </row>
    <row r="228" spans="1:13" ht="15">
      <c r="A228" s="2" t="s">
        <v>1587</v>
      </c>
      <c r="B228" s="328">
        <v>4470206</v>
      </c>
      <c r="C228" s="344">
        <v>956.9503470000001</v>
      </c>
      <c r="D228" s="344">
        <v>192.81752450000002</v>
      </c>
      <c r="E228" s="344">
        <v>491.166749</v>
      </c>
      <c r="F228" s="344">
        <v>628.691217</v>
      </c>
      <c r="G228" s="344">
        <v>507.5241625</v>
      </c>
      <c r="H228" s="314"/>
      <c r="I228" s="298">
        <f t="shared" si="6"/>
        <v>2777.15</v>
      </c>
      <c r="J228" s="298"/>
      <c r="K228" s="329" t="s">
        <v>328</v>
      </c>
      <c r="M228" s="298">
        <f t="shared" si="7"/>
        <v>2777.15</v>
      </c>
    </row>
    <row r="229" spans="1:13" ht="15">
      <c r="A229" s="2" t="s">
        <v>1522</v>
      </c>
      <c r="B229" s="328">
        <v>4470100</v>
      </c>
      <c r="C229" s="344">
        <v>-359672.983038</v>
      </c>
      <c r="D229" s="344">
        <v>-72471.110373</v>
      </c>
      <c r="E229" s="344">
        <v>-184606.66254599998</v>
      </c>
      <c r="F229" s="344">
        <v>-236295.693018</v>
      </c>
      <c r="G229" s="344">
        <v>-190754.651025</v>
      </c>
      <c r="H229" s="314"/>
      <c r="I229" s="298">
        <f t="shared" si="6"/>
        <v>-1043801.1</v>
      </c>
      <c r="J229" s="298"/>
      <c r="K229" s="329" t="s">
        <v>328</v>
      </c>
      <c r="M229" s="298">
        <f t="shared" si="7"/>
        <v>-1043801.1</v>
      </c>
    </row>
    <row r="230" spans="1:13" ht="15">
      <c r="A230" s="2" t="s">
        <v>1574</v>
      </c>
      <c r="B230" s="328">
        <v>4470141</v>
      </c>
      <c r="C230" s="344">
        <v>-99.76624739999998</v>
      </c>
      <c r="D230" s="344">
        <v>-20.102067899999998</v>
      </c>
      <c r="E230" s="344">
        <v>-51.20627579999999</v>
      </c>
      <c r="F230" s="344">
        <v>-65.54380139999999</v>
      </c>
      <c r="G230" s="344">
        <v>-52.911607499999995</v>
      </c>
      <c r="H230" s="314"/>
      <c r="I230" s="298">
        <f t="shared" si="6"/>
        <v>-289.53</v>
      </c>
      <c r="J230" s="298"/>
      <c r="K230" s="329" t="s">
        <v>1547</v>
      </c>
      <c r="M230" s="298">
        <f t="shared" si="7"/>
      </c>
    </row>
    <row r="231" spans="1:13" ht="15">
      <c r="A231" s="2" t="s">
        <v>140</v>
      </c>
      <c r="B231" s="328">
        <v>4470141</v>
      </c>
      <c r="C231" s="344">
        <v>37583.4887694</v>
      </c>
      <c r="D231" s="344">
        <v>7572.7599549</v>
      </c>
      <c r="E231" s="344">
        <v>19290.1962498</v>
      </c>
      <c r="F231" s="344">
        <v>24691.3639434</v>
      </c>
      <c r="G231" s="344">
        <v>19932.621082499998</v>
      </c>
      <c r="H231" s="314"/>
      <c r="I231" s="298">
        <f t="shared" si="6"/>
        <v>109070.43</v>
      </c>
      <c r="J231" s="298"/>
      <c r="K231" s="329" t="s">
        <v>1547</v>
      </c>
      <c r="M231" s="298">
        <f t="shared" si="7"/>
      </c>
    </row>
    <row r="232" spans="1:13" ht="15">
      <c r="A232" s="2" t="s">
        <v>40</v>
      </c>
      <c r="B232" s="328">
        <v>4470141</v>
      </c>
      <c r="C232" s="344">
        <v>2043.8452578</v>
      </c>
      <c r="D232" s="344">
        <v>411.8177963</v>
      </c>
      <c r="E232" s="344">
        <v>1049.0291725999998</v>
      </c>
      <c r="F232" s="344">
        <v>1342.7525957999999</v>
      </c>
      <c r="G232" s="344">
        <v>1083.9651775</v>
      </c>
      <c r="H232" s="314"/>
      <c r="I232" s="298">
        <f t="shared" si="6"/>
        <v>5931.41</v>
      </c>
      <c r="J232" s="298"/>
      <c r="K232" s="329" t="s">
        <v>1547</v>
      </c>
      <c r="M232" s="298">
        <f t="shared" si="7"/>
      </c>
    </row>
    <row r="233" spans="1:13" ht="15">
      <c r="A233" s="2" t="s">
        <v>41</v>
      </c>
      <c r="B233" s="328">
        <v>4470141</v>
      </c>
      <c r="C233" s="344">
        <v>542.6721504000001</v>
      </c>
      <c r="D233" s="344">
        <v>109.34391840000002</v>
      </c>
      <c r="E233" s="344">
        <v>278.5332768</v>
      </c>
      <c r="F233" s="344">
        <v>356.5213344</v>
      </c>
      <c r="G233" s="344">
        <v>287.80932</v>
      </c>
      <c r="H233" s="314"/>
      <c r="I233" s="298">
        <f t="shared" si="6"/>
        <v>1574.8800000000003</v>
      </c>
      <c r="J233" s="298"/>
      <c r="K233" s="329" t="s">
        <v>1547</v>
      </c>
      <c r="M233" s="298">
        <f t="shared" si="7"/>
      </c>
    </row>
    <row r="234" spans="1:13" ht="15">
      <c r="A234" s="2" t="s">
        <v>1914</v>
      </c>
      <c r="B234" s="328">
        <v>4470098</v>
      </c>
      <c r="C234" s="344">
        <v>7.4188074</v>
      </c>
      <c r="D234" s="344">
        <v>1.4948279000000002</v>
      </c>
      <c r="E234" s="344">
        <v>3.8077958</v>
      </c>
      <c r="F234" s="344">
        <v>4.8739614</v>
      </c>
      <c r="G234" s="344">
        <v>3.9346075000000003</v>
      </c>
      <c r="H234" s="314"/>
      <c r="I234" s="298">
        <f t="shared" si="6"/>
        <v>21.53</v>
      </c>
      <c r="J234" s="298"/>
      <c r="K234" s="329" t="s">
        <v>328</v>
      </c>
      <c r="M234" s="298">
        <f t="shared" si="7"/>
        <v>21.53</v>
      </c>
    </row>
    <row r="235" spans="1:13" ht="15">
      <c r="A235" s="2" t="s">
        <v>1561</v>
      </c>
      <c r="B235" s="328">
        <v>4470141</v>
      </c>
      <c r="C235" s="344">
        <v>-8.3698482</v>
      </c>
      <c r="D235" s="344">
        <v>-1.6864547</v>
      </c>
      <c r="E235" s="344">
        <v>-4.2959293999999995</v>
      </c>
      <c r="F235" s="344">
        <v>-5.4987702</v>
      </c>
      <c r="G235" s="344">
        <v>-4.4389975</v>
      </c>
      <c r="H235" s="314"/>
      <c r="I235" s="298">
        <f t="shared" si="6"/>
        <v>-24.29</v>
      </c>
      <c r="J235" s="298"/>
      <c r="K235" s="329" t="s">
        <v>1547</v>
      </c>
      <c r="M235" s="298">
        <f t="shared" si="7"/>
      </c>
    </row>
    <row r="236" spans="1:13" ht="15">
      <c r="A236" s="2" t="s">
        <v>1562</v>
      </c>
      <c r="B236" s="328">
        <v>4470141</v>
      </c>
      <c r="C236" s="344">
        <v>-6.5160078</v>
      </c>
      <c r="D236" s="344">
        <v>-1.3129213000000002</v>
      </c>
      <c r="E236" s="344">
        <v>-3.3444225999999997</v>
      </c>
      <c r="F236" s="344">
        <v>-4.2808458</v>
      </c>
      <c r="G236" s="344">
        <v>-3.4558025</v>
      </c>
      <c r="H236" s="314"/>
      <c r="I236" s="298">
        <f t="shared" si="6"/>
        <v>-18.91</v>
      </c>
      <c r="J236" s="298"/>
      <c r="K236" s="329" t="s">
        <v>1547</v>
      </c>
      <c r="M236" s="298">
        <f t="shared" si="7"/>
      </c>
    </row>
    <row r="237" spans="1:13" ht="15">
      <c r="A237" s="2" t="s">
        <v>535</v>
      </c>
      <c r="B237" s="328">
        <v>4470098</v>
      </c>
      <c r="C237" s="344">
        <v>-52.5415584</v>
      </c>
      <c r="D237" s="344">
        <v>-10.5866864</v>
      </c>
      <c r="E237" s="344">
        <v>-26.967612799999998</v>
      </c>
      <c r="F237" s="344">
        <v>-34.5184224</v>
      </c>
      <c r="G237" s="344">
        <v>-27.865719999999996</v>
      </c>
      <c r="H237" s="314"/>
      <c r="I237" s="298">
        <f t="shared" si="6"/>
        <v>-152.47999999999996</v>
      </c>
      <c r="J237" s="298"/>
      <c r="K237" s="329" t="s">
        <v>328</v>
      </c>
      <c r="M237" s="298">
        <f t="shared" si="7"/>
        <v>-152.47999999999996</v>
      </c>
    </row>
    <row r="238" spans="1:13" ht="15">
      <c r="A238" s="2" t="s">
        <v>51</v>
      </c>
      <c r="B238" s="328">
        <v>4470141</v>
      </c>
      <c r="C238" s="344">
        <v>34.4648916</v>
      </c>
      <c r="D238" s="344">
        <v>6.9443886</v>
      </c>
      <c r="E238" s="344">
        <v>17.689537199999997</v>
      </c>
      <c r="F238" s="344">
        <v>22.642527599999998</v>
      </c>
      <c r="G238" s="344">
        <v>18.278655</v>
      </c>
      <c r="H238" s="314"/>
      <c r="I238" s="298">
        <f t="shared" si="6"/>
        <v>100.02</v>
      </c>
      <c r="J238" s="298"/>
      <c r="K238" s="329" t="s">
        <v>1547</v>
      </c>
      <c r="M238" s="298">
        <f t="shared" si="7"/>
      </c>
    </row>
    <row r="239" spans="1:13" ht="15">
      <c r="A239" s="2" t="s">
        <v>1915</v>
      </c>
      <c r="B239" s="328">
        <v>4470141</v>
      </c>
      <c r="C239" s="344">
        <v>-3.2528352</v>
      </c>
      <c r="D239" s="344">
        <v>-0.6554192</v>
      </c>
      <c r="E239" s="344">
        <v>-1.6695583999999999</v>
      </c>
      <c r="F239" s="344">
        <v>-2.1370272</v>
      </c>
      <c r="G239" s="344">
        <v>-1.7251599999999998</v>
      </c>
      <c r="H239" s="314"/>
      <c r="I239" s="298">
        <f t="shared" si="6"/>
        <v>-9.439999999999998</v>
      </c>
      <c r="J239" s="298"/>
      <c r="K239" s="329" t="s">
        <v>1547</v>
      </c>
      <c r="M239" s="298">
        <f t="shared" si="7"/>
      </c>
    </row>
    <row r="240" spans="1:13" ht="15">
      <c r="A240" s="2" t="s">
        <v>1567</v>
      </c>
      <c r="B240" s="328">
        <v>4470141</v>
      </c>
      <c r="C240" s="344">
        <v>0.0034458</v>
      </c>
      <c r="D240" s="344">
        <v>0.0006943</v>
      </c>
      <c r="E240" s="344">
        <v>0.0017686</v>
      </c>
      <c r="F240" s="344">
        <v>0.0022638</v>
      </c>
      <c r="G240" s="344">
        <v>0.0018275</v>
      </c>
      <c r="H240" s="314"/>
      <c r="I240" s="298">
        <f t="shared" si="6"/>
        <v>0.009999999999999998</v>
      </c>
      <c r="J240" s="298"/>
      <c r="K240" s="329" t="s">
        <v>1547</v>
      </c>
      <c r="M240" s="298">
        <f t="shared" si="7"/>
      </c>
    </row>
    <row r="241" spans="1:13" ht="15">
      <c r="A241" s="2" t="s">
        <v>43</v>
      </c>
      <c r="B241" s="328">
        <v>4470141</v>
      </c>
      <c r="C241" s="344">
        <v>729.0864846</v>
      </c>
      <c r="D241" s="344">
        <v>146.9048541</v>
      </c>
      <c r="E241" s="344">
        <v>374.21276819999997</v>
      </c>
      <c r="F241" s="344">
        <v>478.9906506</v>
      </c>
      <c r="G241" s="344">
        <v>386.67524249999997</v>
      </c>
      <c r="H241" s="314"/>
      <c r="I241" s="298">
        <f t="shared" si="6"/>
        <v>2115.87</v>
      </c>
      <c r="J241" s="298"/>
      <c r="K241" s="329" t="s">
        <v>1547</v>
      </c>
      <c r="M241" s="298">
        <f t="shared" si="7"/>
      </c>
    </row>
    <row r="242" spans="1:13" ht="15">
      <c r="A242" s="2" t="s">
        <v>462</v>
      </c>
      <c r="B242" s="328">
        <v>4470141</v>
      </c>
      <c r="C242" s="344">
        <v>467.53303559999995</v>
      </c>
      <c r="D242" s="344">
        <v>94.2040126</v>
      </c>
      <c r="E242" s="344">
        <v>239.96718519999996</v>
      </c>
      <c r="F242" s="344">
        <v>307.1569116</v>
      </c>
      <c r="G242" s="344">
        <v>247.95885499999997</v>
      </c>
      <c r="H242" s="314"/>
      <c r="I242" s="298">
        <f t="shared" si="6"/>
        <v>1356.8199999999997</v>
      </c>
      <c r="J242" s="298"/>
      <c r="K242" s="329" t="s">
        <v>1547</v>
      </c>
      <c r="M242" s="298">
        <f t="shared" si="7"/>
      </c>
    </row>
    <row r="243" spans="1:13" ht="15">
      <c r="A243" s="2" t="s">
        <v>52</v>
      </c>
      <c r="B243" s="328">
        <v>4470141</v>
      </c>
      <c r="C243" s="344">
        <v>-1.343862</v>
      </c>
      <c r="D243" s="344">
        <v>-0.270777</v>
      </c>
      <c r="E243" s="344">
        <v>-0.689754</v>
      </c>
      <c r="F243" s="344">
        <v>-0.882882</v>
      </c>
      <c r="G243" s="344">
        <v>-0.7127249999999999</v>
      </c>
      <c r="H243" s="314"/>
      <c r="I243" s="298">
        <f t="shared" si="6"/>
        <v>-3.9</v>
      </c>
      <c r="J243" s="298"/>
      <c r="K243" s="329" t="s">
        <v>1547</v>
      </c>
      <c r="M243" s="298">
        <f t="shared" si="7"/>
      </c>
    </row>
    <row r="244" spans="1:13" ht="15">
      <c r="A244" s="2" t="s">
        <v>57</v>
      </c>
      <c r="B244" s="328">
        <v>4470115</v>
      </c>
      <c r="C244" s="344">
        <v>1320.3581982</v>
      </c>
      <c r="D244" s="344">
        <v>266.04117970000004</v>
      </c>
      <c r="E244" s="344">
        <v>677.6903794</v>
      </c>
      <c r="F244" s="344">
        <v>867.4406202</v>
      </c>
      <c r="G244" s="344">
        <v>700.2596225</v>
      </c>
      <c r="H244" s="314"/>
      <c r="I244" s="298">
        <f t="shared" si="6"/>
        <v>3831.79</v>
      </c>
      <c r="J244" s="298"/>
      <c r="K244" s="329" t="s">
        <v>328</v>
      </c>
      <c r="M244" s="298">
        <f t="shared" si="7"/>
        <v>3831.79</v>
      </c>
    </row>
    <row r="245" spans="1:13" ht="15">
      <c r="A245" s="2" t="s">
        <v>44</v>
      </c>
      <c r="B245" s="328">
        <v>4470141</v>
      </c>
      <c r="C245" s="344">
        <v>16479.676332</v>
      </c>
      <c r="D245" s="344">
        <v>3320.5175220000006</v>
      </c>
      <c r="E245" s="344">
        <v>8458.400244</v>
      </c>
      <c r="F245" s="344">
        <v>10826.714052</v>
      </c>
      <c r="G245" s="344">
        <v>8740.09185</v>
      </c>
      <c r="H245" s="314"/>
      <c r="I245" s="298">
        <f t="shared" si="6"/>
        <v>47825.399999999994</v>
      </c>
      <c r="J245" s="298"/>
      <c r="K245" s="329" t="s">
        <v>1547</v>
      </c>
      <c r="M245" s="298">
        <f t="shared" si="7"/>
      </c>
    </row>
    <row r="246" spans="1:13" ht="15">
      <c r="A246" s="2" t="s">
        <v>42</v>
      </c>
      <c r="B246" s="328">
        <v>4470098</v>
      </c>
      <c r="C246" s="344">
        <v>110.57227619999999</v>
      </c>
      <c r="D246" s="344">
        <v>22.279392700000002</v>
      </c>
      <c r="E246" s="344">
        <v>56.75260539999999</v>
      </c>
      <c r="F246" s="344">
        <v>72.64307819999999</v>
      </c>
      <c r="G246" s="344">
        <v>58.642647499999995</v>
      </c>
      <c r="H246" s="314"/>
      <c r="I246" s="298">
        <f t="shared" si="6"/>
        <v>320.89</v>
      </c>
      <c r="J246" s="298"/>
      <c r="K246" s="329" t="s">
        <v>328</v>
      </c>
      <c r="M246" s="298">
        <f t="shared" si="7"/>
        <v>320.89</v>
      </c>
    </row>
    <row r="247" spans="1:13" ht="15">
      <c r="A247" s="2" t="s">
        <v>1573</v>
      </c>
      <c r="B247" s="328">
        <v>4470141</v>
      </c>
      <c r="C247" s="344">
        <v>-136.9808874</v>
      </c>
      <c r="D247" s="344">
        <v>-27.6005079</v>
      </c>
      <c r="E247" s="344">
        <v>-70.30715579999999</v>
      </c>
      <c r="F247" s="344">
        <v>-89.99284139999999</v>
      </c>
      <c r="G247" s="344">
        <v>-72.6486075</v>
      </c>
      <c r="H247" s="314"/>
      <c r="I247" s="298">
        <f t="shared" si="6"/>
        <v>-397.53</v>
      </c>
      <c r="J247" s="298"/>
      <c r="K247" s="329" t="s">
        <v>1547</v>
      </c>
      <c r="M247" s="298">
        <f t="shared" si="7"/>
      </c>
    </row>
    <row r="248" spans="1:13" ht="15">
      <c r="A248" s="2" t="s">
        <v>1473</v>
      </c>
      <c r="B248" s="328">
        <v>4470100</v>
      </c>
      <c r="C248" s="344">
        <v>-128.7075216</v>
      </c>
      <c r="D248" s="344">
        <v>-25.933493600000002</v>
      </c>
      <c r="E248" s="344">
        <v>-66.0607472</v>
      </c>
      <c r="F248" s="344">
        <v>-84.55745759999999</v>
      </c>
      <c r="G248" s="344">
        <v>-68.26078</v>
      </c>
      <c r="H248" s="314"/>
      <c r="I248" s="298">
        <f t="shared" si="6"/>
        <v>-373.52000000000004</v>
      </c>
      <c r="J248" s="298"/>
      <c r="K248" s="329" t="s">
        <v>328</v>
      </c>
      <c r="M248" s="298">
        <f t="shared" si="7"/>
        <v>-373.52000000000004</v>
      </c>
    </row>
    <row r="249" spans="1:15" ht="15">
      <c r="A249" s="2" t="s">
        <v>45</v>
      </c>
      <c r="B249" s="328">
        <v>4470141</v>
      </c>
      <c r="C249" s="344">
        <v>-474.8209026</v>
      </c>
      <c r="D249" s="344">
        <v>-95.6724571</v>
      </c>
      <c r="E249" s="344">
        <v>-243.7077742</v>
      </c>
      <c r="F249" s="344">
        <v>-311.9448486</v>
      </c>
      <c r="G249" s="344">
        <v>-251.8240175</v>
      </c>
      <c r="H249" s="314"/>
      <c r="I249" s="298">
        <f t="shared" si="6"/>
        <v>-1377.9700000000003</v>
      </c>
      <c r="J249" s="298"/>
      <c r="K249" s="329" t="s">
        <v>1547</v>
      </c>
      <c r="M249" s="298">
        <f>IF(K249="East Zone SIA",I249,"")</f>
      </c>
      <c r="N249" s="956" t="s">
        <v>38</v>
      </c>
      <c r="O249" s="961">
        <f>SUM(M179:M249)</f>
        <v>-1605946.4199999995</v>
      </c>
    </row>
    <row r="250" spans="1:15" ht="15">
      <c r="A250" s="2"/>
      <c r="B250" s="328"/>
      <c r="C250" s="298"/>
      <c r="D250" s="298"/>
      <c r="E250" s="298"/>
      <c r="F250" s="298"/>
      <c r="G250" s="298"/>
      <c r="H250" s="314"/>
      <c r="I250" s="298"/>
      <c r="J250" s="298"/>
      <c r="K250" s="329"/>
      <c r="M250" s="298">
        <f t="shared" si="7"/>
      </c>
      <c r="N250" s="958" t="s">
        <v>367</v>
      </c>
      <c r="O250" s="961">
        <f>SUM(I179:I249)</f>
        <v>7180730.01</v>
      </c>
    </row>
    <row r="251" spans="1:13" ht="15">
      <c r="A251" s="2"/>
      <c r="B251" s="328"/>
      <c r="C251" s="275"/>
      <c r="D251" s="275"/>
      <c r="E251" s="275"/>
      <c r="F251" s="275"/>
      <c r="G251" s="275"/>
      <c r="H251" s="314"/>
      <c r="I251" s="275"/>
      <c r="J251" s="298"/>
      <c r="K251" s="57"/>
      <c r="M251" s="275"/>
    </row>
    <row r="252" spans="1:13" ht="15">
      <c r="A252" s="3" t="s">
        <v>414</v>
      </c>
      <c r="C252" s="274">
        <f>ROUND(SUM(C179:C251),0)</f>
        <v>2473296</v>
      </c>
      <c r="D252" s="274">
        <f>ROUND(SUM(D179:D251),0)</f>
        <v>498527</v>
      </c>
      <c r="E252" s="274">
        <f>ROUND(SUM(E179:E251),0)</f>
        <v>1270720</v>
      </c>
      <c r="F252" s="274">
        <f>ROUND(SUM(F179:F251),0)</f>
        <v>1627052</v>
      </c>
      <c r="G252" s="274">
        <f>ROUND(SUM(G179:G251),0)</f>
        <v>1311135</v>
      </c>
      <c r="H252" s="274"/>
      <c r="I252" s="275">
        <f>ROUND(SUM(I179:I251),0)</f>
        <v>7180730</v>
      </c>
      <c r="J252" s="275"/>
      <c r="K252" s="2"/>
      <c r="M252" s="275"/>
    </row>
    <row r="253" spans="3:11" ht="15">
      <c r="C253" s="287"/>
      <c r="D253" s="287"/>
      <c r="E253" s="287"/>
      <c r="F253" s="287"/>
      <c r="G253" s="287"/>
      <c r="I253" s="314"/>
      <c r="J253" s="314"/>
      <c r="K253" s="2"/>
    </row>
    <row r="254" spans="1:13" ht="15">
      <c r="A254" s="3" t="s">
        <v>413</v>
      </c>
      <c r="C254" s="294">
        <f>INPUT!L211</f>
        <v>2455473</v>
      </c>
      <c r="D254" s="294">
        <f>INPUT!L212</f>
        <v>494935</v>
      </c>
      <c r="E254" s="294">
        <f>INPUT!L213</f>
        <v>1261572</v>
      </c>
      <c r="F254" s="294">
        <f>INPUT!L214</f>
        <v>1615343</v>
      </c>
      <c r="G254" s="294">
        <f>INPUT!L215</f>
        <v>1301683</v>
      </c>
      <c r="H254" s="274"/>
      <c r="I254" s="299">
        <f>SUM(C254:H254)</f>
        <v>7129006</v>
      </c>
      <c r="J254" s="275"/>
      <c r="K254" s="2"/>
      <c r="M254" s="275"/>
    </row>
    <row r="255" spans="9:13" ht="15">
      <c r="I255" s="342"/>
      <c r="J255" s="342"/>
      <c r="K255" s="2"/>
      <c r="M255" s="275"/>
    </row>
    <row r="256" spans="1:13" ht="15.75" thickBot="1">
      <c r="A256" s="3" t="s">
        <v>411</v>
      </c>
      <c r="B256" s="70" t="s">
        <v>1504</v>
      </c>
      <c r="C256" s="295">
        <f>C252-C254</f>
        <v>17823</v>
      </c>
      <c r="D256" s="295">
        <f>D252-D254</f>
        <v>3592</v>
      </c>
      <c r="E256" s="295">
        <f>E252-E254</f>
        <v>9148</v>
      </c>
      <c r="F256" s="295">
        <f>F252-F254</f>
        <v>11709</v>
      </c>
      <c r="G256" s="295">
        <f>G252-G254</f>
        <v>9452</v>
      </c>
      <c r="H256" s="274"/>
      <c r="I256" s="316">
        <f>SUM(C256:H256)</f>
        <v>51724</v>
      </c>
      <c r="J256" s="275"/>
      <c r="K256" s="2"/>
      <c r="M256" s="316">
        <f>SUM(M178:M255)</f>
        <v>-1605946.4199999995</v>
      </c>
    </row>
    <row r="257" ht="15.75" thickTop="1">
      <c r="M257" s="275"/>
    </row>
    <row r="258" ht="15">
      <c r="A258" s="3" t="s">
        <v>1186</v>
      </c>
    </row>
    <row r="259" ht="15">
      <c r="A259" s="3" t="s">
        <v>412</v>
      </c>
    </row>
  </sheetData>
  <mergeCells count="2">
    <mergeCell ref="A175:I175"/>
    <mergeCell ref="A1:M1"/>
  </mergeCells>
  <printOptions/>
  <pageMargins left="0.25" right="0.25" top="0.46" bottom="0.25" header="0.17" footer="0.5"/>
  <pageSetup fitToHeight="3" fitToWidth="1" horizontalDpi="600" verticalDpi="600" orientation="portrait" scale="43" r:id="rId1"/>
  <headerFooter alignWithMargins="0">
    <oddHeader>&amp;L&amp;"Comic Sans MS,Bold"ACTUAL:&amp;"Arial,Regular"
&amp;"Comic Sans MS,Regular"JUNE 2008&amp;R&amp;"Comic Sans MS,Bold"APPENDIX IX&amp;"Arial,Regular"
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M510"/>
  <sheetViews>
    <sheetView workbookViewId="0" topLeftCell="A1">
      <selection activeCell="A1" sqref="A1"/>
    </sheetView>
  </sheetViews>
  <sheetFormatPr defaultColWidth="9.140625" defaultRowHeight="12.75"/>
  <cols>
    <col min="1" max="1" width="67.28125" style="0" customWidth="1"/>
    <col min="2" max="2" width="11.8515625" style="0" customWidth="1"/>
    <col min="3" max="3" width="14.7109375" style="0" bestFit="1" customWidth="1"/>
    <col min="4" max="4" width="13.57421875" style="0" bestFit="1" customWidth="1"/>
    <col min="5" max="5" width="15.00390625" style="0" bestFit="1" customWidth="1"/>
    <col min="6" max="6" width="15.28125" style="0" bestFit="1" customWidth="1"/>
    <col min="7" max="7" width="15.00390625" style="0" bestFit="1" customWidth="1"/>
    <col min="8" max="8" width="2.7109375" style="0" customWidth="1"/>
    <col min="9" max="9" width="18.7109375" style="0" customWidth="1"/>
    <col min="10" max="10" width="13.140625" style="0" bestFit="1" customWidth="1"/>
    <col min="11" max="11" width="10.57421875" style="0" bestFit="1" customWidth="1"/>
    <col min="12" max="12" width="12.8515625" style="0" bestFit="1" customWidth="1"/>
    <col min="13" max="13" width="10.8515625" style="0" bestFit="1" customWidth="1"/>
  </cols>
  <sheetData>
    <row r="1" spans="1:9" ht="16.5">
      <c r="A1" s="28" t="s">
        <v>1451</v>
      </c>
      <c r="B1" s="131"/>
      <c r="C1" s="131"/>
      <c r="D1" s="3"/>
      <c r="E1" s="3"/>
      <c r="F1" s="3"/>
      <c r="G1" s="3"/>
      <c r="H1" s="84"/>
      <c r="I1" s="284" t="s">
        <v>1177</v>
      </c>
    </row>
    <row r="2" spans="1:9" ht="15">
      <c r="A2" s="285" t="str">
        <f>INPUT!C1</f>
        <v>June 2009</v>
      </c>
      <c r="B2" s="3"/>
      <c r="C2" s="3"/>
      <c r="D2" s="3"/>
      <c r="E2" s="3"/>
      <c r="F2" s="3"/>
      <c r="G2" s="3"/>
      <c r="H2" s="84"/>
      <c r="I2" s="3"/>
    </row>
    <row r="3" spans="1:9" ht="15">
      <c r="A3" s="3"/>
      <c r="B3" s="3"/>
      <c r="C3" s="3"/>
      <c r="D3" s="3"/>
      <c r="E3" s="3"/>
      <c r="F3" s="3"/>
      <c r="G3" s="3"/>
      <c r="H3" s="84"/>
      <c r="I3" s="3"/>
    </row>
    <row r="4" spans="1:9" ht="16.5">
      <c r="A4" s="1015" t="s">
        <v>1803</v>
      </c>
      <c r="B4" s="1015"/>
      <c r="C4" s="1015"/>
      <c r="D4" s="1015"/>
      <c r="E4" s="1015"/>
      <c r="F4" s="1015"/>
      <c r="G4" s="1015"/>
      <c r="H4" s="1015"/>
      <c r="I4" s="1015"/>
    </row>
    <row r="5" spans="1:9" ht="15">
      <c r="A5" s="3"/>
      <c r="B5" s="3"/>
      <c r="C5" s="286"/>
      <c r="D5" s="286"/>
      <c r="E5" s="286"/>
      <c r="F5" s="286"/>
      <c r="G5" s="286"/>
      <c r="H5" s="287"/>
      <c r="I5" s="286"/>
    </row>
    <row r="6" spans="1:9" ht="33" customHeight="1">
      <c r="A6" s="22" t="s">
        <v>1178</v>
      </c>
      <c r="B6" s="288" t="s">
        <v>333</v>
      </c>
      <c r="C6" s="289" t="s">
        <v>1179</v>
      </c>
      <c r="D6" s="289" t="s">
        <v>1180</v>
      </c>
      <c r="E6" s="289" t="s">
        <v>1181</v>
      </c>
      <c r="F6" s="289" t="s">
        <v>1182</v>
      </c>
      <c r="G6" s="289" t="s">
        <v>1183</v>
      </c>
      <c r="H6" s="290"/>
      <c r="I6" s="291" t="s">
        <v>310</v>
      </c>
    </row>
    <row r="7" spans="1:9" ht="16.5">
      <c r="A7" s="292"/>
      <c r="B7" s="292"/>
      <c r="C7" s="290"/>
      <c r="D7" s="290"/>
      <c r="E7" s="290"/>
      <c r="F7" s="290"/>
      <c r="G7" s="290"/>
      <c r="H7" s="290"/>
      <c r="I7" s="290"/>
    </row>
    <row r="8" spans="1:9" ht="16.5">
      <c r="A8" s="292" t="s">
        <v>298</v>
      </c>
      <c r="B8" s="292"/>
      <c r="C8" s="290"/>
      <c r="D8" s="290"/>
      <c r="E8" s="290"/>
      <c r="F8" s="290"/>
      <c r="G8" s="290"/>
      <c r="H8" s="290"/>
      <c r="I8" s="290"/>
    </row>
    <row r="9" spans="1:11" ht="16.5">
      <c r="A9" s="317" t="s">
        <v>767</v>
      </c>
      <c r="B9" s="332">
        <v>4470099</v>
      </c>
      <c r="C9" s="343">
        <v>10502.8</v>
      </c>
      <c r="D9" s="343">
        <v>2116.23</v>
      </c>
      <c r="E9" s="343">
        <v>5390.69</v>
      </c>
      <c r="F9" s="343">
        <v>6900.06</v>
      </c>
      <c r="G9" s="343">
        <v>5570.22</v>
      </c>
      <c r="H9" s="341"/>
      <c r="I9" s="325">
        <f>SUM(C9:G9)</f>
        <v>30480</v>
      </c>
      <c r="J9" t="s">
        <v>328</v>
      </c>
      <c r="K9" s="298">
        <f>IF(J9="East Zone SIA",I9,"")</f>
        <v>30480</v>
      </c>
    </row>
    <row r="10" spans="1:11" ht="16.5">
      <c r="A10" s="324" t="s">
        <v>37</v>
      </c>
      <c r="B10" s="332">
        <v>4470143</v>
      </c>
      <c r="C10" s="343">
        <v>-292893</v>
      </c>
      <c r="D10" s="343">
        <v>-59015.5</v>
      </c>
      <c r="E10" s="343">
        <v>-150331</v>
      </c>
      <c r="F10" s="343">
        <v>-192423</v>
      </c>
      <c r="G10" s="343">
        <v>-155337.5</v>
      </c>
      <c r="H10" s="341"/>
      <c r="I10" s="325">
        <f aca="true" t="shared" si="0" ref="I10:I16">SUM(C10:G10)</f>
        <v>-850000</v>
      </c>
      <c r="J10" t="s">
        <v>328</v>
      </c>
      <c r="K10" s="298">
        <f aca="true" t="shared" si="1" ref="K10:K70">IF(J10="East Zone SIA",I10,"")</f>
        <v>-850000</v>
      </c>
    </row>
    <row r="11" spans="1:11" ht="16.5">
      <c r="A11" s="324" t="s">
        <v>37</v>
      </c>
      <c r="B11" s="333">
        <v>4470143</v>
      </c>
      <c r="C11" s="343">
        <v>0</v>
      </c>
      <c r="D11" s="343">
        <v>0</v>
      </c>
      <c r="E11" s="343">
        <v>0</v>
      </c>
      <c r="F11" s="343">
        <v>0</v>
      </c>
      <c r="G11" s="343">
        <v>0</v>
      </c>
      <c r="H11" s="341"/>
      <c r="I11" s="325">
        <f t="shared" si="0"/>
        <v>0</v>
      </c>
      <c r="J11" t="s">
        <v>328</v>
      </c>
      <c r="K11" s="298">
        <f t="shared" si="1"/>
        <v>0</v>
      </c>
    </row>
    <row r="12" spans="1:11" ht="16.5">
      <c r="A12" s="324" t="s">
        <v>1119</v>
      </c>
      <c r="B12" s="333">
        <v>5550075</v>
      </c>
      <c r="C12" s="343">
        <v>34892.43</v>
      </c>
      <c r="D12" s="343">
        <v>7030.53</v>
      </c>
      <c r="E12" s="343">
        <v>17908.98</v>
      </c>
      <c r="F12" s="343">
        <v>22923.41</v>
      </c>
      <c r="G12" s="343">
        <v>18505.4</v>
      </c>
      <c r="H12" s="341"/>
      <c r="I12" s="325">
        <f t="shared" si="0"/>
        <v>101260.75</v>
      </c>
      <c r="J12" t="s">
        <v>962</v>
      </c>
      <c r="K12" s="298"/>
    </row>
    <row r="13" spans="1:11" ht="16.5">
      <c r="A13" s="324" t="s">
        <v>1120</v>
      </c>
      <c r="B13" s="333">
        <v>5550079</v>
      </c>
      <c r="C13" s="343">
        <v>32361.11</v>
      </c>
      <c r="D13" s="343">
        <v>6520.49</v>
      </c>
      <c r="E13" s="343">
        <v>16609.74</v>
      </c>
      <c r="F13" s="343">
        <v>21260.39</v>
      </c>
      <c r="G13" s="343">
        <v>17162.9</v>
      </c>
      <c r="H13" s="341"/>
      <c r="I13" s="325">
        <f t="shared" si="0"/>
        <v>93914.63</v>
      </c>
      <c r="J13" t="s">
        <v>962</v>
      </c>
      <c r="K13" s="298">
        <f t="shared" si="1"/>
      </c>
    </row>
    <row r="14" spans="1:11" ht="16.5">
      <c r="A14" s="495" t="s">
        <v>1118</v>
      </c>
      <c r="B14" s="333">
        <v>5550084</v>
      </c>
      <c r="C14" s="343">
        <v>720.99</v>
      </c>
      <c r="D14" s="343">
        <v>145.27</v>
      </c>
      <c r="E14" s="343">
        <v>370.06</v>
      </c>
      <c r="F14" s="343">
        <v>473.67</v>
      </c>
      <c r="G14" s="343">
        <v>382.38</v>
      </c>
      <c r="H14" s="341"/>
      <c r="I14" s="325">
        <f t="shared" si="0"/>
        <v>2092.37</v>
      </c>
      <c r="J14" t="s">
        <v>962</v>
      </c>
      <c r="K14" s="298">
        <f t="shared" si="1"/>
      </c>
    </row>
    <row r="15" spans="1:11" ht="16.5">
      <c r="A15" s="324" t="s">
        <v>297</v>
      </c>
      <c r="B15" s="333">
        <v>4470141</v>
      </c>
      <c r="C15" s="343">
        <v>-3027712.97</v>
      </c>
      <c r="D15" s="343">
        <v>-610058.94</v>
      </c>
      <c r="E15" s="343">
        <v>-1554011.59</v>
      </c>
      <c r="F15" s="343">
        <v>-1989127.81</v>
      </c>
      <c r="G15" s="343">
        <v>-1605765.12</v>
      </c>
      <c r="H15" s="341"/>
      <c r="I15" s="325">
        <f t="shared" si="0"/>
        <v>-8786676.43</v>
      </c>
      <c r="J15" t="s">
        <v>962</v>
      </c>
      <c r="K15" s="298">
        <f t="shared" si="1"/>
      </c>
    </row>
    <row r="16" spans="1:13" ht="16.5">
      <c r="A16" s="324" t="s">
        <v>1546</v>
      </c>
      <c r="B16" s="333">
        <v>4470206</v>
      </c>
      <c r="C16" s="343">
        <v>-956.95</v>
      </c>
      <c r="D16" s="343">
        <v>-192.82</v>
      </c>
      <c r="E16" s="343">
        <v>-491.17</v>
      </c>
      <c r="F16" s="343">
        <v>-628.69</v>
      </c>
      <c r="G16" s="343">
        <v>-507.52</v>
      </c>
      <c r="H16" s="341"/>
      <c r="I16" s="325">
        <f t="shared" si="0"/>
        <v>-2777.15</v>
      </c>
      <c r="J16" t="s">
        <v>328</v>
      </c>
      <c r="K16" s="298">
        <f>IF(J16="East Zone SIA",I16,"")</f>
        <v>-2777.15</v>
      </c>
      <c r="L16" s="956" t="s">
        <v>38</v>
      </c>
      <c r="M16" s="957">
        <f>SUM(K9:K16)</f>
        <v>-822297.15</v>
      </c>
    </row>
    <row r="17" spans="1:13" ht="16.5">
      <c r="A17" s="324"/>
      <c r="B17" s="333"/>
      <c r="C17" s="325"/>
      <c r="D17" s="325"/>
      <c r="E17" s="325"/>
      <c r="F17" s="325"/>
      <c r="G17" s="325"/>
      <c r="H17" s="341"/>
      <c r="I17" s="325"/>
      <c r="K17" s="298">
        <f t="shared" si="1"/>
      </c>
      <c r="L17" s="958" t="s">
        <v>367</v>
      </c>
      <c r="M17" s="959">
        <f>SUM(I9:I16)</f>
        <v>-9411705.83</v>
      </c>
    </row>
    <row r="18" spans="1:11" ht="16.5">
      <c r="A18" s="28" t="s">
        <v>2085</v>
      </c>
      <c r="B18" s="315"/>
      <c r="C18" s="293"/>
      <c r="D18" s="293"/>
      <c r="E18" s="293"/>
      <c r="F18" s="293"/>
      <c r="G18" s="293"/>
      <c r="H18" s="274"/>
      <c r="I18" s="325"/>
      <c r="K18" s="298">
        <f t="shared" si="1"/>
      </c>
    </row>
    <row r="19" spans="1:11" ht="15">
      <c r="A19" s="872" t="s">
        <v>1795</v>
      </c>
      <c r="B19" s="159">
        <v>4470141</v>
      </c>
      <c r="C19" s="343">
        <v>-217770.51</v>
      </c>
      <c r="D19" s="343">
        <v>-43897.07</v>
      </c>
      <c r="E19" s="343">
        <v>-111902.44</v>
      </c>
      <c r="F19" s="343">
        <v>-143289</v>
      </c>
      <c r="G19" s="343">
        <v>-115435.81</v>
      </c>
      <c r="H19" s="274">
        <v>-632294.83</v>
      </c>
      <c r="I19" s="325">
        <f aca="true" t="shared" si="2" ref="I19:I35">SUM(C19:G19)</f>
        <v>-632294.8300000001</v>
      </c>
      <c r="J19" t="s">
        <v>1547</v>
      </c>
      <c r="K19" s="298">
        <f t="shared" si="1"/>
      </c>
    </row>
    <row r="20" spans="1:11" ht="15">
      <c r="A20" s="872" t="s">
        <v>1796</v>
      </c>
      <c r="B20" s="159">
        <v>4470141</v>
      </c>
      <c r="C20" s="343">
        <v>117761.78</v>
      </c>
      <c r="D20" s="343">
        <v>23728.01</v>
      </c>
      <c r="E20" s="343">
        <v>60442.69</v>
      </c>
      <c r="F20" s="343">
        <v>77366.37</v>
      </c>
      <c r="G20" s="343">
        <v>62455.63</v>
      </c>
      <c r="H20" s="274">
        <v>341754.48</v>
      </c>
      <c r="I20" s="325">
        <f t="shared" si="2"/>
        <v>341754.48</v>
      </c>
      <c r="J20" t="s">
        <v>1547</v>
      </c>
      <c r="K20" s="298">
        <f t="shared" si="1"/>
      </c>
    </row>
    <row r="21" spans="1:11" ht="15">
      <c r="A21" s="856" t="s">
        <v>1797</v>
      </c>
      <c r="B21" s="960">
        <v>4470141</v>
      </c>
      <c r="C21" s="343">
        <v>217771</v>
      </c>
      <c r="D21" s="343">
        <v>43897</v>
      </c>
      <c r="E21" s="343">
        <v>111902</v>
      </c>
      <c r="F21" s="343">
        <v>143289</v>
      </c>
      <c r="G21" s="343">
        <v>115436</v>
      </c>
      <c r="H21" s="274"/>
      <c r="I21" s="325">
        <f t="shared" si="2"/>
        <v>632295</v>
      </c>
      <c r="J21" t="s">
        <v>1547</v>
      </c>
      <c r="K21" s="298">
        <f t="shared" si="1"/>
      </c>
    </row>
    <row r="22" spans="1:11" ht="15">
      <c r="A22" s="856" t="s">
        <v>1798</v>
      </c>
      <c r="B22" s="159">
        <v>4470141</v>
      </c>
      <c r="C22" s="343">
        <v>-117761.78</v>
      </c>
      <c r="D22" s="343">
        <v>-23728.01</v>
      </c>
      <c r="E22" s="343">
        <v>-60442.69</v>
      </c>
      <c r="F22" s="343">
        <v>-77366.37</v>
      </c>
      <c r="G22" s="343">
        <v>-62455.63</v>
      </c>
      <c r="H22" s="274"/>
      <c r="I22" s="325">
        <f t="shared" si="2"/>
        <v>-341754.48</v>
      </c>
      <c r="J22" t="s">
        <v>1547</v>
      </c>
      <c r="K22" s="298">
        <f t="shared" si="1"/>
      </c>
    </row>
    <row r="23" spans="1:11" ht="15">
      <c r="A23" s="2" t="s">
        <v>1530</v>
      </c>
      <c r="B23" s="461">
        <v>4470126</v>
      </c>
      <c r="C23" s="343">
        <v>-9934.9271142</v>
      </c>
      <c r="D23" s="343">
        <v>-2001.8050657000003</v>
      </c>
      <c r="E23" s="343">
        <v>-5099.2257514</v>
      </c>
      <c r="F23" s="343">
        <v>-6526.985896200001</v>
      </c>
      <c r="G23" s="343">
        <v>-5269.0461725000005</v>
      </c>
      <c r="H23" s="274"/>
      <c r="I23" s="325">
        <f t="shared" si="2"/>
        <v>-28831.989999999998</v>
      </c>
      <c r="J23" t="s">
        <v>328</v>
      </c>
      <c r="K23" s="298">
        <f t="shared" si="1"/>
        <v>-28831.989999999998</v>
      </c>
    </row>
    <row r="24" spans="1:11" ht="15">
      <c r="A24" s="2" t="s">
        <v>1525</v>
      </c>
      <c r="B24" s="159">
        <v>4470126</v>
      </c>
      <c r="C24" s="343">
        <v>1483.158465</v>
      </c>
      <c r="D24" s="343">
        <v>298.8440775</v>
      </c>
      <c r="E24" s="343">
        <v>761.249655</v>
      </c>
      <c r="F24" s="343">
        <v>974.396115</v>
      </c>
      <c r="G24" s="343">
        <v>786.6016875</v>
      </c>
      <c r="H24" s="274"/>
      <c r="I24" s="325">
        <f t="shared" si="2"/>
        <v>4304.25</v>
      </c>
      <c r="J24" t="s">
        <v>328</v>
      </c>
      <c r="K24" s="298">
        <f t="shared" si="1"/>
        <v>4304.25</v>
      </c>
    </row>
    <row r="25" spans="1:11" ht="15">
      <c r="A25" s="2" t="s">
        <v>1531</v>
      </c>
      <c r="B25" s="159">
        <v>4470209</v>
      </c>
      <c r="C25" s="343">
        <v>-32506.8123042</v>
      </c>
      <c r="D25" s="343">
        <v>-6549.851930700001</v>
      </c>
      <c r="E25" s="343">
        <v>-16684.5284814</v>
      </c>
      <c r="F25" s="343">
        <v>-21356.1209862</v>
      </c>
      <c r="G25" s="343">
        <v>-17240.176297500002</v>
      </c>
      <c r="H25" s="274"/>
      <c r="I25" s="325">
        <f t="shared" si="2"/>
        <v>-94337.49</v>
      </c>
      <c r="J25" t="s">
        <v>328</v>
      </c>
      <c r="K25" s="298">
        <f t="shared" si="1"/>
        <v>-94337.49</v>
      </c>
    </row>
    <row r="26" spans="1:11" ht="15">
      <c r="A26" s="2" t="s">
        <v>1526</v>
      </c>
      <c r="B26" s="159">
        <v>4470209</v>
      </c>
      <c r="C26" s="343">
        <v>865.0301862</v>
      </c>
      <c r="D26" s="343">
        <v>174.2963777</v>
      </c>
      <c r="E26" s="343">
        <v>443.98757539999997</v>
      </c>
      <c r="F26" s="343">
        <v>568.3020882</v>
      </c>
      <c r="G26" s="343">
        <v>458.77377249999995</v>
      </c>
      <c r="H26" s="274"/>
      <c r="I26" s="325">
        <f t="shared" si="2"/>
        <v>2510.3900000000003</v>
      </c>
      <c r="J26" t="s">
        <v>328</v>
      </c>
      <c r="K26" s="298">
        <f t="shared" si="1"/>
        <v>2510.3900000000003</v>
      </c>
    </row>
    <row r="27" spans="1:11" ht="15">
      <c r="A27" s="2" t="s">
        <v>138</v>
      </c>
      <c r="B27" s="159">
        <v>4470100</v>
      </c>
      <c r="C27" s="343">
        <v>19835.299746</v>
      </c>
      <c r="D27" s="343">
        <v>3996.647691</v>
      </c>
      <c r="E27" s="343">
        <v>10180.715982</v>
      </c>
      <c r="F27" s="343">
        <v>13031.270406</v>
      </c>
      <c r="G27" s="343">
        <v>10519.766174999999</v>
      </c>
      <c r="H27" s="274"/>
      <c r="I27" s="325">
        <f t="shared" si="2"/>
        <v>57563.7</v>
      </c>
      <c r="J27" t="s">
        <v>328</v>
      </c>
      <c r="K27" s="298">
        <f t="shared" si="1"/>
        <v>57563.7</v>
      </c>
    </row>
    <row r="28" spans="1:11" ht="15">
      <c r="A28" s="2" t="s">
        <v>1535</v>
      </c>
      <c r="B28" s="159">
        <v>4470099</v>
      </c>
      <c r="C28" s="343">
        <v>94012.088751</v>
      </c>
      <c r="D28" s="343">
        <v>18942.6528585</v>
      </c>
      <c r="E28" s="343">
        <v>48252.881817</v>
      </c>
      <c r="F28" s="343">
        <v>61763.470461000004</v>
      </c>
      <c r="G28" s="343">
        <v>49859.8561125</v>
      </c>
      <c r="H28" s="274"/>
      <c r="I28" s="325">
        <f t="shared" si="2"/>
        <v>272830.95</v>
      </c>
      <c r="J28" t="s">
        <v>328</v>
      </c>
      <c r="K28" s="298">
        <f t="shared" si="1"/>
        <v>272830.95</v>
      </c>
    </row>
    <row r="29" spans="1:11" ht="15">
      <c r="A29" s="2" t="s">
        <v>1534</v>
      </c>
      <c r="B29" s="159">
        <v>4470100</v>
      </c>
      <c r="C29" s="343">
        <v>-9073.6080546</v>
      </c>
      <c r="D29" s="343">
        <v>-1828.2564491</v>
      </c>
      <c r="E29" s="343">
        <v>-4657.142958199999</v>
      </c>
      <c r="F29" s="343">
        <v>-5961.1219206</v>
      </c>
      <c r="G29" s="343">
        <v>-4812.2406175</v>
      </c>
      <c r="H29" s="274"/>
      <c r="I29" s="325">
        <f t="shared" si="2"/>
        <v>-26332.369999999995</v>
      </c>
      <c r="J29" t="s">
        <v>328</v>
      </c>
      <c r="K29" s="298">
        <f t="shared" si="1"/>
        <v>-26332.369999999995</v>
      </c>
    </row>
    <row r="30" spans="1:11" ht="15">
      <c r="A30" s="2" t="s">
        <v>1546</v>
      </c>
      <c r="B30" s="159">
        <v>4470206</v>
      </c>
      <c r="C30" s="343">
        <v>0</v>
      </c>
      <c r="D30" s="343">
        <v>0</v>
      </c>
      <c r="E30" s="343">
        <v>0</v>
      </c>
      <c r="F30" s="343">
        <v>0</v>
      </c>
      <c r="G30" s="343">
        <v>0</v>
      </c>
      <c r="H30" s="274"/>
      <c r="I30" s="325">
        <f t="shared" si="2"/>
        <v>0</v>
      </c>
      <c r="J30" t="s">
        <v>328</v>
      </c>
      <c r="K30" s="298">
        <f t="shared" si="1"/>
        <v>0</v>
      </c>
    </row>
    <row r="31" spans="1:11" ht="15">
      <c r="A31" s="2" t="s">
        <v>1522</v>
      </c>
      <c r="B31" s="159">
        <v>4470100</v>
      </c>
      <c r="C31" s="343">
        <v>-38387.41803</v>
      </c>
      <c r="D31" s="343">
        <v>-7734.745005000001</v>
      </c>
      <c r="E31" s="343">
        <v>-19702.82301</v>
      </c>
      <c r="F31" s="343">
        <v>-25219.52433</v>
      </c>
      <c r="G31" s="343">
        <v>-20358.989625</v>
      </c>
      <c r="H31" s="274"/>
      <c r="I31" s="325">
        <f t="shared" si="2"/>
        <v>-111403.5</v>
      </c>
      <c r="J31" t="s">
        <v>328</v>
      </c>
      <c r="K31" s="298">
        <f t="shared" si="1"/>
        <v>-111403.5</v>
      </c>
    </row>
    <row r="32" spans="1:11" ht="15">
      <c r="A32" s="2" t="s">
        <v>205</v>
      </c>
      <c r="B32" s="159">
        <v>4470126</v>
      </c>
      <c r="C32" s="343">
        <v>-8.883272400000001</v>
      </c>
      <c r="D32" s="343">
        <v>-1.7899054000000003</v>
      </c>
      <c r="E32" s="343">
        <v>-4.5594508</v>
      </c>
      <c r="F32" s="343">
        <v>-5.8360764000000005</v>
      </c>
      <c r="G32" s="343">
        <v>-4.711295</v>
      </c>
      <c r="H32" s="274"/>
      <c r="I32" s="325">
        <f t="shared" si="2"/>
        <v>-25.78</v>
      </c>
      <c r="J32" t="s">
        <v>328</v>
      </c>
      <c r="K32" s="298">
        <f t="shared" si="1"/>
        <v>-25.78</v>
      </c>
    </row>
    <row r="33" spans="1:11" ht="15">
      <c r="A33" s="2" t="s">
        <v>1473</v>
      </c>
      <c r="B33" s="159">
        <v>4470100</v>
      </c>
      <c r="C33" s="343">
        <v>-15.6749442</v>
      </c>
      <c r="D33" s="343">
        <v>-3.1583707000000003</v>
      </c>
      <c r="E33" s="343">
        <v>-8.045361399999999</v>
      </c>
      <c r="F33" s="343">
        <v>-10.2980262</v>
      </c>
      <c r="G33" s="343">
        <v>-8.313297500000001</v>
      </c>
      <c r="H33" s="274"/>
      <c r="I33" s="325">
        <f t="shared" si="2"/>
        <v>-45.49000000000001</v>
      </c>
      <c r="J33" t="s">
        <v>328</v>
      </c>
      <c r="K33" s="298">
        <f t="shared" si="1"/>
        <v>-45.49000000000001</v>
      </c>
    </row>
    <row r="34" spans="1:11" ht="15">
      <c r="A34" s="2" t="s">
        <v>39</v>
      </c>
      <c r="B34" s="159">
        <v>4470206</v>
      </c>
      <c r="C34" s="343">
        <v>9.8446506</v>
      </c>
      <c r="D34" s="343">
        <v>1.9836151000000002</v>
      </c>
      <c r="E34" s="343">
        <v>5.052890199999999</v>
      </c>
      <c r="F34" s="343">
        <v>6.4676766</v>
      </c>
      <c r="G34" s="343">
        <v>5.2211675</v>
      </c>
      <c r="H34" s="274"/>
      <c r="I34" s="325">
        <f t="shared" si="2"/>
        <v>28.57</v>
      </c>
      <c r="J34" t="s">
        <v>328</v>
      </c>
      <c r="K34" s="298">
        <f t="shared" si="1"/>
        <v>28.57</v>
      </c>
    </row>
    <row r="35" spans="1:13" ht="15">
      <c r="A35" s="2" t="s">
        <v>1409</v>
      </c>
      <c r="B35" s="159">
        <v>4470002</v>
      </c>
      <c r="C35" s="343">
        <v>922.44</v>
      </c>
      <c r="D35" s="343">
        <v>185.87</v>
      </c>
      <c r="E35" s="343">
        <v>473.46</v>
      </c>
      <c r="F35" s="343">
        <v>606.03</v>
      </c>
      <c r="G35" s="343">
        <v>489.23</v>
      </c>
      <c r="H35" s="274"/>
      <c r="I35" s="325">
        <f t="shared" si="2"/>
        <v>2677.03</v>
      </c>
      <c r="J35" t="s">
        <v>328</v>
      </c>
      <c r="K35" s="298">
        <f t="shared" si="1"/>
        <v>2677.03</v>
      </c>
      <c r="L35" s="956" t="s">
        <v>38</v>
      </c>
      <c r="M35" s="959">
        <f>SUM(K19:K35)</f>
        <v>78938.27</v>
      </c>
    </row>
    <row r="36" spans="1:13" ht="15">
      <c r="A36" s="3"/>
      <c r="B36" s="159"/>
      <c r="C36" s="325"/>
      <c r="D36" s="325"/>
      <c r="E36" s="325"/>
      <c r="F36" s="325"/>
      <c r="G36" s="325"/>
      <c r="H36" s="275"/>
      <c r="I36" s="325"/>
      <c r="K36" s="298">
        <f t="shared" si="1"/>
      </c>
      <c r="L36" s="958" t="s">
        <v>367</v>
      </c>
      <c r="M36" s="959">
        <f>SUM(I19:I35)</f>
        <v>78938.43999999993</v>
      </c>
    </row>
    <row r="37" spans="1:11" ht="16.5">
      <c r="A37" s="28" t="s">
        <v>2084</v>
      </c>
      <c r="B37" s="461"/>
      <c r="C37" s="325"/>
      <c r="D37" s="325"/>
      <c r="E37" s="325"/>
      <c r="F37" s="325"/>
      <c r="G37" s="325"/>
      <c r="H37" s="275"/>
      <c r="I37" s="325"/>
      <c r="K37" s="298">
        <f t="shared" si="1"/>
      </c>
    </row>
    <row r="38" spans="1:11" ht="15">
      <c r="A38" s="872" t="s">
        <v>192</v>
      </c>
      <c r="B38" s="159">
        <v>4470141</v>
      </c>
      <c r="C38" s="344">
        <v>208841.84</v>
      </c>
      <c r="D38" s="344">
        <v>42079.9</v>
      </c>
      <c r="E38" s="344">
        <v>107190.7</v>
      </c>
      <c r="F38" s="344">
        <v>137203.62</v>
      </c>
      <c r="G38" s="344">
        <v>110760.48</v>
      </c>
      <c r="H38" s="274">
        <v>-1804.1199999999371</v>
      </c>
      <c r="I38" s="325">
        <f>SUM(C38:G38)</f>
        <v>606076.54</v>
      </c>
      <c r="J38" t="s">
        <v>1547</v>
      </c>
      <c r="K38" s="298">
        <f t="shared" si="1"/>
      </c>
    </row>
    <row r="39" spans="1:11" ht="15">
      <c r="A39" s="872" t="s">
        <v>192</v>
      </c>
      <c r="B39" s="159">
        <v>4470124</v>
      </c>
      <c r="C39" s="344">
        <v>13.08</v>
      </c>
      <c r="D39" s="344">
        <v>2.63</v>
      </c>
      <c r="E39" s="344">
        <v>6.71</v>
      </c>
      <c r="F39" s="344">
        <v>8.59</v>
      </c>
      <c r="G39" s="344">
        <v>6.93</v>
      </c>
      <c r="H39" s="274">
        <v>136.41</v>
      </c>
      <c r="I39" s="325">
        <f aca="true" t="shared" si="3" ref="I39:I96">SUM(C39:G39)</f>
        <v>37.94</v>
      </c>
      <c r="J39" t="s">
        <v>328</v>
      </c>
      <c r="K39" s="298"/>
    </row>
    <row r="40" spans="1:11" ht="15">
      <c r="A40" s="856" t="s">
        <v>193</v>
      </c>
      <c r="B40" s="159">
        <v>4470141</v>
      </c>
      <c r="C40" s="344">
        <v>-208841.84</v>
      </c>
      <c r="D40" s="344">
        <v>-42079.9</v>
      </c>
      <c r="E40" s="344">
        <v>-107190.7</v>
      </c>
      <c r="F40" s="344">
        <v>-137203.62</v>
      </c>
      <c r="G40" s="344">
        <v>-110760.48</v>
      </c>
      <c r="H40" s="274">
        <v>-606076.54</v>
      </c>
      <c r="I40" s="325">
        <f t="shared" si="3"/>
        <v>-606076.54</v>
      </c>
      <c r="J40" t="s">
        <v>1547</v>
      </c>
      <c r="K40" s="298">
        <f t="shared" si="1"/>
      </c>
    </row>
    <row r="41" spans="1:11" ht="15">
      <c r="A41" s="856" t="s">
        <v>193</v>
      </c>
      <c r="B41" s="960">
        <v>4470124</v>
      </c>
      <c r="C41" s="344">
        <v>0</v>
      </c>
      <c r="D41" s="344">
        <v>0</v>
      </c>
      <c r="E41" s="344">
        <v>0</v>
      </c>
      <c r="F41" s="344">
        <v>0</v>
      </c>
      <c r="G41" s="344">
        <v>0</v>
      </c>
      <c r="H41" s="274"/>
      <c r="I41" s="325">
        <f t="shared" si="3"/>
        <v>0</v>
      </c>
      <c r="J41" t="s">
        <v>1547</v>
      </c>
      <c r="K41" s="298">
        <f t="shared" si="1"/>
      </c>
    </row>
    <row r="42" spans="1:11" ht="15">
      <c r="A42" s="2" t="s">
        <v>533</v>
      </c>
      <c r="B42" s="159">
        <v>5650012</v>
      </c>
      <c r="C42" s="344">
        <v>1669.7175227999999</v>
      </c>
      <c r="D42" s="344">
        <v>336.4341738</v>
      </c>
      <c r="E42" s="344">
        <v>857.0034275999999</v>
      </c>
      <c r="F42" s="344">
        <v>1096.9605108</v>
      </c>
      <c r="G42" s="344">
        <v>885.544365</v>
      </c>
      <c r="H42" s="274"/>
      <c r="I42" s="325">
        <f t="shared" si="3"/>
        <v>4845.66</v>
      </c>
      <c r="J42" t="s">
        <v>1547</v>
      </c>
      <c r="K42" s="298">
        <f t="shared" si="1"/>
      </c>
    </row>
    <row r="43" spans="1:11" ht="15">
      <c r="A43" s="2" t="s">
        <v>1530</v>
      </c>
      <c r="B43" s="159">
        <v>4470093</v>
      </c>
      <c r="C43" s="344">
        <v>-12769.0907226</v>
      </c>
      <c r="D43" s="344">
        <v>-2572.8654271000005</v>
      </c>
      <c r="E43" s="344">
        <v>-6553.8957142</v>
      </c>
      <c r="F43" s="344">
        <v>-8388.9568686</v>
      </c>
      <c r="G43" s="344">
        <v>-6772.1612675</v>
      </c>
      <c r="H43" s="274"/>
      <c r="I43" s="325">
        <f t="shared" si="3"/>
        <v>-37056.97</v>
      </c>
      <c r="J43" t="s">
        <v>1547</v>
      </c>
      <c r="K43" s="298">
        <f t="shared" si="1"/>
      </c>
    </row>
    <row r="44" spans="1:11" ht="15">
      <c r="A44" s="2" t="s">
        <v>1525</v>
      </c>
      <c r="B44" s="159">
        <v>4470093</v>
      </c>
      <c r="C44" s="344">
        <v>-10.5407022</v>
      </c>
      <c r="D44" s="344">
        <v>-2.1238637000000002</v>
      </c>
      <c r="E44" s="344">
        <v>-5.4101474</v>
      </c>
      <c r="F44" s="344">
        <v>-6.9249642</v>
      </c>
      <c r="G44" s="344">
        <v>-5.5903225</v>
      </c>
      <c r="H44" s="274"/>
      <c r="I44" s="325">
        <f t="shared" si="3"/>
        <v>-30.589999999999996</v>
      </c>
      <c r="J44" t="s">
        <v>1547</v>
      </c>
      <c r="K44" s="298">
        <f t="shared" si="1"/>
      </c>
    </row>
    <row r="45" spans="1:11" ht="15">
      <c r="A45" s="2" t="s">
        <v>1531</v>
      </c>
      <c r="B45" s="159">
        <v>4470207</v>
      </c>
      <c r="C45" s="344">
        <v>-16856.7743466</v>
      </c>
      <c r="D45" s="344">
        <v>-3396.4996311</v>
      </c>
      <c r="E45" s="344">
        <v>-8651.950522199999</v>
      </c>
      <c r="F45" s="344">
        <v>-11074.4575326</v>
      </c>
      <c r="G45" s="344">
        <v>-8940.0879675</v>
      </c>
      <c r="H45" s="274"/>
      <c r="I45" s="325">
        <f t="shared" si="3"/>
        <v>-48919.76999999999</v>
      </c>
      <c r="J45" t="s">
        <v>1547</v>
      </c>
      <c r="K45" s="298">
        <f t="shared" si="1"/>
      </c>
    </row>
    <row r="46" spans="1:11" ht="15">
      <c r="A46" s="2" t="s">
        <v>1526</v>
      </c>
      <c r="B46" s="159">
        <v>4470207</v>
      </c>
      <c r="C46" s="344">
        <v>367.8529332</v>
      </c>
      <c r="D46" s="344">
        <v>74.1193022</v>
      </c>
      <c r="E46" s="344">
        <v>188.80512439999998</v>
      </c>
      <c r="F46" s="344">
        <v>241.66970519999998</v>
      </c>
      <c r="G46" s="344">
        <v>195.09293499999998</v>
      </c>
      <c r="H46" s="274"/>
      <c r="I46" s="325">
        <f t="shared" si="3"/>
        <v>1067.54</v>
      </c>
      <c r="J46" t="s">
        <v>1547</v>
      </c>
      <c r="K46" s="298">
        <f t="shared" si="1"/>
      </c>
    </row>
    <row r="47" spans="1:11" ht="15">
      <c r="A47" s="2" t="s">
        <v>139</v>
      </c>
      <c r="B47" s="159">
        <v>5550040</v>
      </c>
      <c r="C47" s="344">
        <v>281.5942218</v>
      </c>
      <c r="D47" s="344">
        <v>56.73889030000001</v>
      </c>
      <c r="E47" s="344">
        <v>144.53176059999998</v>
      </c>
      <c r="F47" s="344">
        <v>184.9999998</v>
      </c>
      <c r="G47" s="344">
        <v>149.3451275</v>
      </c>
      <c r="H47" s="274"/>
      <c r="I47" s="325">
        <f t="shared" si="3"/>
        <v>817.21</v>
      </c>
      <c r="J47" t="s">
        <v>1547</v>
      </c>
      <c r="K47" s="298">
        <f t="shared" si="1"/>
      </c>
    </row>
    <row r="48" spans="1:11" ht="15">
      <c r="A48" s="2" t="s">
        <v>139</v>
      </c>
      <c r="B48" s="159">
        <v>5550039</v>
      </c>
      <c r="C48" s="344">
        <v>24.451396799999998</v>
      </c>
      <c r="D48" s="344">
        <v>4.9267528</v>
      </c>
      <c r="E48" s="344">
        <v>12.549985599999998</v>
      </c>
      <c r="F48" s="344">
        <v>16.0639248</v>
      </c>
      <c r="G48" s="344">
        <v>12.967939999999999</v>
      </c>
      <c r="H48" s="274"/>
      <c r="I48" s="325">
        <f t="shared" si="3"/>
        <v>70.96</v>
      </c>
      <c r="J48" t="s">
        <v>328</v>
      </c>
      <c r="K48" s="298">
        <f t="shared" si="1"/>
        <v>70.96</v>
      </c>
    </row>
    <row r="49" spans="1:11" ht="15">
      <c r="A49" s="2" t="s">
        <v>25</v>
      </c>
      <c r="B49" s="159">
        <v>4470116</v>
      </c>
      <c r="C49" s="344">
        <v>5.547738000000001</v>
      </c>
      <c r="D49" s="344">
        <v>1.1178230000000002</v>
      </c>
      <c r="E49" s="344">
        <v>2.847446</v>
      </c>
      <c r="F49" s="344">
        <v>3.644718</v>
      </c>
      <c r="G49" s="344">
        <v>2.942275</v>
      </c>
      <c r="H49" s="274"/>
      <c r="I49" s="325">
        <f t="shared" si="3"/>
        <v>16.1</v>
      </c>
      <c r="J49" t="s">
        <v>1547</v>
      </c>
      <c r="K49" s="298">
        <f t="shared" si="1"/>
      </c>
    </row>
    <row r="50" spans="1:11" ht="15">
      <c r="A50" s="2" t="s">
        <v>25</v>
      </c>
      <c r="B50" s="159">
        <v>4470115</v>
      </c>
      <c r="C50" s="344">
        <v>0.47896619999999995</v>
      </c>
      <c r="D50" s="344">
        <v>0.0965077</v>
      </c>
      <c r="E50" s="344">
        <v>0.24583539999999998</v>
      </c>
      <c r="F50" s="344">
        <v>0.31466819999999995</v>
      </c>
      <c r="G50" s="344">
        <v>0.2540225</v>
      </c>
      <c r="H50" s="274"/>
      <c r="I50" s="325">
        <f t="shared" si="3"/>
        <v>1.3900000000000001</v>
      </c>
      <c r="J50" t="s">
        <v>328</v>
      </c>
      <c r="K50" s="298">
        <f t="shared" si="1"/>
        <v>1.3900000000000001</v>
      </c>
    </row>
    <row r="51" spans="1:11" ht="15">
      <c r="A51" s="2" t="s">
        <v>1911</v>
      </c>
      <c r="B51" s="159">
        <v>5614001</v>
      </c>
      <c r="C51" s="344">
        <v>0.0068916</v>
      </c>
      <c r="D51" s="344">
        <v>0.0013886</v>
      </c>
      <c r="E51" s="344">
        <v>0.0035372</v>
      </c>
      <c r="F51" s="344">
        <v>0.0045276</v>
      </c>
      <c r="G51" s="344">
        <v>0.003655</v>
      </c>
      <c r="H51" s="274"/>
      <c r="I51" s="325">
        <f t="shared" si="3"/>
        <v>0.019999999999999997</v>
      </c>
      <c r="J51" t="s">
        <v>1547</v>
      </c>
      <c r="K51" s="298">
        <f t="shared" si="1"/>
      </c>
    </row>
    <row r="52" spans="1:11" ht="15">
      <c r="A52" s="2" t="s">
        <v>140</v>
      </c>
      <c r="B52" s="159">
        <v>5614001</v>
      </c>
      <c r="C52" s="344">
        <v>2177.797287</v>
      </c>
      <c r="D52" s="344">
        <v>438.8080145</v>
      </c>
      <c r="E52" s="344">
        <v>1117.7817289999998</v>
      </c>
      <c r="F52" s="344">
        <v>1430.755557</v>
      </c>
      <c r="G52" s="344">
        <v>1155.0074124999999</v>
      </c>
      <c r="H52" s="274"/>
      <c r="I52" s="325">
        <f t="shared" si="3"/>
        <v>6320.15</v>
      </c>
      <c r="J52" t="s">
        <v>1547</v>
      </c>
      <c r="K52" s="298">
        <f t="shared" si="1"/>
      </c>
    </row>
    <row r="53" spans="1:11" ht="15">
      <c r="A53" s="2" t="s">
        <v>1911</v>
      </c>
      <c r="B53" s="159">
        <v>5614000</v>
      </c>
      <c r="C53" s="344">
        <v>0</v>
      </c>
      <c r="D53" s="344">
        <v>0</v>
      </c>
      <c r="E53" s="344">
        <v>0</v>
      </c>
      <c r="F53" s="344">
        <v>0</v>
      </c>
      <c r="G53" s="344">
        <v>0</v>
      </c>
      <c r="H53" s="274"/>
      <c r="I53" s="325">
        <f t="shared" si="3"/>
        <v>0</v>
      </c>
      <c r="J53" t="s">
        <v>328</v>
      </c>
      <c r="K53" s="298">
        <f t="shared" si="1"/>
        <v>0</v>
      </c>
    </row>
    <row r="54" spans="1:11" ht="15">
      <c r="A54" s="2" t="s">
        <v>140</v>
      </c>
      <c r="B54" s="159">
        <v>5614000</v>
      </c>
      <c r="C54" s="344">
        <v>189.11584140000002</v>
      </c>
      <c r="D54" s="344">
        <v>38.105266900000004</v>
      </c>
      <c r="E54" s="344">
        <v>97.0660738</v>
      </c>
      <c r="F54" s="344">
        <v>124.2441354</v>
      </c>
      <c r="G54" s="344">
        <v>100.2986825</v>
      </c>
      <c r="H54" s="274"/>
      <c r="I54" s="325">
        <f t="shared" si="3"/>
        <v>548.83</v>
      </c>
      <c r="J54" t="s">
        <v>328</v>
      </c>
      <c r="K54" s="298">
        <f t="shared" si="1"/>
        <v>548.83</v>
      </c>
    </row>
    <row r="55" spans="1:11" ht="15">
      <c r="A55" s="2" t="s">
        <v>536</v>
      </c>
      <c r="B55" s="159">
        <v>5614001</v>
      </c>
      <c r="C55" s="344">
        <v>73.1956836</v>
      </c>
      <c r="D55" s="344">
        <v>14.7483206</v>
      </c>
      <c r="E55" s="344">
        <v>37.568601199999996</v>
      </c>
      <c r="F55" s="344">
        <v>48.087639599999996</v>
      </c>
      <c r="G55" s="344">
        <v>38.819754999999994</v>
      </c>
      <c r="H55" s="274"/>
      <c r="I55" s="325">
        <f t="shared" si="3"/>
        <v>212.41999999999996</v>
      </c>
      <c r="J55" t="s">
        <v>1547</v>
      </c>
      <c r="K55" s="298">
        <f t="shared" si="1"/>
      </c>
    </row>
    <row r="56" spans="1:11" ht="15">
      <c r="A56" s="2" t="s">
        <v>536</v>
      </c>
      <c r="B56" s="159">
        <v>5614000</v>
      </c>
      <c r="C56" s="344">
        <v>6.3540552</v>
      </c>
      <c r="D56" s="344">
        <v>1.2802892000000001</v>
      </c>
      <c r="E56" s="344">
        <v>3.2612984</v>
      </c>
      <c r="F56" s="344">
        <v>4.1744472</v>
      </c>
      <c r="G56" s="344">
        <v>3.36991</v>
      </c>
      <c r="H56" s="274"/>
      <c r="I56" s="325">
        <f t="shared" si="3"/>
        <v>18.44</v>
      </c>
      <c r="J56" t="s">
        <v>328</v>
      </c>
      <c r="K56" s="298">
        <f t="shared" si="1"/>
        <v>18.44</v>
      </c>
    </row>
    <row r="57" spans="1:11" ht="15">
      <c r="A57" s="2" t="s">
        <v>537</v>
      </c>
      <c r="B57" s="159">
        <v>5614001</v>
      </c>
      <c r="C57" s="344">
        <v>757.6177086</v>
      </c>
      <c r="D57" s="344">
        <v>152.65365810000003</v>
      </c>
      <c r="E57" s="344">
        <v>388.8567762</v>
      </c>
      <c r="F57" s="344">
        <v>497.7349146</v>
      </c>
      <c r="G57" s="344">
        <v>401.8069425</v>
      </c>
      <c r="H57" s="274"/>
      <c r="I57" s="325">
        <f t="shared" si="3"/>
        <v>2198.67</v>
      </c>
      <c r="J57" t="s">
        <v>1547</v>
      </c>
      <c r="K57" s="298">
        <f t="shared" si="1"/>
      </c>
    </row>
    <row r="58" spans="1:11" ht="15">
      <c r="A58" s="2" t="s">
        <v>537</v>
      </c>
      <c r="B58" s="159">
        <v>5614000</v>
      </c>
      <c r="C58" s="344">
        <v>65.7872136</v>
      </c>
      <c r="D58" s="344">
        <v>13.2555756</v>
      </c>
      <c r="E58" s="344">
        <v>33.7661112</v>
      </c>
      <c r="F58" s="344">
        <v>43.220469599999994</v>
      </c>
      <c r="G58" s="344">
        <v>34.890629999999994</v>
      </c>
      <c r="H58" s="274"/>
      <c r="I58" s="325">
        <f t="shared" si="3"/>
        <v>190.92</v>
      </c>
      <c r="J58" t="s">
        <v>328</v>
      </c>
      <c r="K58" s="298">
        <f t="shared" si="1"/>
        <v>190.92</v>
      </c>
    </row>
    <row r="59" spans="1:11" ht="15">
      <c r="A59" s="2" t="s">
        <v>538</v>
      </c>
      <c r="B59" s="159">
        <v>5614001</v>
      </c>
      <c r="C59" s="344">
        <v>8.562813</v>
      </c>
      <c r="D59" s="344">
        <v>1.7253355000000001</v>
      </c>
      <c r="E59" s="344">
        <v>4.394971</v>
      </c>
      <c r="F59" s="344">
        <v>5.625543</v>
      </c>
      <c r="G59" s="344">
        <v>4.5413375</v>
      </c>
      <c r="H59" s="274"/>
      <c r="I59" s="325">
        <f t="shared" si="3"/>
        <v>24.85</v>
      </c>
      <c r="J59" t="s">
        <v>1547</v>
      </c>
      <c r="K59" s="298">
        <f t="shared" si="1"/>
      </c>
    </row>
    <row r="60" spans="1:11" ht="15">
      <c r="A60" s="2" t="s">
        <v>538</v>
      </c>
      <c r="B60" s="159">
        <v>5614000</v>
      </c>
      <c r="C60" s="344">
        <v>0.7408469999999999</v>
      </c>
      <c r="D60" s="344">
        <v>0.1492745</v>
      </c>
      <c r="E60" s="344">
        <v>0.38024899999999995</v>
      </c>
      <c r="F60" s="344">
        <v>0.48671699999999996</v>
      </c>
      <c r="G60" s="344">
        <v>0.3929125</v>
      </c>
      <c r="H60" s="274"/>
      <c r="I60" s="325">
        <f t="shared" si="3"/>
        <v>2.15</v>
      </c>
      <c r="J60" t="s">
        <v>328</v>
      </c>
      <c r="K60" s="298">
        <f t="shared" si="1"/>
        <v>2.15</v>
      </c>
    </row>
    <row r="61" spans="1:11" ht="15">
      <c r="A61" s="2" t="s">
        <v>1539</v>
      </c>
      <c r="B61" s="159">
        <v>5618001</v>
      </c>
      <c r="C61" s="344">
        <v>92.31642780000001</v>
      </c>
      <c r="D61" s="344">
        <v>18.600991300000004</v>
      </c>
      <c r="E61" s="344">
        <v>47.3825626</v>
      </c>
      <c r="F61" s="344">
        <v>60.64946580000001</v>
      </c>
      <c r="G61" s="344">
        <v>48.960552500000006</v>
      </c>
      <c r="H61" s="274"/>
      <c r="I61" s="325">
        <f t="shared" si="3"/>
        <v>267.91</v>
      </c>
      <c r="J61" t="s">
        <v>1547</v>
      </c>
      <c r="K61" s="298">
        <f t="shared" si="1"/>
      </c>
    </row>
    <row r="62" spans="1:11" ht="15">
      <c r="A62" s="2" t="s">
        <v>1539</v>
      </c>
      <c r="B62" s="159">
        <v>5618000</v>
      </c>
      <c r="C62" s="344">
        <v>8.0149308</v>
      </c>
      <c r="D62" s="344">
        <v>1.6149418000000002</v>
      </c>
      <c r="E62" s="344">
        <v>4.1137636</v>
      </c>
      <c r="F62" s="344">
        <v>5.2655988</v>
      </c>
      <c r="G62" s="344">
        <v>4.250765</v>
      </c>
      <c r="H62" s="274"/>
      <c r="I62" s="325">
        <f t="shared" si="3"/>
        <v>23.26</v>
      </c>
      <c r="J62" t="s">
        <v>328</v>
      </c>
      <c r="K62" s="298">
        <f t="shared" si="1"/>
        <v>23.26</v>
      </c>
    </row>
    <row r="63" spans="1:11" ht="15">
      <c r="A63" s="2" t="s">
        <v>141</v>
      </c>
      <c r="B63" s="159">
        <v>5618000</v>
      </c>
      <c r="C63" s="344">
        <v>128.38017059999999</v>
      </c>
      <c r="D63" s="344">
        <v>25.8675351</v>
      </c>
      <c r="E63" s="344">
        <v>65.89273019999999</v>
      </c>
      <c r="F63" s="344">
        <v>84.3423966</v>
      </c>
      <c r="G63" s="344">
        <v>68.08716749999999</v>
      </c>
      <c r="H63" s="274"/>
      <c r="I63" s="325">
        <f t="shared" si="3"/>
        <v>372.56999999999994</v>
      </c>
      <c r="J63" t="s">
        <v>328</v>
      </c>
      <c r="K63" s="298">
        <f t="shared" si="1"/>
        <v>372.56999999999994</v>
      </c>
    </row>
    <row r="64" spans="1:11" ht="15">
      <c r="A64" s="2" t="s">
        <v>1541</v>
      </c>
      <c r="B64" s="159">
        <v>5550074</v>
      </c>
      <c r="C64" s="344">
        <v>3664.9459884</v>
      </c>
      <c r="D64" s="344">
        <v>738.4560914</v>
      </c>
      <c r="E64" s="344">
        <v>1881.0794227999997</v>
      </c>
      <c r="F64" s="344">
        <v>2407.7731524</v>
      </c>
      <c r="G64" s="344">
        <v>1943.7253449999998</v>
      </c>
      <c r="H64" s="274"/>
      <c r="I64" s="325">
        <f t="shared" si="3"/>
        <v>10635.98</v>
      </c>
      <c r="J64" t="s">
        <v>1547</v>
      </c>
      <c r="K64" s="298">
        <f t="shared" si="1"/>
      </c>
    </row>
    <row r="65" spans="1:11" ht="15">
      <c r="A65" s="2" t="s">
        <v>1543</v>
      </c>
      <c r="B65" s="159">
        <v>5550078</v>
      </c>
      <c r="C65" s="344">
        <v>6325.5101927999995</v>
      </c>
      <c r="D65" s="344">
        <v>1274.5376188</v>
      </c>
      <c r="E65" s="344">
        <v>3246.6473176</v>
      </c>
      <c r="F65" s="344">
        <v>4155.6938807999995</v>
      </c>
      <c r="G65" s="344">
        <v>3354.77099</v>
      </c>
      <c r="H65" s="274"/>
      <c r="I65" s="325">
        <f t="shared" si="3"/>
        <v>18357.16</v>
      </c>
      <c r="J65" t="s">
        <v>1547</v>
      </c>
      <c r="K65" s="298">
        <f t="shared" si="1"/>
      </c>
    </row>
    <row r="66" spans="1:11" ht="15">
      <c r="A66" s="2" t="s">
        <v>1912</v>
      </c>
      <c r="B66" s="159">
        <v>5550090</v>
      </c>
      <c r="C66" s="344">
        <v>52.024688399999995</v>
      </c>
      <c r="D66" s="344">
        <v>10.4825414</v>
      </c>
      <c r="E66" s="344">
        <v>26.702322799999997</v>
      </c>
      <c r="F66" s="344">
        <v>34.1788524</v>
      </c>
      <c r="G66" s="344">
        <v>27.591594999999998</v>
      </c>
      <c r="H66" s="274"/>
      <c r="I66" s="325">
        <f t="shared" si="3"/>
        <v>150.98</v>
      </c>
      <c r="J66" t="s">
        <v>1547</v>
      </c>
      <c r="K66" s="298">
        <f t="shared" si="1"/>
      </c>
    </row>
    <row r="67" spans="1:11" ht="15">
      <c r="A67" s="2" t="s">
        <v>1913</v>
      </c>
      <c r="B67" s="159">
        <v>4470203</v>
      </c>
      <c r="C67" s="344">
        <v>1401.8272476</v>
      </c>
      <c r="D67" s="344">
        <v>282.4565146</v>
      </c>
      <c r="E67" s="344">
        <v>719.5053892</v>
      </c>
      <c r="F67" s="344">
        <v>920.9636436</v>
      </c>
      <c r="G67" s="344">
        <v>743.4672049999999</v>
      </c>
      <c r="H67" s="274"/>
      <c r="I67" s="325">
        <f t="shared" si="3"/>
        <v>4068.22</v>
      </c>
      <c r="J67" t="s">
        <v>1547</v>
      </c>
      <c r="K67" s="298">
        <f t="shared" si="1"/>
      </c>
    </row>
    <row r="68" spans="1:11" ht="15">
      <c r="A68" s="2" t="s">
        <v>1913</v>
      </c>
      <c r="B68" s="159">
        <v>4470098</v>
      </c>
      <c r="C68" s="344">
        <v>121.7297766</v>
      </c>
      <c r="D68" s="344">
        <v>24.5275361</v>
      </c>
      <c r="E68" s="344">
        <v>62.479332199999995</v>
      </c>
      <c r="F68" s="344">
        <v>79.9732626</v>
      </c>
      <c r="G68" s="344">
        <v>64.5600925</v>
      </c>
      <c r="H68" s="274"/>
      <c r="I68" s="325">
        <f t="shared" si="3"/>
        <v>353.27</v>
      </c>
      <c r="J68" t="s">
        <v>328</v>
      </c>
      <c r="K68" s="298">
        <f t="shared" si="1"/>
        <v>353.27</v>
      </c>
    </row>
    <row r="69" spans="1:11" ht="15">
      <c r="A69" s="2" t="s">
        <v>1584</v>
      </c>
      <c r="B69" s="159">
        <v>4470203</v>
      </c>
      <c r="C69" s="344">
        <v>12.049962599999999</v>
      </c>
      <c r="D69" s="344">
        <v>2.4279671</v>
      </c>
      <c r="E69" s="344">
        <v>6.1847942</v>
      </c>
      <c r="F69" s="344">
        <v>7.916508599999999</v>
      </c>
      <c r="G69" s="344">
        <v>6.3907675</v>
      </c>
      <c r="H69" s="274"/>
      <c r="I69" s="325">
        <f t="shared" si="3"/>
        <v>34.97</v>
      </c>
      <c r="J69" t="s">
        <v>1547</v>
      </c>
      <c r="K69" s="298">
        <f t="shared" si="1"/>
      </c>
    </row>
    <row r="70" spans="1:11" ht="15">
      <c r="A70" s="2" t="s">
        <v>1523</v>
      </c>
      <c r="B70" s="159">
        <v>4470203</v>
      </c>
      <c r="C70" s="344">
        <v>1668.0532014</v>
      </c>
      <c r="D70" s="344">
        <v>336.0988269</v>
      </c>
      <c r="E70" s="344">
        <v>856.1491937999999</v>
      </c>
      <c r="F70" s="344">
        <v>1095.8670954</v>
      </c>
      <c r="G70" s="344">
        <v>884.6616825</v>
      </c>
      <c r="H70" s="274"/>
      <c r="I70" s="325">
        <f t="shared" si="3"/>
        <v>4840.83</v>
      </c>
      <c r="J70" t="s">
        <v>1547</v>
      </c>
      <c r="K70" s="298">
        <f t="shared" si="1"/>
      </c>
    </row>
    <row r="71" spans="1:11" ht="15">
      <c r="A71" s="2" t="s">
        <v>1584</v>
      </c>
      <c r="B71" s="159">
        <v>4470098</v>
      </c>
      <c r="C71" s="344">
        <v>1.0440774</v>
      </c>
      <c r="D71" s="344">
        <v>0.2103729</v>
      </c>
      <c r="E71" s="344">
        <v>0.5358858</v>
      </c>
      <c r="F71" s="344">
        <v>0.6859314</v>
      </c>
      <c r="G71" s="344">
        <v>0.5537325</v>
      </c>
      <c r="H71" s="274"/>
      <c r="I71" s="325">
        <f t="shared" si="3"/>
        <v>3.0300000000000002</v>
      </c>
      <c r="J71" t="s">
        <v>328</v>
      </c>
      <c r="K71" s="298">
        <f aca="true" t="shared" si="4" ref="K71:K134">IF(J71="East Zone SIA",I71,"")</f>
        <v>3.0300000000000002</v>
      </c>
    </row>
    <row r="72" spans="1:11" ht="15">
      <c r="A72" s="2" t="s">
        <v>1523</v>
      </c>
      <c r="B72" s="159">
        <v>4470098</v>
      </c>
      <c r="C72" s="344">
        <v>144.8476488</v>
      </c>
      <c r="D72" s="344">
        <v>29.185594800000004</v>
      </c>
      <c r="E72" s="344">
        <v>74.3448696</v>
      </c>
      <c r="F72" s="344">
        <v>95.1610968</v>
      </c>
      <c r="G72" s="344">
        <v>76.82079</v>
      </c>
      <c r="H72" s="274"/>
      <c r="I72" s="325">
        <f t="shared" si="3"/>
        <v>420.35999999999996</v>
      </c>
      <c r="J72" t="s">
        <v>328</v>
      </c>
      <c r="K72" s="298">
        <f t="shared" si="4"/>
        <v>420.35999999999996</v>
      </c>
    </row>
    <row r="73" spans="1:11" ht="15">
      <c r="A73" s="2" t="s">
        <v>1527</v>
      </c>
      <c r="B73" s="159">
        <v>5550076</v>
      </c>
      <c r="C73" s="344">
        <v>73.7159994</v>
      </c>
      <c r="D73" s="344">
        <v>14.853159900000001</v>
      </c>
      <c r="E73" s="344">
        <v>37.8356598</v>
      </c>
      <c r="F73" s="344">
        <v>48.4294734</v>
      </c>
      <c r="G73" s="344">
        <v>39.0957075</v>
      </c>
      <c r="H73" s="274"/>
      <c r="I73" s="325">
        <f t="shared" si="3"/>
        <v>213.93</v>
      </c>
      <c r="J73" t="s">
        <v>1547</v>
      </c>
      <c r="K73" s="298">
        <f t="shared" si="4"/>
      </c>
    </row>
    <row r="74" spans="1:11" ht="15">
      <c r="A74" s="2" t="s">
        <v>138</v>
      </c>
      <c r="B74" s="159">
        <v>4470101</v>
      </c>
      <c r="C74" s="344">
        <v>2954.42892</v>
      </c>
      <c r="D74" s="344">
        <v>595.29282</v>
      </c>
      <c r="E74" s="344">
        <v>1516.39764</v>
      </c>
      <c r="F74" s="344">
        <v>1940.98212</v>
      </c>
      <c r="G74" s="344">
        <v>1566.8985</v>
      </c>
      <c r="H74" s="274"/>
      <c r="I74" s="325">
        <f t="shared" si="3"/>
        <v>8574</v>
      </c>
      <c r="J74" t="s">
        <v>1547</v>
      </c>
      <c r="K74" s="298">
        <f t="shared" si="4"/>
      </c>
    </row>
    <row r="75" spans="1:11" ht="15">
      <c r="A75" s="2" t="s">
        <v>2051</v>
      </c>
      <c r="B75" s="159">
        <v>4561002</v>
      </c>
      <c r="C75" s="344">
        <v>185.79033</v>
      </c>
      <c r="D75" s="344">
        <v>44.77275</v>
      </c>
      <c r="E75" s="344">
        <v>147.58425</v>
      </c>
      <c r="F75" s="344">
        <v>210.9294</v>
      </c>
      <c r="G75" s="344">
        <v>74.22327</v>
      </c>
      <c r="H75" s="274"/>
      <c r="I75" s="325">
        <f t="shared" si="3"/>
        <v>663.3</v>
      </c>
      <c r="J75" t="s">
        <v>1547</v>
      </c>
      <c r="K75" s="298">
        <f t="shared" si="4"/>
      </c>
    </row>
    <row r="76" spans="1:11" ht="15">
      <c r="A76" s="2" t="s">
        <v>1532</v>
      </c>
      <c r="B76" s="159">
        <v>4561003</v>
      </c>
      <c r="C76" s="344">
        <v>122.51574</v>
      </c>
      <c r="D76" s="344">
        <v>29.5245</v>
      </c>
      <c r="E76" s="344">
        <v>97.3215</v>
      </c>
      <c r="F76" s="344">
        <v>139.0932</v>
      </c>
      <c r="G76" s="344">
        <v>48.94506</v>
      </c>
      <c r="H76" s="274"/>
      <c r="I76" s="325">
        <f t="shared" si="3"/>
        <v>437.4</v>
      </c>
      <c r="J76" t="s">
        <v>1547</v>
      </c>
      <c r="K76" s="298">
        <f t="shared" si="4"/>
      </c>
    </row>
    <row r="77" spans="1:11" ht="15">
      <c r="A77" s="2" t="s">
        <v>1533</v>
      </c>
      <c r="B77" s="159">
        <v>4561005</v>
      </c>
      <c r="C77" s="344">
        <v>-773.5269672000001</v>
      </c>
      <c r="D77" s="344">
        <v>-155.8592412</v>
      </c>
      <c r="E77" s="344">
        <v>-397.0224024</v>
      </c>
      <c r="F77" s="344">
        <v>-508.1868792</v>
      </c>
      <c r="G77" s="344">
        <v>-410.24451</v>
      </c>
      <c r="H77" s="274"/>
      <c r="I77" s="325">
        <f t="shared" si="3"/>
        <v>-2244.84</v>
      </c>
      <c r="J77" t="s">
        <v>1547</v>
      </c>
      <c r="K77" s="298">
        <f t="shared" si="4"/>
      </c>
    </row>
    <row r="78" spans="1:11" ht="15">
      <c r="A78" s="2" t="s">
        <v>1573</v>
      </c>
      <c r="B78" s="159">
        <v>4561005</v>
      </c>
      <c r="C78" s="344">
        <v>-9.0486708</v>
      </c>
      <c r="D78" s="344">
        <v>-1.8232318000000003</v>
      </c>
      <c r="E78" s="344">
        <v>-4.6443436</v>
      </c>
      <c r="F78" s="344">
        <v>-5.9447388000000005</v>
      </c>
      <c r="G78" s="344">
        <v>-4.799015</v>
      </c>
      <c r="H78" s="274"/>
      <c r="I78" s="325">
        <f t="shared" si="3"/>
        <v>-26.26</v>
      </c>
      <c r="J78" t="s">
        <v>1547</v>
      </c>
      <c r="K78" s="298">
        <f t="shared" si="4"/>
      </c>
    </row>
    <row r="79" spans="1:11" ht="15">
      <c r="A79" s="2" t="s">
        <v>1537</v>
      </c>
      <c r="B79" s="159">
        <v>4561005</v>
      </c>
      <c r="C79" s="344">
        <v>-373.56951540000006</v>
      </c>
      <c r="D79" s="344">
        <v>-75.27114590000001</v>
      </c>
      <c r="E79" s="344">
        <v>-191.7392318</v>
      </c>
      <c r="F79" s="344">
        <v>-245.42534940000002</v>
      </c>
      <c r="G79" s="344">
        <v>-198.12475750000002</v>
      </c>
      <c r="H79" s="274"/>
      <c r="I79" s="325">
        <f t="shared" si="3"/>
        <v>-1084.13</v>
      </c>
      <c r="J79" t="s">
        <v>1547</v>
      </c>
      <c r="K79" s="298">
        <f t="shared" si="4"/>
      </c>
    </row>
    <row r="80" spans="1:11" ht="15">
      <c r="A80" s="2" t="s">
        <v>1534</v>
      </c>
      <c r="B80" s="159">
        <v>4470101</v>
      </c>
      <c r="C80" s="344">
        <v>-1374.133353</v>
      </c>
      <c r="D80" s="344">
        <v>-276.87642550000004</v>
      </c>
      <c r="E80" s="344">
        <v>-705.2911509999999</v>
      </c>
      <c r="F80" s="344">
        <v>-902.7694829999999</v>
      </c>
      <c r="G80" s="344">
        <v>-728.7795874999999</v>
      </c>
      <c r="H80" s="274"/>
      <c r="I80" s="325">
        <f t="shared" si="3"/>
        <v>-3987.8500000000004</v>
      </c>
      <c r="J80" t="s">
        <v>1547</v>
      </c>
      <c r="K80" s="298">
        <f t="shared" si="4"/>
      </c>
    </row>
    <row r="81" spans="1:11" ht="15">
      <c r="A81" s="2" t="s">
        <v>1522</v>
      </c>
      <c r="B81" s="159">
        <v>4470101</v>
      </c>
      <c r="C81" s="344">
        <v>-5018.497578</v>
      </c>
      <c r="D81" s="344">
        <v>-1011.1854630000001</v>
      </c>
      <c r="E81" s="344">
        <v>-2575.806726</v>
      </c>
      <c r="F81" s="344">
        <v>-3297.020958</v>
      </c>
      <c r="G81" s="344">
        <v>-2661.589275</v>
      </c>
      <c r="H81" s="274"/>
      <c r="I81" s="325">
        <f t="shared" si="3"/>
        <v>-14564.1</v>
      </c>
      <c r="J81" t="s">
        <v>1547</v>
      </c>
      <c r="K81" s="298">
        <f t="shared" si="4"/>
      </c>
    </row>
    <row r="82" spans="1:11" ht="15">
      <c r="A82" s="2" t="s">
        <v>40</v>
      </c>
      <c r="B82" s="159">
        <v>5550083</v>
      </c>
      <c r="C82" s="344">
        <v>70.25641619999999</v>
      </c>
      <c r="D82" s="344">
        <v>14.1560827</v>
      </c>
      <c r="E82" s="344">
        <v>36.059985399999995</v>
      </c>
      <c r="F82" s="344">
        <v>46.1566182</v>
      </c>
      <c r="G82" s="344">
        <v>37.2608975</v>
      </c>
      <c r="H82" s="274"/>
      <c r="I82" s="325">
        <f t="shared" si="3"/>
        <v>203.89</v>
      </c>
      <c r="J82" t="s">
        <v>1547</v>
      </c>
      <c r="K82" s="298">
        <f t="shared" si="4"/>
      </c>
    </row>
    <row r="83" spans="1:11" ht="15">
      <c r="A83" s="2" t="s">
        <v>41</v>
      </c>
      <c r="B83" s="159">
        <v>4470203</v>
      </c>
      <c r="C83" s="344">
        <v>30.34466963118</v>
      </c>
      <c r="D83" s="344">
        <v>6.114198190530001</v>
      </c>
      <c r="E83" s="344">
        <v>15.574781679059999</v>
      </c>
      <c r="F83" s="344">
        <v>19.93565009898</v>
      </c>
      <c r="G83" s="344">
        <v>16.09347140025</v>
      </c>
      <c r="H83" s="274"/>
      <c r="I83" s="325">
        <f t="shared" si="3"/>
        <v>88.062771</v>
      </c>
      <c r="J83" t="s">
        <v>1547</v>
      </c>
      <c r="K83" s="298">
        <f t="shared" si="4"/>
      </c>
    </row>
    <row r="84" spans="1:11" ht="15">
      <c r="A84" s="2" t="s">
        <v>41</v>
      </c>
      <c r="B84" s="159">
        <v>4470098</v>
      </c>
      <c r="C84" s="344">
        <v>2.63508216882</v>
      </c>
      <c r="D84" s="344">
        <v>0.53094710947</v>
      </c>
      <c r="E84" s="344">
        <v>1.3524889209399997</v>
      </c>
      <c r="F84" s="344">
        <v>1.7311797010199999</v>
      </c>
      <c r="G84" s="344">
        <v>1.39753109975</v>
      </c>
      <c r="H84" s="274"/>
      <c r="I84" s="325">
        <f t="shared" si="3"/>
        <v>7.647229</v>
      </c>
      <c r="J84" t="s">
        <v>328</v>
      </c>
      <c r="K84" s="298">
        <f t="shared" si="4"/>
        <v>7.647229</v>
      </c>
    </row>
    <row r="85" spans="1:11" ht="15">
      <c r="A85" s="2" t="s">
        <v>1914</v>
      </c>
      <c r="B85" s="159">
        <v>4470203</v>
      </c>
      <c r="C85" s="344">
        <v>0.27583181046</v>
      </c>
      <c r="D85" s="344">
        <v>0.05557781241000001</v>
      </c>
      <c r="E85" s="344">
        <v>0.14157413082</v>
      </c>
      <c r="F85" s="344">
        <v>0.18121424706</v>
      </c>
      <c r="G85" s="344">
        <v>0.14628899925</v>
      </c>
      <c r="H85" s="274"/>
      <c r="I85" s="325">
        <f t="shared" si="3"/>
        <v>0.800487</v>
      </c>
      <c r="J85" t="s">
        <v>1547</v>
      </c>
      <c r="K85" s="298">
        <f t="shared" si="4"/>
      </c>
    </row>
    <row r="86" spans="1:11" ht="15">
      <c r="A86" s="2" t="s">
        <v>1914</v>
      </c>
      <c r="B86" s="159">
        <v>4470098</v>
      </c>
      <c r="C86" s="344">
        <v>0.02395278954</v>
      </c>
      <c r="D86" s="344">
        <v>0.0048262875900000005</v>
      </c>
      <c r="E86" s="344">
        <v>0.01229406918</v>
      </c>
      <c r="F86" s="344">
        <v>0.01573635294</v>
      </c>
      <c r="G86" s="344">
        <v>0.01270350075</v>
      </c>
      <c r="H86" s="274"/>
      <c r="I86" s="325">
        <f t="shared" si="3"/>
        <v>0.069513</v>
      </c>
      <c r="J86" t="s">
        <v>328</v>
      </c>
      <c r="K86" s="298">
        <f t="shared" si="4"/>
        <v>0.069513</v>
      </c>
    </row>
    <row r="87" spans="1:11" ht="15">
      <c r="A87" s="2" t="s">
        <v>42</v>
      </c>
      <c r="B87" s="159">
        <v>4470203</v>
      </c>
      <c r="C87" s="344">
        <v>3.8711567881800004</v>
      </c>
      <c r="D87" s="344">
        <v>0.7800058500300001</v>
      </c>
      <c r="E87" s="344">
        <v>1.9869196980600001</v>
      </c>
      <c r="F87" s="344">
        <v>2.54324822598</v>
      </c>
      <c r="G87" s="344">
        <v>2.0530904377500003</v>
      </c>
      <c r="H87" s="274"/>
      <c r="I87" s="325">
        <f t="shared" si="3"/>
        <v>11.234421000000001</v>
      </c>
      <c r="J87" t="s">
        <v>1547</v>
      </c>
      <c r="K87" s="298">
        <f t="shared" si="4"/>
      </c>
    </row>
    <row r="88" spans="1:11" ht="15">
      <c r="A88" s="2" t="s">
        <v>42</v>
      </c>
      <c r="B88" s="159">
        <v>4470098</v>
      </c>
      <c r="C88" s="344">
        <v>0.33616501182</v>
      </c>
      <c r="D88" s="344">
        <v>0.06773444997000001</v>
      </c>
      <c r="E88" s="344">
        <v>0.17254090194</v>
      </c>
      <c r="F88" s="344">
        <v>0.22085157402000002</v>
      </c>
      <c r="G88" s="344">
        <v>0.17828706225000002</v>
      </c>
      <c r="H88" s="274"/>
      <c r="I88" s="325">
        <f t="shared" si="3"/>
        <v>0.975579</v>
      </c>
      <c r="J88" t="s">
        <v>328</v>
      </c>
      <c r="K88" s="298">
        <f t="shared" si="4"/>
        <v>0.975579</v>
      </c>
    </row>
    <row r="89" spans="1:11" ht="15">
      <c r="A89" s="2" t="s">
        <v>43</v>
      </c>
      <c r="B89" s="159">
        <v>4470203</v>
      </c>
      <c r="C89" s="344">
        <v>38.464270396559996</v>
      </c>
      <c r="D89" s="344">
        <v>7.75023011676</v>
      </c>
      <c r="E89" s="344">
        <v>19.742268449519997</v>
      </c>
      <c r="F89" s="344">
        <v>25.27001431416</v>
      </c>
      <c r="G89" s="344">
        <v>20.399748723</v>
      </c>
      <c r="H89" s="274"/>
      <c r="I89" s="325">
        <f t="shared" si="3"/>
        <v>111.62653199999998</v>
      </c>
      <c r="J89" t="s">
        <v>1547</v>
      </c>
      <c r="K89" s="298">
        <f t="shared" si="4"/>
      </c>
    </row>
    <row r="90" spans="1:11" ht="15">
      <c r="A90" s="2" t="s">
        <v>43</v>
      </c>
      <c r="B90" s="159">
        <v>4470098</v>
      </c>
      <c r="C90" s="344">
        <v>3.34017520344</v>
      </c>
      <c r="D90" s="344">
        <v>0.67301748324</v>
      </c>
      <c r="E90" s="344">
        <v>1.7143867504799997</v>
      </c>
      <c r="F90" s="344">
        <v>2.1944072858399997</v>
      </c>
      <c r="G90" s="344">
        <v>1.771481277</v>
      </c>
      <c r="H90" s="274"/>
      <c r="I90" s="325">
        <f t="shared" si="3"/>
        <v>9.693468</v>
      </c>
      <c r="J90" t="s">
        <v>328</v>
      </c>
      <c r="K90" s="298">
        <f t="shared" si="4"/>
        <v>9.693468</v>
      </c>
    </row>
    <row r="91" spans="1:11" ht="15">
      <c r="A91" s="2" t="s">
        <v>1915</v>
      </c>
      <c r="B91" s="159">
        <v>5550078</v>
      </c>
      <c r="C91" s="344">
        <v>-0.1826274</v>
      </c>
      <c r="D91" s="344">
        <v>-0.0367979</v>
      </c>
      <c r="E91" s="344">
        <v>-0.0937358</v>
      </c>
      <c r="F91" s="344">
        <v>-0.1199814</v>
      </c>
      <c r="G91" s="344">
        <v>-0.0968575</v>
      </c>
      <c r="H91" s="274"/>
      <c r="I91" s="325">
        <f t="shared" si="3"/>
        <v>-0.53</v>
      </c>
      <c r="J91" t="s">
        <v>1547</v>
      </c>
      <c r="K91" s="298">
        <f t="shared" si="4"/>
      </c>
    </row>
    <row r="92" spans="1:11" ht="15">
      <c r="A92" s="2" t="s">
        <v>462</v>
      </c>
      <c r="B92" s="159">
        <v>5550041</v>
      </c>
      <c r="C92" s="344">
        <v>28.8964788</v>
      </c>
      <c r="D92" s="344">
        <v>5.8223998</v>
      </c>
      <c r="E92" s="344">
        <v>14.8314796</v>
      </c>
      <c r="F92" s="344">
        <v>18.9842268</v>
      </c>
      <c r="G92" s="344">
        <v>15.325415</v>
      </c>
      <c r="H92" s="274"/>
      <c r="I92" s="325">
        <f t="shared" si="3"/>
        <v>83.86000000000001</v>
      </c>
      <c r="J92" t="s">
        <v>1547</v>
      </c>
      <c r="K92" s="298">
        <f t="shared" si="4"/>
      </c>
    </row>
    <row r="93" spans="1:11" ht="15">
      <c r="A93" s="2" t="s">
        <v>44</v>
      </c>
      <c r="B93" s="159">
        <v>5614007</v>
      </c>
      <c r="C93" s="344">
        <v>1064.1939804</v>
      </c>
      <c r="D93" s="344">
        <v>214.42622340000003</v>
      </c>
      <c r="E93" s="344">
        <v>546.2108868</v>
      </c>
      <c r="F93" s="344">
        <v>699.1474644</v>
      </c>
      <c r="G93" s="344">
        <v>564.401445</v>
      </c>
      <c r="H93" s="274"/>
      <c r="I93" s="325">
        <f t="shared" si="3"/>
        <v>3088.38</v>
      </c>
      <c r="J93" t="s">
        <v>1547</v>
      </c>
      <c r="K93" s="298">
        <f t="shared" si="4"/>
      </c>
    </row>
    <row r="94" spans="1:11" ht="15">
      <c r="A94" s="2" t="s">
        <v>1473</v>
      </c>
      <c r="B94" s="159">
        <v>4470101</v>
      </c>
      <c r="C94" s="344">
        <v>-7.398132599999999</v>
      </c>
      <c r="D94" s="344">
        <v>-1.4906621</v>
      </c>
      <c r="E94" s="344">
        <v>-3.7971842</v>
      </c>
      <c r="F94" s="344">
        <v>-4.8603786</v>
      </c>
      <c r="G94" s="344">
        <v>-3.9236424999999997</v>
      </c>
      <c r="H94" s="274"/>
      <c r="I94" s="325">
        <f t="shared" si="3"/>
        <v>-21.47</v>
      </c>
      <c r="J94" t="s">
        <v>1547</v>
      </c>
      <c r="K94" s="298">
        <f t="shared" si="4"/>
      </c>
    </row>
    <row r="95" spans="1:11" ht="15">
      <c r="A95" s="2" t="s">
        <v>39</v>
      </c>
      <c r="B95" s="159">
        <v>4470208</v>
      </c>
      <c r="C95" s="344">
        <v>5.082555</v>
      </c>
      <c r="D95" s="344">
        <v>1.0240925</v>
      </c>
      <c r="E95" s="344">
        <v>2.608685</v>
      </c>
      <c r="F95" s="344">
        <v>3.339105</v>
      </c>
      <c r="G95" s="344">
        <v>2.6955625</v>
      </c>
      <c r="H95" s="274"/>
      <c r="I95" s="325">
        <f t="shared" si="3"/>
        <v>14.75</v>
      </c>
      <c r="J95" t="s">
        <v>1547</v>
      </c>
      <c r="K95" s="298">
        <f t="shared" si="4"/>
      </c>
    </row>
    <row r="96" spans="1:13" ht="15">
      <c r="A96" s="2" t="s">
        <v>45</v>
      </c>
      <c r="B96" s="159">
        <v>4470099</v>
      </c>
      <c r="C96" s="344">
        <v>-32.7144252</v>
      </c>
      <c r="D96" s="344">
        <v>-6.5916842</v>
      </c>
      <c r="E96" s="344">
        <v>-16.7910884</v>
      </c>
      <c r="F96" s="344">
        <v>-21.492517199999998</v>
      </c>
      <c r="G96" s="344">
        <v>-17.350285</v>
      </c>
      <c r="H96" s="274"/>
      <c r="I96" s="325">
        <f t="shared" si="3"/>
        <v>-94.94</v>
      </c>
      <c r="J96" t="s">
        <v>328</v>
      </c>
      <c r="K96" s="298">
        <f t="shared" si="4"/>
        <v>-94.94</v>
      </c>
      <c r="L96" s="956" t="s">
        <v>38</v>
      </c>
      <c r="M96" s="451">
        <f>SUM(K38:K96)</f>
        <v>1928.6257889999995</v>
      </c>
    </row>
    <row r="97" spans="1:13" ht="15">
      <c r="A97" s="158"/>
      <c r="B97" s="159"/>
      <c r="C97" s="293"/>
      <c r="D97" s="293"/>
      <c r="E97" s="293"/>
      <c r="F97" s="293"/>
      <c r="G97" s="293"/>
      <c r="H97" s="274"/>
      <c r="I97" s="325"/>
      <c r="K97" s="298">
        <f t="shared" si="4"/>
      </c>
      <c r="L97" s="958" t="s">
        <v>367</v>
      </c>
      <c r="M97" s="451">
        <f>SUM(I42:I96)</f>
        <v>-38657.97999999997</v>
      </c>
    </row>
    <row r="98" spans="1:11" ht="15">
      <c r="A98" s="497" t="s">
        <v>1804</v>
      </c>
      <c r="B98" s="461"/>
      <c r="C98" s="298"/>
      <c r="D98" s="298"/>
      <c r="E98" s="298"/>
      <c r="F98" s="298"/>
      <c r="G98" s="298"/>
      <c r="H98" s="275"/>
      <c r="I98" s="325"/>
      <c r="K98" s="298">
        <f t="shared" si="4"/>
      </c>
    </row>
    <row r="99" spans="1:11" ht="15">
      <c r="A99" s="347" t="s">
        <v>533</v>
      </c>
      <c r="B99" s="159">
        <v>5650012</v>
      </c>
      <c r="C99" s="344">
        <v>4863.815616</v>
      </c>
      <c r="D99" s="344">
        <v>980.0183360000001</v>
      </c>
      <c r="E99" s="344">
        <v>2496.414272</v>
      </c>
      <c r="F99" s="344">
        <v>3195.398976</v>
      </c>
      <c r="G99" s="344">
        <v>2579.5528</v>
      </c>
      <c r="H99" s="274">
        <v>0</v>
      </c>
      <c r="I99" s="325">
        <f>SUM(C99:G99)</f>
        <v>14115.199999999999</v>
      </c>
      <c r="J99" t="s">
        <v>1547</v>
      </c>
      <c r="K99" s="298">
        <f t="shared" si="4"/>
      </c>
    </row>
    <row r="100" spans="1:11" ht="15">
      <c r="A100" s="324" t="s">
        <v>1530</v>
      </c>
      <c r="B100" s="333">
        <v>4470093</v>
      </c>
      <c r="C100" s="344">
        <v>-13672.131528599999</v>
      </c>
      <c r="D100" s="344">
        <v>-2754.8206281000002</v>
      </c>
      <c r="E100" s="344">
        <v>-7017.392716199999</v>
      </c>
      <c r="F100" s="344">
        <v>-8982.2309346</v>
      </c>
      <c r="G100" s="344">
        <v>-7251.0941925</v>
      </c>
      <c r="H100" s="274">
        <v>0</v>
      </c>
      <c r="I100" s="325">
        <f aca="true" t="shared" si="5" ref="I100:I196">SUM(C100:G100)</f>
        <v>-39677.67</v>
      </c>
      <c r="J100" t="s">
        <v>1547</v>
      </c>
      <c r="K100" s="298">
        <f t="shared" si="4"/>
      </c>
    </row>
    <row r="101" spans="1:11" ht="15">
      <c r="A101" s="158" t="s">
        <v>1525</v>
      </c>
      <c r="B101" s="333">
        <v>4470093</v>
      </c>
      <c r="C101" s="344">
        <v>1038.1092744</v>
      </c>
      <c r="D101" s="344">
        <v>209.17037240000002</v>
      </c>
      <c r="E101" s="344">
        <v>532.8225848</v>
      </c>
      <c r="F101" s="344">
        <v>682.0104984</v>
      </c>
      <c r="G101" s="344">
        <v>550.56727</v>
      </c>
      <c r="H101" s="274">
        <v>0</v>
      </c>
      <c r="I101" s="325">
        <f t="shared" si="5"/>
        <v>3012.68</v>
      </c>
      <c r="J101" t="s">
        <v>1547</v>
      </c>
      <c r="K101" s="298">
        <f t="shared" si="4"/>
      </c>
    </row>
    <row r="102" spans="1:11" ht="15">
      <c r="A102" s="324" t="s">
        <v>1531</v>
      </c>
      <c r="B102" s="159">
        <v>4470207</v>
      </c>
      <c r="C102" s="344">
        <v>-40423.851372</v>
      </c>
      <c r="D102" s="344">
        <v>-8145.069362</v>
      </c>
      <c r="E102" s="344">
        <v>-20748.047924</v>
      </c>
      <c r="F102" s="344">
        <v>-26557.407492</v>
      </c>
      <c r="G102" s="344">
        <v>-21439.023849999998</v>
      </c>
      <c r="H102" s="274">
        <v>0</v>
      </c>
      <c r="I102" s="325">
        <f t="shared" si="5"/>
        <v>-117313.4</v>
      </c>
      <c r="J102" t="s">
        <v>1547</v>
      </c>
      <c r="K102" s="298">
        <f t="shared" si="4"/>
      </c>
    </row>
    <row r="103" spans="1:11" ht="15">
      <c r="A103" s="324" t="s">
        <v>1526</v>
      </c>
      <c r="B103" s="159">
        <v>4470207</v>
      </c>
      <c r="C103" s="344">
        <v>-525.82908</v>
      </c>
      <c r="D103" s="344">
        <v>-105.95018</v>
      </c>
      <c r="E103" s="344">
        <v>-269.88836</v>
      </c>
      <c r="F103" s="344">
        <v>-345.45588</v>
      </c>
      <c r="G103" s="344">
        <v>-278.8765</v>
      </c>
      <c r="H103" s="274">
        <v>0</v>
      </c>
      <c r="I103" s="325">
        <f t="shared" si="5"/>
        <v>-1526</v>
      </c>
      <c r="J103" t="s">
        <v>1547</v>
      </c>
      <c r="K103" s="298">
        <f t="shared" si="4"/>
      </c>
    </row>
    <row r="104" spans="1:11" ht="15">
      <c r="A104" s="324" t="s">
        <v>139</v>
      </c>
      <c r="B104" s="159">
        <v>5550040</v>
      </c>
      <c r="C104" s="344">
        <v>661.5177924</v>
      </c>
      <c r="D104" s="344">
        <v>133.2903254</v>
      </c>
      <c r="E104" s="344">
        <v>339.5322908</v>
      </c>
      <c r="F104" s="344">
        <v>434.5997964</v>
      </c>
      <c r="G104" s="344">
        <v>350.839795</v>
      </c>
      <c r="H104" s="274">
        <v>245138.7</v>
      </c>
      <c r="I104" s="325">
        <f t="shared" si="5"/>
        <v>1919.7800000000002</v>
      </c>
      <c r="J104" t="s">
        <v>1547</v>
      </c>
      <c r="K104" s="298">
        <f t="shared" si="4"/>
      </c>
    </row>
    <row r="105" spans="1:11" ht="15">
      <c r="A105" s="324" t="s">
        <v>139</v>
      </c>
      <c r="B105" s="159">
        <v>5550039</v>
      </c>
      <c r="C105" s="344">
        <v>57.441486</v>
      </c>
      <c r="D105" s="344">
        <v>11.573981</v>
      </c>
      <c r="E105" s="344">
        <v>29.482561999999998</v>
      </c>
      <c r="F105" s="344">
        <v>37.737545999999995</v>
      </c>
      <c r="G105" s="344">
        <v>30.464425</v>
      </c>
      <c r="H105" s="274">
        <v>-272187.4</v>
      </c>
      <c r="I105" s="325">
        <f t="shared" si="5"/>
        <v>166.7</v>
      </c>
      <c r="J105" t="s">
        <v>328</v>
      </c>
      <c r="K105" s="298">
        <f t="shared" si="4"/>
        <v>166.7</v>
      </c>
    </row>
    <row r="106" spans="1:11" ht="15">
      <c r="A106" s="324" t="s">
        <v>25</v>
      </c>
      <c r="B106" s="159">
        <v>4470116</v>
      </c>
      <c r="C106" s="344">
        <v>13.576452</v>
      </c>
      <c r="D106" s="344">
        <v>2.735542</v>
      </c>
      <c r="E106" s="344">
        <v>6.968284</v>
      </c>
      <c r="F106" s="344">
        <v>8.919372</v>
      </c>
      <c r="G106" s="344">
        <v>7.200349999999999</v>
      </c>
      <c r="H106" s="274"/>
      <c r="I106" s="325">
        <f t="shared" si="5"/>
        <v>39.4</v>
      </c>
      <c r="J106" t="s">
        <v>1547</v>
      </c>
      <c r="K106" s="298">
        <f t="shared" si="4"/>
      </c>
    </row>
    <row r="107" spans="1:11" ht="15">
      <c r="A107" s="324" t="s">
        <v>25</v>
      </c>
      <c r="B107" s="159">
        <v>4470115</v>
      </c>
      <c r="C107" s="344">
        <v>1.1784636</v>
      </c>
      <c r="D107" s="344">
        <v>0.2374506</v>
      </c>
      <c r="E107" s="344">
        <v>0.6048612</v>
      </c>
      <c r="F107" s="344">
        <v>0.7742196</v>
      </c>
      <c r="G107" s="344">
        <v>0.6250049999999999</v>
      </c>
      <c r="H107" s="274"/>
      <c r="I107" s="325">
        <f t="shared" si="5"/>
        <v>3.4199999999999995</v>
      </c>
      <c r="J107" t="s">
        <v>328</v>
      </c>
      <c r="K107" s="298">
        <f t="shared" si="4"/>
        <v>3.4199999999999995</v>
      </c>
    </row>
    <row r="108" spans="1:11" ht="15">
      <c r="A108" s="324" t="s">
        <v>1911</v>
      </c>
      <c r="B108" s="159">
        <v>5614001</v>
      </c>
      <c r="C108" s="344">
        <v>0.0068916</v>
      </c>
      <c r="D108" s="344">
        <v>0.0013886</v>
      </c>
      <c r="E108" s="344">
        <v>0.0035372</v>
      </c>
      <c r="F108" s="344">
        <v>0.0045276</v>
      </c>
      <c r="G108" s="344">
        <v>0.003655</v>
      </c>
      <c r="H108" s="274"/>
      <c r="I108" s="325">
        <f t="shared" si="5"/>
        <v>0.019999999999999997</v>
      </c>
      <c r="J108" t="s">
        <v>1547</v>
      </c>
      <c r="K108" s="298">
        <f t="shared" si="4"/>
      </c>
    </row>
    <row r="109" spans="1:11" ht="15">
      <c r="A109" s="324" t="s">
        <v>140</v>
      </c>
      <c r="B109" s="159">
        <v>5614001</v>
      </c>
      <c r="C109" s="344">
        <v>5476.0343477999995</v>
      </c>
      <c r="D109" s="344">
        <v>1103.3753113</v>
      </c>
      <c r="E109" s="344">
        <v>2810.6432025999998</v>
      </c>
      <c r="F109" s="344">
        <v>3597.6105858</v>
      </c>
      <c r="G109" s="344">
        <v>2904.2465525</v>
      </c>
      <c r="H109" s="274"/>
      <c r="I109" s="325">
        <f t="shared" si="5"/>
        <v>15891.91</v>
      </c>
      <c r="J109" t="s">
        <v>1547</v>
      </c>
      <c r="K109" s="298">
        <f t="shared" si="4"/>
      </c>
    </row>
    <row r="110" spans="1:11" ht="15">
      <c r="A110" s="324" t="s">
        <v>1911</v>
      </c>
      <c r="B110" s="159">
        <v>5614000</v>
      </c>
      <c r="C110" s="344">
        <v>0</v>
      </c>
      <c r="D110" s="344">
        <v>0</v>
      </c>
      <c r="E110" s="344">
        <v>0</v>
      </c>
      <c r="F110" s="344">
        <v>0</v>
      </c>
      <c r="G110" s="344">
        <v>0</v>
      </c>
      <c r="H110" s="274"/>
      <c r="I110" s="325">
        <f t="shared" si="5"/>
        <v>0</v>
      </c>
      <c r="J110" t="s">
        <v>328</v>
      </c>
      <c r="K110" s="298">
        <f t="shared" si="4"/>
        <v>0</v>
      </c>
    </row>
    <row r="111" spans="1:11" ht="15">
      <c r="A111" s="324" t="s">
        <v>140</v>
      </c>
      <c r="B111" s="159">
        <v>5614000</v>
      </c>
      <c r="C111" s="344">
        <v>475.5272916</v>
      </c>
      <c r="D111" s="344">
        <v>95.8147886</v>
      </c>
      <c r="E111" s="344">
        <v>244.07033719999998</v>
      </c>
      <c r="F111" s="344">
        <v>312.40892759999997</v>
      </c>
      <c r="G111" s="344">
        <v>252.198655</v>
      </c>
      <c r="H111" s="274"/>
      <c r="I111" s="325">
        <f t="shared" si="5"/>
        <v>1380.02</v>
      </c>
      <c r="J111" t="s">
        <v>328</v>
      </c>
      <c r="K111" s="298">
        <f t="shared" si="4"/>
        <v>1380.02</v>
      </c>
    </row>
    <row r="112" spans="1:11" ht="15">
      <c r="A112" s="324" t="s">
        <v>536</v>
      </c>
      <c r="B112" s="159">
        <v>5614001</v>
      </c>
      <c r="C112" s="344">
        <v>177.424242</v>
      </c>
      <c r="D112" s="344">
        <v>35.749507</v>
      </c>
      <c r="E112" s="344">
        <v>91.065214</v>
      </c>
      <c r="F112" s="344">
        <v>116.56306199999999</v>
      </c>
      <c r="G112" s="344">
        <v>94.09797499999999</v>
      </c>
      <c r="H112" s="274"/>
      <c r="I112" s="325">
        <f t="shared" si="5"/>
        <v>514.9</v>
      </c>
      <c r="J112" t="s">
        <v>1547</v>
      </c>
      <c r="K112" s="298">
        <f t="shared" si="4"/>
      </c>
    </row>
    <row r="113" spans="1:11" ht="15">
      <c r="A113" s="324" t="s">
        <v>536</v>
      </c>
      <c r="B113" s="159">
        <v>5614000</v>
      </c>
      <c r="C113" s="344">
        <v>15.406171800000001</v>
      </c>
      <c r="D113" s="344">
        <v>3.1042153000000003</v>
      </c>
      <c r="E113" s="344">
        <v>7.9074105999999995</v>
      </c>
      <c r="F113" s="344">
        <v>10.1214498</v>
      </c>
      <c r="G113" s="344">
        <v>8.1707525</v>
      </c>
      <c r="H113" s="274"/>
      <c r="I113" s="325">
        <f t="shared" si="5"/>
        <v>44.71</v>
      </c>
      <c r="J113" t="s">
        <v>328</v>
      </c>
      <c r="K113" s="298">
        <f t="shared" si="4"/>
        <v>44.71</v>
      </c>
    </row>
    <row r="114" spans="1:11" ht="15">
      <c r="A114" s="324" t="s">
        <v>537</v>
      </c>
      <c r="B114" s="159">
        <v>5614001</v>
      </c>
      <c r="C114" s="344">
        <v>1854.9223812</v>
      </c>
      <c r="D114" s="344">
        <v>373.75141020000007</v>
      </c>
      <c r="E114" s="344">
        <v>952.0621404</v>
      </c>
      <c r="F114" s="344">
        <v>1218.6352332000001</v>
      </c>
      <c r="G114" s="344">
        <v>983.7688350000001</v>
      </c>
      <c r="H114" s="274"/>
      <c r="I114" s="325">
        <f t="shared" si="5"/>
        <v>5383.14</v>
      </c>
      <c r="J114" t="s">
        <v>1547</v>
      </c>
      <c r="K114" s="298">
        <f t="shared" si="4"/>
      </c>
    </row>
    <row r="115" spans="1:11" ht="15">
      <c r="A115" s="324" t="s">
        <v>537</v>
      </c>
      <c r="B115" s="159">
        <v>5614000</v>
      </c>
      <c r="C115" s="344">
        <v>161.0773668</v>
      </c>
      <c r="D115" s="344">
        <v>32.455747800000005</v>
      </c>
      <c r="E115" s="344">
        <v>82.6749756</v>
      </c>
      <c r="F115" s="344">
        <v>105.8235948</v>
      </c>
      <c r="G115" s="344">
        <v>85.428315</v>
      </c>
      <c r="H115" s="274"/>
      <c r="I115" s="325">
        <f t="shared" si="5"/>
        <v>467.46000000000004</v>
      </c>
      <c r="J115" t="s">
        <v>328</v>
      </c>
      <c r="K115" s="298">
        <f t="shared" si="4"/>
        <v>467.46000000000004</v>
      </c>
    </row>
    <row r="116" spans="1:11" ht="15">
      <c r="A116" s="324" t="s">
        <v>538</v>
      </c>
      <c r="B116" s="159">
        <v>5614001</v>
      </c>
      <c r="C116" s="344">
        <v>20.9470182</v>
      </c>
      <c r="D116" s="344">
        <v>4.2206497</v>
      </c>
      <c r="E116" s="344">
        <v>10.7513194</v>
      </c>
      <c r="F116" s="344">
        <v>13.7616402</v>
      </c>
      <c r="G116" s="344">
        <v>11.1093725</v>
      </c>
      <c r="H116" s="274"/>
      <c r="I116" s="325">
        <f t="shared" si="5"/>
        <v>60.79</v>
      </c>
      <c r="J116" t="s">
        <v>1547</v>
      </c>
      <c r="K116" s="298">
        <f t="shared" si="4"/>
      </c>
    </row>
    <row r="117" spans="1:11" ht="15">
      <c r="A117" s="324" t="s">
        <v>538</v>
      </c>
      <c r="B117" s="159">
        <v>5614000</v>
      </c>
      <c r="C117" s="344">
        <v>1.8159366</v>
      </c>
      <c r="D117" s="344">
        <v>0.3658961</v>
      </c>
      <c r="E117" s="344">
        <v>0.9320521999999999</v>
      </c>
      <c r="F117" s="344">
        <v>1.1930226</v>
      </c>
      <c r="G117" s="344">
        <v>0.9630924999999999</v>
      </c>
      <c r="H117" s="274"/>
      <c r="I117" s="325">
        <f t="shared" si="5"/>
        <v>5.27</v>
      </c>
      <c r="J117" t="s">
        <v>328</v>
      </c>
      <c r="K117" s="298">
        <f t="shared" si="4"/>
        <v>5.27</v>
      </c>
    </row>
    <row r="118" spans="1:11" ht="15">
      <c r="A118" s="324" t="s">
        <v>1539</v>
      </c>
      <c r="B118" s="159">
        <v>5618001</v>
      </c>
      <c r="C118" s="344">
        <v>226.05137159999998</v>
      </c>
      <c r="D118" s="344">
        <v>45.5474686</v>
      </c>
      <c r="E118" s="344">
        <v>116.02369719999999</v>
      </c>
      <c r="F118" s="344">
        <v>148.5098076</v>
      </c>
      <c r="G118" s="344">
        <v>119.887655</v>
      </c>
      <c r="H118" s="274"/>
      <c r="I118" s="325">
        <f t="shared" si="5"/>
        <v>656.02</v>
      </c>
      <c r="J118" t="s">
        <v>1547</v>
      </c>
      <c r="K118" s="298">
        <f t="shared" si="4"/>
      </c>
    </row>
    <row r="119" spans="1:11" ht="15">
      <c r="A119" s="324" t="s">
        <v>1539</v>
      </c>
      <c r="B119" s="159">
        <v>5618000</v>
      </c>
      <c r="C119" s="344">
        <v>19.6272768</v>
      </c>
      <c r="D119" s="344">
        <v>3.9547328000000004</v>
      </c>
      <c r="E119" s="344">
        <v>10.0739456</v>
      </c>
      <c r="F119" s="344">
        <v>12.8946048</v>
      </c>
      <c r="G119" s="344">
        <v>10.40944</v>
      </c>
      <c r="H119" s="274"/>
      <c r="I119" s="325">
        <f t="shared" si="5"/>
        <v>56.96000000000001</v>
      </c>
      <c r="J119" t="s">
        <v>328</v>
      </c>
      <c r="K119" s="298">
        <f t="shared" si="4"/>
        <v>56.96000000000001</v>
      </c>
    </row>
    <row r="120" spans="1:11" ht="15">
      <c r="A120" s="324" t="s">
        <v>141</v>
      </c>
      <c r="B120" s="159">
        <v>5618001</v>
      </c>
      <c r="C120" s="344">
        <v>314.325876</v>
      </c>
      <c r="D120" s="344">
        <v>63.33404600000001</v>
      </c>
      <c r="E120" s="344">
        <v>161.331692</v>
      </c>
      <c r="F120" s="344">
        <v>206.503836</v>
      </c>
      <c r="G120" s="344">
        <v>166.70455</v>
      </c>
      <c r="H120" s="274"/>
      <c r="I120" s="325">
        <f t="shared" si="5"/>
        <v>912.2</v>
      </c>
      <c r="J120" t="s">
        <v>1547</v>
      </c>
      <c r="K120" s="298">
        <f t="shared" si="4"/>
      </c>
    </row>
    <row r="121" spans="1:11" ht="15">
      <c r="A121" s="324" t="s">
        <v>1541</v>
      </c>
      <c r="B121" s="159">
        <v>5550074</v>
      </c>
      <c r="C121" s="344">
        <v>10675.756885199999</v>
      </c>
      <c r="D121" s="344">
        <v>2151.0760942</v>
      </c>
      <c r="E121" s="344">
        <v>5479.4659083999995</v>
      </c>
      <c r="F121" s="344">
        <v>7013.691577199999</v>
      </c>
      <c r="G121" s="344">
        <v>5661.949535</v>
      </c>
      <c r="H121" s="274"/>
      <c r="I121" s="325">
        <f t="shared" si="5"/>
        <v>30981.939999999995</v>
      </c>
      <c r="J121" t="s">
        <v>1547</v>
      </c>
      <c r="K121" s="298">
        <f t="shared" si="4"/>
      </c>
    </row>
    <row r="122" spans="1:11" ht="15">
      <c r="A122" s="324" t="s">
        <v>1543</v>
      </c>
      <c r="B122" s="159">
        <v>5550078</v>
      </c>
      <c r="C122" s="344">
        <v>15965.359669799998</v>
      </c>
      <c r="D122" s="344">
        <v>3216.8869983</v>
      </c>
      <c r="E122" s="344">
        <v>8194.4207766</v>
      </c>
      <c r="F122" s="344">
        <v>10488.821527799999</v>
      </c>
      <c r="G122" s="344">
        <v>8467.3210275</v>
      </c>
      <c r="H122" s="274"/>
      <c r="I122" s="325">
        <f t="shared" si="5"/>
        <v>46332.81</v>
      </c>
      <c r="J122" t="s">
        <v>1547</v>
      </c>
      <c r="K122" s="298">
        <f t="shared" si="4"/>
      </c>
    </row>
    <row r="123" spans="1:11" ht="15">
      <c r="A123" s="324" t="s">
        <v>1567</v>
      </c>
      <c r="B123" s="159">
        <v>5550083</v>
      </c>
      <c r="C123" s="344">
        <v>0.0034458</v>
      </c>
      <c r="D123" s="344">
        <v>0.0006943</v>
      </c>
      <c r="E123" s="344">
        <v>0.0017686</v>
      </c>
      <c r="F123" s="344">
        <v>0.0022638</v>
      </c>
      <c r="G123" s="344">
        <v>0.0018275</v>
      </c>
      <c r="H123" s="274"/>
      <c r="I123" s="325">
        <f t="shared" si="5"/>
        <v>0.009999999999999998</v>
      </c>
      <c r="J123" t="s">
        <v>1547</v>
      </c>
      <c r="K123" s="298">
        <f t="shared" si="4"/>
      </c>
    </row>
    <row r="124" spans="1:11" ht="15">
      <c r="A124" s="324" t="s">
        <v>1912</v>
      </c>
      <c r="B124" s="159">
        <v>5550090</v>
      </c>
      <c r="C124" s="344">
        <v>115.6892892</v>
      </c>
      <c r="D124" s="344">
        <v>23.310428200000004</v>
      </c>
      <c r="E124" s="344">
        <v>59.3789764</v>
      </c>
      <c r="F124" s="344">
        <v>76.0048212</v>
      </c>
      <c r="G124" s="344">
        <v>61.356485</v>
      </c>
      <c r="H124" s="274"/>
      <c r="I124" s="325">
        <f t="shared" si="5"/>
        <v>335.74</v>
      </c>
      <c r="J124" t="s">
        <v>1547</v>
      </c>
      <c r="K124" s="298">
        <f t="shared" si="4"/>
      </c>
    </row>
    <row r="125" spans="1:11" ht="15">
      <c r="A125" s="324" t="s">
        <v>1913</v>
      </c>
      <c r="B125" s="159">
        <v>4470203</v>
      </c>
      <c r="C125" s="344">
        <v>3127.1944403999996</v>
      </c>
      <c r="D125" s="344">
        <v>630.1036334</v>
      </c>
      <c r="E125" s="344">
        <v>1605.0717067999997</v>
      </c>
      <c r="F125" s="344">
        <v>2054.4845244</v>
      </c>
      <c r="G125" s="344">
        <v>1658.5256949999998</v>
      </c>
      <c r="H125" s="274"/>
      <c r="I125" s="325">
        <f t="shared" si="5"/>
        <v>9075.38</v>
      </c>
      <c r="J125" t="s">
        <v>1547</v>
      </c>
      <c r="K125" s="298">
        <f t="shared" si="4"/>
      </c>
    </row>
    <row r="126" spans="1:11" ht="15">
      <c r="A126" s="324" t="s">
        <v>1913</v>
      </c>
      <c r="B126" s="159">
        <v>4470098</v>
      </c>
      <c r="C126" s="344">
        <v>271.56005220000003</v>
      </c>
      <c r="D126" s="344">
        <v>54.717088700000005</v>
      </c>
      <c r="E126" s="344">
        <v>139.3815974</v>
      </c>
      <c r="F126" s="344">
        <v>178.40781420000002</v>
      </c>
      <c r="G126" s="344">
        <v>144.0234475</v>
      </c>
      <c r="H126" s="274"/>
      <c r="I126" s="325">
        <f t="shared" si="5"/>
        <v>788.0900000000001</v>
      </c>
      <c r="J126" t="s">
        <v>328</v>
      </c>
      <c r="K126" s="298">
        <f t="shared" si="4"/>
        <v>788.0900000000001</v>
      </c>
    </row>
    <row r="127" spans="1:11" ht="15">
      <c r="A127" s="324" t="s">
        <v>1584</v>
      </c>
      <c r="B127" s="159">
        <v>4470203</v>
      </c>
      <c r="C127" s="344">
        <v>61.052684400000004</v>
      </c>
      <c r="D127" s="344">
        <v>12.301607400000002</v>
      </c>
      <c r="E127" s="344">
        <v>31.3360548</v>
      </c>
      <c r="F127" s="344">
        <v>40.1100084</v>
      </c>
      <c r="G127" s="344">
        <v>32.379645000000004</v>
      </c>
      <c r="H127" s="274"/>
      <c r="I127" s="325">
        <f t="shared" si="5"/>
        <v>177.18</v>
      </c>
      <c r="J127" t="s">
        <v>1547</v>
      </c>
      <c r="K127" s="298">
        <f t="shared" si="4"/>
      </c>
    </row>
    <row r="128" spans="1:11" ht="15">
      <c r="A128" s="324" t="s">
        <v>1523</v>
      </c>
      <c r="B128" s="159">
        <v>4470203</v>
      </c>
      <c r="C128" s="344">
        <v>4307.6703876</v>
      </c>
      <c r="D128" s="344">
        <v>867.9597046</v>
      </c>
      <c r="E128" s="344">
        <v>2210.9657691999996</v>
      </c>
      <c r="F128" s="344">
        <v>2830.0261836</v>
      </c>
      <c r="G128" s="344">
        <v>2284.5979549999997</v>
      </c>
      <c r="H128" s="274"/>
      <c r="I128" s="325">
        <f t="shared" si="5"/>
        <v>12501.22</v>
      </c>
      <c r="J128" t="s">
        <v>1547</v>
      </c>
      <c r="K128" s="298">
        <f t="shared" si="4"/>
      </c>
    </row>
    <row r="129" spans="1:11" ht="15">
      <c r="A129" s="324" t="s">
        <v>1584</v>
      </c>
      <c r="B129" s="159">
        <v>4470098</v>
      </c>
      <c r="C129" s="344">
        <v>5.2996404</v>
      </c>
      <c r="D129" s="344">
        <v>1.0678334</v>
      </c>
      <c r="E129" s="344">
        <v>2.7201068</v>
      </c>
      <c r="F129" s="344">
        <v>3.4817244</v>
      </c>
      <c r="G129" s="344">
        <v>2.810695</v>
      </c>
      <c r="H129" s="274"/>
      <c r="I129" s="325">
        <f t="shared" si="5"/>
        <v>15.379999999999999</v>
      </c>
      <c r="J129" t="s">
        <v>328</v>
      </c>
      <c r="K129" s="298">
        <f t="shared" si="4"/>
        <v>15.379999999999999</v>
      </c>
    </row>
    <row r="130" spans="1:11" ht="15">
      <c r="A130" s="324" t="s">
        <v>1523</v>
      </c>
      <c r="B130" s="159">
        <v>4470098</v>
      </c>
      <c r="C130" s="344">
        <v>374.0691564</v>
      </c>
      <c r="D130" s="344">
        <v>75.3718194</v>
      </c>
      <c r="E130" s="344">
        <v>191.99567879999998</v>
      </c>
      <c r="F130" s="344">
        <v>245.75360039999998</v>
      </c>
      <c r="G130" s="344">
        <v>198.38974499999998</v>
      </c>
      <c r="H130" s="274"/>
      <c r="I130" s="325">
        <f t="shared" si="5"/>
        <v>1085.58</v>
      </c>
      <c r="J130" t="s">
        <v>328</v>
      </c>
      <c r="K130" s="298">
        <f t="shared" si="4"/>
        <v>1085.58</v>
      </c>
    </row>
    <row r="131" spans="1:11" ht="15">
      <c r="A131" s="324" t="s">
        <v>1527</v>
      </c>
      <c r="B131" s="159">
        <v>5550076</v>
      </c>
      <c r="C131" s="344">
        <v>214.73191859999997</v>
      </c>
      <c r="D131" s="344">
        <v>43.2666931</v>
      </c>
      <c r="E131" s="344">
        <v>110.21384619999999</v>
      </c>
      <c r="F131" s="344">
        <v>141.0732246</v>
      </c>
      <c r="G131" s="344">
        <v>113.8843175</v>
      </c>
      <c r="H131" s="274"/>
      <c r="I131" s="325">
        <f t="shared" si="5"/>
        <v>623.17</v>
      </c>
      <c r="J131" t="s">
        <v>1547</v>
      </c>
      <c r="K131" s="298">
        <f t="shared" si="4"/>
      </c>
    </row>
    <row r="132" spans="1:11" ht="15">
      <c r="A132" s="324" t="s">
        <v>1580</v>
      </c>
      <c r="B132" s="159">
        <v>4470115</v>
      </c>
      <c r="C132" s="344">
        <v>2952.3407652</v>
      </c>
      <c r="D132" s="344">
        <v>594.8720742</v>
      </c>
      <c r="E132" s="344">
        <v>1515.3258684</v>
      </c>
      <c r="F132" s="344">
        <v>1939.6102572000002</v>
      </c>
      <c r="G132" s="344">
        <v>1565.791035</v>
      </c>
      <c r="H132" s="274"/>
      <c r="I132" s="325">
        <f t="shared" si="5"/>
        <v>8567.94</v>
      </c>
      <c r="J132" t="s">
        <v>328</v>
      </c>
      <c r="K132" s="298">
        <f t="shared" si="4"/>
        <v>8567.94</v>
      </c>
    </row>
    <row r="133" spans="1:11" ht="15">
      <c r="A133" s="324" t="s">
        <v>1585</v>
      </c>
      <c r="B133" s="159">
        <v>4470093</v>
      </c>
      <c r="C133" s="344">
        <v>-33.8308644</v>
      </c>
      <c r="D133" s="344">
        <v>-6.816637400000001</v>
      </c>
      <c r="E133" s="344">
        <v>-17.3641148</v>
      </c>
      <c r="F133" s="344">
        <v>-22.225988400000002</v>
      </c>
      <c r="G133" s="344">
        <v>-17.942395</v>
      </c>
      <c r="H133" s="274"/>
      <c r="I133" s="325">
        <f t="shared" si="5"/>
        <v>-98.18</v>
      </c>
      <c r="J133" t="s">
        <v>1547</v>
      </c>
      <c r="K133" s="298">
        <f t="shared" si="4"/>
      </c>
    </row>
    <row r="134" spans="1:11" ht="15">
      <c r="A134" s="324" t="s">
        <v>206</v>
      </c>
      <c r="B134" s="159">
        <v>5550040</v>
      </c>
      <c r="C134" s="344">
        <v>0.6994973999999999</v>
      </c>
      <c r="D134" s="344">
        <v>0.1409429</v>
      </c>
      <c r="E134" s="344">
        <v>0.35902579999999995</v>
      </c>
      <c r="F134" s="344">
        <v>0.45955139999999994</v>
      </c>
      <c r="G134" s="344">
        <v>0.37098249999999994</v>
      </c>
      <c r="H134" s="274"/>
      <c r="I134" s="325">
        <f t="shared" si="5"/>
        <v>2.03</v>
      </c>
      <c r="J134" t="s">
        <v>1547</v>
      </c>
      <c r="K134" s="298">
        <f t="shared" si="4"/>
      </c>
    </row>
    <row r="135" spans="1:11" ht="15">
      <c r="A135" s="324" t="s">
        <v>206</v>
      </c>
      <c r="B135" s="159">
        <v>5550039</v>
      </c>
      <c r="C135" s="344">
        <v>0.0585786</v>
      </c>
      <c r="D135" s="344">
        <v>0.011803100000000002</v>
      </c>
      <c r="E135" s="344">
        <v>0.0300662</v>
      </c>
      <c r="F135" s="344">
        <v>0.0384846</v>
      </c>
      <c r="G135" s="344">
        <v>0.0310675</v>
      </c>
      <c r="H135" s="274">
        <v>303.95</v>
      </c>
      <c r="I135" s="325">
        <f t="shared" si="5"/>
        <v>0.17</v>
      </c>
      <c r="J135" t="s">
        <v>328</v>
      </c>
      <c r="K135" s="298">
        <f aca="true" t="shared" si="6" ref="K135:K207">IF(J135="East Zone SIA",I135,"")</f>
        <v>0.17</v>
      </c>
    </row>
    <row r="136" spans="1:11" ht="15">
      <c r="A136" s="324" t="s">
        <v>1576</v>
      </c>
      <c r="B136" s="159">
        <v>5614001</v>
      </c>
      <c r="C136" s="344">
        <v>18.5315124</v>
      </c>
      <c r="D136" s="344">
        <v>3.7339454000000005</v>
      </c>
      <c r="E136" s="344">
        <v>9.5115308</v>
      </c>
      <c r="F136" s="344">
        <v>12.1747164</v>
      </c>
      <c r="G136" s="344">
        <v>9.828295</v>
      </c>
      <c r="H136" s="274">
        <v>0</v>
      </c>
      <c r="I136" s="325">
        <f t="shared" si="5"/>
        <v>53.78</v>
      </c>
      <c r="J136" t="s">
        <v>1547</v>
      </c>
      <c r="K136" s="298">
        <f t="shared" si="6"/>
      </c>
    </row>
    <row r="137" spans="1:11" ht="15">
      <c r="A137" s="324" t="s">
        <v>1576</v>
      </c>
      <c r="B137" s="159">
        <v>5614000</v>
      </c>
      <c r="C137" s="344">
        <v>1.6091886</v>
      </c>
      <c r="D137" s="344">
        <v>0.32423810000000003</v>
      </c>
      <c r="E137" s="344">
        <v>0.8259361999999999</v>
      </c>
      <c r="F137" s="344">
        <v>1.0571945999999999</v>
      </c>
      <c r="G137" s="344">
        <v>0.8534425</v>
      </c>
      <c r="H137" s="274">
        <v>-23274.86</v>
      </c>
      <c r="I137" s="325">
        <f t="shared" si="5"/>
        <v>4.67</v>
      </c>
      <c r="J137" t="s">
        <v>328</v>
      </c>
      <c r="K137" s="298">
        <f t="shared" si="6"/>
        <v>4.67</v>
      </c>
    </row>
    <row r="138" spans="1:11" ht="15">
      <c r="A138" s="324" t="s">
        <v>207</v>
      </c>
      <c r="B138" s="159">
        <v>5614001</v>
      </c>
      <c r="C138" s="344">
        <v>-6.2300064</v>
      </c>
      <c r="D138" s="344">
        <v>-1.2552944</v>
      </c>
      <c r="E138" s="344">
        <v>-3.1976287999999995</v>
      </c>
      <c r="F138" s="344">
        <v>-4.092950399999999</v>
      </c>
      <c r="G138" s="344">
        <v>-3.3041199999999997</v>
      </c>
      <c r="H138" s="274">
        <v>1371.6</v>
      </c>
      <c r="I138" s="325">
        <f t="shared" si="5"/>
        <v>-18.08</v>
      </c>
      <c r="J138" t="s">
        <v>1547</v>
      </c>
      <c r="K138" s="298">
        <f t="shared" si="6"/>
      </c>
    </row>
    <row r="139" spans="1:11" ht="15">
      <c r="A139" s="324" t="s">
        <v>207</v>
      </c>
      <c r="B139" s="159">
        <v>5614000</v>
      </c>
      <c r="C139" s="344">
        <v>-0.5409906</v>
      </c>
      <c r="D139" s="344">
        <v>-0.10900510000000001</v>
      </c>
      <c r="E139" s="344">
        <v>-0.2776702</v>
      </c>
      <c r="F139" s="344">
        <v>-0.3554166</v>
      </c>
      <c r="G139" s="344">
        <v>-0.2869175</v>
      </c>
      <c r="H139" s="274">
        <v>2306.77</v>
      </c>
      <c r="I139" s="325">
        <f t="shared" si="5"/>
        <v>-1.5699999999999998</v>
      </c>
      <c r="J139" t="s">
        <v>328</v>
      </c>
      <c r="K139" s="298">
        <f t="shared" si="6"/>
        <v>-1.5699999999999998</v>
      </c>
    </row>
    <row r="140" spans="1:11" ht="15">
      <c r="A140" s="324" t="s">
        <v>208</v>
      </c>
      <c r="B140" s="159">
        <v>5614001</v>
      </c>
      <c r="C140" s="344">
        <v>4.6828422</v>
      </c>
      <c r="D140" s="344">
        <v>0.9435537</v>
      </c>
      <c r="E140" s="344">
        <v>2.4035273999999998</v>
      </c>
      <c r="F140" s="344">
        <v>3.0765042</v>
      </c>
      <c r="G140" s="344">
        <v>2.4835724999999997</v>
      </c>
      <c r="H140" s="274"/>
      <c r="I140" s="325">
        <f t="shared" si="5"/>
        <v>13.59</v>
      </c>
      <c r="J140" t="s">
        <v>1547</v>
      </c>
      <c r="K140" s="298">
        <f t="shared" si="6"/>
      </c>
    </row>
    <row r="141" spans="1:11" ht="15">
      <c r="A141" s="324" t="s">
        <v>208</v>
      </c>
      <c r="B141" s="159">
        <v>5614000</v>
      </c>
      <c r="C141" s="344">
        <v>0.4066044</v>
      </c>
      <c r="D141" s="344">
        <v>0.0819274</v>
      </c>
      <c r="E141" s="344">
        <v>0.20869479999999999</v>
      </c>
      <c r="F141" s="344">
        <v>0.2671284</v>
      </c>
      <c r="G141" s="344">
        <v>0.21564499999999998</v>
      </c>
      <c r="H141" s="274"/>
      <c r="I141" s="325">
        <f t="shared" si="5"/>
        <v>1.1799999999999997</v>
      </c>
      <c r="J141" t="s">
        <v>328</v>
      </c>
      <c r="K141" s="298">
        <f t="shared" si="6"/>
        <v>1.1799999999999997</v>
      </c>
    </row>
    <row r="142" spans="1:11" ht="15">
      <c r="A142" s="324" t="s">
        <v>209</v>
      </c>
      <c r="B142" s="159">
        <v>5614001</v>
      </c>
      <c r="C142" s="344">
        <v>0.0551328</v>
      </c>
      <c r="D142" s="344">
        <v>0.0111088</v>
      </c>
      <c r="E142" s="344">
        <v>0.0282976</v>
      </c>
      <c r="F142" s="344">
        <v>0.0362208</v>
      </c>
      <c r="G142" s="344">
        <v>0.02924</v>
      </c>
      <c r="H142" s="274"/>
      <c r="I142" s="325">
        <f t="shared" si="5"/>
        <v>0.15999999999999998</v>
      </c>
      <c r="J142" t="s">
        <v>1547</v>
      </c>
      <c r="K142" s="298">
        <f t="shared" si="6"/>
      </c>
    </row>
    <row r="143" spans="1:11" ht="15">
      <c r="A143" s="324" t="s">
        <v>209</v>
      </c>
      <c r="B143" s="159">
        <v>5614000</v>
      </c>
      <c r="C143" s="344">
        <v>0.0034458</v>
      </c>
      <c r="D143" s="344">
        <v>0.0006943</v>
      </c>
      <c r="E143" s="344">
        <v>0.0017686</v>
      </c>
      <c r="F143" s="344">
        <v>0.0022638</v>
      </c>
      <c r="G143" s="344">
        <v>0.0018275</v>
      </c>
      <c r="H143" s="274"/>
      <c r="I143" s="325">
        <f t="shared" si="5"/>
        <v>0.009999999999999998</v>
      </c>
      <c r="J143" t="s">
        <v>328</v>
      </c>
      <c r="K143" s="298">
        <f t="shared" si="6"/>
        <v>0.009999999999999998</v>
      </c>
    </row>
    <row r="144" spans="1:11" ht="15">
      <c r="A144" s="324" t="s">
        <v>210</v>
      </c>
      <c r="B144" s="159">
        <v>5618001</v>
      </c>
      <c r="C144" s="344">
        <v>0.5720027999999999</v>
      </c>
      <c r="D144" s="344">
        <v>0.1152538</v>
      </c>
      <c r="E144" s="344">
        <v>0.29358759999999995</v>
      </c>
      <c r="F144" s="344">
        <v>0.3757908</v>
      </c>
      <c r="G144" s="344">
        <v>0.303365</v>
      </c>
      <c r="H144" s="274"/>
      <c r="I144" s="325">
        <f t="shared" si="5"/>
        <v>1.6599999999999997</v>
      </c>
      <c r="J144" t="s">
        <v>1547</v>
      </c>
      <c r="K144" s="298">
        <f t="shared" si="6"/>
      </c>
    </row>
    <row r="145" spans="1:11" ht="15">
      <c r="A145" s="324" t="s">
        <v>210</v>
      </c>
      <c r="B145" s="159">
        <v>5618000</v>
      </c>
      <c r="C145" s="344">
        <v>0.048241200000000005</v>
      </c>
      <c r="D145" s="344">
        <v>0.009720200000000002</v>
      </c>
      <c r="E145" s="344">
        <v>0.024760400000000002</v>
      </c>
      <c r="F145" s="344">
        <v>0.031693200000000005</v>
      </c>
      <c r="G145" s="344">
        <v>0.025585000000000004</v>
      </c>
      <c r="H145" s="274"/>
      <c r="I145" s="325">
        <f t="shared" si="5"/>
        <v>0.14</v>
      </c>
      <c r="J145" t="s">
        <v>328</v>
      </c>
      <c r="K145" s="298">
        <f t="shared" si="6"/>
        <v>0.14</v>
      </c>
    </row>
    <row r="146" spans="1:11" ht="15">
      <c r="A146" s="324" t="s">
        <v>211</v>
      </c>
      <c r="B146" s="159">
        <v>5618001</v>
      </c>
      <c r="C146" s="344">
        <v>0.792534</v>
      </c>
      <c r="D146" s="344">
        <v>0.159689</v>
      </c>
      <c r="E146" s="344">
        <v>0.4067779999999999</v>
      </c>
      <c r="F146" s="344">
        <v>0.520674</v>
      </c>
      <c r="G146" s="344">
        <v>0.42032499999999995</v>
      </c>
      <c r="H146" s="274"/>
      <c r="I146" s="325">
        <f t="shared" si="5"/>
        <v>2.3</v>
      </c>
      <c r="J146" t="s">
        <v>1547</v>
      </c>
      <c r="K146" s="298">
        <f t="shared" si="6"/>
      </c>
    </row>
    <row r="147" spans="1:11" ht="15">
      <c r="A147" s="324" t="s">
        <v>1578</v>
      </c>
      <c r="B147" s="159">
        <v>4470110</v>
      </c>
      <c r="C147" s="344">
        <v>5.0170848</v>
      </c>
      <c r="D147" s="344">
        <v>1.0109008000000002</v>
      </c>
      <c r="E147" s="344">
        <v>2.5750816</v>
      </c>
      <c r="F147" s="344">
        <v>3.2960928000000003</v>
      </c>
      <c r="G147" s="344">
        <v>2.66084</v>
      </c>
      <c r="H147" s="274"/>
      <c r="I147" s="325">
        <f t="shared" si="5"/>
        <v>14.56</v>
      </c>
      <c r="J147" t="s">
        <v>328</v>
      </c>
      <c r="K147" s="298">
        <f t="shared" si="6"/>
        <v>14.56</v>
      </c>
    </row>
    <row r="148" spans="1:11" ht="15">
      <c r="A148" s="324" t="s">
        <v>1579</v>
      </c>
      <c r="B148" s="159">
        <v>5550078</v>
      </c>
      <c r="C148" s="344">
        <v>23.345295</v>
      </c>
      <c r="D148" s="344">
        <v>4.703882500000001</v>
      </c>
      <c r="E148" s="344">
        <v>11.982265</v>
      </c>
      <c r="F148" s="344">
        <v>15.337245</v>
      </c>
      <c r="G148" s="344">
        <v>12.3813125</v>
      </c>
      <c r="H148" s="274"/>
      <c r="I148" s="325">
        <f t="shared" si="5"/>
        <v>67.75</v>
      </c>
      <c r="J148" t="s">
        <v>1547</v>
      </c>
      <c r="K148" s="298">
        <f t="shared" si="6"/>
      </c>
    </row>
    <row r="149" spans="1:11" ht="15">
      <c r="A149" s="324" t="s">
        <v>1577</v>
      </c>
      <c r="B149" s="159">
        <v>5550083</v>
      </c>
      <c r="C149" s="344">
        <v>1.0716438</v>
      </c>
      <c r="D149" s="344">
        <v>0.21592730000000002</v>
      </c>
      <c r="E149" s="344">
        <v>0.5500345999999999</v>
      </c>
      <c r="F149" s="344">
        <v>0.7040417999999999</v>
      </c>
      <c r="G149" s="344">
        <v>0.5683524999999999</v>
      </c>
      <c r="H149" s="274"/>
      <c r="I149" s="325">
        <f t="shared" si="5"/>
        <v>3.11</v>
      </c>
      <c r="J149" t="s">
        <v>1547</v>
      </c>
      <c r="K149" s="298">
        <f t="shared" si="6"/>
      </c>
    </row>
    <row r="150" spans="1:11" ht="15">
      <c r="A150" s="324" t="s">
        <v>1575</v>
      </c>
      <c r="B150" s="159">
        <v>5550041</v>
      </c>
      <c r="C150" s="344">
        <v>0.024120600000000002</v>
      </c>
      <c r="D150" s="344">
        <v>0.004860100000000001</v>
      </c>
      <c r="E150" s="344">
        <v>0.012380200000000001</v>
      </c>
      <c r="F150" s="344">
        <v>0.015846600000000002</v>
      </c>
      <c r="G150" s="344">
        <v>0.012792500000000002</v>
      </c>
      <c r="H150" s="274"/>
      <c r="I150" s="325">
        <f t="shared" si="5"/>
        <v>0.07</v>
      </c>
      <c r="J150" t="s">
        <v>1547</v>
      </c>
      <c r="K150" s="298">
        <f t="shared" si="6"/>
      </c>
    </row>
    <row r="151" spans="1:11" ht="15">
      <c r="A151" s="324" t="s">
        <v>138</v>
      </c>
      <c r="B151" s="159">
        <v>4470101</v>
      </c>
      <c r="C151" s="344">
        <v>56663.010863999996</v>
      </c>
      <c r="D151" s="344">
        <v>11417.124744</v>
      </c>
      <c r="E151" s="344">
        <v>29082.999887999995</v>
      </c>
      <c r="F151" s="344">
        <v>37226.108303999994</v>
      </c>
      <c r="G151" s="344">
        <v>30051.556199999995</v>
      </c>
      <c r="H151" s="274"/>
      <c r="I151" s="325">
        <f t="shared" si="5"/>
        <v>164440.8</v>
      </c>
      <c r="J151" t="s">
        <v>1547</v>
      </c>
      <c r="K151" s="298">
        <f t="shared" si="6"/>
      </c>
    </row>
    <row r="152" spans="1:11" ht="15">
      <c r="A152" s="324" t="s">
        <v>1535</v>
      </c>
      <c r="B152" s="159">
        <v>4470099</v>
      </c>
      <c r="C152" s="344">
        <v>326395.962072</v>
      </c>
      <c r="D152" s="344">
        <v>65766.06781200001</v>
      </c>
      <c r="E152" s="344">
        <v>167526.814824</v>
      </c>
      <c r="F152" s="344">
        <v>214433.565192</v>
      </c>
      <c r="G152" s="344">
        <v>173105.9901</v>
      </c>
      <c r="H152" s="274"/>
      <c r="I152" s="325">
        <f t="shared" si="5"/>
        <v>947228.4000000001</v>
      </c>
      <c r="J152" t="s">
        <v>328</v>
      </c>
      <c r="K152" s="298">
        <f t="shared" si="6"/>
        <v>947228.4000000001</v>
      </c>
    </row>
    <row r="153" spans="1:11" ht="15">
      <c r="A153" s="324" t="s">
        <v>2051</v>
      </c>
      <c r="B153" s="159">
        <v>4561002</v>
      </c>
      <c r="C153" s="344">
        <v>541.0691700000001</v>
      </c>
      <c r="D153" s="344">
        <v>130.38975000000002</v>
      </c>
      <c r="E153" s="344">
        <v>429.80325</v>
      </c>
      <c r="F153" s="344">
        <v>614.2806</v>
      </c>
      <c r="G153" s="344">
        <v>216.15723</v>
      </c>
      <c r="H153" s="274"/>
      <c r="I153" s="325">
        <f t="shared" si="5"/>
        <v>1931.7000000000003</v>
      </c>
      <c r="J153" t="s">
        <v>1547</v>
      </c>
      <c r="K153" s="298">
        <f t="shared" si="6"/>
      </c>
    </row>
    <row r="154" spans="1:11" ht="15">
      <c r="A154" s="324" t="s">
        <v>1532</v>
      </c>
      <c r="B154" s="159">
        <v>4561003</v>
      </c>
      <c r="C154" s="344">
        <v>356.95944000000003</v>
      </c>
      <c r="D154" s="344">
        <v>86.022</v>
      </c>
      <c r="E154" s="344">
        <v>283.55400000000003</v>
      </c>
      <c r="F154" s="344">
        <v>405.2592</v>
      </c>
      <c r="G154" s="344">
        <v>142.60536000000002</v>
      </c>
      <c r="H154" s="274"/>
      <c r="I154" s="325">
        <f t="shared" si="5"/>
        <v>1274.4</v>
      </c>
      <c r="J154" t="s">
        <v>1547</v>
      </c>
      <c r="K154" s="298">
        <f t="shared" si="6"/>
      </c>
    </row>
    <row r="155" spans="1:11" ht="15">
      <c r="A155" s="324" t="s">
        <v>1533</v>
      </c>
      <c r="B155" s="159">
        <v>4561005</v>
      </c>
      <c r="C155" s="344">
        <v>-2253.2327406</v>
      </c>
      <c r="D155" s="344">
        <v>-454.00763010000003</v>
      </c>
      <c r="E155" s="344">
        <v>-1156.4999202</v>
      </c>
      <c r="F155" s="344">
        <v>-1480.3146666</v>
      </c>
      <c r="G155" s="344">
        <v>-1195.0150425</v>
      </c>
      <c r="H155" s="274"/>
      <c r="I155" s="325">
        <f t="shared" si="5"/>
        <v>-6539.07</v>
      </c>
      <c r="J155" t="s">
        <v>1547</v>
      </c>
      <c r="K155" s="298">
        <f t="shared" si="6"/>
      </c>
    </row>
    <row r="156" spans="1:11" ht="15">
      <c r="A156" s="324" t="s">
        <v>1573</v>
      </c>
      <c r="B156" s="159">
        <v>4561005</v>
      </c>
      <c r="C156" s="344">
        <v>-26.36037</v>
      </c>
      <c r="D156" s="344">
        <v>-5.311395</v>
      </c>
      <c r="E156" s="344">
        <v>-13.529789999999998</v>
      </c>
      <c r="F156" s="344">
        <v>-17.31807</v>
      </c>
      <c r="G156" s="344">
        <v>-13.980375</v>
      </c>
      <c r="H156" s="274"/>
      <c r="I156" s="325">
        <f t="shared" si="5"/>
        <v>-76.5</v>
      </c>
      <c r="J156" t="s">
        <v>1547</v>
      </c>
      <c r="K156" s="298">
        <f t="shared" si="6"/>
      </c>
    </row>
    <row r="157" spans="1:11" ht="15">
      <c r="A157" s="324" t="s">
        <v>1537</v>
      </c>
      <c r="B157" s="159">
        <v>4561005</v>
      </c>
      <c r="C157" s="344">
        <v>-1088.18364</v>
      </c>
      <c r="D157" s="344">
        <v>-219.25994000000003</v>
      </c>
      <c r="E157" s="344">
        <v>-558.52388</v>
      </c>
      <c r="F157" s="344">
        <v>-714.90804</v>
      </c>
      <c r="G157" s="344">
        <v>-577.1245</v>
      </c>
      <c r="H157" s="274"/>
      <c r="I157" s="325">
        <f t="shared" si="5"/>
        <v>-3158</v>
      </c>
      <c r="J157" t="s">
        <v>1547</v>
      </c>
      <c r="K157" s="298">
        <f t="shared" si="6"/>
      </c>
    </row>
    <row r="158" spans="1:11" ht="15">
      <c r="A158" s="324" t="s">
        <v>1534</v>
      </c>
      <c r="B158" s="159">
        <v>4470101</v>
      </c>
      <c r="C158" s="344">
        <v>-37826.114439</v>
      </c>
      <c r="D158" s="344">
        <v>-7621.647006500001</v>
      </c>
      <c r="E158" s="344">
        <v>-19414.726913</v>
      </c>
      <c r="F158" s="344">
        <v>-24850.762629</v>
      </c>
      <c r="G158" s="344">
        <v>-20061.2990125</v>
      </c>
      <c r="H158" s="274"/>
      <c r="I158" s="325">
        <f t="shared" si="5"/>
        <v>-109774.54999999999</v>
      </c>
      <c r="J158" t="s">
        <v>1547</v>
      </c>
      <c r="K158" s="298">
        <f t="shared" si="6"/>
      </c>
    </row>
    <row r="159" spans="1:11" ht="15">
      <c r="A159" s="324" t="s">
        <v>1546</v>
      </c>
      <c r="B159" s="159">
        <v>4470208</v>
      </c>
      <c r="C159" s="344">
        <v>0</v>
      </c>
      <c r="D159" s="344">
        <v>0</v>
      </c>
      <c r="E159" s="344">
        <v>0</v>
      </c>
      <c r="F159" s="344">
        <v>0</v>
      </c>
      <c r="G159" s="344">
        <v>0</v>
      </c>
      <c r="H159" s="274"/>
      <c r="I159" s="325">
        <f t="shared" si="5"/>
        <v>0</v>
      </c>
      <c r="J159" t="s">
        <v>1547</v>
      </c>
      <c r="K159" s="298">
        <f t="shared" si="6"/>
      </c>
    </row>
    <row r="160" spans="1:11" ht="15">
      <c r="A160" s="324" t="s">
        <v>1546</v>
      </c>
      <c r="B160" s="159">
        <v>4470206</v>
      </c>
      <c r="C160" s="344">
        <v>0</v>
      </c>
      <c r="D160" s="344">
        <v>0</v>
      </c>
      <c r="E160" s="344">
        <v>0</v>
      </c>
      <c r="F160" s="344">
        <v>0</v>
      </c>
      <c r="G160" s="344">
        <v>0</v>
      </c>
      <c r="H160" s="274"/>
      <c r="I160" s="325">
        <f t="shared" si="5"/>
        <v>0</v>
      </c>
      <c r="J160" t="s">
        <v>328</v>
      </c>
      <c r="K160" s="298">
        <f t="shared" si="6"/>
        <v>0</v>
      </c>
    </row>
    <row r="161" spans="1:11" ht="15">
      <c r="A161" s="324" t="s">
        <v>1546</v>
      </c>
      <c r="B161" s="159">
        <v>4470006</v>
      </c>
      <c r="C161" s="344">
        <v>0</v>
      </c>
      <c r="D161" s="344">
        <v>0</v>
      </c>
      <c r="E161" s="344">
        <v>0</v>
      </c>
      <c r="F161" s="344">
        <v>0</v>
      </c>
      <c r="G161" s="344">
        <v>0</v>
      </c>
      <c r="H161" s="274"/>
      <c r="I161" s="325">
        <f t="shared" si="5"/>
        <v>0</v>
      </c>
      <c r="J161" t="s">
        <v>328</v>
      </c>
      <c r="K161" s="298">
        <f t="shared" si="6"/>
        <v>0</v>
      </c>
    </row>
    <row r="162" spans="1:11" ht="15">
      <c r="A162" s="324" t="s">
        <v>1587</v>
      </c>
      <c r="B162" s="159">
        <v>4470208</v>
      </c>
      <c r="C162" s="344">
        <v>-61.231866</v>
      </c>
      <c r="D162" s="344">
        <v>-12.337711</v>
      </c>
      <c r="E162" s="344">
        <v>-31.428021999999995</v>
      </c>
      <c r="F162" s="344">
        <v>-40.227726</v>
      </c>
      <c r="G162" s="344">
        <v>-32.474675</v>
      </c>
      <c r="H162" s="274"/>
      <c r="I162" s="325">
        <f t="shared" si="5"/>
        <v>-177.7</v>
      </c>
      <c r="J162" t="s">
        <v>1547</v>
      </c>
      <c r="K162" s="298">
        <f t="shared" si="6"/>
      </c>
    </row>
    <row r="163" spans="1:11" ht="15">
      <c r="A163" s="324" t="s">
        <v>1587</v>
      </c>
      <c r="B163" s="159">
        <v>4470206</v>
      </c>
      <c r="C163" s="344">
        <v>-5.3168694</v>
      </c>
      <c r="D163" s="344">
        <v>-1.0713049000000001</v>
      </c>
      <c r="E163" s="344">
        <v>-2.7289497999999996</v>
      </c>
      <c r="F163" s="344">
        <v>-3.4930434</v>
      </c>
      <c r="G163" s="344">
        <v>-2.8198325</v>
      </c>
      <c r="H163" s="274"/>
      <c r="I163" s="325">
        <f t="shared" si="5"/>
        <v>-15.43</v>
      </c>
      <c r="J163" t="s">
        <v>328</v>
      </c>
      <c r="K163" s="298">
        <f t="shared" si="6"/>
        <v>-15.43</v>
      </c>
    </row>
    <row r="164" spans="1:11" ht="15">
      <c r="A164" s="324" t="s">
        <v>1522</v>
      </c>
      <c r="B164" s="159">
        <v>4470101</v>
      </c>
      <c r="C164" s="344">
        <v>-58679.527482</v>
      </c>
      <c r="D164" s="344">
        <v>-11823.436047000001</v>
      </c>
      <c r="E164" s="344">
        <v>-30118.002293999998</v>
      </c>
      <c r="F164" s="344">
        <v>-38550.906702</v>
      </c>
      <c r="G164" s="344">
        <v>-31121.027475</v>
      </c>
      <c r="H164" s="274"/>
      <c r="I164" s="325">
        <f t="shared" si="5"/>
        <v>-170292.90000000002</v>
      </c>
      <c r="J164" t="s">
        <v>1547</v>
      </c>
      <c r="K164" s="298">
        <f t="shared" si="6"/>
      </c>
    </row>
    <row r="165" spans="1:11" ht="15">
      <c r="A165" s="324" t="s">
        <v>1574</v>
      </c>
      <c r="B165" s="159">
        <v>4470099</v>
      </c>
      <c r="C165" s="344">
        <v>-18.0077508</v>
      </c>
      <c r="D165" s="344">
        <v>-3.6284118000000003</v>
      </c>
      <c r="E165" s="344">
        <v>-9.242703599999999</v>
      </c>
      <c r="F165" s="344">
        <v>-11.8306188</v>
      </c>
      <c r="G165" s="344">
        <v>-9.550514999999999</v>
      </c>
      <c r="H165" s="274"/>
      <c r="I165" s="325">
        <f t="shared" si="5"/>
        <v>-52.26</v>
      </c>
      <c r="J165" t="s">
        <v>328</v>
      </c>
      <c r="K165" s="298">
        <f t="shared" si="6"/>
        <v>-52.26</v>
      </c>
    </row>
    <row r="166" spans="1:11" ht="15">
      <c r="A166" s="324" t="s">
        <v>1473</v>
      </c>
      <c r="B166" s="159">
        <v>4470101</v>
      </c>
      <c r="C166" s="344">
        <v>-3.9454409999999998</v>
      </c>
      <c r="D166" s="344">
        <v>-0.7949735</v>
      </c>
      <c r="E166" s="344">
        <v>-2.025047</v>
      </c>
      <c r="F166" s="344">
        <v>-2.5920509999999997</v>
      </c>
      <c r="G166" s="344">
        <v>-2.0924875</v>
      </c>
      <c r="H166" s="274"/>
      <c r="I166" s="325">
        <f t="shared" si="5"/>
        <v>-11.45</v>
      </c>
      <c r="J166" t="s">
        <v>1547</v>
      </c>
      <c r="K166" s="298">
        <f t="shared" si="6"/>
      </c>
    </row>
    <row r="167" spans="1:11" ht="15">
      <c r="A167" s="324" t="s">
        <v>39</v>
      </c>
      <c r="B167" s="159">
        <v>4470208</v>
      </c>
      <c r="C167" s="344">
        <v>12.6736524</v>
      </c>
      <c r="D167" s="344">
        <v>2.5536354</v>
      </c>
      <c r="E167" s="344">
        <v>6.5049108</v>
      </c>
      <c r="F167" s="344">
        <v>8.3262564</v>
      </c>
      <c r="G167" s="344">
        <v>6.721545</v>
      </c>
      <c r="H167" s="274"/>
      <c r="I167" s="325">
        <f t="shared" si="5"/>
        <v>36.78</v>
      </c>
      <c r="J167" t="s">
        <v>1547</v>
      </c>
      <c r="K167" s="298">
        <f t="shared" si="6"/>
      </c>
    </row>
    <row r="168" spans="1:11" ht="15">
      <c r="A168" s="324" t="s">
        <v>45</v>
      </c>
      <c r="B168" s="159">
        <v>4470099</v>
      </c>
      <c r="C168" s="344">
        <v>-16.229718000000002</v>
      </c>
      <c r="D168" s="344">
        <v>-3.2701530000000005</v>
      </c>
      <c r="E168" s="344">
        <v>-8.330105999999999</v>
      </c>
      <c r="F168" s="344">
        <v>-10.662498</v>
      </c>
      <c r="G168" s="344">
        <v>-8.607525</v>
      </c>
      <c r="H168" s="274"/>
      <c r="I168" s="325">
        <f t="shared" si="5"/>
        <v>-47.1</v>
      </c>
      <c r="J168" t="s">
        <v>328</v>
      </c>
      <c r="K168" s="298">
        <f t="shared" si="6"/>
        <v>-47.1</v>
      </c>
    </row>
    <row r="169" spans="1:11" ht="15">
      <c r="A169" s="324" t="s">
        <v>40</v>
      </c>
      <c r="B169" s="159">
        <v>5550083</v>
      </c>
      <c r="C169" s="344">
        <v>406.3149528</v>
      </c>
      <c r="D169" s="344">
        <v>81.86907880000001</v>
      </c>
      <c r="E169" s="344">
        <v>208.5462376</v>
      </c>
      <c r="F169" s="344">
        <v>266.9382408</v>
      </c>
      <c r="G169" s="344">
        <v>215.49149</v>
      </c>
      <c r="H169" s="274"/>
      <c r="I169" s="325">
        <f t="shared" si="5"/>
        <v>1179.16</v>
      </c>
      <c r="J169" t="s">
        <v>1547</v>
      </c>
      <c r="K169" s="298">
        <f t="shared" si="6"/>
      </c>
    </row>
    <row r="170" spans="1:11" ht="15">
      <c r="A170" s="324" t="s">
        <v>41</v>
      </c>
      <c r="B170" s="159">
        <v>4470203</v>
      </c>
      <c r="C170" s="344">
        <v>90.62501689871999</v>
      </c>
      <c r="D170" s="344">
        <v>18.26018609112</v>
      </c>
      <c r="E170" s="344">
        <v>46.51442477423999</v>
      </c>
      <c r="F170" s="344">
        <v>59.538253309919995</v>
      </c>
      <c r="G170" s="344">
        <v>48.06350292599999</v>
      </c>
      <c r="H170" s="274"/>
      <c r="I170" s="325">
        <f t="shared" si="5"/>
        <v>263.001384</v>
      </c>
      <c r="J170" t="s">
        <v>1547</v>
      </c>
      <c r="K170" s="298">
        <f t="shared" si="6"/>
      </c>
    </row>
    <row r="171" spans="1:11" ht="15">
      <c r="A171" s="324" t="s">
        <v>41</v>
      </c>
      <c r="B171" s="159">
        <v>4470098</v>
      </c>
      <c r="C171" s="344">
        <v>7.86973030128</v>
      </c>
      <c r="D171" s="344">
        <v>1.58568510888</v>
      </c>
      <c r="E171" s="344">
        <v>4.039237625759999</v>
      </c>
      <c r="F171" s="344">
        <v>5.170205890079999</v>
      </c>
      <c r="G171" s="344">
        <v>4.173757073999999</v>
      </c>
      <c r="H171" s="274"/>
      <c r="I171" s="325">
        <f t="shared" si="5"/>
        <v>22.838615999999995</v>
      </c>
      <c r="J171" t="s">
        <v>328</v>
      </c>
      <c r="K171" s="298">
        <f t="shared" si="6"/>
        <v>22.838615999999995</v>
      </c>
    </row>
    <row r="172" spans="1:11" ht="15">
      <c r="A172" s="324" t="s">
        <v>1914</v>
      </c>
      <c r="B172" s="159">
        <v>4470203</v>
      </c>
      <c r="C172" s="344">
        <v>4.80010759812</v>
      </c>
      <c r="D172" s="344">
        <v>0.9671817010200001</v>
      </c>
      <c r="E172" s="344">
        <v>2.46371533404</v>
      </c>
      <c r="F172" s="344">
        <v>3.15354448332</v>
      </c>
      <c r="G172" s="344">
        <v>2.5457648835</v>
      </c>
      <c r="H172" s="274"/>
      <c r="I172" s="325">
        <f t="shared" si="5"/>
        <v>13.930314000000001</v>
      </c>
      <c r="J172" t="s">
        <v>1547</v>
      </c>
      <c r="K172" s="298">
        <f t="shared" si="6"/>
      </c>
    </row>
    <row r="173" spans="1:11" ht="15">
      <c r="A173" s="324" t="s">
        <v>1914</v>
      </c>
      <c r="B173" s="159">
        <v>4470098</v>
      </c>
      <c r="C173" s="344">
        <v>0.41683360188</v>
      </c>
      <c r="D173" s="344">
        <v>0.08398849898</v>
      </c>
      <c r="E173" s="344">
        <v>0.21394506595999999</v>
      </c>
      <c r="F173" s="344">
        <v>0.27384871668</v>
      </c>
      <c r="G173" s="344">
        <v>0.2210701165</v>
      </c>
      <c r="H173" s="274"/>
      <c r="I173" s="325">
        <f t="shared" si="5"/>
        <v>1.209686</v>
      </c>
      <c r="J173" t="s">
        <v>328</v>
      </c>
      <c r="K173" s="298">
        <f t="shared" si="6"/>
        <v>1.209686</v>
      </c>
    </row>
    <row r="174" spans="1:11" ht="15">
      <c r="A174" s="324" t="s">
        <v>1586</v>
      </c>
      <c r="B174" s="159">
        <v>4470207</v>
      </c>
      <c r="C174" s="344">
        <v>-81.3312174</v>
      </c>
      <c r="D174" s="344">
        <v>-16.387562900000002</v>
      </c>
      <c r="E174" s="344">
        <v>-41.7442658</v>
      </c>
      <c r="F174" s="344">
        <v>-53.4324714</v>
      </c>
      <c r="G174" s="344">
        <v>-43.1344825</v>
      </c>
      <c r="H174" s="274"/>
      <c r="I174" s="325">
        <f t="shared" si="5"/>
        <v>-236.03</v>
      </c>
      <c r="J174" t="s">
        <v>1547</v>
      </c>
      <c r="K174" s="298">
        <f t="shared" si="6"/>
      </c>
    </row>
    <row r="175" spans="1:11" ht="15">
      <c r="A175" s="324" t="s">
        <v>1561</v>
      </c>
      <c r="B175" s="159">
        <v>5614001</v>
      </c>
      <c r="C175" s="344">
        <v>0.58336842672</v>
      </c>
      <c r="D175" s="344">
        <v>0.11754387912000001</v>
      </c>
      <c r="E175" s="344">
        <v>0.29942115024</v>
      </c>
      <c r="F175" s="344">
        <v>0.38325771792</v>
      </c>
      <c r="G175" s="344">
        <v>0.309392826</v>
      </c>
      <c r="H175" s="274"/>
      <c r="I175" s="325">
        <f t="shared" si="5"/>
        <v>1.692984</v>
      </c>
      <c r="J175" t="s">
        <v>1547</v>
      </c>
      <c r="K175" s="298">
        <f t="shared" si="6"/>
      </c>
    </row>
    <row r="176" spans="1:11" ht="15">
      <c r="A176" s="324" t="s">
        <v>1561</v>
      </c>
      <c r="B176" s="159">
        <v>5614000</v>
      </c>
      <c r="C176" s="344">
        <v>0.05065877328</v>
      </c>
      <c r="D176" s="344">
        <v>0.01020732088</v>
      </c>
      <c r="E176" s="344">
        <v>0.02600124976</v>
      </c>
      <c r="F176" s="344">
        <v>0.03328148208</v>
      </c>
      <c r="G176" s="344">
        <v>0.026867174</v>
      </c>
      <c r="H176" s="274"/>
      <c r="I176" s="325">
        <f t="shared" si="5"/>
        <v>0.147016</v>
      </c>
      <c r="J176" t="s">
        <v>328</v>
      </c>
      <c r="K176" s="298">
        <f t="shared" si="6"/>
        <v>0.147016</v>
      </c>
    </row>
    <row r="177" spans="1:11" ht="15">
      <c r="A177" s="324" t="s">
        <v>1562</v>
      </c>
      <c r="B177" s="159">
        <v>5614001</v>
      </c>
      <c r="C177" s="344">
        <v>0.45020824235999995</v>
      </c>
      <c r="D177" s="344">
        <v>0.09071321105999999</v>
      </c>
      <c r="E177" s="344">
        <v>0.23107501811999998</v>
      </c>
      <c r="F177" s="344">
        <v>0.29577497795999996</v>
      </c>
      <c r="G177" s="344">
        <v>0.23877055049999998</v>
      </c>
      <c r="H177" s="274"/>
      <c r="I177" s="325">
        <f t="shared" si="5"/>
        <v>1.3065419999999999</v>
      </c>
      <c r="J177" t="s">
        <v>1547</v>
      </c>
      <c r="K177" s="298">
        <f t="shared" si="6"/>
      </c>
    </row>
    <row r="178" spans="1:11" ht="15">
      <c r="A178" s="324" t="s">
        <v>1562</v>
      </c>
      <c r="B178" s="159">
        <v>5614000</v>
      </c>
      <c r="C178" s="344">
        <v>0.039095357639999995</v>
      </c>
      <c r="D178" s="344">
        <v>0.00787738894</v>
      </c>
      <c r="E178" s="344">
        <v>0.020066181879999995</v>
      </c>
      <c r="F178" s="344">
        <v>0.025684622039999997</v>
      </c>
      <c r="G178" s="344">
        <v>0.0207344495</v>
      </c>
      <c r="H178" s="274"/>
      <c r="I178" s="325">
        <f t="shared" si="5"/>
        <v>0.11345799999999999</v>
      </c>
      <c r="J178" t="s">
        <v>328</v>
      </c>
      <c r="K178" s="298">
        <f t="shared" si="6"/>
        <v>0.11345799999999999</v>
      </c>
    </row>
    <row r="179" spans="1:11" ht="15">
      <c r="A179" s="324" t="s">
        <v>535</v>
      </c>
      <c r="B179" s="159">
        <v>4470203</v>
      </c>
      <c r="C179" s="344">
        <v>3.5667906525</v>
      </c>
      <c r="D179" s="344">
        <v>0.71867860875</v>
      </c>
      <c r="E179" s="344">
        <v>1.8306999674999997</v>
      </c>
      <c r="F179" s="344">
        <v>2.3432876774999998</v>
      </c>
      <c r="G179" s="344">
        <v>1.89166809375</v>
      </c>
      <c r="H179" s="274"/>
      <c r="I179" s="325">
        <f t="shared" si="5"/>
        <v>10.351125</v>
      </c>
      <c r="J179" t="s">
        <v>1547</v>
      </c>
      <c r="K179" s="298">
        <f t="shared" si="6"/>
      </c>
    </row>
    <row r="180" spans="1:11" ht="15">
      <c r="A180" s="324" t="s">
        <v>535</v>
      </c>
      <c r="B180" s="159">
        <v>4470098</v>
      </c>
      <c r="C180" s="344">
        <v>0.3097343475</v>
      </c>
      <c r="D180" s="344">
        <v>0.06240889125</v>
      </c>
      <c r="E180" s="344">
        <v>0.15897503249999997</v>
      </c>
      <c r="F180" s="344">
        <v>0.20348732249999998</v>
      </c>
      <c r="G180" s="344">
        <v>0.16426940625</v>
      </c>
      <c r="H180" s="274">
        <v>-48763.14</v>
      </c>
      <c r="I180" s="325">
        <f t="shared" si="5"/>
        <v>0.898875</v>
      </c>
      <c r="J180" t="s">
        <v>328</v>
      </c>
      <c r="K180" s="298">
        <f t="shared" si="6"/>
        <v>0.898875</v>
      </c>
    </row>
    <row r="181" spans="1:11" ht="15">
      <c r="A181" s="324" t="s">
        <v>1563</v>
      </c>
      <c r="B181" s="159">
        <v>5550090</v>
      </c>
      <c r="C181" s="344">
        <v>0.1826274</v>
      </c>
      <c r="D181" s="344">
        <v>0.0367979</v>
      </c>
      <c r="E181" s="344">
        <v>0.0937358</v>
      </c>
      <c r="F181" s="344">
        <v>0.1199814</v>
      </c>
      <c r="G181" s="344">
        <v>0.0968575</v>
      </c>
      <c r="H181" s="274">
        <v>3415.15</v>
      </c>
      <c r="I181" s="325">
        <f t="shared" si="5"/>
        <v>0.53</v>
      </c>
      <c r="J181" t="s">
        <v>1547</v>
      </c>
      <c r="K181" s="298">
        <f t="shared" si="6"/>
      </c>
    </row>
    <row r="182" spans="1:11" ht="15">
      <c r="A182" s="324" t="s">
        <v>44</v>
      </c>
      <c r="B182" s="159">
        <v>5614007</v>
      </c>
      <c r="C182" s="344">
        <v>1622.6789069999998</v>
      </c>
      <c r="D182" s="344">
        <v>326.9562845</v>
      </c>
      <c r="E182" s="344">
        <v>832.8602689999999</v>
      </c>
      <c r="F182" s="344">
        <v>1066.0573769999999</v>
      </c>
      <c r="G182" s="344">
        <v>860.5971625</v>
      </c>
      <c r="H182" s="274">
        <v>982.6</v>
      </c>
      <c r="I182" s="325">
        <f t="shared" si="5"/>
        <v>4709.15</v>
      </c>
      <c r="J182" t="s">
        <v>1547</v>
      </c>
      <c r="K182" s="298">
        <f t="shared" si="6"/>
      </c>
    </row>
    <row r="183" spans="1:11" ht="15">
      <c r="A183" s="347" t="s">
        <v>42</v>
      </c>
      <c r="B183" s="333">
        <v>4470203</v>
      </c>
      <c r="C183" s="344">
        <v>10.00603671048</v>
      </c>
      <c r="D183" s="344">
        <v>2.0161330570800002</v>
      </c>
      <c r="E183" s="344">
        <v>5.135723642159999</v>
      </c>
      <c r="F183" s="344">
        <v>6.57370303128</v>
      </c>
      <c r="G183" s="344">
        <v>5.306759559</v>
      </c>
      <c r="H183" s="274">
        <v>2873.81</v>
      </c>
      <c r="I183" s="325">
        <f t="shared" si="5"/>
        <v>29.038356</v>
      </c>
      <c r="J183" t="s">
        <v>1547</v>
      </c>
      <c r="K183" s="298">
        <f t="shared" si="6"/>
      </c>
    </row>
    <row r="184" spans="1:11" ht="15">
      <c r="A184" s="347" t="s">
        <v>42</v>
      </c>
      <c r="B184" s="333">
        <v>4470098</v>
      </c>
      <c r="C184" s="344">
        <v>0.8689080895199999</v>
      </c>
      <c r="D184" s="344">
        <v>0.17507774292</v>
      </c>
      <c r="E184" s="344">
        <v>0.44597795783999994</v>
      </c>
      <c r="F184" s="344">
        <v>0.5708497687199999</v>
      </c>
      <c r="G184" s="344">
        <v>0.4608304409999999</v>
      </c>
      <c r="H184" s="274">
        <v>3524.45</v>
      </c>
      <c r="I184" s="325">
        <f t="shared" si="5"/>
        <v>2.5216439999999993</v>
      </c>
      <c r="J184" t="s">
        <v>328</v>
      </c>
      <c r="K184" s="298">
        <f t="shared" si="6"/>
        <v>2.5216439999999993</v>
      </c>
    </row>
    <row r="185" spans="1:11" ht="15">
      <c r="A185" s="347" t="s">
        <v>43</v>
      </c>
      <c r="B185" s="333">
        <v>4470203</v>
      </c>
      <c r="C185" s="344">
        <v>109.92690266976001</v>
      </c>
      <c r="D185" s="344">
        <v>22.149355308960004</v>
      </c>
      <c r="E185" s="344">
        <v>56.42135935392</v>
      </c>
      <c r="F185" s="344">
        <v>72.21908475936002</v>
      </c>
      <c r="G185" s="344">
        <v>58.30036990800001</v>
      </c>
      <c r="H185" s="274"/>
      <c r="I185" s="325">
        <f t="shared" si="5"/>
        <v>319.017072</v>
      </c>
      <c r="J185" t="s">
        <v>1547</v>
      </c>
      <c r="K185" s="298">
        <f t="shared" si="6"/>
      </c>
    </row>
    <row r="186" spans="1:11" ht="15">
      <c r="A186" s="324" t="s">
        <v>43</v>
      </c>
      <c r="B186" s="159">
        <v>4470098</v>
      </c>
      <c r="C186" s="344">
        <v>9.54587493024</v>
      </c>
      <c r="D186" s="344">
        <v>1.92341429104</v>
      </c>
      <c r="E186" s="344">
        <v>4.89953984608</v>
      </c>
      <c r="F186" s="344">
        <v>6.27138884064</v>
      </c>
      <c r="G186" s="344">
        <v>5.062710092</v>
      </c>
      <c r="H186" s="274"/>
      <c r="I186" s="325">
        <f t="shared" si="5"/>
        <v>27.702928</v>
      </c>
      <c r="J186" t="s">
        <v>328</v>
      </c>
      <c r="K186" s="298">
        <f t="shared" si="6"/>
        <v>27.702928</v>
      </c>
    </row>
    <row r="187" spans="1:11" ht="15">
      <c r="A187" s="241" t="s">
        <v>205</v>
      </c>
      <c r="B187" s="159">
        <v>4470107</v>
      </c>
      <c r="C187" s="344">
        <v>-51.2666124</v>
      </c>
      <c r="D187" s="344">
        <v>-10.3297954</v>
      </c>
      <c r="E187" s="344">
        <v>-26.3132308</v>
      </c>
      <c r="F187" s="344">
        <v>-33.6808164</v>
      </c>
      <c r="G187" s="344">
        <v>-27.189545</v>
      </c>
      <c r="H187" s="274"/>
      <c r="I187" s="325">
        <f t="shared" si="5"/>
        <v>-148.78</v>
      </c>
      <c r="J187" t="s">
        <v>328</v>
      </c>
      <c r="K187" s="298">
        <f t="shared" si="6"/>
        <v>-148.78</v>
      </c>
    </row>
    <row r="188" spans="1:11" ht="15">
      <c r="A188" s="324" t="s">
        <v>1915</v>
      </c>
      <c r="B188" s="159">
        <v>5550078</v>
      </c>
      <c r="C188" s="344">
        <v>-0.4720746</v>
      </c>
      <c r="D188" s="344">
        <v>-0.09511910000000001</v>
      </c>
      <c r="E188" s="344">
        <v>-0.2422982</v>
      </c>
      <c r="F188" s="344">
        <v>-0.31014060000000004</v>
      </c>
      <c r="G188" s="344">
        <v>-0.2503675</v>
      </c>
      <c r="H188" s="274"/>
      <c r="I188" s="325">
        <f>SUM(C188:G188)</f>
        <v>-1.37</v>
      </c>
      <c r="J188" t="s">
        <v>1547</v>
      </c>
      <c r="K188" s="298">
        <f t="shared" si="6"/>
      </c>
    </row>
    <row r="189" spans="1:11" ht="15">
      <c r="A189" s="324" t="s">
        <v>46</v>
      </c>
      <c r="B189" s="159">
        <v>5614007</v>
      </c>
      <c r="C189" s="344">
        <v>240.03442800000002</v>
      </c>
      <c r="D189" s="344">
        <v>48.364938</v>
      </c>
      <c r="E189" s="344">
        <v>123.200676</v>
      </c>
      <c r="F189" s="344">
        <v>157.69630800000002</v>
      </c>
      <c r="G189" s="344">
        <v>127.30365</v>
      </c>
      <c r="H189" s="274"/>
      <c r="I189" s="325">
        <f t="shared" si="5"/>
        <v>696.6000000000001</v>
      </c>
      <c r="J189" t="s">
        <v>1547</v>
      </c>
      <c r="K189" s="298">
        <f t="shared" si="6"/>
      </c>
    </row>
    <row r="190" spans="1:11" ht="15">
      <c r="A190" s="324" t="s">
        <v>47</v>
      </c>
      <c r="B190" s="159">
        <v>4470099</v>
      </c>
      <c r="C190" s="344">
        <v>-14.6377584</v>
      </c>
      <c r="D190" s="344">
        <v>-2.9493864</v>
      </c>
      <c r="E190" s="344">
        <v>-7.513012799999999</v>
      </c>
      <c r="F190" s="344">
        <v>-9.616622399999999</v>
      </c>
      <c r="G190" s="344">
        <v>-7.76322</v>
      </c>
      <c r="H190" s="274"/>
      <c r="I190" s="325">
        <f t="shared" si="5"/>
        <v>-42.47999999999999</v>
      </c>
      <c r="J190" t="s">
        <v>328</v>
      </c>
      <c r="K190" s="298">
        <f t="shared" si="6"/>
        <v>-42.47999999999999</v>
      </c>
    </row>
    <row r="191" spans="1:13" ht="15">
      <c r="A191" s="324" t="s">
        <v>48</v>
      </c>
      <c r="B191" s="159">
        <v>4470101</v>
      </c>
      <c r="C191" s="344">
        <v>-18.8381886</v>
      </c>
      <c r="D191" s="344">
        <v>-3.7957381000000003</v>
      </c>
      <c r="E191" s="344">
        <v>-9.6689362</v>
      </c>
      <c r="F191" s="344">
        <v>-12.3761946</v>
      </c>
      <c r="G191" s="344">
        <v>-9.990942500000001</v>
      </c>
      <c r="H191" s="274">
        <v>-3184.46</v>
      </c>
      <c r="I191" s="325">
        <f t="shared" si="5"/>
        <v>-54.67</v>
      </c>
      <c r="J191" t="s">
        <v>1547</v>
      </c>
      <c r="K191" s="298">
        <f t="shared" si="6"/>
      </c>
      <c r="L191" s="956" t="s">
        <v>38</v>
      </c>
      <c r="M191" s="959">
        <f>SUM(K99:K192)</f>
        <v>959578.472223</v>
      </c>
    </row>
    <row r="192" spans="1:13" ht="15">
      <c r="A192" s="324" t="s">
        <v>49</v>
      </c>
      <c r="B192" s="159">
        <v>5614001</v>
      </c>
      <c r="C192" s="344">
        <v>0.0034458</v>
      </c>
      <c r="D192" s="344">
        <v>0.0006943</v>
      </c>
      <c r="E192" s="344">
        <v>0.0017686</v>
      </c>
      <c r="F192" s="344">
        <v>0.0022638</v>
      </c>
      <c r="G192" s="344">
        <v>0.0018275</v>
      </c>
      <c r="H192" s="274">
        <v>-1032.78</v>
      </c>
      <c r="I192" s="325">
        <f t="shared" si="5"/>
        <v>0.009999999999999998</v>
      </c>
      <c r="J192" t="s">
        <v>1547</v>
      </c>
      <c r="K192" s="298">
        <f t="shared" si="6"/>
      </c>
      <c r="L192" s="958" t="s">
        <v>367</v>
      </c>
      <c r="M192" s="959">
        <f>SUM(I99:I192)</f>
        <v>828208.3099999999</v>
      </c>
    </row>
    <row r="193" spans="1:11" ht="15">
      <c r="A193" s="241"/>
      <c r="B193" s="159"/>
      <c r="C193" s="298"/>
      <c r="D193" s="298"/>
      <c r="E193" s="298"/>
      <c r="F193" s="298"/>
      <c r="G193" s="298"/>
      <c r="H193" s="274"/>
      <c r="I193" s="325"/>
      <c r="K193" s="298">
        <f t="shared" si="6"/>
      </c>
    </row>
    <row r="194" spans="1:11" ht="15">
      <c r="A194" s="548" t="s">
        <v>133</v>
      </c>
      <c r="B194" s="159"/>
      <c r="C194" s="298"/>
      <c r="D194" s="298"/>
      <c r="E194" s="298"/>
      <c r="F194" s="298"/>
      <c r="G194" s="298"/>
      <c r="H194" s="274"/>
      <c r="I194" s="325">
        <f t="shared" si="5"/>
        <v>0</v>
      </c>
      <c r="K194" s="298">
        <f t="shared" si="6"/>
      </c>
    </row>
    <row r="195" spans="1:11" ht="15">
      <c r="A195" s="241" t="s">
        <v>1530</v>
      </c>
      <c r="B195" s="159">
        <v>4470093</v>
      </c>
      <c r="C195" s="344">
        <v>21559.9950078</v>
      </c>
      <c r="D195" s="344">
        <v>4344.159421300001</v>
      </c>
      <c r="E195" s="344">
        <v>11065.9374226</v>
      </c>
      <c r="F195" s="344">
        <v>14164.349845800001</v>
      </c>
      <c r="G195" s="344">
        <v>11434.4683025</v>
      </c>
      <c r="H195" s="274"/>
      <c r="I195" s="325">
        <f t="shared" si="5"/>
        <v>62568.91</v>
      </c>
      <c r="J195" t="s">
        <v>1547</v>
      </c>
      <c r="K195" s="298">
        <f t="shared" si="6"/>
      </c>
    </row>
    <row r="196" spans="1:11" ht="15">
      <c r="A196" s="241" t="s">
        <v>1525</v>
      </c>
      <c r="B196" s="159">
        <v>4470093</v>
      </c>
      <c r="C196" s="344">
        <v>-5048.7930516</v>
      </c>
      <c r="D196" s="344">
        <v>-1017.2897486000002</v>
      </c>
      <c r="E196" s="344">
        <v>-2591.3562572</v>
      </c>
      <c r="F196" s="344">
        <v>-3316.9242876</v>
      </c>
      <c r="G196" s="344">
        <v>-2677.6566550000002</v>
      </c>
      <c r="H196" s="274"/>
      <c r="I196" s="325">
        <f t="shared" si="5"/>
        <v>-14652.019999999999</v>
      </c>
      <c r="J196" t="s">
        <v>1547</v>
      </c>
      <c r="K196" s="298">
        <f t="shared" si="6"/>
      </c>
    </row>
    <row r="197" spans="1:11" ht="15">
      <c r="A197" s="241" t="s">
        <v>1531</v>
      </c>
      <c r="B197" s="159">
        <v>4470207</v>
      </c>
      <c r="C197" s="344">
        <v>17908.5083142</v>
      </c>
      <c r="D197" s="344">
        <v>3608.4152657</v>
      </c>
      <c r="E197" s="344">
        <v>9191.7661514</v>
      </c>
      <c r="F197" s="344">
        <v>11765.4190962</v>
      </c>
      <c r="G197" s="344">
        <v>9497.8811725</v>
      </c>
      <c r="H197" s="274"/>
      <c r="I197" s="325">
        <f aca="true" t="shared" si="7" ref="I197:I206">SUM(C197:G197)</f>
        <v>51971.99</v>
      </c>
      <c r="J197" t="s">
        <v>1547</v>
      </c>
      <c r="K197" s="298">
        <f t="shared" si="6"/>
      </c>
    </row>
    <row r="198" spans="1:11" ht="15">
      <c r="A198" s="241" t="s">
        <v>1526</v>
      </c>
      <c r="B198" s="159">
        <v>4470207</v>
      </c>
      <c r="C198" s="344">
        <v>-2126.6857356</v>
      </c>
      <c r="D198" s="344">
        <v>-428.5094626</v>
      </c>
      <c r="E198" s="344">
        <v>-1091.5480851999998</v>
      </c>
      <c r="F198" s="344">
        <v>-1397.1766116</v>
      </c>
      <c r="G198" s="344">
        <v>-1127.900105</v>
      </c>
      <c r="H198" s="274"/>
      <c r="I198" s="325">
        <f t="shared" si="7"/>
        <v>-6171.82</v>
      </c>
      <c r="J198" t="s">
        <v>1547</v>
      </c>
      <c r="K198" s="298">
        <f t="shared" si="6"/>
      </c>
    </row>
    <row r="199" spans="1:11" ht="15">
      <c r="A199" s="241" t="s">
        <v>140</v>
      </c>
      <c r="B199" s="159">
        <v>5614001</v>
      </c>
      <c r="C199" s="344">
        <v>116.795391</v>
      </c>
      <c r="D199" s="344">
        <v>23.5332985</v>
      </c>
      <c r="E199" s="344">
        <v>59.94669699999999</v>
      </c>
      <c r="F199" s="344">
        <v>76.731501</v>
      </c>
      <c r="G199" s="344">
        <v>61.9431125</v>
      </c>
      <c r="H199" s="274"/>
      <c r="I199" s="325">
        <f t="shared" si="7"/>
        <v>338.95</v>
      </c>
      <c r="J199" t="s">
        <v>1547</v>
      </c>
      <c r="K199" s="298"/>
    </row>
    <row r="200" spans="1:11" ht="15">
      <c r="A200" s="241" t="s">
        <v>1584</v>
      </c>
      <c r="B200" s="159">
        <v>4470203</v>
      </c>
      <c r="C200" s="344">
        <v>53.4202374</v>
      </c>
      <c r="D200" s="344">
        <v>10.7637329</v>
      </c>
      <c r="E200" s="344">
        <v>27.418605799999998</v>
      </c>
      <c r="F200" s="344">
        <v>35.0956914</v>
      </c>
      <c r="G200" s="344">
        <v>28.3317325</v>
      </c>
      <c r="H200" s="274"/>
      <c r="I200" s="325">
        <f t="shared" si="7"/>
        <v>155.02999999999997</v>
      </c>
      <c r="J200" t="s">
        <v>1547</v>
      </c>
      <c r="K200" s="298"/>
    </row>
    <row r="201" spans="1:11" ht="15">
      <c r="A201" s="241" t="s">
        <v>1523</v>
      </c>
      <c r="B201" s="159">
        <v>4470203</v>
      </c>
      <c r="C201" s="344">
        <v>1994.9148977999998</v>
      </c>
      <c r="D201" s="344">
        <v>401.9587363</v>
      </c>
      <c r="E201" s="344">
        <v>1023.9150526</v>
      </c>
      <c r="F201" s="344">
        <v>1310.6066358</v>
      </c>
      <c r="G201" s="344">
        <v>1058.0146775</v>
      </c>
      <c r="H201" s="274"/>
      <c r="I201" s="325">
        <f t="shared" si="7"/>
        <v>5789.41</v>
      </c>
      <c r="J201" t="s">
        <v>1547</v>
      </c>
      <c r="K201" s="298"/>
    </row>
    <row r="202" spans="1:11" ht="15">
      <c r="A202" s="241" t="s">
        <v>1914</v>
      </c>
      <c r="B202" s="159">
        <v>4470203</v>
      </c>
      <c r="C202" s="344">
        <v>2.274228</v>
      </c>
      <c r="D202" s="344">
        <v>0.45823800000000003</v>
      </c>
      <c r="E202" s="344">
        <v>1.1672759999999998</v>
      </c>
      <c r="F202" s="344">
        <v>1.494108</v>
      </c>
      <c r="G202" s="344">
        <v>1.2061499999999998</v>
      </c>
      <c r="H202" s="274"/>
      <c r="I202" s="325">
        <f t="shared" si="7"/>
        <v>6.6</v>
      </c>
      <c r="J202" t="s">
        <v>1547</v>
      </c>
      <c r="K202" s="298">
        <f t="shared" si="6"/>
      </c>
    </row>
    <row r="203" spans="1:11" ht="15">
      <c r="A203" s="241" t="s">
        <v>42</v>
      </c>
      <c r="B203" s="159">
        <v>4470203</v>
      </c>
      <c r="C203" s="344">
        <v>16.1366814</v>
      </c>
      <c r="D203" s="344">
        <v>3.2514069</v>
      </c>
      <c r="E203" s="344">
        <v>8.2823538</v>
      </c>
      <c r="F203" s="344">
        <v>10.6013754</v>
      </c>
      <c r="G203" s="344">
        <v>8.5581825</v>
      </c>
      <c r="H203" s="274"/>
      <c r="I203" s="325">
        <f t="shared" si="7"/>
        <v>46.83</v>
      </c>
      <c r="J203" t="s">
        <v>1547</v>
      </c>
      <c r="K203" s="298">
        <f t="shared" si="6"/>
      </c>
    </row>
    <row r="204" spans="1:11" ht="15">
      <c r="A204" s="241" t="s">
        <v>536</v>
      </c>
      <c r="B204" s="159">
        <v>5614001</v>
      </c>
      <c r="C204" s="344">
        <v>23.0971974</v>
      </c>
      <c r="D204" s="344">
        <v>4.653892900000001</v>
      </c>
      <c r="E204" s="344">
        <v>11.8549258</v>
      </c>
      <c r="F204" s="344">
        <v>15.1742514</v>
      </c>
      <c r="G204" s="344">
        <v>12.2497325</v>
      </c>
      <c r="H204" s="274"/>
      <c r="I204" s="325">
        <f t="shared" si="7"/>
        <v>67.03</v>
      </c>
      <c r="J204" t="s">
        <v>1547</v>
      </c>
      <c r="K204" s="298">
        <f t="shared" si="6"/>
      </c>
    </row>
    <row r="205" spans="1:11" ht="15">
      <c r="A205" s="241" t="s">
        <v>1581</v>
      </c>
      <c r="B205" s="159">
        <v>5550084</v>
      </c>
      <c r="C205" s="344">
        <v>-0.6374730000000001</v>
      </c>
      <c r="D205" s="344">
        <v>-0.12844550000000002</v>
      </c>
      <c r="E205" s="344">
        <v>-0.327191</v>
      </c>
      <c r="F205" s="344">
        <v>-0.41880300000000004</v>
      </c>
      <c r="G205" s="344">
        <v>-0.3380875</v>
      </c>
      <c r="H205" s="274"/>
      <c r="I205" s="325">
        <f t="shared" si="7"/>
        <v>-1.85</v>
      </c>
      <c r="J205" t="s">
        <v>1547</v>
      </c>
      <c r="K205" s="298">
        <f t="shared" si="6"/>
      </c>
    </row>
    <row r="206" spans="1:13" ht="15">
      <c r="A206" s="241" t="s">
        <v>44</v>
      </c>
      <c r="B206" s="159">
        <v>5614007</v>
      </c>
      <c r="C206" s="344">
        <v>445.1594562</v>
      </c>
      <c r="D206" s="344">
        <v>89.69592270000001</v>
      </c>
      <c r="E206" s="344">
        <v>228.4836654</v>
      </c>
      <c r="F206" s="344">
        <v>292.45805820000004</v>
      </c>
      <c r="G206" s="344">
        <v>236.09289750000002</v>
      </c>
      <c r="H206" s="274"/>
      <c r="I206" s="325">
        <f t="shared" si="7"/>
        <v>1291.89</v>
      </c>
      <c r="J206" t="s">
        <v>1547</v>
      </c>
      <c r="K206" s="298">
        <f t="shared" si="6"/>
      </c>
      <c r="L206" s="956" t="s">
        <v>38</v>
      </c>
      <c r="M206" s="451">
        <f>SUM(K195:K206)</f>
        <v>0</v>
      </c>
    </row>
    <row r="207" spans="1:13" ht="15">
      <c r="A207" s="241"/>
      <c r="B207" s="159"/>
      <c r="C207" s="298"/>
      <c r="D207" s="298"/>
      <c r="E207" s="298"/>
      <c r="F207" s="298"/>
      <c r="G207" s="298"/>
      <c r="H207" s="274"/>
      <c r="I207" s="325"/>
      <c r="K207" s="298">
        <f t="shared" si="6"/>
      </c>
      <c r="L207" s="958" t="s">
        <v>367</v>
      </c>
      <c r="M207" s="451">
        <f>SUM(I195:I206)</f>
        <v>101410.95</v>
      </c>
    </row>
    <row r="208" spans="1:11" ht="15">
      <c r="A208" s="548" t="s">
        <v>132</v>
      </c>
      <c r="B208" s="159"/>
      <c r="C208" s="298"/>
      <c r="D208" s="298"/>
      <c r="E208" s="298"/>
      <c r="F208" s="298"/>
      <c r="G208" s="298"/>
      <c r="H208" s="274"/>
      <c r="I208" s="325"/>
      <c r="K208" s="298">
        <f aca="true" t="shared" si="8" ref="K208:K235">IF(J208="East Zone SIA",I208,"")</f>
      </c>
    </row>
    <row r="209" spans="1:11" ht="15">
      <c r="A209" s="241" t="s">
        <v>1530</v>
      </c>
      <c r="B209" s="159">
        <v>4470093</v>
      </c>
      <c r="C209" s="344">
        <v>4041.0757332000003</v>
      </c>
      <c r="D209" s="344">
        <v>814.2431022000002</v>
      </c>
      <c r="E209" s="344">
        <v>2074.1327244</v>
      </c>
      <c r="F209" s="344">
        <v>2654.8805052000002</v>
      </c>
      <c r="G209" s="344">
        <v>2143.207935</v>
      </c>
      <c r="H209" s="274"/>
      <c r="I209" s="325">
        <f aca="true" t="shared" si="9" ref="I209:I233">SUM(C209:G209)</f>
        <v>11727.54</v>
      </c>
      <c r="J209" t="s">
        <v>1547</v>
      </c>
      <c r="K209" s="298">
        <f t="shared" si="8"/>
      </c>
    </row>
    <row r="210" spans="1:11" ht="15">
      <c r="A210" s="241" t="s">
        <v>1525</v>
      </c>
      <c r="B210" s="159">
        <v>4470093</v>
      </c>
      <c r="C210" s="344">
        <v>-1380.3254556</v>
      </c>
      <c r="D210" s="344">
        <v>-278.1240826</v>
      </c>
      <c r="E210" s="344">
        <v>-708.4693252</v>
      </c>
      <c r="F210" s="344">
        <v>-906.8375316</v>
      </c>
      <c r="G210" s="344">
        <v>-732.063605</v>
      </c>
      <c r="H210" s="274"/>
      <c r="I210" s="325">
        <f t="shared" si="9"/>
        <v>-4005.8200000000006</v>
      </c>
      <c r="J210" t="s">
        <v>1547</v>
      </c>
      <c r="K210" s="298">
        <f t="shared" si="8"/>
      </c>
    </row>
    <row r="211" spans="1:11" ht="15">
      <c r="A211" s="241" t="s">
        <v>1525</v>
      </c>
      <c r="B211" s="159">
        <v>4470093</v>
      </c>
      <c r="C211" s="344">
        <v>-2254.9866528</v>
      </c>
      <c r="D211" s="344">
        <v>-454.36102880000004</v>
      </c>
      <c r="E211" s="344">
        <v>-1157.4001375999999</v>
      </c>
      <c r="F211" s="344">
        <v>-1481.4669408</v>
      </c>
      <c r="G211" s="344">
        <v>-1195.94524</v>
      </c>
      <c r="H211" s="274"/>
      <c r="I211" s="325">
        <f t="shared" si="9"/>
        <v>-6544.16</v>
      </c>
      <c r="J211" t="s">
        <v>1547</v>
      </c>
      <c r="K211" s="298">
        <f t="shared" si="8"/>
      </c>
    </row>
    <row r="212" spans="1:11" ht="15">
      <c r="A212" s="241" t="s">
        <v>1531</v>
      </c>
      <c r="B212" s="159">
        <v>4470207</v>
      </c>
      <c r="C212" s="344">
        <v>11780.077206599999</v>
      </c>
      <c r="D212" s="344">
        <v>2373.5874411</v>
      </c>
      <c r="E212" s="344">
        <v>6046.2721421999995</v>
      </c>
      <c r="F212" s="344">
        <v>7739.200992599999</v>
      </c>
      <c r="G212" s="344">
        <v>6247.6322175</v>
      </c>
      <c r="H212" s="274"/>
      <c r="I212" s="325">
        <f t="shared" si="9"/>
        <v>34186.77</v>
      </c>
      <c r="J212" t="s">
        <v>1547</v>
      </c>
      <c r="K212" s="298">
        <f t="shared" si="8"/>
      </c>
    </row>
    <row r="213" spans="1:11" ht="15">
      <c r="A213" s="241" t="s">
        <v>1526</v>
      </c>
      <c r="B213" s="159">
        <v>4470207</v>
      </c>
      <c r="C213" s="344">
        <v>-1708.6412796</v>
      </c>
      <c r="D213" s="344">
        <v>-344.27698660000004</v>
      </c>
      <c r="E213" s="344">
        <v>-876.9815332</v>
      </c>
      <c r="F213" s="344">
        <v>-1122.5323956</v>
      </c>
      <c r="G213" s="344">
        <v>-906.1878049999999</v>
      </c>
      <c r="H213" s="274"/>
      <c r="I213" s="325">
        <f t="shared" si="9"/>
        <v>-4958.619999999999</v>
      </c>
      <c r="J213" t="s">
        <v>1547</v>
      </c>
      <c r="K213" s="298">
        <f t="shared" si="8"/>
      </c>
    </row>
    <row r="214" spans="1:11" ht="15">
      <c r="A214" s="241" t="s">
        <v>140</v>
      </c>
      <c r="B214" s="159">
        <v>5614001</v>
      </c>
      <c r="C214" s="344">
        <v>106.47522</v>
      </c>
      <c r="D214" s="344">
        <v>21.453870000000002</v>
      </c>
      <c r="E214" s="344">
        <v>54.649739999999994</v>
      </c>
      <c r="F214" s="344">
        <v>69.95142</v>
      </c>
      <c r="G214" s="344">
        <v>56.46975</v>
      </c>
      <c r="H214" s="274"/>
      <c r="I214" s="325">
        <f t="shared" si="9"/>
        <v>308.99999999999994</v>
      </c>
      <c r="J214" t="s">
        <v>1547</v>
      </c>
      <c r="K214" s="298">
        <f t="shared" si="8"/>
      </c>
    </row>
    <row r="215" spans="1:11" ht="15">
      <c r="A215" s="241" t="s">
        <v>1523</v>
      </c>
      <c r="B215" s="159">
        <v>4470203</v>
      </c>
      <c r="C215" s="344">
        <v>2808.912786</v>
      </c>
      <c r="D215" s="344">
        <v>565.972531</v>
      </c>
      <c r="E215" s="344">
        <v>1441.709662</v>
      </c>
      <c r="F215" s="344">
        <v>1845.381846</v>
      </c>
      <c r="G215" s="344">
        <v>1489.7231749999999</v>
      </c>
      <c r="H215" s="274"/>
      <c r="I215" s="325">
        <f t="shared" si="9"/>
        <v>8151.7</v>
      </c>
      <c r="J215" t="s">
        <v>1547</v>
      </c>
      <c r="K215" s="298">
        <f t="shared" si="8"/>
      </c>
    </row>
    <row r="216" spans="1:11" ht="15">
      <c r="A216" s="241" t="s">
        <v>1584</v>
      </c>
      <c r="B216" s="159">
        <v>4470203</v>
      </c>
      <c r="C216" s="344">
        <v>57.6241134</v>
      </c>
      <c r="D216" s="344">
        <v>11.6107789</v>
      </c>
      <c r="E216" s="344">
        <v>29.576297799999995</v>
      </c>
      <c r="F216" s="344">
        <v>37.857527399999995</v>
      </c>
      <c r="G216" s="344">
        <v>30.561282499999997</v>
      </c>
      <c r="H216" s="274"/>
      <c r="I216" s="325">
        <f t="shared" si="9"/>
        <v>167.23</v>
      </c>
      <c r="J216" t="s">
        <v>1547</v>
      </c>
      <c r="K216" s="298"/>
    </row>
    <row r="217" spans="1:11" ht="15">
      <c r="A217" s="241" t="s">
        <v>1584</v>
      </c>
      <c r="B217" s="159">
        <v>4470203</v>
      </c>
      <c r="C217" s="344">
        <v>57.1899426</v>
      </c>
      <c r="D217" s="344">
        <v>11.5232971</v>
      </c>
      <c r="E217" s="344">
        <v>29.353454199999998</v>
      </c>
      <c r="F217" s="344">
        <v>37.5722886</v>
      </c>
      <c r="G217" s="344">
        <v>30.331017499999998</v>
      </c>
      <c r="H217" s="274"/>
      <c r="I217" s="325">
        <f t="shared" si="9"/>
        <v>165.97</v>
      </c>
      <c r="J217" t="s">
        <v>1547</v>
      </c>
      <c r="K217" s="298"/>
    </row>
    <row r="218" spans="1:11" ht="15">
      <c r="A218" s="241" t="s">
        <v>1523</v>
      </c>
      <c r="B218" s="159">
        <v>4470203</v>
      </c>
      <c r="C218" s="344">
        <v>2154.6863064</v>
      </c>
      <c r="D218" s="344">
        <v>434.1513444</v>
      </c>
      <c r="E218" s="344">
        <v>1105.9197288</v>
      </c>
      <c r="F218" s="344">
        <v>1415.5722504</v>
      </c>
      <c r="G218" s="344">
        <v>1142.75037</v>
      </c>
      <c r="H218" s="274"/>
      <c r="I218" s="325">
        <f t="shared" si="9"/>
        <v>6253.08</v>
      </c>
      <c r="J218" t="s">
        <v>1547</v>
      </c>
      <c r="K218" s="298"/>
    </row>
    <row r="219" spans="1:11" ht="15">
      <c r="A219" s="241" t="s">
        <v>1914</v>
      </c>
      <c r="B219" s="159">
        <v>4470203</v>
      </c>
      <c r="C219" s="344">
        <v>4.8034452</v>
      </c>
      <c r="D219" s="344">
        <v>0.9678542</v>
      </c>
      <c r="E219" s="344">
        <v>2.4654284</v>
      </c>
      <c r="F219" s="344">
        <v>3.1557372</v>
      </c>
      <c r="G219" s="344">
        <v>2.547535</v>
      </c>
      <c r="H219" s="274"/>
      <c r="I219" s="325">
        <f t="shared" si="9"/>
        <v>13.939999999999998</v>
      </c>
      <c r="J219" t="s">
        <v>1547</v>
      </c>
      <c r="K219" s="298"/>
    </row>
    <row r="220" spans="1:11" ht="15">
      <c r="A220" s="241" t="s">
        <v>42</v>
      </c>
      <c r="B220" s="159">
        <v>4470203</v>
      </c>
      <c r="C220" s="344">
        <v>28.124619600000003</v>
      </c>
      <c r="D220" s="344">
        <v>5.666876600000001</v>
      </c>
      <c r="E220" s="344">
        <v>14.4353132</v>
      </c>
      <c r="F220" s="344">
        <v>18.4771356</v>
      </c>
      <c r="G220" s="344">
        <v>14.916055</v>
      </c>
      <c r="H220" s="274"/>
      <c r="I220" s="325">
        <f t="shared" si="9"/>
        <v>81.62</v>
      </c>
      <c r="J220" t="s">
        <v>1547</v>
      </c>
      <c r="K220" s="298"/>
    </row>
    <row r="221" spans="1:11" ht="15">
      <c r="A221" s="241" t="s">
        <v>536</v>
      </c>
      <c r="B221" s="159">
        <v>5614001</v>
      </c>
      <c r="C221" s="344">
        <v>21.0607296</v>
      </c>
      <c r="D221" s="344">
        <v>4.2435616000000005</v>
      </c>
      <c r="E221" s="344">
        <v>10.809683199999998</v>
      </c>
      <c r="F221" s="344">
        <v>13.8363456</v>
      </c>
      <c r="G221" s="344">
        <v>11.16968</v>
      </c>
      <c r="H221" s="274"/>
      <c r="I221" s="325">
        <f t="shared" si="9"/>
        <v>61.12</v>
      </c>
      <c r="J221" t="s">
        <v>1547</v>
      </c>
      <c r="K221" s="298">
        <f t="shared" si="8"/>
      </c>
    </row>
    <row r="222" spans="1:11" ht="15">
      <c r="A222" s="241" t="s">
        <v>44</v>
      </c>
      <c r="B222" s="159">
        <v>5614007</v>
      </c>
      <c r="C222" s="344">
        <v>272.7729738</v>
      </c>
      <c r="D222" s="344">
        <v>54.96148230000001</v>
      </c>
      <c r="E222" s="344">
        <v>140.0041446</v>
      </c>
      <c r="F222" s="344">
        <v>179.2046718</v>
      </c>
      <c r="G222" s="344">
        <v>144.6667275</v>
      </c>
      <c r="H222" s="274"/>
      <c r="I222" s="325">
        <f t="shared" si="9"/>
        <v>791.61</v>
      </c>
      <c r="J222" t="s">
        <v>1547</v>
      </c>
      <c r="K222" s="298"/>
    </row>
    <row r="223" spans="1:11" ht="15">
      <c r="A223" s="241" t="s">
        <v>25</v>
      </c>
      <c r="B223" s="159">
        <v>4470116</v>
      </c>
      <c r="C223" s="344">
        <v>-318.98459760000003</v>
      </c>
      <c r="D223" s="344">
        <v>-64.27273960000001</v>
      </c>
      <c r="E223" s="344">
        <v>-163.72283919999998</v>
      </c>
      <c r="F223" s="344">
        <v>-209.5644936</v>
      </c>
      <c r="G223" s="344">
        <v>-169.17533</v>
      </c>
      <c r="H223" s="274"/>
      <c r="I223" s="325">
        <f t="shared" si="9"/>
        <v>-925.72</v>
      </c>
      <c r="J223" t="s">
        <v>1547</v>
      </c>
      <c r="K223" s="298"/>
    </row>
    <row r="224" spans="1:11" ht="15">
      <c r="A224" s="241" t="s">
        <v>1530</v>
      </c>
      <c r="B224" s="159">
        <v>4470093</v>
      </c>
      <c r="C224" s="344">
        <v>4893.8526546</v>
      </c>
      <c r="D224" s="344">
        <v>986.0705491000001</v>
      </c>
      <c r="E224" s="344">
        <v>2511.8311582</v>
      </c>
      <c r="F224" s="344">
        <v>3215.1325206</v>
      </c>
      <c r="G224" s="344">
        <v>2595.4831175</v>
      </c>
      <c r="H224" s="274"/>
      <c r="I224" s="325">
        <f t="shared" si="9"/>
        <v>14202.37</v>
      </c>
      <c r="J224" t="s">
        <v>1547</v>
      </c>
      <c r="K224" s="298">
        <f t="shared" si="8"/>
      </c>
    </row>
    <row r="225" spans="1:11" ht="15">
      <c r="A225" s="241" t="s">
        <v>1531</v>
      </c>
      <c r="B225" s="159">
        <v>4470207</v>
      </c>
      <c r="C225" s="344">
        <v>15406.9539966</v>
      </c>
      <c r="D225" s="344">
        <v>3104.3729061</v>
      </c>
      <c r="E225" s="344">
        <v>7907.8120721999985</v>
      </c>
      <c r="F225" s="344">
        <v>10121.963682599999</v>
      </c>
      <c r="G225" s="344">
        <v>8171.167342499999</v>
      </c>
      <c r="H225" s="274"/>
      <c r="I225" s="325">
        <f t="shared" si="9"/>
        <v>44712.27</v>
      </c>
      <c r="J225" t="s">
        <v>1547</v>
      </c>
      <c r="K225" s="298">
        <f t="shared" si="8"/>
      </c>
    </row>
    <row r="226" spans="1:11" ht="15">
      <c r="A226" s="241" t="s">
        <v>1526</v>
      </c>
      <c r="B226" s="159">
        <v>4470207</v>
      </c>
      <c r="C226" s="344">
        <v>-3307.0100675999997</v>
      </c>
      <c r="D226" s="344">
        <v>-666.3349846</v>
      </c>
      <c r="E226" s="344">
        <v>-1697.3643291999997</v>
      </c>
      <c r="F226" s="344">
        <v>-2172.6186635999998</v>
      </c>
      <c r="G226" s="344">
        <v>-1753.8919549999998</v>
      </c>
      <c r="H226" s="274"/>
      <c r="I226" s="325">
        <f t="shared" si="9"/>
        <v>-9597.22</v>
      </c>
      <c r="J226" t="s">
        <v>1547</v>
      </c>
      <c r="K226" s="298">
        <f t="shared" si="8"/>
      </c>
    </row>
    <row r="227" spans="1:11" ht="15">
      <c r="A227" s="241" t="s">
        <v>25</v>
      </c>
      <c r="B227" s="159">
        <v>4470116</v>
      </c>
      <c r="C227" s="344">
        <v>-384.30318239999997</v>
      </c>
      <c r="D227" s="344">
        <v>-77.43389040000001</v>
      </c>
      <c r="E227" s="344">
        <v>-197.2484208</v>
      </c>
      <c r="F227" s="344">
        <v>-252.4770864</v>
      </c>
      <c r="G227" s="344">
        <v>-203.81742</v>
      </c>
      <c r="H227" s="274"/>
      <c r="I227" s="325">
        <f t="shared" si="9"/>
        <v>-1115.28</v>
      </c>
      <c r="J227" t="s">
        <v>1547</v>
      </c>
      <c r="K227" s="298">
        <f t="shared" si="8"/>
      </c>
    </row>
    <row r="228" spans="1:11" ht="15">
      <c r="A228" s="241" t="s">
        <v>140</v>
      </c>
      <c r="B228" s="159">
        <v>5614001</v>
      </c>
      <c r="C228" s="344">
        <v>120.36868559999999</v>
      </c>
      <c r="D228" s="344">
        <v>24.2532876</v>
      </c>
      <c r="E228" s="344">
        <v>61.780735199999995</v>
      </c>
      <c r="F228" s="344">
        <v>79.0790616</v>
      </c>
      <c r="G228" s="344">
        <v>63.838229999999996</v>
      </c>
      <c r="H228" s="274"/>
      <c r="I228" s="325">
        <f t="shared" si="9"/>
        <v>349.32</v>
      </c>
      <c r="J228" t="s">
        <v>1547</v>
      </c>
      <c r="K228" s="298">
        <f t="shared" si="8"/>
      </c>
    </row>
    <row r="229" spans="1:11" ht="15">
      <c r="A229" s="241" t="s">
        <v>536</v>
      </c>
      <c r="B229" s="159">
        <v>5614001</v>
      </c>
      <c r="C229" s="344">
        <v>23.7966948</v>
      </c>
      <c r="D229" s="344">
        <v>4.7948358</v>
      </c>
      <c r="E229" s="344">
        <v>12.2139516</v>
      </c>
      <c r="F229" s="344">
        <v>15.6338028</v>
      </c>
      <c r="G229" s="344">
        <v>12.620715</v>
      </c>
      <c r="H229" s="274"/>
      <c r="I229" s="325">
        <f t="shared" si="9"/>
        <v>69.06</v>
      </c>
      <c r="J229" t="s">
        <v>1547</v>
      </c>
      <c r="K229" s="298">
        <f t="shared" si="8"/>
      </c>
    </row>
    <row r="230" spans="1:11" ht="15">
      <c r="A230" s="241" t="s">
        <v>1914</v>
      </c>
      <c r="B230" s="159">
        <v>4470203</v>
      </c>
      <c r="C230" s="344">
        <v>4.2762378</v>
      </c>
      <c r="D230" s="344">
        <v>0.8616263000000001</v>
      </c>
      <c r="E230" s="344">
        <v>2.1948326</v>
      </c>
      <c r="F230" s="344">
        <v>2.8093758</v>
      </c>
      <c r="G230" s="344">
        <v>2.2679275</v>
      </c>
      <c r="H230" s="274"/>
      <c r="I230" s="325">
        <f t="shared" si="9"/>
        <v>12.41</v>
      </c>
      <c r="J230" t="s">
        <v>1547</v>
      </c>
      <c r="K230" s="298">
        <f t="shared" si="8"/>
      </c>
    </row>
    <row r="231" spans="1:11" ht="15">
      <c r="A231" s="241" t="s">
        <v>42</v>
      </c>
      <c r="B231" s="159">
        <v>4470203</v>
      </c>
      <c r="C231" s="344">
        <v>12.2704938</v>
      </c>
      <c r="D231" s="344">
        <v>2.4724023</v>
      </c>
      <c r="E231" s="344">
        <v>6.2979845999999995</v>
      </c>
      <c r="F231" s="344">
        <v>8.061391799999999</v>
      </c>
      <c r="G231" s="344">
        <v>6.5077275</v>
      </c>
      <c r="H231" s="274"/>
      <c r="I231" s="325">
        <f t="shared" si="9"/>
        <v>35.61</v>
      </c>
      <c r="J231" t="s">
        <v>1547</v>
      </c>
      <c r="K231" s="298">
        <f t="shared" si="8"/>
      </c>
    </row>
    <row r="232" spans="1:11" ht="15">
      <c r="A232" s="241" t="s">
        <v>44</v>
      </c>
      <c r="B232" s="159">
        <v>5614007</v>
      </c>
      <c r="C232" s="344">
        <v>139.1207292</v>
      </c>
      <c r="D232" s="344">
        <v>28.031668200000002</v>
      </c>
      <c r="E232" s="344">
        <v>71.40545639999999</v>
      </c>
      <c r="F232" s="344">
        <v>91.3986612</v>
      </c>
      <c r="G232" s="344">
        <v>73.783485</v>
      </c>
      <c r="H232" s="274"/>
      <c r="I232" s="325">
        <f t="shared" si="9"/>
        <v>403.74</v>
      </c>
      <c r="J232" t="s">
        <v>1547</v>
      </c>
      <c r="K232" s="298">
        <f t="shared" si="8"/>
      </c>
    </row>
    <row r="233" spans="1:13" ht="15">
      <c r="A233" s="241"/>
      <c r="B233" s="159"/>
      <c r="C233" s="344"/>
      <c r="D233" s="344"/>
      <c r="E233" s="344"/>
      <c r="F233" s="344"/>
      <c r="G233" s="344"/>
      <c r="H233" s="274"/>
      <c r="I233" s="325">
        <f t="shared" si="9"/>
        <v>0</v>
      </c>
      <c r="K233" s="298">
        <f t="shared" si="8"/>
      </c>
      <c r="L233" s="956" t="s">
        <v>38</v>
      </c>
      <c r="M233" s="451">
        <f>SUM(K209:K232)</f>
        <v>0</v>
      </c>
    </row>
    <row r="234" spans="1:13" ht="15">
      <c r="A234" s="548" t="s">
        <v>131</v>
      </c>
      <c r="B234" s="159"/>
      <c r="C234" s="298"/>
      <c r="D234" s="298"/>
      <c r="E234" s="298"/>
      <c r="F234" s="298"/>
      <c r="G234" s="298"/>
      <c r="H234" s="274"/>
      <c r="I234" s="325"/>
      <c r="K234" s="298">
        <f t="shared" si="8"/>
      </c>
      <c r="L234" s="958" t="s">
        <v>367</v>
      </c>
      <c r="M234" s="451">
        <f>SUM(I209:I232)</f>
        <v>94547.54000000002</v>
      </c>
    </row>
    <row r="235" spans="1:11" ht="15">
      <c r="A235" s="536" t="s">
        <v>1566</v>
      </c>
      <c r="B235" s="159">
        <v>4470099</v>
      </c>
      <c r="C235" s="344">
        <v>0</v>
      </c>
      <c r="D235" s="344">
        <v>0</v>
      </c>
      <c r="E235" s="344">
        <v>0</v>
      </c>
      <c r="F235" s="344">
        <v>0</v>
      </c>
      <c r="G235" s="344">
        <v>0</v>
      </c>
      <c r="H235" s="274"/>
      <c r="I235" s="325">
        <f>SUM(C235:G235)</f>
        <v>0</v>
      </c>
      <c r="J235" t="s">
        <v>328</v>
      </c>
      <c r="K235" s="298">
        <f t="shared" si="8"/>
        <v>0</v>
      </c>
    </row>
    <row r="236" spans="1:9" ht="15">
      <c r="A236" s="3"/>
      <c r="B236" s="315"/>
      <c r="C236" s="293"/>
      <c r="D236" s="293"/>
      <c r="E236" s="293"/>
      <c r="F236" s="293"/>
      <c r="G236" s="293"/>
      <c r="H236" s="274"/>
      <c r="I236" s="293"/>
    </row>
    <row r="237" spans="1:11" ht="15">
      <c r="A237" s="3" t="s">
        <v>1805</v>
      </c>
      <c r="B237" s="315"/>
      <c r="C237" s="274">
        <f>SUM(C9:C236)</f>
        <v>-2876562.5551892007</v>
      </c>
      <c r="D237" s="274">
        <f>SUM(D9:D236)</f>
        <v>-579555.9268581995</v>
      </c>
      <c r="E237" s="274">
        <f>SUM(E9:E236)</f>
        <v>-1476093.3448364006</v>
      </c>
      <c r="F237" s="274">
        <f>SUM(F9:F236)</f>
        <v>-1889249.2548011998</v>
      </c>
      <c r="G237" s="274">
        <f>SUM(G9:G236)</f>
        <v>-1525759.5483150003</v>
      </c>
      <c r="H237" s="274"/>
      <c r="I237" s="274">
        <f>SUM(I9:I236)</f>
        <v>-8347220.63</v>
      </c>
      <c r="K237" s="451">
        <f>SUM(K9:K235)</f>
        <v>218148.21801200003</v>
      </c>
    </row>
    <row r="238" spans="1:13" ht="15">
      <c r="A238" s="3"/>
      <c r="B238" s="2"/>
      <c r="C238" s="287"/>
      <c r="D238" s="287"/>
      <c r="E238" s="287"/>
      <c r="F238" s="287"/>
      <c r="G238" s="287"/>
      <c r="H238" s="287"/>
      <c r="I238" s="287"/>
      <c r="J238" s="3"/>
      <c r="K238" s="296"/>
      <c r="L238" s="3"/>
      <c r="M238" s="293"/>
    </row>
    <row r="239" spans="1:13" ht="15">
      <c r="A239" s="3" t="s">
        <v>1806</v>
      </c>
      <c r="B239" s="2"/>
      <c r="C239" s="294">
        <f>INPUT!J222</f>
        <v>-2774755</v>
      </c>
      <c r="D239" s="294">
        <f>INPUT!J223</f>
        <v>-559221</v>
      </c>
      <c r="E239" s="294">
        <f>INPUT!J224</f>
        <v>-1425109</v>
      </c>
      <c r="F239" s="294">
        <f>INPUT!J225</f>
        <v>-1824526</v>
      </c>
      <c r="G239" s="294">
        <f>INPUT!J226</f>
        <v>-1471174</v>
      </c>
      <c r="H239" s="274"/>
      <c r="I239" s="294">
        <f>SUM(C239:H239)</f>
        <v>-8054785</v>
      </c>
      <c r="J239" s="3"/>
      <c r="K239" s="296"/>
      <c r="L239" s="3"/>
      <c r="M239" s="274"/>
    </row>
    <row r="240" spans="1:13" ht="15">
      <c r="A240" s="3"/>
      <c r="B240" s="2"/>
      <c r="C240" s="274"/>
      <c r="D240" s="274"/>
      <c r="E240" s="274"/>
      <c r="F240" s="274"/>
      <c r="G240" s="274"/>
      <c r="H240" s="274"/>
      <c r="I240" s="274"/>
      <c r="J240" s="3"/>
      <c r="K240" s="296"/>
      <c r="L240" s="3"/>
      <c r="M240" s="274"/>
    </row>
    <row r="241" spans="1:13" ht="15.75" thickBot="1">
      <c r="A241" s="3" t="s">
        <v>1807</v>
      </c>
      <c r="B241" s="70" t="s">
        <v>1504</v>
      </c>
      <c r="C241" s="295">
        <f>ROUND(C237-C239,0)</f>
        <v>-101808</v>
      </c>
      <c r="D241" s="295">
        <f>ROUND(D237-D239,0)</f>
        <v>-20335</v>
      </c>
      <c r="E241" s="295">
        <f>ROUND(E237-E239,0)</f>
        <v>-50984</v>
      </c>
      <c r="F241" s="295">
        <f>ROUND(F237-F239,0)</f>
        <v>-64723</v>
      </c>
      <c r="G241" s="295">
        <f>ROUND(G237-G239,0)</f>
        <v>-54586</v>
      </c>
      <c r="H241" s="274"/>
      <c r="I241" s="295">
        <f>SUM(C241:G241)</f>
        <v>-292436</v>
      </c>
      <c r="J241" s="3"/>
      <c r="K241" s="296"/>
      <c r="L241" s="3"/>
      <c r="M241" s="274"/>
    </row>
    <row r="242" spans="1:10" ht="15.75" thickTop="1">
      <c r="A242" s="3"/>
      <c r="B242" s="315"/>
      <c r="C242" s="293"/>
      <c r="D242" s="293"/>
      <c r="E242" s="293"/>
      <c r="F242" s="293"/>
      <c r="G242" s="293"/>
      <c r="H242" s="274"/>
      <c r="I242" s="293"/>
      <c r="J242" s="451"/>
    </row>
    <row r="243" spans="1:9" ht="17.25" customHeight="1">
      <c r="A243" s="3"/>
      <c r="B243" s="3"/>
      <c r="C243" s="286"/>
      <c r="D243" s="286"/>
      <c r="E243" s="286"/>
      <c r="F243" s="286"/>
      <c r="G243" s="286"/>
      <c r="H243" s="287"/>
      <c r="I243" s="286"/>
    </row>
    <row r="244" spans="1:9" ht="15">
      <c r="A244" s="3"/>
      <c r="B244" s="315"/>
      <c r="C244" s="293"/>
      <c r="D244" s="293"/>
      <c r="E244" s="293"/>
      <c r="F244" s="293"/>
      <c r="G244" s="293"/>
      <c r="H244" s="274"/>
      <c r="I244" s="293"/>
    </row>
    <row r="245" spans="1:9" ht="15">
      <c r="A245" s="3"/>
      <c r="B245" s="3"/>
      <c r="C245" s="286"/>
      <c r="D245" s="286"/>
      <c r="E245" s="286"/>
      <c r="F245" s="286"/>
      <c r="G245" s="286"/>
      <c r="H245" s="287"/>
      <c r="I245" s="286"/>
    </row>
    <row r="246" spans="1:9" ht="15">
      <c r="A246" s="3"/>
      <c r="B246" s="3"/>
      <c r="C246" s="286"/>
      <c r="D246" s="286"/>
      <c r="E246" s="286"/>
      <c r="F246" s="286"/>
      <c r="G246" s="286"/>
      <c r="H246" s="287"/>
      <c r="I246" s="286"/>
    </row>
    <row r="247" spans="1:9" ht="15">
      <c r="A247" s="3"/>
      <c r="B247" s="3"/>
      <c r="C247" s="286"/>
      <c r="D247" s="286"/>
      <c r="E247" s="286"/>
      <c r="F247" s="286"/>
      <c r="G247" s="286"/>
      <c r="H247" s="287"/>
      <c r="I247" s="286"/>
    </row>
    <row r="248" spans="1:9" ht="15">
      <c r="A248" s="3"/>
      <c r="B248" s="3"/>
      <c r="C248" s="286"/>
      <c r="D248" s="286"/>
      <c r="E248" s="286"/>
      <c r="F248" s="286"/>
      <c r="G248" s="286"/>
      <c r="H248" s="287"/>
      <c r="I248" s="286"/>
    </row>
    <row r="249" spans="1:9" ht="15">
      <c r="A249" s="3"/>
      <c r="B249" s="3"/>
      <c r="C249" s="286"/>
      <c r="D249" s="286"/>
      <c r="E249" s="286"/>
      <c r="F249" s="286"/>
      <c r="G249" s="286"/>
      <c r="H249" s="287"/>
      <c r="I249" s="286"/>
    </row>
    <row r="250" spans="1:9" ht="15">
      <c r="A250" s="3"/>
      <c r="B250" s="3"/>
      <c r="C250" s="286"/>
      <c r="D250" s="286"/>
      <c r="E250" s="286"/>
      <c r="F250" s="286"/>
      <c r="G250" s="286"/>
      <c r="H250" s="287"/>
      <c r="I250" s="286"/>
    </row>
    <row r="251" spans="1:9" ht="15">
      <c r="A251" s="3"/>
      <c r="B251" s="3"/>
      <c r="C251" s="286"/>
      <c r="D251" s="286"/>
      <c r="E251" s="286"/>
      <c r="F251" s="286"/>
      <c r="G251" s="286"/>
      <c r="H251" s="287"/>
      <c r="I251" s="286"/>
    </row>
    <row r="252" spans="1:9" ht="15">
      <c r="A252" s="3"/>
      <c r="B252" s="3"/>
      <c r="C252" s="286"/>
      <c r="D252" s="286"/>
      <c r="E252" s="286"/>
      <c r="F252" s="286"/>
      <c r="G252" s="286"/>
      <c r="H252" s="287"/>
      <c r="I252" s="286"/>
    </row>
    <row r="253" spans="1:9" ht="15">
      <c r="A253" s="3"/>
      <c r="B253" s="3"/>
      <c r="C253" s="286"/>
      <c r="D253" s="286"/>
      <c r="E253" s="286"/>
      <c r="F253" s="286"/>
      <c r="G253" s="286"/>
      <c r="H253" s="287"/>
      <c r="I253" s="286"/>
    </row>
    <row r="254" spans="1:9" ht="15">
      <c r="A254" s="3"/>
      <c r="B254" s="3"/>
      <c r="C254" s="286"/>
      <c r="D254" s="286"/>
      <c r="E254" s="286"/>
      <c r="F254" s="286"/>
      <c r="G254" s="286"/>
      <c r="H254" s="287"/>
      <c r="I254" s="286"/>
    </row>
    <row r="255" spans="1:9" ht="15">
      <c r="A255" s="3"/>
      <c r="B255" s="3"/>
      <c r="C255" s="286"/>
      <c r="D255" s="286"/>
      <c r="E255" s="286"/>
      <c r="F255" s="286"/>
      <c r="G255" s="286"/>
      <c r="H255" s="287"/>
      <c r="I255" s="286"/>
    </row>
    <row r="256" spans="1:9" ht="15">
      <c r="A256" s="3"/>
      <c r="B256" s="3"/>
      <c r="C256" s="286"/>
      <c r="D256" s="286"/>
      <c r="E256" s="286"/>
      <c r="F256" s="286"/>
      <c r="G256" s="286"/>
      <c r="H256" s="287"/>
      <c r="I256" s="286"/>
    </row>
    <row r="257" spans="1:9" ht="15">
      <c r="A257" s="3"/>
      <c r="B257" s="3"/>
      <c r="C257" s="286"/>
      <c r="D257" s="286"/>
      <c r="E257" s="286"/>
      <c r="F257" s="286"/>
      <c r="G257" s="286"/>
      <c r="H257" s="287"/>
      <c r="I257" s="286"/>
    </row>
    <row r="258" spans="1:9" ht="15">
      <c r="A258" s="3"/>
      <c r="B258" s="3"/>
      <c r="C258" s="286"/>
      <c r="D258" s="286"/>
      <c r="E258" s="286"/>
      <c r="F258" s="286"/>
      <c r="G258" s="286"/>
      <c r="H258" s="287"/>
      <c r="I258" s="286"/>
    </row>
    <row r="259" spans="1:9" ht="15">
      <c r="A259" s="3"/>
      <c r="B259" s="3"/>
      <c r="C259" s="286"/>
      <c r="D259" s="286"/>
      <c r="E259" s="286"/>
      <c r="F259" s="286"/>
      <c r="G259" s="286"/>
      <c r="H259" s="287"/>
      <c r="I259" s="286"/>
    </row>
    <row r="260" spans="1:9" ht="15">
      <c r="A260" s="3"/>
      <c r="B260" s="3"/>
      <c r="C260" s="286"/>
      <c r="D260" s="286"/>
      <c r="E260" s="286"/>
      <c r="F260" s="286"/>
      <c r="G260" s="286"/>
      <c r="H260" s="287"/>
      <c r="I260" s="286"/>
    </row>
    <row r="261" spans="1:9" ht="15">
      <c r="A261" s="3"/>
      <c r="B261" s="3"/>
      <c r="C261" s="286"/>
      <c r="D261" s="286"/>
      <c r="E261" s="286"/>
      <c r="F261" s="286"/>
      <c r="G261" s="286"/>
      <c r="H261" s="287"/>
      <c r="I261" s="286"/>
    </row>
    <row r="262" spans="1:9" ht="15">
      <c r="A262" s="3"/>
      <c r="B262" s="3"/>
      <c r="C262" s="286"/>
      <c r="D262" s="286"/>
      <c r="E262" s="286"/>
      <c r="F262" s="286"/>
      <c r="G262" s="286"/>
      <c r="H262" s="287"/>
      <c r="I262" s="286"/>
    </row>
    <row r="263" spans="1:9" ht="15">
      <c r="A263" s="3"/>
      <c r="B263" s="3"/>
      <c r="C263" s="286"/>
      <c r="D263" s="286"/>
      <c r="E263" s="286"/>
      <c r="F263" s="286"/>
      <c r="G263" s="286"/>
      <c r="H263" s="287"/>
      <c r="I263" s="286"/>
    </row>
    <row r="264" spans="1:9" ht="15">
      <c r="A264" s="3"/>
      <c r="B264" s="3"/>
      <c r="C264" s="286"/>
      <c r="D264" s="286"/>
      <c r="E264" s="286"/>
      <c r="F264" s="286"/>
      <c r="G264" s="286"/>
      <c r="H264" s="287"/>
      <c r="I264" s="286"/>
    </row>
    <row r="265" spans="1:9" ht="15">
      <c r="A265" s="3"/>
      <c r="B265" s="3"/>
      <c r="C265" s="286"/>
      <c r="D265" s="286"/>
      <c r="E265" s="286"/>
      <c r="F265" s="286"/>
      <c r="G265" s="286"/>
      <c r="H265" s="287"/>
      <c r="I265" s="286"/>
    </row>
    <row r="266" spans="1:9" ht="15">
      <c r="A266" s="3"/>
      <c r="B266" s="3"/>
      <c r="C266" s="286"/>
      <c r="D266" s="286"/>
      <c r="E266" s="286"/>
      <c r="F266" s="286"/>
      <c r="G266" s="286"/>
      <c r="H266" s="287"/>
      <c r="I266" s="286"/>
    </row>
    <row r="267" spans="1:9" ht="15">
      <c r="A267" s="3"/>
      <c r="B267" s="3"/>
      <c r="C267" s="286"/>
      <c r="D267" s="286"/>
      <c r="E267" s="286"/>
      <c r="F267" s="286"/>
      <c r="G267" s="286"/>
      <c r="H267" s="287"/>
      <c r="I267" s="286"/>
    </row>
    <row r="268" spans="1:9" ht="15">
      <c r="A268" s="3"/>
      <c r="B268" s="3"/>
      <c r="C268" s="286"/>
      <c r="D268" s="286"/>
      <c r="E268" s="286"/>
      <c r="F268" s="286"/>
      <c r="G268" s="286"/>
      <c r="H268" s="287"/>
      <c r="I268" s="286"/>
    </row>
    <row r="269" spans="1:9" ht="15">
      <c r="A269" s="3"/>
      <c r="B269" s="3"/>
      <c r="C269" s="286"/>
      <c r="D269" s="286"/>
      <c r="E269" s="286"/>
      <c r="F269" s="286"/>
      <c r="G269" s="286"/>
      <c r="H269" s="287"/>
      <c r="I269" s="286"/>
    </row>
    <row r="270" spans="1:9" ht="15">
      <c r="A270" s="3"/>
      <c r="B270" s="3"/>
      <c r="C270" s="286"/>
      <c r="D270" s="286"/>
      <c r="E270" s="286"/>
      <c r="F270" s="286"/>
      <c r="G270" s="286"/>
      <c r="H270" s="287"/>
      <c r="I270" s="286"/>
    </row>
    <row r="271" spans="1:9" ht="15">
      <c r="A271" s="3"/>
      <c r="B271" s="3"/>
      <c r="C271" s="286"/>
      <c r="D271" s="286"/>
      <c r="E271" s="286"/>
      <c r="F271" s="286"/>
      <c r="G271" s="286"/>
      <c r="H271" s="287"/>
      <c r="I271" s="286"/>
    </row>
    <row r="272" spans="1:9" ht="15">
      <c r="A272" s="3"/>
      <c r="B272" s="3"/>
      <c r="C272" s="286"/>
      <c r="D272" s="286"/>
      <c r="E272" s="286"/>
      <c r="F272" s="286"/>
      <c r="G272" s="286"/>
      <c r="H272" s="287"/>
      <c r="I272" s="286"/>
    </row>
    <row r="273" spans="1:9" ht="15">
      <c r="A273" s="3"/>
      <c r="B273" s="3"/>
      <c r="C273" s="286"/>
      <c r="D273" s="286"/>
      <c r="E273" s="286"/>
      <c r="F273" s="286"/>
      <c r="G273" s="286"/>
      <c r="H273" s="287"/>
      <c r="I273" s="286"/>
    </row>
    <row r="274" spans="1:9" ht="15">
      <c r="A274" s="3"/>
      <c r="B274" s="3"/>
      <c r="C274" s="286"/>
      <c r="D274" s="286"/>
      <c r="E274" s="286"/>
      <c r="F274" s="286"/>
      <c r="G274" s="286"/>
      <c r="H274" s="287"/>
      <c r="I274" s="286"/>
    </row>
    <row r="275" spans="1:9" ht="15">
      <c r="A275" s="3"/>
      <c r="B275" s="3"/>
      <c r="C275" s="286"/>
      <c r="D275" s="286"/>
      <c r="E275" s="286"/>
      <c r="F275" s="286"/>
      <c r="G275" s="286"/>
      <c r="H275" s="287"/>
      <c r="I275" s="286"/>
    </row>
    <row r="276" spans="1:9" ht="15">
      <c r="A276" s="3"/>
      <c r="B276" s="3"/>
      <c r="C276" s="286"/>
      <c r="D276" s="286"/>
      <c r="E276" s="286"/>
      <c r="F276" s="286"/>
      <c r="G276" s="286"/>
      <c r="H276" s="287"/>
      <c r="I276" s="286"/>
    </row>
    <row r="277" spans="1:9" ht="15">
      <c r="A277" s="3"/>
      <c r="B277" s="3"/>
      <c r="C277" s="286"/>
      <c r="D277" s="286"/>
      <c r="E277" s="286"/>
      <c r="F277" s="286"/>
      <c r="G277" s="286"/>
      <c r="H277" s="287"/>
      <c r="I277" s="286"/>
    </row>
    <row r="278" spans="1:9" ht="15">
      <c r="A278" s="3"/>
      <c r="B278" s="3"/>
      <c r="C278" s="286"/>
      <c r="D278" s="286"/>
      <c r="E278" s="286"/>
      <c r="F278" s="286"/>
      <c r="G278" s="286"/>
      <c r="H278" s="287"/>
      <c r="I278" s="286"/>
    </row>
    <row r="279" spans="1:9" ht="15">
      <c r="A279" s="3"/>
      <c r="B279" s="3"/>
      <c r="C279" s="286"/>
      <c r="D279" s="286"/>
      <c r="E279" s="286"/>
      <c r="F279" s="286"/>
      <c r="G279" s="286"/>
      <c r="H279" s="287"/>
      <c r="I279" s="286"/>
    </row>
    <row r="280" spans="1:9" ht="15">
      <c r="A280" s="3"/>
      <c r="B280" s="3"/>
      <c r="C280" s="286"/>
      <c r="D280" s="286"/>
      <c r="E280" s="286"/>
      <c r="F280" s="286"/>
      <c r="G280" s="286"/>
      <c r="H280" s="287"/>
      <c r="I280" s="286"/>
    </row>
    <row r="281" spans="1:9" ht="15">
      <c r="A281" s="3"/>
      <c r="B281" s="3"/>
      <c r="C281" s="286"/>
      <c r="D281" s="286"/>
      <c r="E281" s="286"/>
      <c r="F281" s="286"/>
      <c r="G281" s="286"/>
      <c r="H281" s="287"/>
      <c r="I281" s="286"/>
    </row>
    <row r="282" spans="1:9" ht="15">
      <c r="A282" s="3"/>
      <c r="B282" s="3"/>
      <c r="C282" s="286"/>
      <c r="D282" s="286"/>
      <c r="E282" s="286"/>
      <c r="F282" s="286"/>
      <c r="G282" s="286"/>
      <c r="H282" s="287"/>
      <c r="I282" s="286"/>
    </row>
    <row r="283" spans="1:9" ht="15">
      <c r="A283" s="3"/>
      <c r="B283" s="3"/>
      <c r="C283" s="286"/>
      <c r="D283" s="286"/>
      <c r="E283" s="286"/>
      <c r="F283" s="286"/>
      <c r="G283" s="286"/>
      <c r="H283" s="287"/>
      <c r="I283" s="286"/>
    </row>
    <row r="284" spans="1:9" ht="15">
      <c r="A284" s="3"/>
      <c r="B284" s="3"/>
      <c r="C284" s="286"/>
      <c r="D284" s="286"/>
      <c r="E284" s="286"/>
      <c r="F284" s="286"/>
      <c r="G284" s="286"/>
      <c r="H284" s="287"/>
      <c r="I284" s="286"/>
    </row>
    <row r="285" spans="1:9" ht="15">
      <c r="A285" s="3"/>
      <c r="B285" s="3"/>
      <c r="C285" s="286"/>
      <c r="D285" s="286"/>
      <c r="E285" s="286"/>
      <c r="F285" s="286"/>
      <c r="G285" s="286"/>
      <c r="H285" s="287"/>
      <c r="I285" s="286"/>
    </row>
    <row r="286" spans="1:9" ht="15">
      <c r="A286" s="3"/>
      <c r="B286" s="3"/>
      <c r="C286" s="286"/>
      <c r="D286" s="286"/>
      <c r="E286" s="286"/>
      <c r="F286" s="286"/>
      <c r="G286" s="286"/>
      <c r="H286" s="287"/>
      <c r="I286" s="286"/>
    </row>
    <row r="287" spans="1:9" ht="15">
      <c r="A287" s="3"/>
      <c r="B287" s="3"/>
      <c r="C287" s="286"/>
      <c r="D287" s="286"/>
      <c r="E287" s="286"/>
      <c r="F287" s="286"/>
      <c r="G287" s="286"/>
      <c r="H287" s="287"/>
      <c r="I287" s="286"/>
    </row>
    <row r="288" spans="1:9" ht="15">
      <c r="A288" s="3"/>
      <c r="B288" s="3"/>
      <c r="C288" s="286"/>
      <c r="D288" s="286"/>
      <c r="E288" s="286"/>
      <c r="F288" s="286"/>
      <c r="G288" s="286"/>
      <c r="H288" s="287"/>
      <c r="I288" s="286"/>
    </row>
    <row r="289" spans="1:9" ht="15">
      <c r="A289" s="3"/>
      <c r="B289" s="3"/>
      <c r="C289" s="286"/>
      <c r="D289" s="286"/>
      <c r="E289" s="286"/>
      <c r="F289" s="286"/>
      <c r="G289" s="286"/>
      <c r="H289" s="287"/>
      <c r="I289" s="286"/>
    </row>
    <row r="290" spans="1:9" ht="15">
      <c r="A290" s="3"/>
      <c r="B290" s="3"/>
      <c r="C290" s="286"/>
      <c r="D290" s="286"/>
      <c r="E290" s="286"/>
      <c r="F290" s="286"/>
      <c r="G290" s="286"/>
      <c r="H290" s="287"/>
      <c r="I290" s="286"/>
    </row>
    <row r="291" spans="1:9" ht="15">
      <c r="A291" s="3"/>
      <c r="B291" s="3"/>
      <c r="C291" s="286"/>
      <c r="D291" s="286"/>
      <c r="E291" s="286"/>
      <c r="F291" s="286"/>
      <c r="G291" s="286"/>
      <c r="H291" s="287"/>
      <c r="I291" s="286"/>
    </row>
    <row r="292" spans="1:9" ht="15">
      <c r="A292" s="3"/>
      <c r="B292" s="3"/>
      <c r="C292" s="286"/>
      <c r="D292" s="286"/>
      <c r="E292" s="286"/>
      <c r="F292" s="286"/>
      <c r="G292" s="286"/>
      <c r="H292" s="287"/>
      <c r="I292" s="286"/>
    </row>
    <row r="293" spans="1:9" ht="15">
      <c r="A293" s="3"/>
      <c r="B293" s="3"/>
      <c r="C293" s="286"/>
      <c r="D293" s="286"/>
      <c r="E293" s="286"/>
      <c r="F293" s="286"/>
      <c r="G293" s="286"/>
      <c r="H293" s="287"/>
      <c r="I293" s="286"/>
    </row>
    <row r="294" spans="1:9" ht="15">
      <c r="A294" s="3"/>
      <c r="B294" s="3"/>
      <c r="C294" s="286"/>
      <c r="D294" s="286"/>
      <c r="E294" s="286"/>
      <c r="F294" s="286"/>
      <c r="G294" s="286"/>
      <c r="H294" s="287"/>
      <c r="I294" s="286"/>
    </row>
    <row r="295" spans="1:9" ht="15">
      <c r="A295" s="3"/>
      <c r="B295" s="3"/>
      <c r="C295" s="286"/>
      <c r="D295" s="286"/>
      <c r="E295" s="286"/>
      <c r="F295" s="286"/>
      <c r="G295" s="286"/>
      <c r="H295" s="287"/>
      <c r="I295" s="286"/>
    </row>
    <row r="296" spans="1:9" ht="15">
      <c r="A296" s="3"/>
      <c r="B296" s="3"/>
      <c r="C296" s="286"/>
      <c r="D296" s="286"/>
      <c r="E296" s="286"/>
      <c r="F296" s="286"/>
      <c r="G296" s="286"/>
      <c r="H296" s="287"/>
      <c r="I296" s="286"/>
    </row>
    <row r="297" spans="1:9" ht="15">
      <c r="A297" s="3"/>
      <c r="B297" s="3"/>
      <c r="C297" s="286"/>
      <c r="D297" s="286"/>
      <c r="E297" s="286"/>
      <c r="F297" s="286"/>
      <c r="G297" s="286"/>
      <c r="H297" s="287"/>
      <c r="I297" s="286"/>
    </row>
    <row r="298" spans="1:9" ht="15">
      <c r="A298" s="3"/>
      <c r="B298" s="3"/>
      <c r="C298" s="286"/>
      <c r="D298" s="286"/>
      <c r="E298" s="286"/>
      <c r="F298" s="286"/>
      <c r="G298" s="286"/>
      <c r="H298" s="287"/>
      <c r="I298" s="286"/>
    </row>
    <row r="299" spans="1:9" ht="15">
      <c r="A299" s="3"/>
      <c r="B299" s="3"/>
      <c r="C299" s="286"/>
      <c r="D299" s="286"/>
      <c r="E299" s="286"/>
      <c r="F299" s="286"/>
      <c r="G299" s="286"/>
      <c r="H299" s="287"/>
      <c r="I299" s="286"/>
    </row>
    <row r="300" spans="1:9" ht="15">
      <c r="A300" s="3"/>
      <c r="B300" s="3"/>
      <c r="C300" s="286"/>
      <c r="D300" s="286"/>
      <c r="E300" s="286"/>
      <c r="F300" s="286"/>
      <c r="G300" s="286"/>
      <c r="H300" s="287"/>
      <c r="I300" s="286"/>
    </row>
    <row r="301" spans="1:9" ht="15">
      <c r="A301" s="3"/>
      <c r="B301" s="3"/>
      <c r="C301" s="286"/>
      <c r="D301" s="286"/>
      <c r="E301" s="286"/>
      <c r="F301" s="286"/>
      <c r="G301" s="286"/>
      <c r="H301" s="287"/>
      <c r="I301" s="286"/>
    </row>
    <row r="302" spans="1:9" ht="15">
      <c r="A302" s="3"/>
      <c r="B302" s="3"/>
      <c r="C302" s="286"/>
      <c r="D302" s="286"/>
      <c r="E302" s="286"/>
      <c r="F302" s="286"/>
      <c r="G302" s="286"/>
      <c r="H302" s="287"/>
      <c r="I302" s="286"/>
    </row>
    <row r="303" spans="1:9" ht="15">
      <c r="A303" s="3"/>
      <c r="B303" s="3"/>
      <c r="C303" s="286"/>
      <c r="D303" s="286"/>
      <c r="E303" s="286"/>
      <c r="F303" s="286"/>
      <c r="G303" s="286"/>
      <c r="H303" s="287"/>
      <c r="I303" s="286"/>
    </row>
    <row r="304" spans="1:9" ht="15">
      <c r="A304" s="3"/>
      <c r="B304" s="3"/>
      <c r="C304" s="286"/>
      <c r="D304" s="286"/>
      <c r="E304" s="286"/>
      <c r="F304" s="286"/>
      <c r="G304" s="286"/>
      <c r="H304" s="287"/>
      <c r="I304" s="286"/>
    </row>
    <row r="305" spans="1:9" ht="15">
      <c r="A305" s="3"/>
      <c r="B305" s="3"/>
      <c r="C305" s="286"/>
      <c r="D305" s="286"/>
      <c r="E305" s="286"/>
      <c r="F305" s="286"/>
      <c r="G305" s="286"/>
      <c r="H305" s="287"/>
      <c r="I305" s="286"/>
    </row>
    <row r="306" spans="1:9" ht="15">
      <c r="A306" s="3"/>
      <c r="B306" s="3"/>
      <c r="C306" s="286"/>
      <c r="D306" s="286"/>
      <c r="E306" s="286"/>
      <c r="F306" s="286"/>
      <c r="G306" s="286"/>
      <c r="H306" s="287"/>
      <c r="I306" s="286"/>
    </row>
    <row r="307" spans="1:9" ht="15">
      <c r="A307" s="3"/>
      <c r="B307" s="3"/>
      <c r="C307" s="286"/>
      <c r="D307" s="286"/>
      <c r="E307" s="286"/>
      <c r="F307" s="286"/>
      <c r="G307" s="286"/>
      <c r="H307" s="287"/>
      <c r="I307" s="286"/>
    </row>
    <row r="308" spans="1:9" ht="15">
      <c r="A308" s="3"/>
      <c r="B308" s="3"/>
      <c r="C308" s="286"/>
      <c r="D308" s="286"/>
      <c r="E308" s="286"/>
      <c r="F308" s="286"/>
      <c r="G308" s="286"/>
      <c r="H308" s="287"/>
      <c r="I308" s="286"/>
    </row>
    <row r="309" spans="1:9" ht="15">
      <c r="A309" s="3"/>
      <c r="B309" s="3"/>
      <c r="C309" s="286"/>
      <c r="D309" s="286"/>
      <c r="E309" s="286"/>
      <c r="F309" s="286"/>
      <c r="G309" s="286"/>
      <c r="H309" s="287"/>
      <c r="I309" s="286"/>
    </row>
    <row r="310" spans="1:9" ht="15">
      <c r="A310" s="3"/>
      <c r="B310" s="3"/>
      <c r="C310" s="286"/>
      <c r="D310" s="286"/>
      <c r="E310" s="286"/>
      <c r="F310" s="286"/>
      <c r="G310" s="286"/>
      <c r="H310" s="287"/>
      <c r="I310" s="286"/>
    </row>
    <row r="311" spans="1:9" ht="15">
      <c r="A311" s="3"/>
      <c r="B311" s="3"/>
      <c r="C311" s="286"/>
      <c r="D311" s="286"/>
      <c r="E311" s="286"/>
      <c r="F311" s="286"/>
      <c r="G311" s="286"/>
      <c r="H311" s="287"/>
      <c r="I311" s="286"/>
    </row>
    <row r="312" spans="1:9" ht="15">
      <c r="A312" s="3"/>
      <c r="B312" s="3"/>
      <c r="C312" s="286"/>
      <c r="D312" s="286"/>
      <c r="E312" s="286"/>
      <c r="F312" s="286"/>
      <c r="G312" s="286"/>
      <c r="H312" s="287"/>
      <c r="I312" s="286"/>
    </row>
    <row r="313" spans="1:9" ht="15">
      <c r="A313" s="3"/>
      <c r="B313" s="3"/>
      <c r="C313" s="286"/>
      <c r="D313" s="286"/>
      <c r="E313" s="286"/>
      <c r="F313" s="286"/>
      <c r="G313" s="286"/>
      <c r="H313" s="287"/>
      <c r="I313" s="286"/>
    </row>
    <row r="314" spans="1:9" ht="15">
      <c r="A314" s="3"/>
      <c r="B314" s="3"/>
      <c r="C314" s="286"/>
      <c r="D314" s="286"/>
      <c r="E314" s="286"/>
      <c r="F314" s="286"/>
      <c r="G314" s="286"/>
      <c r="H314" s="287"/>
      <c r="I314" s="286"/>
    </row>
    <row r="315" spans="1:9" ht="15">
      <c r="A315" s="3"/>
      <c r="B315" s="3"/>
      <c r="C315" s="286"/>
      <c r="D315" s="286"/>
      <c r="E315" s="286"/>
      <c r="F315" s="286"/>
      <c r="G315" s="286"/>
      <c r="H315" s="287"/>
      <c r="I315" s="286"/>
    </row>
    <row r="316" spans="1:9" ht="15">
      <c r="A316" s="3"/>
      <c r="B316" s="3"/>
      <c r="C316" s="286"/>
      <c r="D316" s="286"/>
      <c r="E316" s="286"/>
      <c r="F316" s="286"/>
      <c r="G316" s="286"/>
      <c r="H316" s="287"/>
      <c r="I316" s="286"/>
    </row>
    <row r="317" spans="1:9" ht="15">
      <c r="A317" s="3"/>
      <c r="B317" s="3"/>
      <c r="C317" s="286"/>
      <c r="D317" s="286"/>
      <c r="E317" s="286"/>
      <c r="F317" s="286"/>
      <c r="G317" s="286"/>
      <c r="H317" s="287"/>
      <c r="I317" s="286"/>
    </row>
    <row r="318" spans="1:9" ht="15">
      <c r="A318" s="3"/>
      <c r="B318" s="3"/>
      <c r="C318" s="286"/>
      <c r="D318" s="286"/>
      <c r="E318" s="286"/>
      <c r="F318" s="286"/>
      <c r="G318" s="286"/>
      <c r="H318" s="287"/>
      <c r="I318" s="286"/>
    </row>
    <row r="319" spans="1:9" ht="15">
      <c r="A319" s="3"/>
      <c r="B319" s="3"/>
      <c r="C319" s="286"/>
      <c r="D319" s="286"/>
      <c r="E319" s="286"/>
      <c r="F319" s="286"/>
      <c r="G319" s="286"/>
      <c r="H319" s="287"/>
      <c r="I319" s="286"/>
    </row>
    <row r="320" spans="1:9" ht="15">
      <c r="A320" s="3"/>
      <c r="B320" s="3"/>
      <c r="C320" s="286"/>
      <c r="D320" s="286"/>
      <c r="E320" s="286"/>
      <c r="F320" s="286"/>
      <c r="G320" s="286"/>
      <c r="H320" s="287"/>
      <c r="I320" s="286"/>
    </row>
    <row r="321" spans="1:9" ht="15">
      <c r="A321" s="3"/>
      <c r="B321" s="3"/>
      <c r="C321" s="286"/>
      <c r="D321" s="286"/>
      <c r="E321" s="286"/>
      <c r="F321" s="286"/>
      <c r="G321" s="286"/>
      <c r="H321" s="287"/>
      <c r="I321" s="286"/>
    </row>
    <row r="322" spans="1:9" ht="15">
      <c r="A322" s="3"/>
      <c r="B322" s="3"/>
      <c r="C322" s="286"/>
      <c r="D322" s="286"/>
      <c r="E322" s="286"/>
      <c r="F322" s="286"/>
      <c r="G322" s="286"/>
      <c r="H322" s="287"/>
      <c r="I322" s="286"/>
    </row>
    <row r="323" spans="1:9" ht="15">
      <c r="A323" s="3"/>
      <c r="B323" s="3"/>
      <c r="C323" s="286"/>
      <c r="D323" s="286"/>
      <c r="E323" s="286"/>
      <c r="F323" s="286"/>
      <c r="G323" s="286"/>
      <c r="H323" s="287"/>
      <c r="I323" s="286"/>
    </row>
    <row r="324" spans="1:9" ht="15">
      <c r="A324" s="3"/>
      <c r="B324" s="3"/>
      <c r="C324" s="286"/>
      <c r="D324" s="286"/>
      <c r="E324" s="286"/>
      <c r="F324" s="286"/>
      <c r="G324" s="286"/>
      <c r="H324" s="287"/>
      <c r="I324" s="286"/>
    </row>
    <row r="325" spans="1:9" ht="15">
      <c r="A325" s="3"/>
      <c r="B325" s="3"/>
      <c r="C325" s="286"/>
      <c r="D325" s="286"/>
      <c r="E325" s="286"/>
      <c r="F325" s="286"/>
      <c r="G325" s="286"/>
      <c r="H325" s="287"/>
      <c r="I325" s="286"/>
    </row>
    <row r="326" spans="1:9" ht="15">
      <c r="A326" s="3"/>
      <c r="B326" s="3"/>
      <c r="C326" s="286"/>
      <c r="D326" s="286"/>
      <c r="E326" s="286"/>
      <c r="F326" s="286"/>
      <c r="G326" s="286"/>
      <c r="H326" s="287"/>
      <c r="I326" s="286"/>
    </row>
    <row r="327" spans="1:9" ht="15">
      <c r="A327" s="3"/>
      <c r="B327" s="3"/>
      <c r="C327" s="286"/>
      <c r="D327" s="286"/>
      <c r="E327" s="286"/>
      <c r="F327" s="286"/>
      <c r="G327" s="286"/>
      <c r="H327" s="287"/>
      <c r="I327" s="286"/>
    </row>
    <row r="328" spans="1:9" ht="15">
      <c r="A328" s="3"/>
      <c r="B328" s="3"/>
      <c r="C328" s="286"/>
      <c r="D328" s="286"/>
      <c r="E328" s="286"/>
      <c r="F328" s="286"/>
      <c r="G328" s="286"/>
      <c r="H328" s="287"/>
      <c r="I328" s="286"/>
    </row>
    <row r="329" spans="1:9" ht="15">
      <c r="A329" s="3"/>
      <c r="B329" s="3"/>
      <c r="C329" s="286"/>
      <c r="D329" s="286"/>
      <c r="E329" s="286"/>
      <c r="F329" s="286"/>
      <c r="G329" s="286"/>
      <c r="H329" s="287"/>
      <c r="I329" s="286"/>
    </row>
    <row r="330" spans="1:9" ht="15">
      <c r="A330" s="3"/>
      <c r="B330" s="3"/>
      <c r="C330" s="286"/>
      <c r="D330" s="286"/>
      <c r="E330" s="286"/>
      <c r="F330" s="286"/>
      <c r="G330" s="286"/>
      <c r="H330" s="287"/>
      <c r="I330" s="286"/>
    </row>
    <row r="331" spans="1:9" ht="15">
      <c r="A331" s="3"/>
      <c r="B331" s="3"/>
      <c r="C331" s="286"/>
      <c r="D331" s="286"/>
      <c r="E331" s="286"/>
      <c r="F331" s="286"/>
      <c r="G331" s="286"/>
      <c r="H331" s="287"/>
      <c r="I331" s="286"/>
    </row>
    <row r="332" spans="1:9" ht="15">
      <c r="A332" s="3"/>
      <c r="B332" s="3"/>
      <c r="C332" s="286"/>
      <c r="D332" s="286"/>
      <c r="E332" s="286"/>
      <c r="F332" s="286"/>
      <c r="G332" s="286"/>
      <c r="H332" s="287"/>
      <c r="I332" s="286"/>
    </row>
    <row r="333" spans="1:9" ht="15">
      <c r="A333" s="3"/>
      <c r="B333" s="3"/>
      <c r="C333" s="286"/>
      <c r="D333" s="286"/>
      <c r="E333" s="286"/>
      <c r="F333" s="286"/>
      <c r="G333" s="286"/>
      <c r="H333" s="287"/>
      <c r="I333" s="286"/>
    </row>
    <row r="334" spans="1:9" ht="15">
      <c r="A334" s="3"/>
      <c r="B334" s="3"/>
      <c r="C334" s="286"/>
      <c r="D334" s="286"/>
      <c r="E334" s="286"/>
      <c r="F334" s="286"/>
      <c r="G334" s="286"/>
      <c r="H334" s="287"/>
      <c r="I334" s="286"/>
    </row>
    <row r="335" spans="1:9" ht="15">
      <c r="A335" s="3"/>
      <c r="B335" s="3"/>
      <c r="C335" s="286"/>
      <c r="D335" s="286"/>
      <c r="E335" s="286"/>
      <c r="F335" s="286"/>
      <c r="G335" s="286"/>
      <c r="H335" s="287"/>
      <c r="I335" s="286"/>
    </row>
    <row r="336" spans="1:9" ht="15">
      <c r="A336" s="3"/>
      <c r="B336" s="3"/>
      <c r="C336" s="286"/>
      <c r="D336" s="286"/>
      <c r="E336" s="286"/>
      <c r="F336" s="286"/>
      <c r="G336" s="286"/>
      <c r="H336" s="287"/>
      <c r="I336" s="286"/>
    </row>
    <row r="337" spans="1:9" ht="15">
      <c r="A337" s="3"/>
      <c r="B337" s="3"/>
      <c r="C337" s="286"/>
      <c r="D337" s="286"/>
      <c r="E337" s="286"/>
      <c r="F337" s="286"/>
      <c r="G337" s="286"/>
      <c r="H337" s="287"/>
      <c r="I337" s="286"/>
    </row>
    <row r="338" spans="1:9" ht="15">
      <c r="A338" s="3"/>
      <c r="B338" s="3"/>
      <c r="C338" s="286"/>
      <c r="D338" s="286"/>
      <c r="E338" s="286"/>
      <c r="F338" s="286"/>
      <c r="G338" s="286"/>
      <c r="H338" s="287"/>
      <c r="I338" s="286"/>
    </row>
    <row r="339" spans="1:9" ht="15">
      <c r="A339" s="3"/>
      <c r="B339" s="3"/>
      <c r="C339" s="286"/>
      <c r="D339" s="286"/>
      <c r="E339" s="286"/>
      <c r="F339" s="286"/>
      <c r="G339" s="286"/>
      <c r="H339" s="287"/>
      <c r="I339" s="286"/>
    </row>
    <row r="340" spans="1:9" ht="15">
      <c r="A340" s="3"/>
      <c r="B340" s="3"/>
      <c r="C340" s="286"/>
      <c r="D340" s="286"/>
      <c r="E340" s="286"/>
      <c r="F340" s="286"/>
      <c r="G340" s="286"/>
      <c r="H340" s="287"/>
      <c r="I340" s="286"/>
    </row>
    <row r="341" spans="1:9" ht="15">
      <c r="A341" s="3"/>
      <c r="B341" s="3"/>
      <c r="C341" s="286"/>
      <c r="D341" s="286"/>
      <c r="E341" s="286"/>
      <c r="F341" s="286"/>
      <c r="G341" s="286"/>
      <c r="H341" s="287"/>
      <c r="I341" s="286"/>
    </row>
    <row r="342" spans="1:9" ht="15">
      <c r="A342" s="3"/>
      <c r="B342" s="3"/>
      <c r="C342" s="286"/>
      <c r="D342" s="286"/>
      <c r="E342" s="286"/>
      <c r="F342" s="286"/>
      <c r="G342" s="286"/>
      <c r="H342" s="287"/>
      <c r="I342" s="286"/>
    </row>
    <row r="343" spans="1:9" ht="15">
      <c r="A343" s="3"/>
      <c r="B343" s="3"/>
      <c r="C343" s="286"/>
      <c r="D343" s="286"/>
      <c r="E343" s="286"/>
      <c r="F343" s="286"/>
      <c r="G343" s="286"/>
      <c r="H343" s="287"/>
      <c r="I343" s="286"/>
    </row>
    <row r="344" spans="1:9" ht="15">
      <c r="A344" s="3"/>
      <c r="B344" s="3"/>
      <c r="C344" s="286"/>
      <c r="D344" s="286"/>
      <c r="E344" s="286"/>
      <c r="F344" s="286"/>
      <c r="G344" s="286"/>
      <c r="H344" s="287"/>
      <c r="I344" s="286"/>
    </row>
    <row r="345" spans="1:9" ht="15">
      <c r="A345" s="3"/>
      <c r="B345" s="3"/>
      <c r="C345" s="286"/>
      <c r="D345" s="286"/>
      <c r="E345" s="286"/>
      <c r="F345" s="286"/>
      <c r="G345" s="286"/>
      <c r="H345" s="287"/>
      <c r="I345" s="286"/>
    </row>
    <row r="346" spans="1:9" ht="15">
      <c r="A346" s="3"/>
      <c r="B346" s="3"/>
      <c r="C346" s="286"/>
      <c r="D346" s="286"/>
      <c r="E346" s="286"/>
      <c r="F346" s="286"/>
      <c r="G346" s="286"/>
      <c r="H346" s="287"/>
      <c r="I346" s="286"/>
    </row>
    <row r="347" spans="1:9" ht="15">
      <c r="A347" s="3"/>
      <c r="B347" s="3"/>
      <c r="C347" s="286"/>
      <c r="D347" s="286"/>
      <c r="E347" s="286"/>
      <c r="F347" s="286"/>
      <c r="G347" s="286"/>
      <c r="H347" s="287"/>
      <c r="I347" s="286"/>
    </row>
    <row r="348" spans="1:9" ht="15">
      <c r="A348" s="3"/>
      <c r="B348" s="3"/>
      <c r="C348" s="286"/>
      <c r="D348" s="286"/>
      <c r="E348" s="286"/>
      <c r="F348" s="286"/>
      <c r="G348" s="286"/>
      <c r="H348" s="287"/>
      <c r="I348" s="286"/>
    </row>
    <row r="349" spans="1:9" ht="15">
      <c r="A349" s="3"/>
      <c r="B349" s="3"/>
      <c r="C349" s="286"/>
      <c r="D349" s="286"/>
      <c r="E349" s="286"/>
      <c r="F349" s="286"/>
      <c r="G349" s="286"/>
      <c r="H349" s="287"/>
      <c r="I349" s="286"/>
    </row>
    <row r="350" spans="1:9" ht="15">
      <c r="A350" s="3"/>
      <c r="B350" s="3"/>
      <c r="C350" s="286"/>
      <c r="D350" s="286"/>
      <c r="E350" s="286"/>
      <c r="F350" s="286"/>
      <c r="G350" s="286"/>
      <c r="H350" s="287"/>
      <c r="I350" s="286"/>
    </row>
    <row r="351" spans="1:9" ht="15">
      <c r="A351" s="3"/>
      <c r="B351" s="3"/>
      <c r="C351" s="286"/>
      <c r="D351" s="286"/>
      <c r="E351" s="286"/>
      <c r="F351" s="286"/>
      <c r="G351" s="286"/>
      <c r="H351" s="287"/>
      <c r="I351" s="286"/>
    </row>
    <row r="352" spans="1:9" ht="15">
      <c r="A352" s="3"/>
      <c r="B352" s="3"/>
      <c r="C352" s="286"/>
      <c r="D352" s="286"/>
      <c r="E352" s="286"/>
      <c r="F352" s="286"/>
      <c r="G352" s="286"/>
      <c r="H352" s="287"/>
      <c r="I352" s="286"/>
    </row>
    <row r="353" spans="1:9" ht="15">
      <c r="A353" s="3"/>
      <c r="B353" s="3"/>
      <c r="C353" s="286"/>
      <c r="D353" s="286"/>
      <c r="E353" s="286"/>
      <c r="F353" s="286"/>
      <c r="G353" s="286"/>
      <c r="H353" s="287"/>
      <c r="I353" s="286"/>
    </row>
    <row r="354" spans="1:9" ht="15">
      <c r="A354" s="3"/>
      <c r="B354" s="3"/>
      <c r="C354" s="286"/>
      <c r="D354" s="286"/>
      <c r="E354" s="286"/>
      <c r="F354" s="286"/>
      <c r="G354" s="286"/>
      <c r="H354" s="287"/>
      <c r="I354" s="286"/>
    </row>
    <row r="355" spans="1:9" ht="15">
      <c r="A355" s="3"/>
      <c r="B355" s="3"/>
      <c r="C355" s="286"/>
      <c r="D355" s="286"/>
      <c r="E355" s="286"/>
      <c r="F355" s="286"/>
      <c r="G355" s="286"/>
      <c r="H355" s="287"/>
      <c r="I355" s="286"/>
    </row>
    <row r="356" spans="1:9" ht="15">
      <c r="A356" s="3"/>
      <c r="B356" s="3"/>
      <c r="C356" s="286"/>
      <c r="D356" s="286"/>
      <c r="E356" s="286"/>
      <c r="F356" s="286"/>
      <c r="G356" s="286"/>
      <c r="H356" s="287"/>
      <c r="I356" s="286"/>
    </row>
    <row r="357" spans="1:9" ht="15">
      <c r="A357" s="3"/>
      <c r="B357" s="3"/>
      <c r="C357" s="286"/>
      <c r="D357" s="286"/>
      <c r="E357" s="286"/>
      <c r="F357" s="286"/>
      <c r="G357" s="286"/>
      <c r="H357" s="287"/>
      <c r="I357" s="286"/>
    </row>
    <row r="358" spans="1:9" ht="15">
      <c r="A358" s="3"/>
      <c r="B358" s="3"/>
      <c r="C358" s="286"/>
      <c r="D358" s="286"/>
      <c r="E358" s="286"/>
      <c r="F358" s="286"/>
      <c r="G358" s="286"/>
      <c r="H358" s="287"/>
      <c r="I358" s="286"/>
    </row>
    <row r="359" spans="1:9" ht="15">
      <c r="A359" s="3"/>
      <c r="B359" s="3"/>
      <c r="C359" s="286"/>
      <c r="D359" s="286"/>
      <c r="E359" s="286"/>
      <c r="F359" s="286"/>
      <c r="G359" s="286"/>
      <c r="H359" s="287"/>
      <c r="I359" s="286"/>
    </row>
    <row r="360" spans="1:9" ht="15">
      <c r="A360" s="3"/>
      <c r="B360" s="3"/>
      <c r="C360" s="286"/>
      <c r="D360" s="286"/>
      <c r="E360" s="286"/>
      <c r="F360" s="286"/>
      <c r="G360" s="286"/>
      <c r="H360" s="287"/>
      <c r="I360" s="286"/>
    </row>
    <row r="361" spans="1:9" ht="15">
      <c r="A361" s="3"/>
      <c r="B361" s="3"/>
      <c r="C361" s="286"/>
      <c r="D361" s="286"/>
      <c r="E361" s="286"/>
      <c r="F361" s="286"/>
      <c r="G361" s="286"/>
      <c r="H361" s="287"/>
      <c r="I361" s="286"/>
    </row>
    <row r="362" spans="1:9" ht="15">
      <c r="A362" s="3"/>
      <c r="B362" s="3"/>
      <c r="C362" s="286"/>
      <c r="D362" s="286"/>
      <c r="E362" s="286"/>
      <c r="F362" s="286"/>
      <c r="G362" s="286"/>
      <c r="H362" s="287"/>
      <c r="I362" s="286"/>
    </row>
    <row r="363" spans="1:9" ht="15">
      <c r="A363" s="3"/>
      <c r="B363" s="3"/>
      <c r="C363" s="286"/>
      <c r="D363" s="286"/>
      <c r="E363" s="286"/>
      <c r="F363" s="286"/>
      <c r="G363" s="286"/>
      <c r="H363" s="287"/>
      <c r="I363" s="286"/>
    </row>
    <row r="364" spans="1:9" ht="15">
      <c r="A364" s="3"/>
      <c r="B364" s="3"/>
      <c r="C364" s="286"/>
      <c r="D364" s="286"/>
      <c r="E364" s="286"/>
      <c r="F364" s="286"/>
      <c r="G364" s="286"/>
      <c r="H364" s="287"/>
      <c r="I364" s="286"/>
    </row>
    <row r="365" spans="1:9" ht="15">
      <c r="A365" s="3"/>
      <c r="B365" s="3"/>
      <c r="C365" s="286"/>
      <c r="D365" s="286"/>
      <c r="E365" s="286"/>
      <c r="F365" s="286"/>
      <c r="G365" s="286"/>
      <c r="H365" s="287"/>
      <c r="I365" s="286"/>
    </row>
    <row r="366" spans="1:9" ht="15">
      <c r="A366" s="3"/>
      <c r="B366" s="3"/>
      <c r="C366" s="286"/>
      <c r="D366" s="286"/>
      <c r="E366" s="286"/>
      <c r="F366" s="286"/>
      <c r="G366" s="286"/>
      <c r="H366" s="287"/>
      <c r="I366" s="286"/>
    </row>
    <row r="367" spans="1:9" ht="15">
      <c r="A367" s="3"/>
      <c r="B367" s="3"/>
      <c r="C367" s="286"/>
      <c r="D367" s="286"/>
      <c r="E367" s="286"/>
      <c r="F367" s="286"/>
      <c r="G367" s="286"/>
      <c r="H367" s="287"/>
      <c r="I367" s="286"/>
    </row>
    <row r="368" spans="1:9" ht="15">
      <c r="A368" s="3"/>
      <c r="B368" s="3"/>
      <c r="C368" s="286"/>
      <c r="D368" s="286"/>
      <c r="E368" s="286"/>
      <c r="F368" s="286"/>
      <c r="G368" s="286"/>
      <c r="H368" s="287"/>
      <c r="I368" s="286"/>
    </row>
    <row r="369" spans="1:9" ht="15">
      <c r="A369" s="3"/>
      <c r="B369" s="3"/>
      <c r="C369" s="286"/>
      <c r="D369" s="286"/>
      <c r="E369" s="286"/>
      <c r="F369" s="286"/>
      <c r="G369" s="286"/>
      <c r="H369" s="287"/>
      <c r="I369" s="286"/>
    </row>
    <row r="370" spans="1:9" ht="15">
      <c r="A370" s="3"/>
      <c r="B370" s="3"/>
      <c r="C370" s="286"/>
      <c r="D370" s="286"/>
      <c r="E370" s="286"/>
      <c r="F370" s="286"/>
      <c r="G370" s="286"/>
      <c r="H370" s="287"/>
      <c r="I370" s="286"/>
    </row>
    <row r="371" spans="1:9" ht="15">
      <c r="A371" s="3"/>
      <c r="B371" s="3"/>
      <c r="C371" s="286"/>
      <c r="D371" s="286"/>
      <c r="E371" s="286"/>
      <c r="F371" s="286"/>
      <c r="G371" s="286"/>
      <c r="H371" s="287"/>
      <c r="I371" s="286"/>
    </row>
    <row r="372" spans="1:9" ht="15">
      <c r="A372" s="3"/>
      <c r="B372" s="3"/>
      <c r="C372" s="286"/>
      <c r="D372" s="286"/>
      <c r="E372" s="286"/>
      <c r="F372" s="286"/>
      <c r="G372" s="286"/>
      <c r="H372" s="287"/>
      <c r="I372" s="286"/>
    </row>
    <row r="373" spans="1:9" ht="15">
      <c r="A373" s="3"/>
      <c r="B373" s="3"/>
      <c r="C373" s="286"/>
      <c r="D373" s="286"/>
      <c r="E373" s="286"/>
      <c r="F373" s="286"/>
      <c r="G373" s="286"/>
      <c r="H373" s="287"/>
      <c r="I373" s="286"/>
    </row>
    <row r="374" spans="1:9" ht="15">
      <c r="A374" s="3"/>
      <c r="B374" s="3"/>
      <c r="C374" s="286"/>
      <c r="D374" s="286"/>
      <c r="E374" s="286"/>
      <c r="F374" s="286"/>
      <c r="G374" s="286"/>
      <c r="H374" s="287"/>
      <c r="I374" s="286"/>
    </row>
    <row r="375" spans="1:9" ht="15">
      <c r="A375" s="3"/>
      <c r="B375" s="3"/>
      <c r="C375" s="286"/>
      <c r="D375" s="286"/>
      <c r="E375" s="286"/>
      <c r="F375" s="286"/>
      <c r="G375" s="286"/>
      <c r="H375" s="287"/>
      <c r="I375" s="286"/>
    </row>
    <row r="376" spans="1:9" ht="15">
      <c r="A376" s="3"/>
      <c r="B376" s="3"/>
      <c r="C376" s="286"/>
      <c r="D376" s="286"/>
      <c r="E376" s="286"/>
      <c r="F376" s="286"/>
      <c r="G376" s="286"/>
      <c r="H376" s="287"/>
      <c r="I376" s="286"/>
    </row>
    <row r="377" spans="1:9" ht="15">
      <c r="A377" s="3"/>
      <c r="B377" s="3"/>
      <c r="C377" s="286"/>
      <c r="D377" s="286"/>
      <c r="E377" s="286"/>
      <c r="F377" s="286"/>
      <c r="G377" s="286"/>
      <c r="H377" s="287"/>
      <c r="I377" s="286"/>
    </row>
    <row r="378" spans="1:9" ht="15">
      <c r="A378" s="3"/>
      <c r="B378" s="3"/>
      <c r="C378" s="286"/>
      <c r="D378" s="286"/>
      <c r="E378" s="286"/>
      <c r="F378" s="286"/>
      <c r="G378" s="286"/>
      <c r="H378" s="287"/>
      <c r="I378" s="286"/>
    </row>
    <row r="379" spans="1:9" ht="15">
      <c r="A379" s="3"/>
      <c r="B379" s="3"/>
      <c r="C379" s="286"/>
      <c r="D379" s="286"/>
      <c r="E379" s="286"/>
      <c r="F379" s="286"/>
      <c r="G379" s="286"/>
      <c r="H379" s="287"/>
      <c r="I379" s="286"/>
    </row>
    <row r="380" spans="1:9" ht="15">
      <c r="A380" s="3"/>
      <c r="B380" s="3"/>
      <c r="C380" s="286"/>
      <c r="D380" s="286"/>
      <c r="E380" s="286"/>
      <c r="F380" s="286"/>
      <c r="G380" s="286"/>
      <c r="H380" s="287"/>
      <c r="I380" s="286"/>
    </row>
    <row r="381" spans="1:9" ht="15">
      <c r="A381" s="3"/>
      <c r="B381" s="3"/>
      <c r="C381" s="286"/>
      <c r="D381" s="286"/>
      <c r="E381" s="286"/>
      <c r="F381" s="286"/>
      <c r="G381" s="286"/>
      <c r="H381" s="287"/>
      <c r="I381" s="286"/>
    </row>
    <row r="382" spans="1:9" ht="15">
      <c r="A382" s="3"/>
      <c r="B382" s="3"/>
      <c r="C382" s="286"/>
      <c r="D382" s="286"/>
      <c r="E382" s="286"/>
      <c r="F382" s="286"/>
      <c r="G382" s="286"/>
      <c r="H382" s="287"/>
      <c r="I382" s="286"/>
    </row>
    <row r="383" spans="1:9" ht="15">
      <c r="A383" s="3"/>
      <c r="B383" s="3"/>
      <c r="C383" s="286"/>
      <c r="D383" s="286"/>
      <c r="E383" s="286"/>
      <c r="F383" s="286"/>
      <c r="G383" s="286"/>
      <c r="H383" s="287"/>
      <c r="I383" s="286"/>
    </row>
    <row r="384" spans="1:9" ht="15">
      <c r="A384" s="3"/>
      <c r="B384" s="3"/>
      <c r="C384" s="286"/>
      <c r="D384" s="286"/>
      <c r="E384" s="286"/>
      <c r="F384" s="286"/>
      <c r="G384" s="286"/>
      <c r="H384" s="287"/>
      <c r="I384" s="286"/>
    </row>
    <row r="385" spans="1:9" ht="15">
      <c r="A385" s="3"/>
      <c r="B385" s="3"/>
      <c r="C385" s="286"/>
      <c r="D385" s="286"/>
      <c r="E385" s="286"/>
      <c r="F385" s="286"/>
      <c r="G385" s="286"/>
      <c r="H385" s="287"/>
      <c r="I385" s="286"/>
    </row>
    <row r="386" spans="1:9" ht="15">
      <c r="A386" s="3"/>
      <c r="B386" s="3"/>
      <c r="C386" s="286"/>
      <c r="D386" s="286"/>
      <c r="E386" s="286"/>
      <c r="F386" s="286"/>
      <c r="G386" s="286"/>
      <c r="H386" s="287"/>
      <c r="I386" s="286"/>
    </row>
    <row r="387" spans="1:9" ht="15">
      <c r="A387" s="3"/>
      <c r="B387" s="3"/>
      <c r="C387" s="286"/>
      <c r="D387" s="286"/>
      <c r="E387" s="286"/>
      <c r="F387" s="286"/>
      <c r="G387" s="286"/>
      <c r="H387" s="287"/>
      <c r="I387" s="286"/>
    </row>
    <row r="388" spans="1:9" ht="15">
      <c r="A388" s="3"/>
      <c r="B388" s="3"/>
      <c r="C388" s="286"/>
      <c r="D388" s="286"/>
      <c r="E388" s="286"/>
      <c r="F388" s="286"/>
      <c r="G388" s="286"/>
      <c r="H388" s="287"/>
      <c r="I388" s="286"/>
    </row>
    <row r="389" spans="1:9" ht="15">
      <c r="A389" s="3"/>
      <c r="B389" s="3"/>
      <c r="C389" s="286"/>
      <c r="D389" s="286"/>
      <c r="E389" s="286"/>
      <c r="F389" s="286"/>
      <c r="G389" s="286"/>
      <c r="H389" s="287"/>
      <c r="I389" s="286"/>
    </row>
    <row r="390" spans="1:9" ht="15">
      <c r="A390" s="3"/>
      <c r="B390" s="3"/>
      <c r="C390" s="286"/>
      <c r="D390" s="286"/>
      <c r="E390" s="286"/>
      <c r="F390" s="286"/>
      <c r="G390" s="286"/>
      <c r="H390" s="287"/>
      <c r="I390" s="286"/>
    </row>
    <row r="391" spans="1:9" ht="15">
      <c r="A391" s="3"/>
      <c r="B391" s="3"/>
      <c r="C391" s="286"/>
      <c r="D391" s="286"/>
      <c r="E391" s="286"/>
      <c r="F391" s="286"/>
      <c r="G391" s="286"/>
      <c r="H391" s="287"/>
      <c r="I391" s="286"/>
    </row>
    <row r="392" spans="1:9" ht="15">
      <c r="A392" s="3"/>
      <c r="B392" s="3"/>
      <c r="C392" s="286"/>
      <c r="D392" s="286"/>
      <c r="E392" s="286"/>
      <c r="F392" s="286"/>
      <c r="G392" s="286"/>
      <c r="H392" s="287"/>
      <c r="I392" s="286"/>
    </row>
    <row r="393" spans="1:9" ht="15">
      <c r="A393" s="3"/>
      <c r="B393" s="3"/>
      <c r="C393" s="286"/>
      <c r="D393" s="286"/>
      <c r="E393" s="286"/>
      <c r="F393" s="286"/>
      <c r="G393" s="286"/>
      <c r="H393" s="287"/>
      <c r="I393" s="286"/>
    </row>
    <row r="394" spans="1:9" ht="15">
      <c r="A394" s="3"/>
      <c r="B394" s="3"/>
      <c r="C394" s="286"/>
      <c r="D394" s="286"/>
      <c r="E394" s="286"/>
      <c r="F394" s="286"/>
      <c r="G394" s="286"/>
      <c r="H394" s="287"/>
      <c r="I394" s="286"/>
    </row>
    <row r="395" spans="1:9" ht="15">
      <c r="A395" s="3"/>
      <c r="B395" s="3"/>
      <c r="C395" s="286"/>
      <c r="D395" s="286"/>
      <c r="E395" s="286"/>
      <c r="F395" s="286"/>
      <c r="G395" s="286"/>
      <c r="H395" s="287"/>
      <c r="I395" s="286"/>
    </row>
    <row r="396" spans="1:9" ht="15">
      <c r="A396" s="3"/>
      <c r="B396" s="3"/>
      <c r="C396" s="286"/>
      <c r="D396" s="286"/>
      <c r="E396" s="286"/>
      <c r="F396" s="286"/>
      <c r="G396" s="286"/>
      <c r="H396" s="287"/>
      <c r="I396" s="286"/>
    </row>
    <row r="397" spans="1:9" ht="15">
      <c r="A397" s="3"/>
      <c r="B397" s="3"/>
      <c r="C397" s="286"/>
      <c r="D397" s="286"/>
      <c r="E397" s="286"/>
      <c r="F397" s="286"/>
      <c r="G397" s="286"/>
      <c r="H397" s="287"/>
      <c r="I397" s="286"/>
    </row>
    <row r="398" spans="1:9" ht="15">
      <c r="A398" s="3"/>
      <c r="B398" s="3"/>
      <c r="C398" s="286"/>
      <c r="D398" s="286"/>
      <c r="E398" s="286"/>
      <c r="F398" s="286"/>
      <c r="G398" s="286"/>
      <c r="H398" s="287"/>
      <c r="I398" s="286"/>
    </row>
    <row r="399" spans="1:9" ht="15">
      <c r="A399" s="3"/>
      <c r="B399" s="3"/>
      <c r="C399" s="286"/>
      <c r="D399" s="286"/>
      <c r="E399" s="286"/>
      <c r="F399" s="286"/>
      <c r="G399" s="286"/>
      <c r="H399" s="287"/>
      <c r="I399" s="286"/>
    </row>
    <row r="400" spans="1:9" ht="15">
      <c r="A400" s="3"/>
      <c r="B400" s="3"/>
      <c r="C400" s="286"/>
      <c r="D400" s="286"/>
      <c r="E400" s="286"/>
      <c r="F400" s="286"/>
      <c r="G400" s="286"/>
      <c r="H400" s="287"/>
      <c r="I400" s="286"/>
    </row>
    <row r="401" spans="1:9" ht="15">
      <c r="A401" s="3"/>
      <c r="B401" s="3"/>
      <c r="C401" s="286"/>
      <c r="D401" s="286"/>
      <c r="E401" s="286"/>
      <c r="F401" s="286"/>
      <c r="G401" s="286"/>
      <c r="H401" s="287"/>
      <c r="I401" s="286"/>
    </row>
    <row r="402" spans="1:9" ht="15">
      <c r="A402" s="3"/>
      <c r="B402" s="3"/>
      <c r="C402" s="286"/>
      <c r="D402" s="286"/>
      <c r="E402" s="286"/>
      <c r="F402" s="286"/>
      <c r="G402" s="286"/>
      <c r="H402" s="287"/>
      <c r="I402" s="286"/>
    </row>
    <row r="403" spans="1:9" ht="15">
      <c r="A403" s="3"/>
      <c r="B403" s="3"/>
      <c r="C403" s="286"/>
      <c r="D403" s="286"/>
      <c r="E403" s="286"/>
      <c r="F403" s="286"/>
      <c r="G403" s="286"/>
      <c r="H403" s="287"/>
      <c r="I403" s="286"/>
    </row>
    <row r="404" spans="1:9" ht="15">
      <c r="A404" s="3"/>
      <c r="B404" s="3"/>
      <c r="C404" s="286"/>
      <c r="D404" s="286"/>
      <c r="E404" s="286"/>
      <c r="F404" s="286"/>
      <c r="G404" s="286"/>
      <c r="H404" s="287"/>
      <c r="I404" s="286"/>
    </row>
    <row r="405" spans="1:9" ht="15">
      <c r="A405" s="3"/>
      <c r="B405" s="3"/>
      <c r="C405" s="286"/>
      <c r="D405" s="286"/>
      <c r="E405" s="286"/>
      <c r="F405" s="286"/>
      <c r="G405" s="286"/>
      <c r="H405" s="287"/>
      <c r="I405" s="286"/>
    </row>
    <row r="406" spans="1:9" ht="15">
      <c r="A406" s="3"/>
      <c r="B406" s="3"/>
      <c r="C406" s="286"/>
      <c r="D406" s="286"/>
      <c r="E406" s="286"/>
      <c r="F406" s="286"/>
      <c r="G406" s="286"/>
      <c r="H406" s="287"/>
      <c r="I406" s="286"/>
    </row>
    <row r="407" spans="1:9" ht="15">
      <c r="A407" s="3"/>
      <c r="B407" s="3"/>
      <c r="C407" s="286"/>
      <c r="D407" s="286"/>
      <c r="E407" s="286"/>
      <c r="F407" s="286"/>
      <c r="G407" s="286"/>
      <c r="H407" s="287"/>
      <c r="I407" s="286"/>
    </row>
    <row r="408" spans="1:9" ht="15">
      <c r="A408" s="3"/>
      <c r="B408" s="3"/>
      <c r="C408" s="286"/>
      <c r="D408" s="286"/>
      <c r="E408" s="286"/>
      <c r="F408" s="286"/>
      <c r="G408" s="286"/>
      <c r="H408" s="287"/>
      <c r="I408" s="286"/>
    </row>
    <row r="409" spans="1:9" ht="15">
      <c r="A409" s="3"/>
      <c r="B409" s="3"/>
      <c r="C409" s="286"/>
      <c r="D409" s="286"/>
      <c r="E409" s="286"/>
      <c r="F409" s="286"/>
      <c r="G409" s="286"/>
      <c r="H409" s="287"/>
      <c r="I409" s="286"/>
    </row>
    <row r="410" spans="1:9" ht="15">
      <c r="A410" s="3"/>
      <c r="B410" s="3"/>
      <c r="C410" s="286"/>
      <c r="D410" s="286"/>
      <c r="E410" s="286"/>
      <c r="F410" s="286"/>
      <c r="G410" s="286"/>
      <c r="H410" s="287"/>
      <c r="I410" s="286"/>
    </row>
    <row r="411" spans="1:9" ht="15">
      <c r="A411" s="3"/>
      <c r="B411" s="3"/>
      <c r="C411" s="286"/>
      <c r="D411" s="286"/>
      <c r="E411" s="286"/>
      <c r="F411" s="286"/>
      <c r="G411" s="286"/>
      <c r="H411" s="287"/>
      <c r="I411" s="286"/>
    </row>
    <row r="412" spans="1:9" ht="15">
      <c r="A412" s="3"/>
      <c r="B412" s="3"/>
      <c r="C412" s="286"/>
      <c r="D412" s="286"/>
      <c r="E412" s="286"/>
      <c r="F412" s="286"/>
      <c r="G412" s="286"/>
      <c r="H412" s="287"/>
      <c r="I412" s="286"/>
    </row>
    <row r="413" spans="1:9" ht="15">
      <c r="A413" s="3"/>
      <c r="B413" s="3"/>
      <c r="C413" s="286"/>
      <c r="D413" s="286"/>
      <c r="E413" s="286"/>
      <c r="F413" s="286"/>
      <c r="G413" s="286"/>
      <c r="H413" s="287"/>
      <c r="I413" s="286"/>
    </row>
    <row r="414" spans="1:9" ht="15">
      <c r="A414" s="3"/>
      <c r="B414" s="3"/>
      <c r="C414" s="286"/>
      <c r="D414" s="286"/>
      <c r="E414" s="286"/>
      <c r="F414" s="286"/>
      <c r="G414" s="286"/>
      <c r="H414" s="287"/>
      <c r="I414" s="286"/>
    </row>
    <row r="415" spans="1:9" ht="15">
      <c r="A415" s="3"/>
      <c r="B415" s="3"/>
      <c r="C415" s="286"/>
      <c r="D415" s="286"/>
      <c r="E415" s="286"/>
      <c r="F415" s="286"/>
      <c r="G415" s="286"/>
      <c r="H415" s="287"/>
      <c r="I415" s="286"/>
    </row>
    <row r="416" spans="1:9" ht="15">
      <c r="A416" s="3"/>
      <c r="B416" s="3"/>
      <c r="C416" s="286"/>
      <c r="D416" s="286"/>
      <c r="E416" s="286"/>
      <c r="F416" s="286"/>
      <c r="G416" s="286"/>
      <c r="H416" s="287"/>
      <c r="I416" s="286"/>
    </row>
    <row r="417" spans="1:9" ht="15">
      <c r="A417" s="3"/>
      <c r="B417" s="3"/>
      <c r="C417" s="286"/>
      <c r="D417" s="286"/>
      <c r="E417" s="286"/>
      <c r="F417" s="286"/>
      <c r="G417" s="286"/>
      <c r="H417" s="287"/>
      <c r="I417" s="286"/>
    </row>
    <row r="418" spans="1:9" ht="15">
      <c r="A418" s="3"/>
      <c r="B418" s="3"/>
      <c r="C418" s="286"/>
      <c r="D418" s="286"/>
      <c r="E418" s="286"/>
      <c r="F418" s="286"/>
      <c r="G418" s="286"/>
      <c r="H418" s="287"/>
      <c r="I418" s="286"/>
    </row>
    <row r="419" spans="1:9" ht="15">
      <c r="A419" s="3"/>
      <c r="B419" s="3"/>
      <c r="C419" s="286"/>
      <c r="D419" s="286"/>
      <c r="E419" s="286"/>
      <c r="F419" s="286"/>
      <c r="G419" s="286"/>
      <c r="H419" s="287"/>
      <c r="I419" s="286"/>
    </row>
    <row r="420" spans="1:9" ht="15">
      <c r="A420" s="3"/>
      <c r="B420" s="3"/>
      <c r="C420" s="286"/>
      <c r="D420" s="286"/>
      <c r="E420" s="286"/>
      <c r="F420" s="286"/>
      <c r="G420" s="286"/>
      <c r="H420" s="287"/>
      <c r="I420" s="286"/>
    </row>
    <row r="421" spans="1:9" ht="15">
      <c r="A421" s="3"/>
      <c r="B421" s="3"/>
      <c r="C421" s="286"/>
      <c r="D421" s="286"/>
      <c r="E421" s="286"/>
      <c r="F421" s="286"/>
      <c r="G421" s="286"/>
      <c r="H421" s="287"/>
      <c r="I421" s="286"/>
    </row>
    <row r="422" spans="1:9" ht="15">
      <c r="A422" s="3"/>
      <c r="B422" s="3"/>
      <c r="C422" s="286"/>
      <c r="D422" s="286"/>
      <c r="E422" s="286"/>
      <c r="F422" s="286"/>
      <c r="G422" s="286"/>
      <c r="H422" s="287"/>
      <c r="I422" s="286"/>
    </row>
    <row r="423" spans="1:9" ht="15">
      <c r="A423" s="3"/>
      <c r="B423" s="3"/>
      <c r="C423" s="286"/>
      <c r="D423" s="286"/>
      <c r="E423" s="286"/>
      <c r="F423" s="286"/>
      <c r="G423" s="286"/>
      <c r="H423" s="287"/>
      <c r="I423" s="286"/>
    </row>
    <row r="424" spans="1:9" ht="15">
      <c r="A424" s="3"/>
      <c r="B424" s="3"/>
      <c r="C424" s="286"/>
      <c r="D424" s="286"/>
      <c r="E424" s="286"/>
      <c r="F424" s="286"/>
      <c r="G424" s="286"/>
      <c r="H424" s="287"/>
      <c r="I424" s="286"/>
    </row>
    <row r="425" spans="1:9" ht="15">
      <c r="A425" s="3"/>
      <c r="B425" s="3"/>
      <c r="C425" s="286"/>
      <c r="D425" s="286"/>
      <c r="E425" s="286"/>
      <c r="F425" s="286"/>
      <c r="G425" s="286"/>
      <c r="H425" s="287"/>
      <c r="I425" s="286"/>
    </row>
    <row r="426" spans="1:9" ht="15">
      <c r="A426" s="3"/>
      <c r="B426" s="3"/>
      <c r="C426" s="286"/>
      <c r="D426" s="286"/>
      <c r="E426" s="286"/>
      <c r="F426" s="286"/>
      <c r="G426" s="286"/>
      <c r="H426" s="287"/>
      <c r="I426" s="286"/>
    </row>
    <row r="427" spans="1:9" ht="15">
      <c r="A427" s="3"/>
      <c r="B427" s="3"/>
      <c r="C427" s="286"/>
      <c r="D427" s="286"/>
      <c r="E427" s="286"/>
      <c r="F427" s="286"/>
      <c r="G427" s="286"/>
      <c r="H427" s="287"/>
      <c r="I427" s="286"/>
    </row>
    <row r="428" spans="1:9" ht="15">
      <c r="A428" s="3"/>
      <c r="B428" s="3"/>
      <c r="C428" s="286"/>
      <c r="D428" s="286"/>
      <c r="E428" s="286"/>
      <c r="F428" s="286"/>
      <c r="G428" s="286"/>
      <c r="H428" s="287"/>
      <c r="I428" s="286"/>
    </row>
    <row r="429" spans="1:9" ht="15">
      <c r="A429" s="3"/>
      <c r="B429" s="3"/>
      <c r="C429" s="286"/>
      <c r="D429" s="286"/>
      <c r="E429" s="286"/>
      <c r="F429" s="286"/>
      <c r="G429" s="286"/>
      <c r="H429" s="287"/>
      <c r="I429" s="286"/>
    </row>
    <row r="430" spans="1:9" ht="15">
      <c r="A430" s="3"/>
      <c r="B430" s="3"/>
      <c r="C430" s="286"/>
      <c r="D430" s="286"/>
      <c r="E430" s="286"/>
      <c r="F430" s="286"/>
      <c r="G430" s="286"/>
      <c r="H430" s="287"/>
      <c r="I430" s="286"/>
    </row>
    <row r="431" spans="1:9" ht="15">
      <c r="A431" s="3"/>
      <c r="B431" s="3"/>
      <c r="C431" s="286"/>
      <c r="D431" s="286"/>
      <c r="E431" s="286"/>
      <c r="F431" s="286"/>
      <c r="G431" s="286"/>
      <c r="H431" s="287"/>
      <c r="I431" s="286"/>
    </row>
    <row r="432" spans="1:9" ht="15">
      <c r="A432" s="3"/>
      <c r="B432" s="3"/>
      <c r="C432" s="286"/>
      <c r="D432" s="286"/>
      <c r="E432" s="286"/>
      <c r="F432" s="286"/>
      <c r="G432" s="286"/>
      <c r="H432" s="287"/>
      <c r="I432" s="286"/>
    </row>
    <row r="433" spans="1:9" ht="15">
      <c r="A433" s="3"/>
      <c r="B433" s="3"/>
      <c r="C433" s="286"/>
      <c r="D433" s="286"/>
      <c r="E433" s="286"/>
      <c r="F433" s="286"/>
      <c r="G433" s="286"/>
      <c r="H433" s="287"/>
      <c r="I433" s="286"/>
    </row>
    <row r="434" spans="1:9" ht="15">
      <c r="A434" s="3"/>
      <c r="B434" s="3"/>
      <c r="C434" s="286"/>
      <c r="D434" s="286"/>
      <c r="E434" s="286"/>
      <c r="F434" s="286"/>
      <c r="G434" s="286"/>
      <c r="H434" s="287"/>
      <c r="I434" s="286"/>
    </row>
    <row r="435" spans="1:9" ht="15">
      <c r="A435" s="3"/>
      <c r="B435" s="3"/>
      <c r="C435" s="286"/>
      <c r="D435" s="286"/>
      <c r="E435" s="286"/>
      <c r="F435" s="286"/>
      <c r="G435" s="286"/>
      <c r="H435" s="287"/>
      <c r="I435" s="286"/>
    </row>
    <row r="436" spans="1:9" ht="15">
      <c r="A436" s="3"/>
      <c r="B436" s="3"/>
      <c r="C436" s="286"/>
      <c r="D436" s="286"/>
      <c r="E436" s="286"/>
      <c r="F436" s="286"/>
      <c r="G436" s="286"/>
      <c r="H436" s="287"/>
      <c r="I436" s="286"/>
    </row>
    <row r="437" spans="1:9" ht="15">
      <c r="A437" s="3"/>
      <c r="B437" s="3"/>
      <c r="C437" s="286"/>
      <c r="D437" s="286"/>
      <c r="E437" s="286"/>
      <c r="F437" s="286"/>
      <c r="G437" s="286"/>
      <c r="H437" s="287"/>
      <c r="I437" s="286"/>
    </row>
    <row r="438" spans="1:9" ht="15">
      <c r="A438" s="3"/>
      <c r="B438" s="3"/>
      <c r="C438" s="286"/>
      <c r="D438" s="286"/>
      <c r="E438" s="286"/>
      <c r="F438" s="286"/>
      <c r="G438" s="286"/>
      <c r="H438" s="287"/>
      <c r="I438" s="286"/>
    </row>
    <row r="439" spans="1:9" ht="15">
      <c r="A439" s="3"/>
      <c r="B439" s="3"/>
      <c r="C439" s="286"/>
      <c r="D439" s="286"/>
      <c r="E439" s="286"/>
      <c r="F439" s="286"/>
      <c r="G439" s="286"/>
      <c r="H439" s="287"/>
      <c r="I439" s="286"/>
    </row>
    <row r="440" spans="1:9" ht="15">
      <c r="A440" s="3"/>
      <c r="B440" s="3"/>
      <c r="C440" s="286"/>
      <c r="D440" s="286"/>
      <c r="E440" s="286"/>
      <c r="F440" s="286"/>
      <c r="G440" s="286"/>
      <c r="H440" s="287"/>
      <c r="I440" s="286"/>
    </row>
    <row r="441" spans="1:9" ht="15">
      <c r="A441" s="3"/>
      <c r="B441" s="3"/>
      <c r="C441" s="286"/>
      <c r="D441" s="286"/>
      <c r="E441" s="286"/>
      <c r="F441" s="286"/>
      <c r="G441" s="286"/>
      <c r="H441" s="287"/>
      <c r="I441" s="286"/>
    </row>
    <row r="442" spans="1:9" ht="15">
      <c r="A442" s="3"/>
      <c r="B442" s="3"/>
      <c r="C442" s="286"/>
      <c r="D442" s="286"/>
      <c r="E442" s="286"/>
      <c r="F442" s="286"/>
      <c r="G442" s="286"/>
      <c r="H442" s="287"/>
      <c r="I442" s="286"/>
    </row>
    <row r="443" spans="1:9" ht="15">
      <c r="A443" s="3"/>
      <c r="B443" s="3"/>
      <c r="C443" s="286"/>
      <c r="D443" s="286"/>
      <c r="E443" s="286"/>
      <c r="F443" s="286"/>
      <c r="G443" s="286"/>
      <c r="H443" s="287"/>
      <c r="I443" s="286"/>
    </row>
    <row r="444" spans="1:9" ht="15">
      <c r="A444" s="3"/>
      <c r="B444" s="3"/>
      <c r="C444" s="286"/>
      <c r="D444" s="286"/>
      <c r="E444" s="286"/>
      <c r="F444" s="286"/>
      <c r="G444" s="286"/>
      <c r="H444" s="287"/>
      <c r="I444" s="286"/>
    </row>
    <row r="445" spans="1:9" ht="15">
      <c r="A445" s="3"/>
      <c r="B445" s="3"/>
      <c r="C445" s="286"/>
      <c r="D445" s="286"/>
      <c r="E445" s="286"/>
      <c r="F445" s="286"/>
      <c r="G445" s="286"/>
      <c r="H445" s="287"/>
      <c r="I445" s="286"/>
    </row>
    <row r="446" spans="1:9" ht="15">
      <c r="A446" s="3"/>
      <c r="B446" s="3"/>
      <c r="C446" s="286"/>
      <c r="D446" s="286"/>
      <c r="E446" s="286"/>
      <c r="F446" s="286"/>
      <c r="G446" s="286"/>
      <c r="H446" s="287"/>
      <c r="I446" s="286"/>
    </row>
    <row r="447" spans="1:9" ht="15">
      <c r="A447" s="3"/>
      <c r="B447" s="3"/>
      <c r="C447" s="286"/>
      <c r="D447" s="286"/>
      <c r="E447" s="286"/>
      <c r="F447" s="286"/>
      <c r="G447" s="286"/>
      <c r="H447" s="287"/>
      <c r="I447" s="286"/>
    </row>
    <row r="448" spans="1:9" ht="15">
      <c r="A448" s="3"/>
      <c r="B448" s="3"/>
      <c r="C448" s="286"/>
      <c r="D448" s="286"/>
      <c r="E448" s="286"/>
      <c r="F448" s="286"/>
      <c r="G448" s="286"/>
      <c r="H448" s="287"/>
      <c r="I448" s="286"/>
    </row>
    <row r="449" spans="1:9" ht="15">
      <c r="A449" s="3"/>
      <c r="B449" s="3"/>
      <c r="C449" s="286"/>
      <c r="D449" s="286"/>
      <c r="E449" s="286"/>
      <c r="F449" s="286"/>
      <c r="G449" s="286"/>
      <c r="H449" s="287"/>
      <c r="I449" s="286"/>
    </row>
    <row r="450" spans="1:9" ht="15">
      <c r="A450" s="3"/>
      <c r="B450" s="3"/>
      <c r="C450" s="286"/>
      <c r="D450" s="286"/>
      <c r="E450" s="286"/>
      <c r="F450" s="286"/>
      <c r="G450" s="286"/>
      <c r="H450" s="287"/>
      <c r="I450" s="286"/>
    </row>
    <row r="451" spans="1:9" ht="15">
      <c r="A451" s="3"/>
      <c r="B451" s="3"/>
      <c r="C451" s="286"/>
      <c r="D451" s="286"/>
      <c r="E451" s="286"/>
      <c r="F451" s="286"/>
      <c r="G451" s="286"/>
      <c r="H451" s="287"/>
      <c r="I451" s="286"/>
    </row>
    <row r="452" spans="1:9" ht="15">
      <c r="A452" s="3"/>
      <c r="B452" s="3"/>
      <c r="C452" s="286"/>
      <c r="D452" s="286"/>
      <c r="E452" s="286"/>
      <c r="F452" s="286"/>
      <c r="G452" s="286"/>
      <c r="H452" s="287"/>
      <c r="I452" s="286"/>
    </row>
    <row r="453" spans="1:9" ht="15">
      <c r="A453" s="3"/>
      <c r="B453" s="3"/>
      <c r="C453" s="286"/>
      <c r="D453" s="286"/>
      <c r="E453" s="286"/>
      <c r="F453" s="286"/>
      <c r="G453" s="286"/>
      <c r="H453" s="287"/>
      <c r="I453" s="286"/>
    </row>
    <row r="454" spans="1:9" ht="15">
      <c r="A454" s="3"/>
      <c r="B454" s="3"/>
      <c r="C454" s="286"/>
      <c r="D454" s="286"/>
      <c r="E454" s="286"/>
      <c r="F454" s="286"/>
      <c r="G454" s="286"/>
      <c r="H454" s="287"/>
      <c r="I454" s="286"/>
    </row>
    <row r="455" spans="1:9" ht="15">
      <c r="A455" s="3"/>
      <c r="B455" s="3"/>
      <c r="C455" s="286"/>
      <c r="D455" s="286"/>
      <c r="E455" s="286"/>
      <c r="F455" s="286"/>
      <c r="G455" s="286"/>
      <c r="H455" s="287"/>
      <c r="I455" s="286"/>
    </row>
    <row r="456" spans="1:9" ht="15">
      <c r="A456" s="3"/>
      <c r="B456" s="3"/>
      <c r="C456" s="286"/>
      <c r="D456" s="286"/>
      <c r="E456" s="286"/>
      <c r="F456" s="286"/>
      <c r="G456" s="286"/>
      <c r="H456" s="287"/>
      <c r="I456" s="286"/>
    </row>
    <row r="457" spans="1:9" ht="15">
      <c r="A457" s="3"/>
      <c r="B457" s="3"/>
      <c r="C457" s="286"/>
      <c r="D457" s="286"/>
      <c r="E457" s="286"/>
      <c r="F457" s="286"/>
      <c r="G457" s="286"/>
      <c r="H457" s="287"/>
      <c r="I457" s="286"/>
    </row>
    <row r="458" spans="1:9" ht="15">
      <c r="A458" s="3"/>
      <c r="B458" s="3"/>
      <c r="C458" s="286"/>
      <c r="D458" s="286"/>
      <c r="E458" s="286"/>
      <c r="F458" s="286"/>
      <c r="G458" s="286"/>
      <c r="H458" s="287"/>
      <c r="I458" s="286"/>
    </row>
    <row r="459" spans="1:9" ht="15">
      <c r="A459" s="3"/>
      <c r="B459" s="3"/>
      <c r="C459" s="286"/>
      <c r="D459" s="286"/>
      <c r="E459" s="286"/>
      <c r="F459" s="286"/>
      <c r="G459" s="286"/>
      <c r="H459" s="287"/>
      <c r="I459" s="286"/>
    </row>
    <row r="460" spans="1:9" ht="15">
      <c r="A460" s="3"/>
      <c r="B460" s="3"/>
      <c r="C460" s="286"/>
      <c r="D460" s="286"/>
      <c r="E460" s="286"/>
      <c r="F460" s="286"/>
      <c r="G460" s="286"/>
      <c r="H460" s="287"/>
      <c r="I460" s="286"/>
    </row>
    <row r="461" spans="1:9" ht="15">
      <c r="A461" s="3"/>
      <c r="B461" s="3"/>
      <c r="C461" s="286"/>
      <c r="D461" s="286"/>
      <c r="E461" s="286"/>
      <c r="F461" s="286"/>
      <c r="G461" s="286"/>
      <c r="H461" s="287"/>
      <c r="I461" s="286"/>
    </row>
    <row r="462" spans="1:9" ht="15">
      <c r="A462" s="3"/>
      <c r="B462" s="3"/>
      <c r="C462" s="286"/>
      <c r="D462" s="286"/>
      <c r="E462" s="286"/>
      <c r="F462" s="286"/>
      <c r="G462" s="286"/>
      <c r="H462" s="287"/>
      <c r="I462" s="286"/>
    </row>
    <row r="463" spans="1:9" ht="15">
      <c r="A463" s="3"/>
      <c r="B463" s="3"/>
      <c r="C463" s="286"/>
      <c r="D463" s="286"/>
      <c r="E463" s="286"/>
      <c r="F463" s="286"/>
      <c r="G463" s="286"/>
      <c r="H463" s="287"/>
      <c r="I463" s="286"/>
    </row>
    <row r="464" spans="1:9" ht="15">
      <c r="A464" s="3"/>
      <c r="B464" s="3"/>
      <c r="C464" s="286"/>
      <c r="D464" s="286"/>
      <c r="E464" s="286"/>
      <c r="F464" s="286"/>
      <c r="G464" s="286"/>
      <c r="H464" s="287"/>
      <c r="I464" s="286"/>
    </row>
    <row r="465" spans="1:9" ht="15">
      <c r="A465" s="3"/>
      <c r="B465" s="3"/>
      <c r="C465" s="286"/>
      <c r="D465" s="286"/>
      <c r="E465" s="286"/>
      <c r="F465" s="286"/>
      <c r="G465" s="286"/>
      <c r="H465" s="287"/>
      <c r="I465" s="286"/>
    </row>
    <row r="466" spans="1:9" ht="15">
      <c r="A466" s="3"/>
      <c r="B466" s="3"/>
      <c r="C466" s="286"/>
      <c r="D466" s="286"/>
      <c r="E466" s="286"/>
      <c r="F466" s="286"/>
      <c r="G466" s="286"/>
      <c r="H466" s="287"/>
      <c r="I466" s="286"/>
    </row>
    <row r="467" spans="1:9" ht="15">
      <c r="A467" s="3"/>
      <c r="B467" s="3"/>
      <c r="C467" s="286"/>
      <c r="D467" s="286"/>
      <c r="E467" s="286"/>
      <c r="F467" s="286"/>
      <c r="G467" s="286"/>
      <c r="H467" s="287"/>
      <c r="I467" s="286"/>
    </row>
    <row r="468" spans="1:9" ht="15">
      <c r="A468" s="3"/>
      <c r="B468" s="3"/>
      <c r="C468" s="286"/>
      <c r="D468" s="286"/>
      <c r="E468" s="286"/>
      <c r="F468" s="286"/>
      <c r="G468" s="286"/>
      <c r="H468" s="287"/>
      <c r="I468" s="286"/>
    </row>
    <row r="469" spans="1:9" ht="15">
      <c r="A469" s="3"/>
      <c r="B469" s="3"/>
      <c r="C469" s="286"/>
      <c r="D469" s="286"/>
      <c r="E469" s="286"/>
      <c r="F469" s="286"/>
      <c r="G469" s="286"/>
      <c r="H469" s="287"/>
      <c r="I469" s="286"/>
    </row>
    <row r="470" spans="1:9" ht="15">
      <c r="A470" s="3"/>
      <c r="B470" s="3"/>
      <c r="C470" s="286"/>
      <c r="D470" s="286"/>
      <c r="E470" s="286"/>
      <c r="F470" s="286"/>
      <c r="G470" s="286"/>
      <c r="H470" s="287"/>
      <c r="I470" s="286"/>
    </row>
    <row r="471" spans="1:9" ht="15">
      <c r="A471" s="3"/>
      <c r="B471" s="3"/>
      <c r="C471" s="286"/>
      <c r="D471" s="286"/>
      <c r="E471" s="286"/>
      <c r="F471" s="286"/>
      <c r="G471" s="286"/>
      <c r="H471" s="287"/>
      <c r="I471" s="286"/>
    </row>
    <row r="472" spans="1:9" ht="15">
      <c r="A472" s="3"/>
      <c r="B472" s="3"/>
      <c r="C472" s="286"/>
      <c r="D472" s="286"/>
      <c r="E472" s="286"/>
      <c r="F472" s="286"/>
      <c r="G472" s="286"/>
      <c r="H472" s="287"/>
      <c r="I472" s="286"/>
    </row>
    <row r="473" spans="1:9" ht="15">
      <c r="A473" s="3"/>
      <c r="B473" s="3"/>
      <c r="C473" s="286"/>
      <c r="D473" s="286"/>
      <c r="E473" s="286"/>
      <c r="F473" s="286"/>
      <c r="G473" s="286"/>
      <c r="H473" s="287"/>
      <c r="I473" s="286"/>
    </row>
    <row r="474" spans="1:9" ht="15">
      <c r="A474" s="3"/>
      <c r="B474" s="3"/>
      <c r="C474" s="286"/>
      <c r="D474" s="286"/>
      <c r="E474" s="286"/>
      <c r="F474" s="286"/>
      <c r="G474" s="286"/>
      <c r="H474" s="287"/>
      <c r="I474" s="286"/>
    </row>
    <row r="475" spans="1:9" ht="15">
      <c r="A475" s="3"/>
      <c r="B475" s="3"/>
      <c r="C475" s="286"/>
      <c r="D475" s="286"/>
      <c r="E475" s="286"/>
      <c r="F475" s="286"/>
      <c r="G475" s="286"/>
      <c r="H475" s="287"/>
      <c r="I475" s="286"/>
    </row>
    <row r="476" spans="1:9" ht="15">
      <c r="A476" s="3"/>
      <c r="B476" s="3"/>
      <c r="C476" s="286"/>
      <c r="D476" s="286"/>
      <c r="E476" s="286"/>
      <c r="F476" s="286"/>
      <c r="G476" s="286"/>
      <c r="H476" s="287"/>
      <c r="I476" s="286"/>
    </row>
    <row r="477" spans="1:9" ht="15">
      <c r="A477" s="3"/>
      <c r="B477" s="3"/>
      <c r="C477" s="286"/>
      <c r="D477" s="286"/>
      <c r="E477" s="286"/>
      <c r="F477" s="286"/>
      <c r="G477" s="286"/>
      <c r="H477" s="287"/>
      <c r="I477" s="286"/>
    </row>
    <row r="478" spans="1:9" ht="15">
      <c r="A478" s="3"/>
      <c r="B478" s="3"/>
      <c r="C478" s="286"/>
      <c r="D478" s="286"/>
      <c r="E478" s="286"/>
      <c r="F478" s="286"/>
      <c r="G478" s="286"/>
      <c r="H478" s="287"/>
      <c r="I478" s="286"/>
    </row>
    <row r="479" spans="1:9" ht="15">
      <c r="A479" s="3"/>
      <c r="B479" s="3"/>
      <c r="C479" s="286"/>
      <c r="D479" s="286"/>
      <c r="E479" s="286"/>
      <c r="F479" s="286"/>
      <c r="G479" s="286"/>
      <c r="H479" s="287"/>
      <c r="I479" s="286"/>
    </row>
    <row r="480" spans="1:9" ht="15">
      <c r="A480" s="3"/>
      <c r="B480" s="3"/>
      <c r="C480" s="286"/>
      <c r="D480" s="286"/>
      <c r="E480" s="286"/>
      <c r="F480" s="286"/>
      <c r="G480" s="286"/>
      <c r="H480" s="287"/>
      <c r="I480" s="286"/>
    </row>
    <row r="481" spans="1:9" ht="15">
      <c r="A481" s="3"/>
      <c r="B481" s="3"/>
      <c r="C481" s="286"/>
      <c r="D481" s="286"/>
      <c r="E481" s="286"/>
      <c r="F481" s="286"/>
      <c r="G481" s="286"/>
      <c r="H481" s="287"/>
      <c r="I481" s="286"/>
    </row>
    <row r="482" spans="1:9" ht="15">
      <c r="A482" s="3"/>
      <c r="B482" s="3"/>
      <c r="C482" s="286"/>
      <c r="D482" s="286"/>
      <c r="E482" s="286"/>
      <c r="F482" s="286"/>
      <c r="G482" s="286"/>
      <c r="H482" s="287"/>
      <c r="I482" s="286"/>
    </row>
    <row r="483" spans="1:9" ht="15">
      <c r="A483" s="3"/>
      <c r="B483" s="3"/>
      <c r="C483" s="286"/>
      <c r="D483" s="286"/>
      <c r="E483" s="286"/>
      <c r="F483" s="286"/>
      <c r="G483" s="286"/>
      <c r="H483" s="287"/>
      <c r="I483" s="286"/>
    </row>
    <row r="484" spans="1:9" ht="15">
      <c r="A484" s="3"/>
      <c r="B484" s="3"/>
      <c r="C484" s="286"/>
      <c r="D484" s="286"/>
      <c r="E484" s="286"/>
      <c r="F484" s="286"/>
      <c r="G484" s="286"/>
      <c r="H484" s="287"/>
      <c r="I484" s="286"/>
    </row>
    <row r="485" spans="1:9" ht="15">
      <c r="A485" s="3"/>
      <c r="B485" s="3"/>
      <c r="C485" s="286"/>
      <c r="D485" s="286"/>
      <c r="E485" s="286"/>
      <c r="F485" s="286"/>
      <c r="G485" s="286"/>
      <c r="H485" s="287"/>
      <c r="I485" s="286"/>
    </row>
    <row r="486" spans="1:9" ht="15">
      <c r="A486" s="3"/>
      <c r="B486" s="3"/>
      <c r="C486" s="286"/>
      <c r="D486" s="286"/>
      <c r="E486" s="286"/>
      <c r="F486" s="286"/>
      <c r="G486" s="286"/>
      <c r="H486" s="287"/>
      <c r="I486" s="286"/>
    </row>
    <row r="487" spans="1:9" ht="15">
      <c r="A487" s="3"/>
      <c r="B487" s="3"/>
      <c r="C487" s="286"/>
      <c r="D487" s="286"/>
      <c r="E487" s="286"/>
      <c r="F487" s="286"/>
      <c r="G487" s="286"/>
      <c r="H487" s="287"/>
      <c r="I487" s="286"/>
    </row>
    <row r="488" spans="1:9" ht="15">
      <c r="A488" s="3"/>
      <c r="B488" s="3"/>
      <c r="C488" s="286"/>
      <c r="D488" s="286"/>
      <c r="E488" s="286"/>
      <c r="F488" s="286"/>
      <c r="G488" s="286"/>
      <c r="H488" s="287"/>
      <c r="I488" s="286"/>
    </row>
    <row r="489" spans="1:9" ht="15">
      <c r="A489" s="3"/>
      <c r="B489" s="3"/>
      <c r="C489" s="286"/>
      <c r="D489" s="286"/>
      <c r="E489" s="286"/>
      <c r="F489" s="286"/>
      <c r="G489" s="286"/>
      <c r="H489" s="287"/>
      <c r="I489" s="286"/>
    </row>
    <row r="490" spans="1:9" ht="15">
      <c r="A490" s="3"/>
      <c r="B490" s="3"/>
      <c r="C490" s="286"/>
      <c r="D490" s="286"/>
      <c r="E490" s="286"/>
      <c r="F490" s="286"/>
      <c r="G490" s="286"/>
      <c r="H490" s="287"/>
      <c r="I490" s="286"/>
    </row>
    <row r="491" spans="1:9" ht="15">
      <c r="A491" s="3"/>
      <c r="B491" s="3"/>
      <c r="C491" s="286"/>
      <c r="D491" s="286"/>
      <c r="E491" s="286"/>
      <c r="F491" s="286"/>
      <c r="G491" s="286"/>
      <c r="H491" s="287"/>
      <c r="I491" s="286"/>
    </row>
    <row r="492" spans="1:9" ht="15">
      <c r="A492" s="3"/>
      <c r="B492" s="3"/>
      <c r="C492" s="286"/>
      <c r="D492" s="286"/>
      <c r="E492" s="286"/>
      <c r="F492" s="286"/>
      <c r="G492" s="286"/>
      <c r="H492" s="287"/>
      <c r="I492" s="286"/>
    </row>
    <row r="493" spans="1:9" ht="15">
      <c r="A493" s="3"/>
      <c r="B493" s="3"/>
      <c r="C493" s="286"/>
      <c r="D493" s="286"/>
      <c r="E493" s="286"/>
      <c r="F493" s="286"/>
      <c r="G493" s="286"/>
      <c r="H493" s="287"/>
      <c r="I493" s="286"/>
    </row>
    <row r="494" spans="1:9" ht="15">
      <c r="A494" s="3"/>
      <c r="B494" s="3"/>
      <c r="C494" s="286"/>
      <c r="D494" s="286"/>
      <c r="E494" s="286"/>
      <c r="F494" s="286"/>
      <c r="G494" s="286"/>
      <c r="H494" s="287"/>
      <c r="I494" s="286"/>
    </row>
    <row r="495" spans="1:9" ht="15">
      <c r="A495" s="3"/>
      <c r="B495" s="3"/>
      <c r="C495" s="286"/>
      <c r="D495" s="286"/>
      <c r="E495" s="286"/>
      <c r="F495" s="286"/>
      <c r="G495" s="286"/>
      <c r="H495" s="287"/>
      <c r="I495" s="286"/>
    </row>
    <row r="496" spans="1:9" ht="15">
      <c r="A496" s="3"/>
      <c r="B496" s="3"/>
      <c r="C496" s="286"/>
      <c r="D496" s="286"/>
      <c r="E496" s="286"/>
      <c r="F496" s="286"/>
      <c r="G496" s="286"/>
      <c r="H496" s="287"/>
      <c r="I496" s="286"/>
    </row>
    <row r="497" spans="1:9" ht="15">
      <c r="A497" s="3"/>
      <c r="B497" s="3"/>
      <c r="C497" s="286"/>
      <c r="D497" s="286"/>
      <c r="E497" s="286"/>
      <c r="F497" s="286"/>
      <c r="G497" s="286"/>
      <c r="H497" s="287"/>
      <c r="I497" s="286"/>
    </row>
    <row r="498" spans="1:9" ht="15">
      <c r="A498" s="3"/>
      <c r="B498" s="3"/>
      <c r="C498" s="286"/>
      <c r="D498" s="286"/>
      <c r="E498" s="286"/>
      <c r="F498" s="286"/>
      <c r="G498" s="286"/>
      <c r="H498" s="287"/>
      <c r="I498" s="286"/>
    </row>
    <row r="499" spans="1:9" ht="15">
      <c r="A499" s="3"/>
      <c r="B499" s="3"/>
      <c r="C499" s="286"/>
      <c r="D499" s="286"/>
      <c r="E499" s="286"/>
      <c r="F499" s="286"/>
      <c r="G499" s="286"/>
      <c r="H499" s="287"/>
      <c r="I499" s="286"/>
    </row>
    <row r="500" spans="1:9" ht="15">
      <c r="A500" s="3"/>
      <c r="B500" s="3"/>
      <c r="C500" s="286"/>
      <c r="D500" s="286"/>
      <c r="E500" s="286"/>
      <c r="F500" s="286"/>
      <c r="G500" s="286"/>
      <c r="H500" s="287"/>
      <c r="I500" s="286"/>
    </row>
    <row r="501" spans="1:9" ht="15">
      <c r="A501" s="3"/>
      <c r="B501" s="3"/>
      <c r="C501" s="286"/>
      <c r="D501" s="286"/>
      <c r="E501" s="286"/>
      <c r="F501" s="286"/>
      <c r="G501" s="286"/>
      <c r="H501" s="287"/>
      <c r="I501" s="286"/>
    </row>
    <row r="502" spans="1:9" ht="15">
      <c r="A502" s="3"/>
      <c r="B502" s="3"/>
      <c r="C502" s="286"/>
      <c r="D502" s="286"/>
      <c r="E502" s="286"/>
      <c r="F502" s="286"/>
      <c r="G502" s="286"/>
      <c r="H502" s="287"/>
      <c r="I502" s="286"/>
    </row>
    <row r="503" spans="1:9" ht="15">
      <c r="A503" s="3"/>
      <c r="B503" s="3"/>
      <c r="C503" s="286"/>
      <c r="D503" s="286"/>
      <c r="E503" s="286"/>
      <c r="F503" s="286"/>
      <c r="G503" s="286"/>
      <c r="H503" s="287"/>
      <c r="I503" s="286"/>
    </row>
    <row r="504" spans="1:9" ht="15">
      <c r="A504" s="3"/>
      <c r="B504" s="3"/>
      <c r="C504" s="286"/>
      <c r="D504" s="286"/>
      <c r="E504" s="286"/>
      <c r="F504" s="286"/>
      <c r="G504" s="286"/>
      <c r="H504" s="287"/>
      <c r="I504" s="286"/>
    </row>
    <row r="505" spans="1:9" ht="15">
      <c r="A505" s="3"/>
      <c r="B505" s="3"/>
      <c r="C505" s="286"/>
      <c r="D505" s="286"/>
      <c r="E505" s="286"/>
      <c r="F505" s="286"/>
      <c r="G505" s="286"/>
      <c r="H505" s="287"/>
      <c r="I505" s="286"/>
    </row>
    <row r="506" spans="1:9" ht="15">
      <c r="A506" s="3"/>
      <c r="B506" s="3"/>
      <c r="C506" s="286"/>
      <c r="D506" s="286"/>
      <c r="E506" s="286"/>
      <c r="F506" s="286"/>
      <c r="G506" s="286"/>
      <c r="H506" s="287"/>
      <c r="I506" s="286"/>
    </row>
    <row r="507" spans="1:9" ht="15">
      <c r="A507" s="3"/>
      <c r="B507" s="3"/>
      <c r="C507" s="286"/>
      <c r="D507" s="286"/>
      <c r="E507" s="286"/>
      <c r="F507" s="286"/>
      <c r="G507" s="286"/>
      <c r="H507" s="287"/>
      <c r="I507" s="286"/>
    </row>
    <row r="508" spans="1:9" ht="15">
      <c r="A508" s="3"/>
      <c r="B508" s="3"/>
      <c r="C508" s="286"/>
      <c r="D508" s="286"/>
      <c r="E508" s="286"/>
      <c r="F508" s="286"/>
      <c r="G508" s="286"/>
      <c r="H508" s="287"/>
      <c r="I508" s="286"/>
    </row>
    <row r="509" spans="1:9" ht="15">
      <c r="A509" s="3"/>
      <c r="B509" s="3"/>
      <c r="C509" s="286"/>
      <c r="D509" s="286"/>
      <c r="E509" s="286"/>
      <c r="F509" s="286"/>
      <c r="G509" s="286"/>
      <c r="H509" s="287"/>
      <c r="I509" s="286"/>
    </row>
    <row r="510" spans="1:9" ht="15">
      <c r="A510" s="3"/>
      <c r="B510" s="3"/>
      <c r="C510" s="286"/>
      <c r="D510" s="286"/>
      <c r="E510" s="286"/>
      <c r="F510" s="286"/>
      <c r="G510" s="286"/>
      <c r="H510" s="287"/>
      <c r="I510" s="286"/>
    </row>
  </sheetData>
  <mergeCells count="1">
    <mergeCell ref="A4:I4"/>
  </mergeCells>
  <printOptions horizontalCentered="1"/>
  <pageMargins left="0.25" right="0.25" top="0.5" bottom="0.5" header="0.5" footer="0.5"/>
  <pageSetup fitToHeight="2" fitToWidth="1" horizontalDpi="600" verticalDpi="600" orientation="portrait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8"/>
  <dimension ref="A1:E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57421875" style="524" customWidth="1"/>
    <col min="2" max="2" width="80.8515625" style="524" customWidth="1"/>
    <col min="3" max="16384" width="9.140625" style="524" customWidth="1"/>
  </cols>
  <sheetData>
    <row r="1" spans="1:3" ht="12.75">
      <c r="A1" s="500"/>
      <c r="B1" s="500"/>
      <c r="C1" s="500"/>
    </row>
    <row r="2" spans="1:3" ht="12.75">
      <c r="A2" s="500"/>
      <c r="B2" s="500"/>
      <c r="C2" s="500"/>
    </row>
    <row r="3" spans="1:3" ht="12.75">
      <c r="A3" s="500"/>
      <c r="B3" s="500"/>
      <c r="C3" s="500"/>
    </row>
    <row r="4" spans="1:3" ht="12.75">
      <c r="A4" s="500"/>
      <c r="B4" s="500"/>
      <c r="C4" s="500"/>
    </row>
    <row r="5" spans="1:3" ht="12.75">
      <c r="A5" s="500"/>
      <c r="B5" s="500"/>
      <c r="C5" s="500"/>
    </row>
    <row r="6" spans="1:3" ht="12.75">
      <c r="A6" s="500"/>
      <c r="B6" s="500"/>
      <c r="C6" s="500"/>
    </row>
    <row r="7" spans="1:3" ht="15.75">
      <c r="A7" s="498" t="s">
        <v>1836</v>
      </c>
      <c r="B7" s="499" t="str">
        <f>INPUT!C1</f>
        <v>June 2009</v>
      </c>
      <c r="C7" s="500"/>
    </row>
    <row r="8" spans="1:3" ht="15">
      <c r="A8" s="501"/>
      <c r="B8" s="500"/>
      <c r="C8" s="500"/>
    </row>
    <row r="9" spans="1:3" ht="15.75">
      <c r="A9" s="498" t="s">
        <v>1837</v>
      </c>
      <c r="B9" s="502" t="s">
        <v>1838</v>
      </c>
      <c r="C9" s="500"/>
    </row>
    <row r="10" spans="1:3" ht="15.75">
      <c r="A10" s="500"/>
      <c r="B10" s="502" t="str">
        <f>B7&amp;" Actual"</f>
        <v>June 2009 Actual</v>
      </c>
      <c r="C10" s="500"/>
    </row>
    <row r="11" spans="1:3" ht="15.75">
      <c r="A11" s="502"/>
      <c r="B11" s="500"/>
      <c r="C11" s="500"/>
    </row>
    <row r="12" spans="1:3" ht="15">
      <c r="A12" s="522" t="s">
        <v>1855</v>
      </c>
      <c r="B12" s="501" t="s">
        <v>1470</v>
      </c>
      <c r="C12" s="500"/>
    </row>
    <row r="13" spans="1:3" ht="15">
      <c r="A13" s="522"/>
      <c r="B13" s="523">
        <v>40028</v>
      </c>
      <c r="C13" s="500"/>
    </row>
    <row r="14" spans="1:3" ht="15">
      <c r="A14" s="522"/>
      <c r="B14" s="523"/>
      <c r="C14" s="500"/>
    </row>
    <row r="15" spans="1:3" ht="15">
      <c r="A15" s="498" t="s">
        <v>1854</v>
      </c>
      <c r="B15" s="501" t="s">
        <v>1839</v>
      </c>
      <c r="C15" s="500"/>
    </row>
    <row r="16" spans="1:3" ht="15">
      <c r="A16" s="501"/>
      <c r="B16" s="523">
        <v>40028</v>
      </c>
      <c r="C16" s="500"/>
    </row>
    <row r="17" spans="1:3" ht="15">
      <c r="A17" s="501"/>
      <c r="B17" s="523"/>
      <c r="C17" s="500"/>
    </row>
    <row r="18" spans="1:3" ht="15">
      <c r="A18" s="498" t="s">
        <v>1840</v>
      </c>
      <c r="B18" s="501" t="s">
        <v>1841</v>
      </c>
      <c r="C18" s="500"/>
    </row>
    <row r="19" spans="1:3" ht="15">
      <c r="A19" s="501"/>
      <c r="B19" s="500"/>
      <c r="C19" s="500"/>
    </row>
    <row r="20" spans="1:3" ht="15">
      <c r="A20" s="501" t="s">
        <v>1842</v>
      </c>
      <c r="B20" s="500"/>
      <c r="C20" s="500"/>
    </row>
    <row r="21" spans="1:3" ht="15">
      <c r="A21" s="503"/>
      <c r="B21" s="500"/>
      <c r="C21" s="500"/>
    </row>
    <row r="22" spans="1:3" ht="46.5" customHeight="1">
      <c r="A22" s="500"/>
      <c r="B22" s="503" t="str">
        <f>"Enclosed is the East Interchange Power Statement and Related Data, issued pursuant to the AEP Interconnection Agreement, indicating actual data for the month of "&amp;B7&amp;"."</f>
        <v>Enclosed is the East Interchange Power Statement and Related Data, issued pursuant to the AEP Interconnection Agreement, indicating actual data for the month of June 2009.</v>
      </c>
      <c r="C22" s="500"/>
    </row>
    <row r="23" spans="1:3" ht="15">
      <c r="A23" s="501"/>
      <c r="B23" s="500"/>
      <c r="C23" s="500"/>
    </row>
    <row r="24" spans="1:3" ht="15">
      <c r="A24" s="501"/>
      <c r="B24" s="500"/>
      <c r="C24" s="500"/>
    </row>
    <row r="25" spans="1:3" ht="15">
      <c r="A25" s="500"/>
      <c r="B25" s="501"/>
      <c r="C25" s="500"/>
    </row>
    <row r="26" spans="1:3" ht="15">
      <c r="A26" s="501"/>
      <c r="B26" s="500"/>
      <c r="C26" s="500"/>
    </row>
    <row r="27" spans="1:3" ht="15">
      <c r="A27" s="501"/>
      <c r="B27" s="500"/>
      <c r="C27" s="500"/>
    </row>
    <row r="28" spans="1:3" ht="15">
      <c r="A28" s="501"/>
      <c r="B28" s="500"/>
      <c r="C28" s="500"/>
    </row>
    <row r="29" spans="1:3" ht="15">
      <c r="A29" s="501"/>
      <c r="B29" s="500"/>
      <c r="C29" s="500"/>
    </row>
    <row r="30" spans="1:5" ht="14.25">
      <c r="A30" s="504"/>
      <c r="B30" s="504"/>
      <c r="C30" s="504"/>
      <c r="D30" s="525"/>
      <c r="E30" s="525"/>
    </row>
    <row r="31" spans="1:5" ht="14.25">
      <c r="A31" s="504"/>
      <c r="B31" s="504"/>
      <c r="C31" s="504"/>
      <c r="D31" s="525"/>
      <c r="E31" s="525"/>
    </row>
    <row r="32" spans="1:5" ht="14.25">
      <c r="A32" s="504"/>
      <c r="B32" s="521"/>
      <c r="C32" s="504"/>
      <c r="D32" s="525"/>
      <c r="E32" s="525"/>
    </row>
    <row r="33" spans="1:5" ht="14.25">
      <c r="A33" s="504"/>
      <c r="B33" s="504"/>
      <c r="C33" s="504"/>
      <c r="D33" s="525"/>
      <c r="E33" s="525"/>
    </row>
    <row r="34" spans="1:5" ht="14.25">
      <c r="A34" s="504"/>
      <c r="B34" s="504"/>
      <c r="C34" s="504"/>
      <c r="D34" s="525"/>
      <c r="E34" s="525"/>
    </row>
    <row r="35" spans="1:5" ht="14.25">
      <c r="A35" s="504"/>
      <c r="B35" s="504"/>
      <c r="C35" s="504"/>
      <c r="D35" s="525"/>
      <c r="E35" s="525"/>
    </row>
    <row r="36" spans="1:5" ht="14.25">
      <c r="A36" s="504"/>
      <c r="B36" s="504"/>
      <c r="C36" s="504"/>
      <c r="D36" s="525"/>
      <c r="E36" s="525"/>
    </row>
    <row r="37" spans="1:5" ht="14.25">
      <c r="A37" s="504"/>
      <c r="B37" s="504"/>
      <c r="C37" s="504"/>
      <c r="D37" s="525"/>
      <c r="E37" s="525"/>
    </row>
    <row r="38" spans="1:3" ht="12.75">
      <c r="A38" s="500"/>
      <c r="B38" s="500"/>
      <c r="C38" s="500"/>
    </row>
    <row r="39" spans="1:3" ht="12.75">
      <c r="A39" s="500"/>
      <c r="B39" s="500"/>
      <c r="C39" s="500"/>
    </row>
    <row r="40" spans="1:3" ht="12.75">
      <c r="A40" s="500"/>
      <c r="B40" s="500"/>
      <c r="C40" s="500"/>
    </row>
    <row r="41" spans="1:3" ht="12.75">
      <c r="A41" s="500"/>
      <c r="B41" s="500"/>
      <c r="C41" s="500"/>
    </row>
    <row r="42" spans="1:3" ht="12.75">
      <c r="A42" s="500"/>
      <c r="B42" s="500"/>
      <c r="C42" s="500"/>
    </row>
    <row r="43" spans="1:3" ht="12.75">
      <c r="A43" s="500"/>
      <c r="B43" s="500"/>
      <c r="C43" s="500"/>
    </row>
    <row r="44" spans="1:3" ht="12.75">
      <c r="A44" s="500"/>
      <c r="B44" s="500"/>
      <c r="C44" s="500"/>
    </row>
    <row r="45" spans="1:3" ht="12.75">
      <c r="A45" s="500"/>
      <c r="B45" s="500"/>
      <c r="C45" s="500"/>
    </row>
    <row r="46" spans="1:3" ht="12.75">
      <c r="A46" s="500"/>
      <c r="B46" s="500"/>
      <c r="C46" s="500"/>
    </row>
    <row r="47" spans="1:3" ht="12.75">
      <c r="A47" s="500"/>
      <c r="B47" s="500"/>
      <c r="C47" s="500"/>
    </row>
    <row r="48" spans="1:3" ht="12.75">
      <c r="A48" s="500"/>
      <c r="B48" s="500"/>
      <c r="C48" s="500"/>
    </row>
    <row r="49" spans="1:3" ht="12.75">
      <c r="A49" s="500"/>
      <c r="B49" s="500"/>
      <c r="C49" s="500"/>
    </row>
    <row r="50" spans="1:3" ht="12.75">
      <c r="A50" s="500"/>
      <c r="B50" s="500"/>
      <c r="C50" s="500"/>
    </row>
  </sheetData>
  <sheetProtection/>
  <printOptions/>
  <pageMargins left="0.75" right="0.75" top="1" bottom="1" header="0.5" footer="0.5"/>
  <pageSetup horizontalDpi="600" verticalDpi="600" orientation="portrait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9"/>
  <dimension ref="A1:A35"/>
  <sheetViews>
    <sheetView workbookViewId="0" topLeftCell="A1">
      <selection activeCell="A1" sqref="A1"/>
    </sheetView>
  </sheetViews>
  <sheetFormatPr defaultColWidth="9.140625" defaultRowHeight="12.75"/>
  <cols>
    <col min="1" max="1" width="101.28125" style="524" customWidth="1"/>
    <col min="2" max="16384" width="9.140625" style="524" customWidth="1"/>
  </cols>
  <sheetData>
    <row r="1" ht="19.5">
      <c r="A1" s="506" t="s">
        <v>1343</v>
      </c>
    </row>
    <row r="2" ht="19.5">
      <c r="A2" s="507" t="s">
        <v>1843</v>
      </c>
    </row>
    <row r="3" ht="19.5">
      <c r="A3" s="507" t="s">
        <v>1844</v>
      </c>
    </row>
    <row r="4" ht="19.5">
      <c r="A4" s="508" t="str">
        <f>INPUT!C1</f>
        <v>June 2009</v>
      </c>
    </row>
    <row r="5" ht="19.5">
      <c r="A5" s="507" t="s">
        <v>1853</v>
      </c>
    </row>
    <row r="6" ht="19.5">
      <c r="A6" s="507" t="s">
        <v>1856</v>
      </c>
    </row>
    <row r="7" ht="19.5">
      <c r="A7" s="507" t="s">
        <v>1857</v>
      </c>
    </row>
    <row r="8" ht="19.5">
      <c r="A8" s="507" t="s">
        <v>1858</v>
      </c>
    </row>
    <row r="9" ht="19.5">
      <c r="A9" s="507"/>
    </row>
    <row r="10" ht="19.5">
      <c r="A10" s="507" t="s">
        <v>1859</v>
      </c>
    </row>
    <row r="11" ht="19.5">
      <c r="A11" s="507"/>
    </row>
    <row r="12" ht="19.5">
      <c r="A12" s="507" t="s">
        <v>1860</v>
      </c>
    </row>
    <row r="13" ht="19.5">
      <c r="A13" s="507"/>
    </row>
    <row r="14" ht="19.5">
      <c r="A14" s="507" t="s">
        <v>1861</v>
      </c>
    </row>
    <row r="15" ht="19.5">
      <c r="A15" s="507"/>
    </row>
    <row r="16" ht="19.5">
      <c r="A16" s="507" t="s">
        <v>1862</v>
      </c>
    </row>
    <row r="17" ht="19.5">
      <c r="A17" s="507"/>
    </row>
    <row r="18" ht="19.5">
      <c r="A18" s="507" t="s">
        <v>1863</v>
      </c>
    </row>
    <row r="19" ht="19.5">
      <c r="A19" s="507"/>
    </row>
    <row r="20" ht="19.5">
      <c r="A20" s="507" t="s">
        <v>1864</v>
      </c>
    </row>
    <row r="21" ht="19.5">
      <c r="A21" s="507"/>
    </row>
    <row r="22" ht="19.5">
      <c r="A22" s="507" t="s">
        <v>1865</v>
      </c>
    </row>
    <row r="23" ht="19.5">
      <c r="A23" s="507"/>
    </row>
    <row r="24" ht="19.5">
      <c r="A24" s="507" t="s">
        <v>1866</v>
      </c>
    </row>
    <row r="25" ht="19.5">
      <c r="A25" s="507"/>
    </row>
    <row r="26" ht="19.5">
      <c r="A26" s="507" t="s">
        <v>1867</v>
      </c>
    </row>
    <row r="27" ht="19.5">
      <c r="A27" s="507"/>
    </row>
    <row r="28" ht="19.5">
      <c r="A28" s="507" t="s">
        <v>1868</v>
      </c>
    </row>
    <row r="29" ht="19.5">
      <c r="A29" s="507"/>
    </row>
    <row r="30" ht="19.5">
      <c r="A30" s="507" t="s">
        <v>1869</v>
      </c>
    </row>
    <row r="31" ht="19.5">
      <c r="A31" s="509"/>
    </row>
    <row r="32" ht="19.5">
      <c r="A32" s="509" t="s">
        <v>1870</v>
      </c>
    </row>
    <row r="33" ht="19.5">
      <c r="A33" s="509" t="s">
        <v>419</v>
      </c>
    </row>
    <row r="34" ht="19.5">
      <c r="A34" s="509" t="s">
        <v>1871</v>
      </c>
    </row>
    <row r="35" ht="19.5">
      <c r="A35" s="505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0"/>
  <dimension ref="A1:B36"/>
  <sheetViews>
    <sheetView workbookViewId="0" topLeftCell="A1">
      <selection activeCell="A1" sqref="A1"/>
    </sheetView>
  </sheetViews>
  <sheetFormatPr defaultColWidth="9.140625" defaultRowHeight="12.75"/>
  <cols>
    <col min="1" max="1" width="78.00390625" style="0" customWidth="1"/>
    <col min="2" max="2" width="10.28125" style="0" bestFit="1" customWidth="1"/>
  </cols>
  <sheetData>
    <row r="1" spans="1:2" ht="19.5">
      <c r="A1" s="506" t="s">
        <v>1872</v>
      </c>
      <c r="B1" s="500"/>
    </row>
    <row r="2" spans="1:2" ht="12.75">
      <c r="A2" s="510"/>
      <c r="B2" s="500"/>
    </row>
    <row r="3" spans="1:2" ht="12.75">
      <c r="A3" s="510"/>
      <c r="B3" s="500"/>
    </row>
    <row r="4" spans="1:2" ht="16.5">
      <c r="A4" s="500"/>
      <c r="B4" s="511" t="s">
        <v>1892</v>
      </c>
    </row>
    <row r="5" spans="1:2" ht="16.5">
      <c r="A5" s="500"/>
      <c r="B5" s="511" t="s">
        <v>1893</v>
      </c>
    </row>
    <row r="6" spans="1:2" ht="19.5">
      <c r="A6" s="507" t="s">
        <v>1875</v>
      </c>
      <c r="B6" s="500"/>
    </row>
    <row r="7" spans="1:2" ht="19.5">
      <c r="A7" s="509"/>
      <c r="B7" s="512"/>
    </row>
    <row r="8" spans="1:2" ht="19.5">
      <c r="A8" s="509" t="s">
        <v>1876</v>
      </c>
      <c r="B8" s="507">
        <v>1</v>
      </c>
    </row>
    <row r="9" spans="1:2" ht="19.5">
      <c r="A9" s="509"/>
      <c r="B9" s="512"/>
    </row>
    <row r="10" spans="1:2" ht="19.5">
      <c r="A10" s="513" t="s">
        <v>1877</v>
      </c>
      <c r="B10" s="512"/>
    </row>
    <row r="11" spans="1:2" ht="19.5">
      <c r="A11" s="509" t="s">
        <v>1878</v>
      </c>
      <c r="B11" s="507">
        <v>2</v>
      </c>
    </row>
    <row r="12" spans="1:2" ht="19.5">
      <c r="A12" s="509"/>
      <c r="B12" s="512"/>
    </row>
    <row r="13" spans="1:2" ht="19.5">
      <c r="A13" s="509" t="s">
        <v>1879</v>
      </c>
      <c r="B13" s="507">
        <v>3</v>
      </c>
    </row>
    <row r="14" spans="1:2" ht="19.5">
      <c r="A14" s="509"/>
      <c r="B14" s="512"/>
    </row>
    <row r="15" spans="1:2" ht="19.5">
      <c r="A15" s="509" t="s">
        <v>1880</v>
      </c>
      <c r="B15" s="507">
        <v>4</v>
      </c>
    </row>
    <row r="16" spans="1:2" ht="19.5">
      <c r="A16" s="509"/>
      <c r="B16" s="512"/>
    </row>
    <row r="17" spans="1:2" ht="19.5">
      <c r="A17" s="509" t="s">
        <v>1881</v>
      </c>
      <c r="B17" s="507">
        <v>5</v>
      </c>
    </row>
    <row r="18" spans="1:2" ht="19.5">
      <c r="A18" s="509"/>
      <c r="B18" s="512"/>
    </row>
    <row r="19" spans="1:2" ht="19.5">
      <c r="A19" s="509" t="s">
        <v>1882</v>
      </c>
      <c r="B19" s="512"/>
    </row>
    <row r="20" spans="1:2" ht="19.5">
      <c r="A20" s="509" t="s">
        <v>1883</v>
      </c>
      <c r="B20" s="507">
        <v>6</v>
      </c>
    </row>
    <row r="21" spans="1:2" ht="19.5">
      <c r="A21" s="509"/>
      <c r="B21" s="512"/>
    </row>
    <row r="22" spans="1:2" ht="19.5">
      <c r="A22" s="509" t="s">
        <v>1884</v>
      </c>
      <c r="B22" s="507">
        <v>7</v>
      </c>
    </row>
    <row r="23" spans="1:2" ht="19.5">
      <c r="A23" s="509"/>
      <c r="B23" s="512"/>
    </row>
    <row r="24" spans="1:2" ht="19.5">
      <c r="A24" s="509" t="s">
        <v>1885</v>
      </c>
      <c r="B24" s="507">
        <v>8</v>
      </c>
    </row>
    <row r="25" spans="1:2" ht="19.5">
      <c r="A25" s="509"/>
      <c r="B25" s="512"/>
    </row>
    <row r="26" spans="1:2" ht="19.5">
      <c r="A26" s="509" t="s">
        <v>1886</v>
      </c>
      <c r="B26" s="507">
        <v>9</v>
      </c>
    </row>
    <row r="27" spans="1:2" ht="19.5">
      <c r="A27" s="509"/>
      <c r="B27" s="512"/>
    </row>
    <row r="28" spans="1:2" ht="19.5">
      <c r="A28" s="509" t="s">
        <v>1887</v>
      </c>
      <c r="B28" s="507">
        <v>10</v>
      </c>
    </row>
    <row r="29" spans="1:2" ht="19.5">
      <c r="A29" s="509"/>
      <c r="B29" s="512"/>
    </row>
    <row r="30" spans="1:2" ht="19.5">
      <c r="A30" s="509" t="s">
        <v>1888</v>
      </c>
      <c r="B30" s="507">
        <v>11</v>
      </c>
    </row>
    <row r="31" spans="1:2" ht="19.5">
      <c r="A31" s="509"/>
      <c r="B31" s="512"/>
    </row>
    <row r="32" spans="1:2" ht="19.5">
      <c r="A32" s="509"/>
      <c r="B32" s="512"/>
    </row>
    <row r="33" spans="1:2" ht="19.5">
      <c r="A33" s="513" t="s">
        <v>1889</v>
      </c>
      <c r="B33" s="512"/>
    </row>
    <row r="34" spans="1:2" ht="19.5">
      <c r="A34" s="509"/>
      <c r="B34" s="512"/>
    </row>
    <row r="35" spans="1:2" ht="19.5">
      <c r="A35" s="509" t="s">
        <v>1890</v>
      </c>
      <c r="B35" s="507" t="s">
        <v>1891</v>
      </c>
    </row>
    <row r="36" ht="19.5">
      <c r="A36" s="505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L121"/>
  <sheetViews>
    <sheetView workbookViewId="0" topLeftCell="A1">
      <selection activeCell="A1" sqref="A1"/>
    </sheetView>
  </sheetViews>
  <sheetFormatPr defaultColWidth="9.140625" defaultRowHeight="12.75"/>
  <cols>
    <col min="1" max="1" width="5.140625" style="3" customWidth="1"/>
    <col min="2" max="2" width="22.28125" style="3" customWidth="1"/>
    <col min="3" max="3" width="9.140625" style="3" customWidth="1"/>
    <col min="4" max="4" width="14.00390625" style="3" customWidth="1"/>
    <col min="5" max="5" width="3.7109375" style="3" customWidth="1"/>
    <col min="6" max="6" width="11.7109375" style="3" customWidth="1"/>
    <col min="7" max="7" width="5.421875" style="3" customWidth="1"/>
    <col min="8" max="8" width="14.421875" style="3" customWidth="1"/>
    <col min="9" max="9" width="3.7109375" style="3" customWidth="1"/>
    <col min="10" max="10" width="14.421875" style="3" customWidth="1"/>
    <col min="11" max="16384" width="9.140625" style="3" customWidth="1"/>
  </cols>
  <sheetData>
    <row r="1" spans="2:10" ht="16.5">
      <c r="B1" s="19" t="s">
        <v>1451</v>
      </c>
      <c r="C1" s="20" t="str">
        <f>INPUT!C1</f>
        <v>June 2009</v>
      </c>
      <c r="J1" s="19" t="s">
        <v>1452</v>
      </c>
    </row>
    <row r="4" spans="4:10" ht="16.5">
      <c r="D4" s="21"/>
      <c r="E4" s="22" t="s">
        <v>1312</v>
      </c>
      <c r="F4" s="21"/>
      <c r="H4" s="21"/>
      <c r="I4" s="23" t="s">
        <v>1453</v>
      </c>
      <c r="J4" s="21"/>
    </row>
    <row r="5" spans="4:10" ht="16.5">
      <c r="D5" s="19" t="s">
        <v>1457</v>
      </c>
      <c r="E5" s="19"/>
      <c r="F5" s="19" t="s">
        <v>1457</v>
      </c>
      <c r="G5" s="19"/>
      <c r="H5" s="19" t="s">
        <v>1458</v>
      </c>
      <c r="I5" s="19"/>
      <c r="J5" s="19" t="s">
        <v>1458</v>
      </c>
    </row>
    <row r="6" spans="4:10" ht="16.5">
      <c r="D6" s="19" t="s">
        <v>1258</v>
      </c>
      <c r="E6" s="19"/>
      <c r="F6" s="19" t="s">
        <v>1259</v>
      </c>
      <c r="G6" s="19"/>
      <c r="H6" s="19" t="s">
        <v>1459</v>
      </c>
      <c r="I6" s="19"/>
      <c r="J6" s="19" t="s">
        <v>1460</v>
      </c>
    </row>
    <row r="7" spans="2:10" ht="16.5">
      <c r="B7" s="24" t="s">
        <v>1461</v>
      </c>
      <c r="D7" s="22" t="s">
        <v>1246</v>
      </c>
      <c r="E7" s="19"/>
      <c r="F7" s="22" t="s">
        <v>1247</v>
      </c>
      <c r="G7" s="19"/>
      <c r="H7" s="23" t="s">
        <v>1462</v>
      </c>
      <c r="I7" s="25"/>
      <c r="J7" s="23" t="s">
        <v>1463</v>
      </c>
    </row>
    <row r="9" spans="1:10" ht="16.5">
      <c r="A9" s="3" t="s">
        <v>1464</v>
      </c>
      <c r="B9" s="19" t="s">
        <v>1343</v>
      </c>
      <c r="C9" s="3" t="s">
        <v>1239</v>
      </c>
      <c r="D9" s="18">
        <f>+PAGE2!H34</f>
        <v>1109232</v>
      </c>
      <c r="E9" s="18"/>
      <c r="F9" s="18">
        <f>+PAGE2!J34</f>
        <v>335943</v>
      </c>
      <c r="G9" s="18"/>
      <c r="H9" s="18">
        <f>+PAGE2!L34</f>
        <v>62777220</v>
      </c>
      <c r="I9" s="18"/>
      <c r="J9" s="18">
        <f>+PAGE2!N34</f>
        <v>12261444</v>
      </c>
    </row>
    <row r="10" spans="2:10" ht="16.5">
      <c r="B10" s="19" t="s">
        <v>1352</v>
      </c>
      <c r="C10" s="3" t="s">
        <v>1240</v>
      </c>
      <c r="D10" s="18">
        <f>+PAGE2!H35</f>
        <v>98915</v>
      </c>
      <c r="E10" s="18"/>
      <c r="F10" s="18">
        <f>+PAGE2!J35</f>
        <v>205025</v>
      </c>
      <c r="G10" s="18"/>
      <c r="H10" s="18">
        <f>+PAGE2!L35</f>
        <v>7654850</v>
      </c>
      <c r="I10" s="18"/>
      <c r="J10" s="18">
        <f>+PAGE2!N35</f>
        <v>5276758</v>
      </c>
    </row>
    <row r="11" spans="2:10" ht="16.5">
      <c r="B11" s="19" t="s">
        <v>1355</v>
      </c>
      <c r="C11" s="3" t="s">
        <v>1241</v>
      </c>
      <c r="D11" s="18">
        <f>+PAGE2!H36</f>
        <v>220871</v>
      </c>
      <c r="E11" s="18"/>
      <c r="F11" s="18">
        <f>+PAGE2!J36</f>
        <v>525264</v>
      </c>
      <c r="G11" s="18"/>
      <c r="H11" s="18">
        <f>+PAGE2!L36</f>
        <v>7019758</v>
      </c>
      <c r="I11" s="18"/>
      <c r="J11" s="18">
        <f>+PAGE2!N36</f>
        <v>20839236</v>
      </c>
    </row>
    <row r="12" spans="3:10" ht="15">
      <c r="C12" s="3" t="s">
        <v>1242</v>
      </c>
      <c r="D12" s="18">
        <f>+PAGE2!H37</f>
        <v>222918</v>
      </c>
      <c r="E12" s="18"/>
      <c r="F12" s="18">
        <f>+PAGE2!J37</f>
        <v>1485042</v>
      </c>
      <c r="G12" s="18"/>
      <c r="H12" s="18">
        <f>+PAGE2!L37</f>
        <v>7757499</v>
      </c>
      <c r="I12" s="18"/>
      <c r="J12" s="18">
        <f>+PAGE2!N37</f>
        <v>69890723</v>
      </c>
    </row>
    <row r="13" spans="3:10" ht="15">
      <c r="C13" s="3" t="s">
        <v>1243</v>
      </c>
      <c r="D13" s="26">
        <f>+PAGE2!H38</f>
        <v>1095211</v>
      </c>
      <c r="E13" s="18"/>
      <c r="F13" s="26">
        <f>+PAGE2!J38</f>
        <v>195873</v>
      </c>
      <c r="G13" s="18"/>
      <c r="H13" s="26">
        <f>+PAGE2!L38</f>
        <v>29542185</v>
      </c>
      <c r="I13" s="18"/>
      <c r="J13" s="26">
        <f>+PAGE2!N38</f>
        <v>6483351</v>
      </c>
    </row>
    <row r="14" spans="3:10" ht="15">
      <c r="C14" s="3" t="s">
        <v>1348</v>
      </c>
      <c r="D14" s="18">
        <f>SUM(D9:D13)</f>
        <v>2747147</v>
      </c>
      <c r="E14" s="18"/>
      <c r="F14" s="18">
        <f>SUM(F9:F13)</f>
        <v>2747147</v>
      </c>
      <c r="G14" s="18"/>
      <c r="H14" s="18">
        <f>SUM(H9:H13)</f>
        <v>114751512</v>
      </c>
      <c r="I14" s="18"/>
      <c r="J14" s="18">
        <f>SUM(J9:J13)</f>
        <v>114751512</v>
      </c>
    </row>
    <row r="15" spans="4:10" ht="15">
      <c r="D15" s="17"/>
      <c r="E15" s="17"/>
      <c r="F15" s="17"/>
      <c r="G15" s="17"/>
      <c r="H15" s="17"/>
      <c r="I15" s="17"/>
      <c r="J15" s="17"/>
    </row>
    <row r="16" spans="1:10" ht="16.5">
      <c r="A16" s="3" t="s">
        <v>1465</v>
      </c>
      <c r="B16" s="19" t="s">
        <v>1466</v>
      </c>
      <c r="C16" s="3" t="s">
        <v>1239</v>
      </c>
      <c r="D16" s="18">
        <f>+PAGE2!H41</f>
        <v>1113052</v>
      </c>
      <c r="E16" s="18"/>
      <c r="F16" s="18">
        <f>+PAGE2!J41</f>
        <v>339268</v>
      </c>
      <c r="G16" s="18"/>
      <c r="H16" s="18">
        <f>+PAGE2!L41</f>
        <v>66543841</v>
      </c>
      <c r="I16" s="18"/>
      <c r="J16" s="18">
        <f>+PAGE2!N41</f>
        <v>12880040</v>
      </c>
    </row>
    <row r="17" spans="2:10" ht="16.5">
      <c r="B17" s="19" t="s">
        <v>1467</v>
      </c>
      <c r="C17" s="3" t="s">
        <v>1240</v>
      </c>
      <c r="D17" s="18">
        <f>+PAGE2!H42</f>
        <v>98073</v>
      </c>
      <c r="E17" s="18"/>
      <c r="F17" s="18">
        <f>+PAGE2!J42</f>
        <v>200837</v>
      </c>
      <c r="G17" s="18"/>
      <c r="H17" s="18">
        <f>+PAGE2!L42</f>
        <v>8121893</v>
      </c>
      <c r="I17" s="18"/>
      <c r="J17" s="18">
        <f>+PAGE2!N42</f>
        <v>5224409</v>
      </c>
    </row>
    <row r="18" spans="2:10" ht="16.5">
      <c r="B18" s="19" t="s">
        <v>1352</v>
      </c>
      <c r="C18" s="3" t="s">
        <v>1241</v>
      </c>
      <c r="D18" s="18">
        <f>+PAGE2!H43</f>
        <v>219023</v>
      </c>
      <c r="E18" s="18"/>
      <c r="F18" s="18">
        <f>+PAGE2!J43</f>
        <v>529451</v>
      </c>
      <c r="G18" s="18"/>
      <c r="H18" s="18">
        <f>+PAGE2!L43</f>
        <v>7123127</v>
      </c>
      <c r="I18" s="18"/>
      <c r="J18" s="18">
        <f>+PAGE2!N43</f>
        <v>21372247</v>
      </c>
    </row>
    <row r="19" spans="2:10" ht="16.5">
      <c r="B19" s="19" t="s">
        <v>1355</v>
      </c>
      <c r="C19" s="3" t="s">
        <v>1242</v>
      </c>
      <c r="D19" s="18">
        <f>+PAGE2!H44</f>
        <v>224306</v>
      </c>
      <c r="E19" s="18"/>
      <c r="F19" s="18">
        <f>+PAGE2!J44</f>
        <v>1483003</v>
      </c>
      <c r="G19" s="18"/>
      <c r="H19" s="18">
        <f>+PAGE2!L44</f>
        <v>8016250</v>
      </c>
      <c r="I19" s="18"/>
      <c r="J19" s="18">
        <f>+PAGE2!N44</f>
        <v>73964840</v>
      </c>
    </row>
    <row r="20" spans="3:10" ht="15">
      <c r="C20" s="3" t="s">
        <v>1243</v>
      </c>
      <c r="D20" s="26">
        <f>+PAGE2!H45</f>
        <v>1101767</v>
      </c>
      <c r="E20" s="18"/>
      <c r="F20" s="26">
        <f>+PAGE2!J45</f>
        <v>203662</v>
      </c>
      <c r="G20" s="18"/>
      <c r="H20" s="26">
        <f>+PAGE2!L45</f>
        <v>30403288</v>
      </c>
      <c r="I20" s="18"/>
      <c r="J20" s="26">
        <f>+PAGE2!N45</f>
        <v>6766863</v>
      </c>
    </row>
    <row r="21" spans="3:10" ht="15">
      <c r="C21" s="3" t="s">
        <v>1348</v>
      </c>
      <c r="D21" s="18">
        <f>SUM(D16:D20)</f>
        <v>2756221</v>
      </c>
      <c r="E21" s="18"/>
      <c r="F21" s="18">
        <f>SUM(F16:F20)</f>
        <v>2756221</v>
      </c>
      <c r="G21" s="18"/>
      <c r="H21" s="18">
        <f>SUM(H16:H20)</f>
        <v>120208399</v>
      </c>
      <c r="I21" s="18"/>
      <c r="J21" s="18">
        <f>SUM(J16:J20)</f>
        <v>120208399</v>
      </c>
    </row>
    <row r="22" spans="4:10" ht="15">
      <c r="D22" s="17"/>
      <c r="E22" s="17"/>
      <c r="F22" s="17"/>
      <c r="G22" s="17"/>
      <c r="H22" s="17"/>
      <c r="I22" s="17"/>
      <c r="J22" s="17"/>
    </row>
    <row r="23" spans="1:10" ht="16.5">
      <c r="A23" s="3" t="s">
        <v>1468</v>
      </c>
      <c r="B23" s="19" t="s">
        <v>1469</v>
      </c>
      <c r="C23" s="3" t="s">
        <v>1239</v>
      </c>
      <c r="D23" s="17">
        <f>+D9-D16</f>
        <v>-3820</v>
      </c>
      <c r="E23" s="17"/>
      <c r="F23" s="17">
        <f>+F9-F16</f>
        <v>-3325</v>
      </c>
      <c r="G23" s="17"/>
      <c r="H23" s="17">
        <f>+H9-H16</f>
        <v>-3766621</v>
      </c>
      <c r="I23" s="17"/>
      <c r="J23" s="17">
        <f>+J9-J16</f>
        <v>-618596</v>
      </c>
    </row>
    <row r="24" spans="2:10" ht="16.5">
      <c r="B24" s="19" t="s">
        <v>1476</v>
      </c>
      <c r="C24" s="3" t="s">
        <v>1240</v>
      </c>
      <c r="D24" s="17">
        <f>+D10-D17</f>
        <v>842</v>
      </c>
      <c r="E24" s="17"/>
      <c r="F24" s="17">
        <f>+F10-F17</f>
        <v>4188</v>
      </c>
      <c r="G24" s="17"/>
      <c r="H24" s="17">
        <f>+H10-H17</f>
        <v>-467043</v>
      </c>
      <c r="I24" s="17"/>
      <c r="J24" s="17">
        <f>+J10-J17</f>
        <v>52349</v>
      </c>
    </row>
    <row r="25" spans="2:10" ht="16.5">
      <c r="B25" s="19" t="s">
        <v>1477</v>
      </c>
      <c r="C25" s="3" t="s">
        <v>1241</v>
      </c>
      <c r="D25" s="17">
        <f>+D11-D18</f>
        <v>1848</v>
      </c>
      <c r="E25" s="17"/>
      <c r="F25" s="17">
        <f>+F11-F18</f>
        <v>-4187</v>
      </c>
      <c r="G25" s="17"/>
      <c r="H25" s="17">
        <f>+H11-H18</f>
        <v>-103369</v>
      </c>
      <c r="I25" s="17"/>
      <c r="J25" s="17">
        <f>+J11-J18</f>
        <v>-533011</v>
      </c>
    </row>
    <row r="26" spans="2:10" ht="16.5">
      <c r="B26" s="25" t="s">
        <v>1478</v>
      </c>
      <c r="C26" s="3" t="s">
        <v>1242</v>
      </c>
      <c r="D26" s="17">
        <f>+D12-D19</f>
        <v>-1388</v>
      </c>
      <c r="E26" s="17"/>
      <c r="F26" s="17">
        <f>+F12-F19</f>
        <v>2039</v>
      </c>
      <c r="G26" s="17"/>
      <c r="H26" s="17">
        <f>+H12-H19</f>
        <v>-258751</v>
      </c>
      <c r="I26" s="17"/>
      <c r="J26" s="17">
        <f>+J12-J19</f>
        <v>-4074117</v>
      </c>
    </row>
    <row r="27" spans="2:10" ht="16.5">
      <c r="B27" s="25"/>
      <c r="C27" s="3" t="s">
        <v>1243</v>
      </c>
      <c r="D27" s="27">
        <f>+D13-D20</f>
        <v>-6556</v>
      </c>
      <c r="E27" s="17"/>
      <c r="F27" s="27">
        <f>+F13-F20</f>
        <v>-7789</v>
      </c>
      <c r="G27" s="17"/>
      <c r="H27" s="27">
        <f>+H13-H20</f>
        <v>-861103</v>
      </c>
      <c r="I27" s="17"/>
      <c r="J27" s="27">
        <f>+J13-J20</f>
        <v>-283512</v>
      </c>
    </row>
    <row r="28" spans="2:10" ht="16.5">
      <c r="B28" s="25"/>
      <c r="C28" s="3" t="s">
        <v>1348</v>
      </c>
      <c r="D28" s="17">
        <f>SUM(D23:D27)</f>
        <v>-9074</v>
      </c>
      <c r="E28" s="17"/>
      <c r="F28" s="17">
        <f>SUM(F23:F27)</f>
        <v>-9074</v>
      </c>
      <c r="G28" s="17"/>
      <c r="H28" s="17">
        <f>SUM(H23:H27)</f>
        <v>-5456887</v>
      </c>
      <c r="I28" s="17"/>
      <c r="J28" s="17">
        <f>SUM(J23:J27)</f>
        <v>-5456887</v>
      </c>
    </row>
    <row r="30" spans="1:10" ht="16.5">
      <c r="A30" s="3" t="s">
        <v>1479</v>
      </c>
      <c r="B30" s="82" t="s">
        <v>353</v>
      </c>
      <c r="F30" s="3" t="s">
        <v>1239</v>
      </c>
      <c r="H30" s="17">
        <f>'APPVI PG1'!M15</f>
        <v>33217</v>
      </c>
      <c r="J30" s="17">
        <f>'APPVI PG1'!O15</f>
        <v>0</v>
      </c>
    </row>
    <row r="31" spans="2:10" ht="16.5">
      <c r="B31" s="28" t="s">
        <v>354</v>
      </c>
      <c r="F31" s="3" t="s">
        <v>1240</v>
      </c>
      <c r="H31" s="17">
        <f>'APPVI PG1'!M16</f>
        <v>6693</v>
      </c>
      <c r="J31" s="17">
        <f>'APPVI PG1'!O16</f>
        <v>0</v>
      </c>
    </row>
    <row r="32" spans="2:10" ht="16.5">
      <c r="B32" s="28" t="s">
        <v>355</v>
      </c>
      <c r="F32" s="3" t="s">
        <v>1241</v>
      </c>
      <c r="H32" s="17">
        <f>'APPVI PG1'!M17</f>
        <v>17047</v>
      </c>
      <c r="J32" s="17">
        <f>'APPVI PG1'!O17</f>
        <v>0</v>
      </c>
    </row>
    <row r="33" spans="2:10" ht="15">
      <c r="B33" s="3" t="s">
        <v>1481</v>
      </c>
      <c r="F33" s="3" t="s">
        <v>1242</v>
      </c>
      <c r="H33" s="17">
        <f>'APPVI PG1'!M18</f>
        <v>0</v>
      </c>
      <c r="J33" s="17">
        <f>'APPVI PG1'!O18</f>
        <v>74573</v>
      </c>
    </row>
    <row r="34" spans="2:10" ht="15">
      <c r="B34" s="29"/>
      <c r="F34" s="3" t="s">
        <v>1243</v>
      </c>
      <c r="H34" s="27">
        <f>'APPVI PG1'!M19</f>
        <v>17616</v>
      </c>
      <c r="J34" s="27">
        <f>'APPVI PG1'!O19</f>
        <v>0</v>
      </c>
    </row>
    <row r="35" spans="6:10" ht="15">
      <c r="F35" s="3" t="s">
        <v>1348</v>
      </c>
      <c r="H35" s="17">
        <f>SUM(H30:H34)</f>
        <v>74573</v>
      </c>
      <c r="J35" s="17">
        <f>SUM(J30:J34)</f>
        <v>74573</v>
      </c>
    </row>
    <row r="36" spans="8:10" ht="15">
      <c r="H36" s="17"/>
      <c r="I36" s="17"/>
      <c r="J36" s="17"/>
    </row>
    <row r="37" spans="1:11" ht="16.5">
      <c r="A37" s="3" t="s">
        <v>1486</v>
      </c>
      <c r="B37" s="28" t="s">
        <v>346</v>
      </c>
      <c r="F37" s="3" t="s">
        <v>1239</v>
      </c>
      <c r="H37" s="18">
        <f>PAGE6B!P29</f>
        <v>-513</v>
      </c>
      <c r="I37" s="18"/>
      <c r="J37" s="18">
        <v>0</v>
      </c>
      <c r="K37" s="2"/>
    </row>
    <row r="38" spans="2:11" ht="16.5">
      <c r="B38" s="28" t="s">
        <v>345</v>
      </c>
      <c r="F38" s="3" t="s">
        <v>1240</v>
      </c>
      <c r="H38" s="18">
        <f>PAGE6B!P30</f>
        <v>-102</v>
      </c>
      <c r="I38" s="18"/>
      <c r="J38" s="18">
        <v>0</v>
      </c>
      <c r="K38" s="2"/>
    </row>
    <row r="39" spans="2:11" ht="16.5">
      <c r="B39" s="28" t="s">
        <v>351</v>
      </c>
      <c r="F39" s="3" t="s">
        <v>1241</v>
      </c>
      <c r="H39" s="18">
        <f>PAGE6B!P31</f>
        <v>-263</v>
      </c>
      <c r="I39" s="18"/>
      <c r="J39" s="18">
        <v>0</v>
      </c>
      <c r="K39" s="2"/>
    </row>
    <row r="40" spans="2:11" ht="15">
      <c r="B40" s="3" t="s">
        <v>352</v>
      </c>
      <c r="F40" s="3" t="s">
        <v>1242</v>
      </c>
      <c r="H40" s="18">
        <f>PAGE6B!P32</f>
        <v>-337</v>
      </c>
      <c r="I40" s="18"/>
      <c r="J40" s="18">
        <v>0</v>
      </c>
      <c r="K40" s="2"/>
    </row>
    <row r="41" spans="2:11" ht="15">
      <c r="B41" s="2"/>
      <c r="F41" s="3" t="s">
        <v>1243</v>
      </c>
      <c r="H41" s="18">
        <f>PAGE6B!P33</f>
        <v>-272</v>
      </c>
      <c r="I41" s="18"/>
      <c r="J41" s="18">
        <v>0</v>
      </c>
      <c r="K41" s="2"/>
    </row>
    <row r="42" spans="6:11" ht="15">
      <c r="F42" s="3" t="s">
        <v>343</v>
      </c>
      <c r="H42" s="26">
        <v>0</v>
      </c>
      <c r="I42" s="18"/>
      <c r="J42" s="26">
        <f>SUM(H37:H41)</f>
        <v>-1487</v>
      </c>
      <c r="K42" s="2"/>
    </row>
    <row r="43" spans="6:11" ht="15">
      <c r="F43" s="3" t="s">
        <v>1348</v>
      </c>
      <c r="H43" s="17">
        <f>SUM(H37:H42)</f>
        <v>-1487</v>
      </c>
      <c r="I43" s="17"/>
      <c r="J43" s="17">
        <f>SUM(J37:J42)</f>
        <v>-1487</v>
      </c>
      <c r="K43" s="2"/>
    </row>
    <row r="44" spans="8:11" ht="15">
      <c r="H44" s="17"/>
      <c r="I44" s="17"/>
      <c r="J44" s="17"/>
      <c r="K44" s="2"/>
    </row>
    <row r="45" spans="1:11" ht="16.5">
      <c r="A45" s="3" t="s">
        <v>1488</v>
      </c>
      <c r="B45" s="28" t="s">
        <v>1437</v>
      </c>
      <c r="F45" s="2" t="s">
        <v>1239</v>
      </c>
      <c r="H45" s="18">
        <f>IF('APP IX (PJM)'!C$173&lt;0,0,'APP IX (PJM)'!C$173)</f>
        <v>0</v>
      </c>
      <c r="I45" s="18"/>
      <c r="J45" s="18">
        <f>IF('APP IX (PJM)'!C$173&gt;0,0,('APP IX (PJM)'!C$173)*-1)</f>
        <v>56571.74000000022</v>
      </c>
      <c r="K45" s="2"/>
    </row>
    <row r="46" spans="2:11" ht="16.5">
      <c r="B46" s="131" t="s">
        <v>1438</v>
      </c>
      <c r="F46" s="2" t="s">
        <v>1240</v>
      </c>
      <c r="H46" s="18">
        <f>IF('APP IX (PJM)'!D$173&lt;0,0,'APP IX (PJM)'!D$173)</f>
        <v>0</v>
      </c>
      <c r="I46" s="18"/>
      <c r="J46" s="18">
        <f>IF('APP IX (PJM)'!D$173&gt;0,0,('APP IX (PJM)'!D$173)*-1)</f>
        <v>11398.880000000005</v>
      </c>
      <c r="K46" s="2"/>
    </row>
    <row r="47" spans="2:11" ht="16.5">
      <c r="B47" s="131" t="s">
        <v>1430</v>
      </c>
      <c r="F47" s="2" t="s">
        <v>1241</v>
      </c>
      <c r="H47" s="18">
        <f>IF('APP IX (PJM)'!E$173&lt;0,0,'APP IX (PJM)'!E$173)</f>
        <v>0</v>
      </c>
      <c r="I47" s="18"/>
      <c r="J47" s="18">
        <f>IF('APP IX (PJM)'!E$173&gt;0,0,('APP IX (PJM)'!E$173)*-1)</f>
        <v>29037.080000000027</v>
      </c>
      <c r="K47" s="2"/>
    </row>
    <row r="48" spans="2:11" ht="16.5">
      <c r="B48" s="28" t="s">
        <v>351</v>
      </c>
      <c r="F48" s="2" t="s">
        <v>1242</v>
      </c>
      <c r="H48" s="18">
        <f>IF('APP IX (PJM)'!F$173&lt;0,0,'APP IX (PJM)'!F$173)</f>
        <v>0</v>
      </c>
      <c r="I48" s="18"/>
      <c r="J48" s="18">
        <f>IF('APP IX (PJM)'!F$173&gt;0,0,('APP IX (PJM)'!F$173)*-1)</f>
        <v>37166.60000000009</v>
      </c>
      <c r="K48" s="2"/>
    </row>
    <row r="49" spans="2:11" ht="15">
      <c r="B49" s="167" t="s">
        <v>1431</v>
      </c>
      <c r="F49" s="2" t="s">
        <v>1243</v>
      </c>
      <c r="H49" s="18">
        <f>IF('APP IX (PJM)'!G$173&lt;0,0,'APP IX (PJM)'!G$173)</f>
        <v>0</v>
      </c>
      <c r="I49" s="18"/>
      <c r="J49" s="18">
        <f>IF('APP IX (PJM)'!G$173&gt;0,0,('APP IX (PJM)'!G$173)*-1)</f>
        <v>30003.97999999998</v>
      </c>
      <c r="K49" s="2"/>
    </row>
    <row r="50" spans="6:11" ht="15">
      <c r="F50" s="2" t="s">
        <v>2060</v>
      </c>
      <c r="H50" s="26">
        <f>SUM(J45:J49)</f>
        <v>164178.28000000032</v>
      </c>
      <c r="I50" s="18"/>
      <c r="J50" s="26">
        <f>SUM(H45:H49)</f>
        <v>0</v>
      </c>
      <c r="K50" s="2"/>
    </row>
    <row r="51" spans="6:11" ht="15">
      <c r="F51" s="2" t="s">
        <v>1348</v>
      </c>
      <c r="H51" s="18">
        <f>SUM(H45:H50)</f>
        <v>164178.28000000032</v>
      </c>
      <c r="I51" s="18"/>
      <c r="J51" s="18">
        <f>SUM(J45:J50)</f>
        <v>164178.28000000032</v>
      </c>
      <c r="K51" s="2"/>
    </row>
    <row r="52" spans="8:11" ht="15">
      <c r="H52" s="18"/>
      <c r="I52" s="18"/>
      <c r="J52" s="18"/>
      <c r="K52" s="2"/>
    </row>
    <row r="53" spans="1:11" ht="16.5">
      <c r="A53" s="3" t="s">
        <v>344</v>
      </c>
      <c r="B53" s="28" t="s">
        <v>1437</v>
      </c>
      <c r="F53" s="2" t="s">
        <v>1239</v>
      </c>
      <c r="H53" s="18">
        <f>IF('APP IX (PJM)'!C$256&lt;0,0,'APP IX (PJM)'!C$256)</f>
        <v>17823</v>
      </c>
      <c r="I53" s="18"/>
      <c r="J53" s="18">
        <f>IF('APP IX (PJM)'!C$256&gt;0,0,('APP IX (PJM)'!C$256)*-1)</f>
        <v>0</v>
      </c>
      <c r="K53" s="2"/>
    </row>
    <row r="54" spans="2:11" ht="16.5">
      <c r="B54" s="28" t="s">
        <v>1439</v>
      </c>
      <c r="F54" s="2" t="s">
        <v>1240</v>
      </c>
      <c r="H54" s="18">
        <f>IF('APP IX (PJM)'!D$256&lt;0,0,'APP IX (PJM)'!D$256)</f>
        <v>3592</v>
      </c>
      <c r="I54" s="18"/>
      <c r="J54" s="18">
        <f>IF('APP IX (PJM)'!D$256&gt;0,0,('APP IX (PJM)'!D$256)*-1)</f>
        <v>0</v>
      </c>
      <c r="K54" s="2"/>
    </row>
    <row r="55" spans="2:11" ht="16.5">
      <c r="B55" s="28" t="s">
        <v>351</v>
      </c>
      <c r="F55" s="2" t="s">
        <v>1241</v>
      </c>
      <c r="H55" s="18">
        <f>IF('APP IX (PJM)'!E$256&lt;0,0,'APP IX (PJM)'!E$256)</f>
        <v>9148</v>
      </c>
      <c r="I55" s="18"/>
      <c r="J55" s="18">
        <f>IF('APP IX (PJM)'!E$256&gt;0,0,('APP IX (PJM)'!E$256)*-1)</f>
        <v>0</v>
      </c>
      <c r="K55" s="2"/>
    </row>
    <row r="56" spans="2:11" ht="15">
      <c r="B56" s="167" t="s">
        <v>1431</v>
      </c>
      <c r="F56" s="2" t="s">
        <v>1242</v>
      </c>
      <c r="H56" s="18">
        <f>IF('APP IX (PJM)'!F$256&lt;0,0,'APP IX (PJM)'!F$256)</f>
        <v>11709</v>
      </c>
      <c r="I56" s="18"/>
      <c r="J56" s="18">
        <f>IF('APP IX (PJM)'!F$256&gt;0,0,('APP IX (PJM)'!F$256)*-1)</f>
        <v>0</v>
      </c>
      <c r="K56" s="2"/>
    </row>
    <row r="57" spans="6:11" ht="15">
      <c r="F57" s="2" t="s">
        <v>1243</v>
      </c>
      <c r="H57" s="18">
        <f>IF('APP IX (PJM)'!G$256&lt;0,0,'APP IX (PJM)'!G$256)</f>
        <v>9452</v>
      </c>
      <c r="I57" s="18"/>
      <c r="J57" s="18">
        <f>IF('APP IX (PJM)'!G$256&gt;0,0,('APP IX (PJM)'!G$256)*-1)</f>
        <v>0</v>
      </c>
      <c r="K57" s="2"/>
    </row>
    <row r="58" spans="6:11" ht="15">
      <c r="F58" s="2" t="s">
        <v>2060</v>
      </c>
      <c r="H58" s="26">
        <f>SUM(J53:J57)</f>
        <v>0</v>
      </c>
      <c r="I58" s="18"/>
      <c r="J58" s="26">
        <f>SUM(H53:H57)</f>
        <v>51724</v>
      </c>
      <c r="K58" s="2"/>
    </row>
    <row r="59" spans="6:11" ht="15">
      <c r="F59" s="2" t="s">
        <v>1348</v>
      </c>
      <c r="H59" s="18">
        <f>SUM(H53:H58)</f>
        <v>51724</v>
      </c>
      <c r="I59" s="18"/>
      <c r="J59" s="18">
        <f>SUM(J53:J58)</f>
        <v>51724</v>
      </c>
      <c r="K59" s="2"/>
    </row>
    <row r="60" spans="8:11" ht="15">
      <c r="H60" s="18"/>
      <c r="I60" s="18"/>
      <c r="J60" s="18"/>
      <c r="K60" s="2"/>
    </row>
    <row r="61" spans="1:10" ht="15">
      <c r="A61" s="84"/>
      <c r="B61" s="84"/>
      <c r="C61" s="84"/>
      <c r="D61" s="84"/>
      <c r="E61" s="84"/>
      <c r="F61" s="84"/>
      <c r="G61" s="84"/>
      <c r="H61" s="8"/>
      <c r="I61" s="8"/>
      <c r="J61" s="8"/>
    </row>
    <row r="62" spans="2:10" ht="16.5">
      <c r="B62" s="19" t="s">
        <v>1451</v>
      </c>
      <c r="C62" s="20" t="str">
        <f>INPUT!C1</f>
        <v>June 2009</v>
      </c>
      <c r="H62" s="2"/>
      <c r="I62" s="2"/>
      <c r="J62" s="54" t="s">
        <v>1436</v>
      </c>
    </row>
    <row r="63" spans="8:10" ht="15">
      <c r="H63" s="2"/>
      <c r="I63" s="2"/>
      <c r="J63" s="2"/>
    </row>
    <row r="64" spans="8:10" ht="15">
      <c r="H64" s="2"/>
      <c r="I64" s="2"/>
      <c r="J64" s="2"/>
    </row>
    <row r="65" spans="8:10" ht="16.5">
      <c r="H65" s="318"/>
      <c r="I65" s="55" t="s">
        <v>1453</v>
      </c>
      <c r="J65" s="318"/>
    </row>
    <row r="66" spans="8:10" ht="16.5">
      <c r="H66" s="54" t="s">
        <v>1458</v>
      </c>
      <c r="I66" s="54"/>
      <c r="J66" s="54" t="s">
        <v>1458</v>
      </c>
    </row>
    <row r="67" spans="8:10" ht="16.5">
      <c r="H67" s="54" t="s">
        <v>1459</v>
      </c>
      <c r="I67" s="54"/>
      <c r="J67" s="54" t="s">
        <v>1460</v>
      </c>
    </row>
    <row r="68" spans="8:10" ht="16.5">
      <c r="H68" s="55" t="s">
        <v>1462</v>
      </c>
      <c r="I68" s="61"/>
      <c r="J68" s="55" t="s">
        <v>1463</v>
      </c>
    </row>
    <row r="69" spans="8:10" ht="16.5">
      <c r="H69" s="319"/>
      <c r="I69" s="61"/>
      <c r="J69" s="319"/>
    </row>
    <row r="70" spans="1:11" ht="16.5">
      <c r="A70" s="3" t="s">
        <v>1951</v>
      </c>
      <c r="B70" s="28" t="s">
        <v>1440</v>
      </c>
      <c r="F70" s="2" t="s">
        <v>1239</v>
      </c>
      <c r="H70" s="18">
        <f>IF('APP X (PASS-THROUGH)'!C$241&lt;0,0,'APP X (PASS-THROUGH)'!C$241)</f>
        <v>0</v>
      </c>
      <c r="I70" s="18"/>
      <c r="J70" s="18">
        <f>IF('APP X (PASS-THROUGH)'!C$241&gt;0,0,('APP X (PASS-THROUGH)'!C$241)*-1)</f>
        <v>101808</v>
      </c>
      <c r="K70" s="2"/>
    </row>
    <row r="71" spans="2:11" ht="16.5">
      <c r="B71" s="28" t="s">
        <v>1441</v>
      </c>
      <c r="F71" s="2" t="s">
        <v>1240</v>
      </c>
      <c r="H71" s="18">
        <f>IF('APP X (PASS-THROUGH)'!D$241&lt;0,0,'APP X (PASS-THROUGH)'!D$241)</f>
        <v>0</v>
      </c>
      <c r="I71" s="18"/>
      <c r="J71" s="18">
        <f>IF('APP X (PASS-THROUGH)'!D$241&gt;0,0,('APP X (PASS-THROUGH)'!D$241)*-1)</f>
        <v>20335</v>
      </c>
      <c r="K71" s="2"/>
    </row>
    <row r="72" spans="2:11" ht="16.5">
      <c r="B72" s="28" t="s">
        <v>1442</v>
      </c>
      <c r="F72" s="2" t="s">
        <v>1241</v>
      </c>
      <c r="H72" s="18">
        <f>IF('APP X (PASS-THROUGH)'!E$241&lt;0,0,'APP X (PASS-THROUGH)'!E$241)</f>
        <v>0</v>
      </c>
      <c r="I72" s="18"/>
      <c r="J72" s="18">
        <f>IF('APP X (PASS-THROUGH)'!E$241&gt;0,0,('APP X (PASS-THROUGH)'!E$241)*-1)</f>
        <v>50984</v>
      </c>
      <c r="K72" s="2"/>
    </row>
    <row r="73" spans="2:11" ht="16.5">
      <c r="B73" s="28" t="s">
        <v>351</v>
      </c>
      <c r="F73" s="2" t="s">
        <v>1242</v>
      </c>
      <c r="H73" s="18">
        <f>IF('APP X (PASS-THROUGH)'!F$241&lt;0,0,'APP X (PASS-THROUGH)'!F$241)</f>
        <v>0</v>
      </c>
      <c r="I73" s="18"/>
      <c r="J73" s="18">
        <f>IF('APP X (PASS-THROUGH)'!F$241&gt;0,0,('APP X (PASS-THROUGH)'!F$241)*-1)</f>
        <v>64723</v>
      </c>
      <c r="K73" s="2"/>
    </row>
    <row r="74" spans="2:11" ht="15">
      <c r="B74" s="167" t="s">
        <v>1432</v>
      </c>
      <c r="F74" s="2" t="s">
        <v>1243</v>
      </c>
      <c r="H74" s="18">
        <f>IF('APP X (PASS-THROUGH)'!G$241&lt;0,0,'APP X (PASS-THROUGH)'!G$241)</f>
        <v>0</v>
      </c>
      <c r="I74" s="18"/>
      <c r="J74" s="18">
        <f>IF('APP X (PASS-THROUGH)'!G$241&gt;0,0,('APP X (PASS-THROUGH)'!G$241)*-1)</f>
        <v>54586</v>
      </c>
      <c r="K74" s="2"/>
    </row>
    <row r="75" spans="6:11" ht="15">
      <c r="F75" s="2" t="s">
        <v>2060</v>
      </c>
      <c r="H75" s="26">
        <f>SUM(J70:J74)</f>
        <v>292436</v>
      </c>
      <c r="I75" s="18"/>
      <c r="J75" s="26">
        <f>SUM(H70:H74)</f>
        <v>0</v>
      </c>
      <c r="K75" s="2"/>
    </row>
    <row r="76" spans="6:11" ht="15">
      <c r="F76" s="2" t="s">
        <v>1348</v>
      </c>
      <c r="H76" s="18">
        <f>SUM(H70:H75)</f>
        <v>292436</v>
      </c>
      <c r="I76" s="18"/>
      <c r="J76" s="18">
        <f>SUM(J70:J75)</f>
        <v>292436</v>
      </c>
      <c r="K76" s="2"/>
    </row>
    <row r="77" spans="1:11" ht="15">
      <c r="A77" s="84"/>
      <c r="B77" s="84"/>
      <c r="C77" s="84"/>
      <c r="D77" s="84"/>
      <c r="E77" s="84"/>
      <c r="F77" s="84"/>
      <c r="G77" s="84"/>
      <c r="H77" s="8"/>
      <c r="I77" s="8"/>
      <c r="J77" s="8"/>
      <c r="K77" s="2"/>
    </row>
    <row r="78" spans="1:11" ht="16.5">
      <c r="A78" s="3" t="s">
        <v>1434</v>
      </c>
      <c r="B78" s="28" t="s">
        <v>1443</v>
      </c>
      <c r="F78" s="2" t="s">
        <v>1239</v>
      </c>
      <c r="H78" s="18">
        <v>0</v>
      </c>
      <c r="I78" s="18"/>
      <c r="J78" s="18">
        <v>0</v>
      </c>
      <c r="K78" s="2"/>
    </row>
    <row r="79" spans="2:11" ht="16.5">
      <c r="B79" s="28" t="s">
        <v>1444</v>
      </c>
      <c r="F79" s="2" t="s">
        <v>1240</v>
      </c>
      <c r="H79" s="18">
        <v>0</v>
      </c>
      <c r="I79" s="18"/>
      <c r="J79" s="18">
        <v>0</v>
      </c>
      <c r="K79" s="2"/>
    </row>
    <row r="80" spans="2:11" ht="16.5">
      <c r="B80" s="28" t="s">
        <v>351</v>
      </c>
      <c r="F80" s="2" t="s">
        <v>1241</v>
      </c>
      <c r="H80" s="18">
        <v>0</v>
      </c>
      <c r="I80" s="18"/>
      <c r="J80" s="18">
        <v>0</v>
      </c>
      <c r="K80" s="2"/>
    </row>
    <row r="81" spans="2:11" ht="15">
      <c r="B81" s="167" t="s">
        <v>1432</v>
      </c>
      <c r="F81" s="2" t="s">
        <v>1242</v>
      </c>
      <c r="H81" s="18">
        <v>0</v>
      </c>
      <c r="I81" s="18"/>
      <c r="J81" s="18">
        <v>0</v>
      </c>
      <c r="K81" s="2"/>
    </row>
    <row r="82" spans="6:11" ht="15">
      <c r="F82" s="2" t="s">
        <v>1243</v>
      </c>
      <c r="H82" s="18">
        <v>0</v>
      </c>
      <c r="I82" s="18"/>
      <c r="J82" s="18">
        <v>0</v>
      </c>
      <c r="K82" s="2"/>
    </row>
    <row r="83" spans="6:11" ht="15">
      <c r="F83" s="2" t="s">
        <v>2060</v>
      </c>
      <c r="H83" s="26">
        <v>0</v>
      </c>
      <c r="I83" s="18"/>
      <c r="J83" s="26">
        <f>SUM(H78:H82)</f>
        <v>0</v>
      </c>
      <c r="K83" s="2"/>
    </row>
    <row r="84" spans="6:11" ht="15">
      <c r="F84" s="2" t="s">
        <v>1348</v>
      </c>
      <c r="H84" s="18">
        <f>SUM(H78:H83)</f>
        <v>0</v>
      </c>
      <c r="I84" s="18"/>
      <c r="J84" s="18">
        <f>SUM(J78:J83)</f>
        <v>0</v>
      </c>
      <c r="K84" s="2"/>
    </row>
    <row r="85" spans="1:11" ht="15">
      <c r="A85" s="21"/>
      <c r="B85" s="21"/>
      <c r="C85" s="21"/>
      <c r="D85" s="21"/>
      <c r="E85" s="21"/>
      <c r="F85" s="318"/>
      <c r="G85" s="21"/>
      <c r="H85" s="26"/>
      <c r="I85" s="26"/>
      <c r="J85" s="26"/>
      <c r="K85" s="2"/>
    </row>
    <row r="86" spans="8:10" ht="15">
      <c r="H86" s="17"/>
      <c r="I86" s="17"/>
      <c r="J86" s="17"/>
    </row>
    <row r="87" spans="1:10" ht="16.5">
      <c r="A87" s="3" t="s">
        <v>1435</v>
      </c>
      <c r="B87" s="28" t="s">
        <v>1480</v>
      </c>
      <c r="F87" s="3" t="s">
        <v>1239</v>
      </c>
      <c r="H87" s="18">
        <f>+'APPVI PG1'!E48</f>
        <v>0</v>
      </c>
      <c r="I87" s="18"/>
      <c r="J87" s="18">
        <f>+'APPVI PG1'!G48</f>
        <v>26933442</v>
      </c>
    </row>
    <row r="88" spans="2:10" ht="15">
      <c r="B88" s="24" t="s">
        <v>1481</v>
      </c>
      <c r="F88" s="3" t="s">
        <v>1240</v>
      </c>
      <c r="H88" s="18">
        <f>+'APPVI PG1'!E49</f>
        <v>0</v>
      </c>
      <c r="I88" s="18"/>
      <c r="J88" s="18">
        <f>+'APPVI PG1'!G49</f>
        <v>5426879</v>
      </c>
    </row>
    <row r="89" spans="2:10" ht="15">
      <c r="B89" s="24" t="s">
        <v>1482</v>
      </c>
      <c r="F89" s="3" t="s">
        <v>1241</v>
      </c>
      <c r="H89" s="18">
        <f>+'APPVI PG1'!E50</f>
        <v>0</v>
      </c>
      <c r="I89" s="18"/>
      <c r="J89" s="18">
        <f>+'APPVI PG1'!G50</f>
        <v>13823939</v>
      </c>
    </row>
    <row r="90" spans="2:10" ht="15">
      <c r="B90" s="24" t="s">
        <v>1483</v>
      </c>
      <c r="F90" s="3" t="s">
        <v>1242</v>
      </c>
      <c r="H90" s="18">
        <f>+'APPVI PG1'!E51</f>
        <v>0</v>
      </c>
      <c r="I90" s="18"/>
      <c r="J90" s="18">
        <f>+'APPVI PG1'!G51</f>
        <v>17694486</v>
      </c>
    </row>
    <row r="91" spans="2:10" ht="15">
      <c r="B91" s="24" t="s">
        <v>1484</v>
      </c>
      <c r="F91" s="3" t="s">
        <v>1243</v>
      </c>
      <c r="H91" s="18">
        <f>+'APPVI PG1'!E52</f>
        <v>0</v>
      </c>
      <c r="I91" s="18"/>
      <c r="J91" s="18">
        <f>+'APPVI PG1'!G52</f>
        <v>14284293</v>
      </c>
    </row>
    <row r="92" spans="2:10" ht="15">
      <c r="B92" s="24" t="s">
        <v>1485</v>
      </c>
      <c r="F92" s="2" t="s">
        <v>1395</v>
      </c>
      <c r="H92" s="26">
        <f>+'APPVI PG1'!E53</f>
        <v>78163039</v>
      </c>
      <c r="I92" s="18"/>
      <c r="J92" s="26">
        <f>+'APPVI PG1'!G53</f>
        <v>0</v>
      </c>
    </row>
    <row r="93" spans="2:10" ht="15">
      <c r="B93" s="24"/>
      <c r="F93" s="3" t="s">
        <v>1348</v>
      </c>
      <c r="H93" s="18">
        <f>SUM(H87:H92)</f>
        <v>78163039</v>
      </c>
      <c r="I93" s="18"/>
      <c r="J93" s="18">
        <f>SUM(J87:J92)</f>
        <v>78163039</v>
      </c>
    </row>
    <row r="94" spans="2:10" ht="15">
      <c r="B94" s="24"/>
      <c r="H94" s="18"/>
      <c r="I94" s="18"/>
      <c r="J94" s="18"/>
    </row>
    <row r="95" spans="1:10" ht="16.5">
      <c r="A95" s="3" t="s">
        <v>1219</v>
      </c>
      <c r="B95" s="28" t="s">
        <v>1487</v>
      </c>
      <c r="F95" s="3" t="s">
        <v>1239</v>
      </c>
      <c r="H95" s="18">
        <f>+'APPVI PG1'!I48</f>
        <v>0</v>
      </c>
      <c r="I95" s="18"/>
      <c r="J95" s="18">
        <f>+'APPVI PG1'!K48</f>
        <v>27168987</v>
      </c>
    </row>
    <row r="96" spans="2:10" ht="15">
      <c r="B96" s="24" t="s">
        <v>1481</v>
      </c>
      <c r="F96" s="3" t="s">
        <v>1240</v>
      </c>
      <c r="H96" s="18">
        <f>+'APPVI PG1'!I49</f>
        <v>0</v>
      </c>
      <c r="I96" s="18"/>
      <c r="J96" s="18">
        <f>+'APPVI PG1'!K49</f>
        <v>5474339</v>
      </c>
    </row>
    <row r="97" spans="6:10" ht="15">
      <c r="F97" s="3" t="s">
        <v>1241</v>
      </c>
      <c r="H97" s="18">
        <f>+'APPVI PG1'!I50</f>
        <v>0</v>
      </c>
      <c r="I97" s="18"/>
      <c r="J97" s="18">
        <f>+'APPVI PG1'!K50</f>
        <v>13944838</v>
      </c>
    </row>
    <row r="98" spans="6:10" ht="15">
      <c r="F98" s="3" t="s">
        <v>1242</v>
      </c>
      <c r="H98" s="18">
        <f>+'APPVI PG1'!I51</f>
        <v>0</v>
      </c>
      <c r="I98" s="18"/>
      <c r="J98" s="18">
        <f>+'APPVI PG1'!K51</f>
        <v>17849238</v>
      </c>
    </row>
    <row r="99" spans="6:10" ht="15">
      <c r="F99" s="3" t="s">
        <v>1243</v>
      </c>
      <c r="H99" s="18">
        <f>+'APPVI PG1'!I52</f>
        <v>0</v>
      </c>
      <c r="I99" s="18"/>
      <c r="J99" s="18">
        <f>+'APPVI PG1'!K52</f>
        <v>14409215</v>
      </c>
    </row>
    <row r="100" spans="6:10" ht="15">
      <c r="F100" s="2" t="s">
        <v>1395</v>
      </c>
      <c r="H100" s="26">
        <f>+'APPVI PG1'!I53</f>
        <v>78846617</v>
      </c>
      <c r="I100" s="18"/>
      <c r="J100" s="26">
        <f>+'APPVI PG1'!K53</f>
        <v>0</v>
      </c>
    </row>
    <row r="101" spans="6:10" ht="15">
      <c r="F101" s="3" t="s">
        <v>1348</v>
      </c>
      <c r="H101" s="18">
        <f>SUM(H95:H100)</f>
        <v>78846617</v>
      </c>
      <c r="I101" s="18"/>
      <c r="J101" s="18">
        <f>SUM(J95:J100)</f>
        <v>78846617</v>
      </c>
    </row>
    <row r="102" spans="2:12" ht="15">
      <c r="B102" s="2"/>
      <c r="C102" s="2"/>
      <c r="D102" s="2"/>
      <c r="E102" s="2"/>
      <c r="H102" s="17"/>
      <c r="I102" s="17"/>
      <c r="J102" s="17"/>
      <c r="K102" s="2"/>
      <c r="L102" s="2"/>
    </row>
    <row r="103" spans="1:10" ht="16.5">
      <c r="A103" s="3" t="s">
        <v>1433</v>
      </c>
      <c r="B103" s="28" t="s">
        <v>638</v>
      </c>
      <c r="F103" s="3" t="s">
        <v>1239</v>
      </c>
      <c r="H103" s="18">
        <v>0</v>
      </c>
      <c r="I103" s="18"/>
      <c r="J103" s="18">
        <f>-'APPVIII PG 3'!D$43-'APPVIII PG 4'!D$40+'APPVIII PG 2'!D$44</f>
        <v>0</v>
      </c>
    </row>
    <row r="104" spans="2:10" ht="16.5">
      <c r="B104" s="28" t="s">
        <v>637</v>
      </c>
      <c r="F104" s="3" t="s">
        <v>1240</v>
      </c>
      <c r="H104" s="18">
        <v>0</v>
      </c>
      <c r="I104" s="18"/>
      <c r="J104" s="18">
        <f>-'APPVIII PG 3'!E$43-'APPVIII PG 4'!E$40+'APPVIII PG 2'!E$44</f>
        <v>0</v>
      </c>
    </row>
    <row r="105" spans="2:10" ht="15">
      <c r="B105" s="86" t="s">
        <v>620</v>
      </c>
      <c r="F105" s="3" t="s">
        <v>1241</v>
      </c>
      <c r="H105" s="18">
        <v>0</v>
      </c>
      <c r="I105" s="18"/>
      <c r="J105" s="18">
        <f>-'APPVIII PG 3'!F$43-'APPVIII PG 4'!F$40+'APPVIII PG 2'!F$44</f>
        <v>0</v>
      </c>
    </row>
    <row r="106" spans="6:10" ht="15">
      <c r="F106" s="3" t="s">
        <v>1242</v>
      </c>
      <c r="H106" s="18">
        <v>0</v>
      </c>
      <c r="I106" s="18"/>
      <c r="J106" s="18">
        <f>-'APPVIII PG 3'!G$43-'APPVIII PG 4'!G$40+'APPVIII PG 2'!G$44</f>
        <v>0</v>
      </c>
    </row>
    <row r="107" spans="6:10" ht="15">
      <c r="F107" s="3" t="s">
        <v>1243</v>
      </c>
      <c r="H107" s="18">
        <v>0</v>
      </c>
      <c r="I107" s="18"/>
      <c r="J107" s="18">
        <f>-'APPVIII PG 3'!H$43-'APPVIII PG 4'!H$40+'APPVIII PG 2'!H$44</f>
        <v>0</v>
      </c>
    </row>
    <row r="108" spans="6:10" ht="15">
      <c r="F108" s="3" t="s">
        <v>1218</v>
      </c>
      <c r="H108" s="26">
        <f>+'APPVIII PG 2'!I44-'APPVIII PG 3'!I43-'APPVIII PG 4'!I40</f>
        <v>0</v>
      </c>
      <c r="I108" s="18"/>
      <c r="J108" s="26">
        <v>0</v>
      </c>
    </row>
    <row r="109" spans="6:10" ht="15">
      <c r="F109" s="3" t="s">
        <v>1348</v>
      </c>
      <c r="H109" s="18">
        <f>SUM(H103:H108)</f>
        <v>0</v>
      </c>
      <c r="I109" s="18"/>
      <c r="J109" s="18">
        <f>SUM(J103:J108)</f>
        <v>0</v>
      </c>
    </row>
    <row r="110" spans="2:10" ht="15">
      <c r="B110" s="24"/>
      <c r="H110" s="17"/>
      <c r="I110" s="18"/>
      <c r="J110" s="17"/>
    </row>
    <row r="111" spans="1:10" ht="16.5">
      <c r="A111" s="3" t="s">
        <v>1220</v>
      </c>
      <c r="B111" s="28" t="s">
        <v>1489</v>
      </c>
      <c r="F111" s="3" t="s">
        <v>1239</v>
      </c>
      <c r="H111" s="18">
        <f aca="true" t="shared" si="0" ref="H111:H116">IF((H87-J87)-(H95-J95)+(H103-J103)&lt;=0,0,(H87-J87)-(H95-J95)+(H103-J103))</f>
        <v>235545</v>
      </c>
      <c r="I111" s="18"/>
      <c r="J111" s="18">
        <f aca="true" t="shared" si="1" ref="J111:J116">IF((J87-H87)-(J95-H95)+(J103-H103)&lt;=0,0,(J87-H87)-(J95-H95)+(J103-H103))</f>
        <v>0</v>
      </c>
    </row>
    <row r="112" spans="2:10" ht="15">
      <c r="B112" s="24"/>
      <c r="F112" s="3" t="s">
        <v>1240</v>
      </c>
      <c r="H112" s="18">
        <f t="shared" si="0"/>
        <v>47460</v>
      </c>
      <c r="I112" s="18"/>
      <c r="J112" s="18">
        <f t="shared" si="1"/>
        <v>0</v>
      </c>
    </row>
    <row r="113" spans="6:10" ht="15">
      <c r="F113" s="3" t="s">
        <v>1241</v>
      </c>
      <c r="H113" s="18">
        <f t="shared" si="0"/>
        <v>120899</v>
      </c>
      <c r="I113" s="18"/>
      <c r="J113" s="18">
        <f t="shared" si="1"/>
        <v>0</v>
      </c>
    </row>
    <row r="114" spans="6:10" ht="15">
      <c r="F114" s="3" t="s">
        <v>1242</v>
      </c>
      <c r="H114" s="18">
        <f t="shared" si="0"/>
        <v>154752</v>
      </c>
      <c r="I114" s="18"/>
      <c r="J114" s="18">
        <f t="shared" si="1"/>
        <v>0</v>
      </c>
    </row>
    <row r="115" spans="6:10" ht="15">
      <c r="F115" s="3" t="s">
        <v>1243</v>
      </c>
      <c r="H115" s="18">
        <f>IF((H91-J91)-(H99-J99)+(H107-J107)&lt;=0,0,(H91-J91)-(H99-J99)+(H107-J107))</f>
        <v>124922</v>
      </c>
      <c r="I115" s="18"/>
      <c r="J115" s="18">
        <f t="shared" si="1"/>
        <v>0</v>
      </c>
    </row>
    <row r="116" spans="6:10" ht="15">
      <c r="F116" s="2" t="s">
        <v>1395</v>
      </c>
      <c r="H116" s="26">
        <f t="shared" si="0"/>
        <v>0</v>
      </c>
      <c r="I116" s="18"/>
      <c r="J116" s="26">
        <f t="shared" si="1"/>
        <v>683578</v>
      </c>
    </row>
    <row r="117" spans="6:10" ht="15">
      <c r="F117" s="3" t="s">
        <v>1348</v>
      </c>
      <c r="H117" s="18">
        <f>SUM(H111:H116)</f>
        <v>683578</v>
      </c>
      <c r="I117" s="17"/>
      <c r="J117" s="18">
        <f>SUM(J111:J116)</f>
        <v>683578</v>
      </c>
    </row>
    <row r="118" spans="1:10" ht="15">
      <c r="A118" s="2"/>
      <c r="B118" s="2"/>
      <c r="C118" s="2"/>
      <c r="D118" s="2"/>
      <c r="E118" s="2"/>
      <c r="F118" s="2"/>
      <c r="G118" s="2"/>
      <c r="H118" s="18"/>
      <c r="I118" s="18"/>
      <c r="J118" s="18"/>
    </row>
    <row r="119" spans="8:10" ht="15">
      <c r="H119" s="17"/>
      <c r="I119" s="17"/>
      <c r="J119" s="17"/>
    </row>
    <row r="120" ht="15">
      <c r="A120" s="3" t="s">
        <v>169</v>
      </c>
    </row>
    <row r="121" ht="15">
      <c r="A121" s="3" t="s">
        <v>168</v>
      </c>
    </row>
  </sheetData>
  <printOptions horizontalCentered="1"/>
  <pageMargins left="0.75" right="0.75" top="0.5" bottom="0.5" header="0" footer="0"/>
  <pageSetup horizontalDpi="600" verticalDpi="600" orientation="portrait" scale="65" r:id="rId1"/>
  <rowBreaks count="1" manualBreakCount="1">
    <brk id="61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54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3" bestFit="1" customWidth="1"/>
    <col min="2" max="2" width="18.57421875" style="3" bestFit="1" customWidth="1"/>
    <col min="3" max="3" width="6.57421875" style="3" customWidth="1"/>
    <col min="4" max="4" width="10.28125" style="3" customWidth="1"/>
    <col min="5" max="5" width="1.7109375" style="3" customWidth="1"/>
    <col min="6" max="6" width="12.140625" style="3" customWidth="1"/>
    <col min="7" max="7" width="1.7109375" style="3" customWidth="1"/>
    <col min="8" max="8" width="10.7109375" style="3" customWidth="1"/>
    <col min="9" max="9" width="1.7109375" style="3" customWidth="1"/>
    <col min="10" max="10" width="11.140625" style="3" customWidth="1"/>
    <col min="11" max="11" width="1.7109375" style="3" customWidth="1"/>
    <col min="12" max="12" width="12.00390625" style="3" bestFit="1" customWidth="1"/>
    <col min="13" max="13" width="1.7109375" style="3" customWidth="1"/>
    <col min="14" max="14" width="11.28125" style="3" customWidth="1"/>
    <col min="15" max="15" width="1.7109375" style="3" customWidth="1"/>
    <col min="16" max="16" width="10.7109375" style="3" customWidth="1"/>
    <col min="17" max="17" width="1.7109375" style="3" customWidth="1"/>
    <col min="18" max="18" width="10.7109375" style="3" customWidth="1"/>
    <col min="19" max="16384" width="9.140625" style="3" customWidth="1"/>
  </cols>
  <sheetData>
    <row r="1" spans="1:17" ht="15">
      <c r="A1" s="29"/>
      <c r="B1" s="30" t="s">
        <v>1451</v>
      </c>
      <c r="C1" s="31" t="str">
        <f>INPUT!C1</f>
        <v>June 2009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30" t="s">
        <v>1490</v>
      </c>
      <c r="O1" s="29"/>
      <c r="Q1" s="29"/>
    </row>
    <row r="2" spans="1:18" ht="15">
      <c r="A2" s="29"/>
      <c r="B2" s="29"/>
      <c r="C2" s="29"/>
      <c r="D2" s="29"/>
      <c r="E2" s="29"/>
      <c r="F2" s="29"/>
      <c r="G2" s="30" t="s">
        <v>1491</v>
      </c>
      <c r="H2" s="32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15">
      <c r="A3" s="29"/>
      <c r="B3" s="29"/>
      <c r="C3" s="29"/>
      <c r="D3" s="29"/>
      <c r="E3" s="29"/>
      <c r="F3" s="29"/>
      <c r="G3" s="30" t="s">
        <v>1492</v>
      </c>
      <c r="H3" s="32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51"/>
      <c r="Q4" s="250"/>
      <c r="R4" s="51"/>
    </row>
    <row r="5" spans="1:19" ht="15">
      <c r="A5" s="29"/>
      <c r="B5" s="29"/>
      <c r="C5" s="29"/>
      <c r="D5" s="33"/>
      <c r="E5" s="34" t="s">
        <v>1493</v>
      </c>
      <c r="F5" s="33"/>
      <c r="G5" s="35"/>
      <c r="H5" s="33"/>
      <c r="I5" s="36" t="s">
        <v>1494</v>
      </c>
      <c r="J5" s="33"/>
      <c r="K5" s="35"/>
      <c r="L5" s="33"/>
      <c r="M5" s="36" t="s">
        <v>1495</v>
      </c>
      <c r="N5" s="33"/>
      <c r="O5" s="29"/>
      <c r="P5" s="247"/>
      <c r="Q5" s="248"/>
      <c r="R5" s="247"/>
      <c r="S5" s="35"/>
    </row>
    <row r="6" spans="1:19" ht="15">
      <c r="A6" s="29"/>
      <c r="B6" s="29"/>
      <c r="C6" s="29"/>
      <c r="D6" s="30" t="s">
        <v>1496</v>
      </c>
      <c r="E6" s="30"/>
      <c r="F6" s="30"/>
      <c r="G6" s="30"/>
      <c r="H6" s="30" t="s">
        <v>1235</v>
      </c>
      <c r="I6" s="30"/>
      <c r="J6" s="30" t="s">
        <v>1497</v>
      </c>
      <c r="K6" s="30"/>
      <c r="L6" s="30" t="s">
        <v>1235</v>
      </c>
      <c r="M6" s="30"/>
      <c r="N6" s="30" t="s">
        <v>1237</v>
      </c>
      <c r="O6" s="32"/>
      <c r="P6" s="249"/>
      <c r="Q6" s="249"/>
      <c r="R6" s="249"/>
      <c r="S6" s="30"/>
    </row>
    <row r="7" spans="1:19" ht="15">
      <c r="A7" s="29"/>
      <c r="B7" s="29"/>
      <c r="C7" s="29"/>
      <c r="D7" s="37" t="s">
        <v>1498</v>
      </c>
      <c r="E7" s="37"/>
      <c r="F7" s="30" t="s">
        <v>1499</v>
      </c>
      <c r="G7" s="30"/>
      <c r="H7" s="30" t="s">
        <v>1500</v>
      </c>
      <c r="I7" s="30"/>
      <c r="J7" s="30" t="s">
        <v>1501</v>
      </c>
      <c r="K7" s="30"/>
      <c r="L7" s="30" t="s">
        <v>1500</v>
      </c>
      <c r="M7" s="30"/>
      <c r="N7" s="30" t="s">
        <v>1501</v>
      </c>
      <c r="O7" s="32"/>
      <c r="P7" s="249"/>
      <c r="Q7" s="249"/>
      <c r="R7" s="249"/>
      <c r="S7" s="30"/>
    </row>
    <row r="8" spans="1:19" ht="15">
      <c r="A8" s="29"/>
      <c r="B8" s="29"/>
      <c r="C8" s="29"/>
      <c r="D8" s="34" t="s">
        <v>1502</v>
      </c>
      <c r="E8" s="30"/>
      <c r="F8" s="36" t="s">
        <v>1503</v>
      </c>
      <c r="G8" s="37"/>
      <c r="H8" s="36" t="s">
        <v>1504</v>
      </c>
      <c r="I8" s="37"/>
      <c r="J8" s="36" t="s">
        <v>1505</v>
      </c>
      <c r="K8" s="37"/>
      <c r="L8" s="36" t="s">
        <v>1506</v>
      </c>
      <c r="M8" s="37"/>
      <c r="N8" s="36" t="s">
        <v>1507</v>
      </c>
      <c r="O8" s="38"/>
      <c r="P8" s="248"/>
      <c r="Q8" s="248"/>
      <c r="R8" s="248"/>
      <c r="S8" s="37"/>
    </row>
    <row r="9" spans="1:19" ht="15">
      <c r="A9" s="29" t="s">
        <v>1464</v>
      </c>
      <c r="B9" s="30" t="s">
        <v>1343</v>
      </c>
      <c r="C9" s="29" t="s">
        <v>1239</v>
      </c>
      <c r="D9" s="39">
        <f>PAGE3!C26</f>
        <v>-2713900</v>
      </c>
      <c r="E9" s="29"/>
      <c r="F9" s="40">
        <f>IF(D9&lt;0,PAGE3!$E$33,PAGE3!E26+PAGE3!G26)</f>
        <v>12.19426605653458</v>
      </c>
      <c r="G9" s="29"/>
      <c r="H9" s="520">
        <f>IF(PAGE3!I26&lt;0,PAGE3!I26)*-1</f>
        <v>33094019</v>
      </c>
      <c r="I9" s="41"/>
      <c r="J9" s="520">
        <f>IF(PAGE3!I26&gt;0,PAGE3!I26,0)</f>
        <v>0</v>
      </c>
      <c r="K9" s="39"/>
      <c r="L9" s="41">
        <f>+PAGE4!H46</f>
        <v>29683201</v>
      </c>
      <c r="M9" s="41"/>
      <c r="N9" s="41">
        <f>+PAGE4!J46</f>
        <v>12261444</v>
      </c>
      <c r="O9" s="29"/>
      <c r="P9" s="43"/>
      <c r="Q9" s="43"/>
      <c r="R9" s="43"/>
      <c r="S9" s="39"/>
    </row>
    <row r="10" spans="1:19" ht="15">
      <c r="A10" s="29"/>
      <c r="B10" s="30" t="s">
        <v>1352</v>
      </c>
      <c r="C10" s="29" t="s">
        <v>1240</v>
      </c>
      <c r="D10" s="39">
        <f>PAGE3!C27</f>
        <v>-367400</v>
      </c>
      <c r="E10" s="29"/>
      <c r="F10" s="40">
        <f>IF(D10&lt;0,PAGE3!$E$33,PAGE3!E27+PAGE3!G27)</f>
        <v>12.19426605653458</v>
      </c>
      <c r="G10" s="29"/>
      <c r="H10" s="43">
        <f>IF(PAGE3!I27&lt;0,PAGE3!I27)*-1</f>
        <v>4480173</v>
      </c>
      <c r="I10" s="41"/>
      <c r="J10" s="43">
        <f>IF(PAGE3!I27&gt;0,PAGE3!I27,0)</f>
        <v>0</v>
      </c>
      <c r="K10" s="39"/>
      <c r="L10" s="41">
        <f>+PAGE4!H47</f>
        <v>3174677</v>
      </c>
      <c r="M10" s="41"/>
      <c r="N10" s="41">
        <f>+PAGE4!J47</f>
        <v>5276758</v>
      </c>
      <c r="O10" s="29"/>
      <c r="P10" s="43"/>
      <c r="Q10" s="43"/>
      <c r="R10" s="43"/>
      <c r="S10" s="39"/>
    </row>
    <row r="11" spans="1:19" ht="15">
      <c r="A11" s="29"/>
      <c r="B11" s="30" t="s">
        <v>1355</v>
      </c>
      <c r="C11" s="29" t="s">
        <v>1241</v>
      </c>
      <c r="D11" s="39">
        <f>PAGE3!C28</f>
        <v>517700</v>
      </c>
      <c r="E11" s="29"/>
      <c r="F11" s="40">
        <f>IF(D11&lt;0,PAGE3!$E$33,PAGE3!E28+PAGE3!G28)</f>
        <v>13.799999999999999</v>
      </c>
      <c r="G11" s="29"/>
      <c r="H11" s="43">
        <f>IF(PAGE3!I28&lt;0,PAGE3!I28)*-1</f>
        <v>0</v>
      </c>
      <c r="I11" s="41"/>
      <c r="J11" s="43">
        <f>IF(PAGE3!I28&gt;0,PAGE3!I28,0)</f>
        <v>7144260</v>
      </c>
      <c r="K11" s="39"/>
      <c r="L11" s="41">
        <f>+PAGE4!H48</f>
        <v>7019758</v>
      </c>
      <c r="M11" s="41"/>
      <c r="N11" s="41">
        <f>+PAGE4!J48</f>
        <v>13694976</v>
      </c>
      <c r="O11" s="29"/>
      <c r="P11" s="43"/>
      <c r="Q11" s="43"/>
      <c r="R11" s="43"/>
      <c r="S11" s="39"/>
    </row>
    <row r="12" spans="1:19" ht="15">
      <c r="A12" s="29"/>
      <c r="B12" s="30"/>
      <c r="C12" s="29" t="s">
        <v>1242</v>
      </c>
      <c r="D12" s="39">
        <f>PAGE3!C29</f>
        <v>2514300</v>
      </c>
      <c r="E12" s="29"/>
      <c r="F12" s="40">
        <f>IF(D12&lt;0,PAGE3!$E$33,PAGE3!E29+PAGE3!G29)</f>
        <v>11.9</v>
      </c>
      <c r="G12" s="29"/>
      <c r="H12" s="43">
        <f>IF(PAGE3!I29&lt;0,PAGE3!I29)*-1</f>
        <v>0</v>
      </c>
      <c r="I12" s="41"/>
      <c r="J12" s="43">
        <f>IF(PAGE3!I29&gt;0,PAGE3!I29,0)</f>
        <v>29920170</v>
      </c>
      <c r="K12" s="39"/>
      <c r="L12" s="41">
        <f>+PAGE4!H49</f>
        <v>7757499</v>
      </c>
      <c r="M12" s="41"/>
      <c r="N12" s="41">
        <f>+PAGE4!J49</f>
        <v>39970553</v>
      </c>
      <c r="O12" s="29"/>
      <c r="P12" s="43"/>
      <c r="Q12" s="43"/>
      <c r="R12" s="43"/>
      <c r="S12" s="39"/>
    </row>
    <row r="13" spans="1:19" ht="15">
      <c r="A13" s="29"/>
      <c r="B13" s="30"/>
      <c r="C13" s="29" t="s">
        <v>1243</v>
      </c>
      <c r="D13" s="39">
        <f>PAGE3!C30</f>
        <v>49300</v>
      </c>
      <c r="E13" s="29"/>
      <c r="F13" s="40">
        <f>IF(D13&lt;0,PAGE3!$E$33,PAGE3!E30+PAGE3!G30)</f>
        <v>10.34</v>
      </c>
      <c r="G13" s="29"/>
      <c r="H13" s="42">
        <f>IF(PAGE3!I30&lt;0,PAGE3!I30)*-1</f>
        <v>0</v>
      </c>
      <c r="I13" s="41"/>
      <c r="J13" s="42">
        <f>IF(PAGE3!I30&gt;0,PAGE3!I30,0)</f>
        <v>509762</v>
      </c>
      <c r="K13" s="39"/>
      <c r="L13" s="42">
        <f>+PAGE4!H50</f>
        <v>29542185</v>
      </c>
      <c r="M13" s="41"/>
      <c r="N13" s="42">
        <f>+PAGE4!J50</f>
        <v>5973589</v>
      </c>
      <c r="O13" s="29"/>
      <c r="P13" s="43"/>
      <c r="Q13" s="43"/>
      <c r="R13" s="43"/>
      <c r="S13" s="39"/>
    </row>
    <row r="14" spans="1:19" ht="15">
      <c r="A14" s="29"/>
      <c r="B14" s="30"/>
      <c r="C14" s="29" t="s">
        <v>1348</v>
      </c>
      <c r="D14" s="29"/>
      <c r="E14" s="29"/>
      <c r="F14" s="29"/>
      <c r="G14" s="29"/>
      <c r="H14" s="41">
        <f>SUM(H9:H13)</f>
        <v>37574192</v>
      </c>
      <c r="I14" s="41"/>
      <c r="J14" s="41">
        <f>SUM(J9:J13)</f>
        <v>37574192</v>
      </c>
      <c r="K14" s="39"/>
      <c r="L14" s="41">
        <f>SUM(L9:L13)</f>
        <v>77177320</v>
      </c>
      <c r="M14" s="41"/>
      <c r="N14" s="43">
        <f>SUM(N9:N13)</f>
        <v>77177320</v>
      </c>
      <c r="O14" s="29"/>
      <c r="P14" s="43"/>
      <c r="Q14" s="43"/>
      <c r="R14" s="43"/>
      <c r="S14" s="39"/>
    </row>
    <row r="15" spans="1:19" ht="15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27"/>
      <c r="Q15" s="227"/>
      <c r="R15" s="227"/>
      <c r="S15" s="29"/>
    </row>
    <row r="16" spans="1:19" ht="15">
      <c r="A16" s="29" t="s">
        <v>1465</v>
      </c>
      <c r="B16" s="30" t="s">
        <v>1466</v>
      </c>
      <c r="C16" s="29" t="s">
        <v>1239</v>
      </c>
      <c r="D16" s="29"/>
      <c r="E16" s="29"/>
      <c r="F16" s="29"/>
      <c r="G16" s="29"/>
      <c r="H16" s="41">
        <f>INPUT!J4</f>
        <v>36240858</v>
      </c>
      <c r="I16" s="39"/>
      <c r="J16" s="41">
        <f>INPUT!L4</f>
        <v>0</v>
      </c>
      <c r="K16" s="39"/>
      <c r="L16" s="41">
        <f>INPUT!M4</f>
        <v>30302983</v>
      </c>
      <c r="M16" s="39"/>
      <c r="N16" s="41">
        <f>INPUT!O4</f>
        <v>12880040</v>
      </c>
      <c r="O16" s="29"/>
      <c r="P16" s="43"/>
      <c r="Q16" s="43"/>
      <c r="R16" s="43"/>
      <c r="S16" s="39"/>
    </row>
    <row r="17" spans="1:19" ht="15">
      <c r="A17" s="29" t="s">
        <v>1236</v>
      </c>
      <c r="B17" s="30" t="s">
        <v>1467</v>
      </c>
      <c r="C17" s="29" t="s">
        <v>1240</v>
      </c>
      <c r="D17" s="29"/>
      <c r="E17" s="29"/>
      <c r="F17" s="29"/>
      <c r="G17" s="29"/>
      <c r="H17" s="41">
        <f>INPUT!J5</f>
        <v>4906183</v>
      </c>
      <c r="I17" s="39"/>
      <c r="J17" s="41">
        <f>INPUT!L5</f>
        <v>0</v>
      </c>
      <c r="K17" s="39"/>
      <c r="L17" s="41">
        <f>INPUT!M5</f>
        <v>3215710</v>
      </c>
      <c r="M17" s="39"/>
      <c r="N17" s="41">
        <f>INPUT!O5</f>
        <v>5224409</v>
      </c>
      <c r="O17" s="29"/>
      <c r="P17" s="43"/>
      <c r="Q17" s="43"/>
      <c r="R17" s="43"/>
      <c r="S17" s="39"/>
    </row>
    <row r="18" spans="1:19" ht="15">
      <c r="A18" s="29"/>
      <c r="B18" s="30" t="s">
        <v>1352</v>
      </c>
      <c r="C18" s="29" t="s">
        <v>1241</v>
      </c>
      <c r="D18" s="29"/>
      <c r="E18" s="29"/>
      <c r="F18" s="29"/>
      <c r="G18" s="29"/>
      <c r="H18" s="41">
        <f>INPUT!J6</f>
        <v>0</v>
      </c>
      <c r="I18" s="39"/>
      <c r="J18" s="41">
        <f>INPUT!L6</f>
        <v>7606954</v>
      </c>
      <c r="K18" s="39"/>
      <c r="L18" s="41">
        <f>INPUT!M6</f>
        <v>7123127</v>
      </c>
      <c r="M18" s="39"/>
      <c r="N18" s="41">
        <f>INPUT!O6</f>
        <v>13765293</v>
      </c>
      <c r="O18" s="29"/>
      <c r="P18" s="43"/>
      <c r="Q18" s="43"/>
      <c r="R18" s="43"/>
      <c r="S18" s="39"/>
    </row>
    <row r="19" spans="1:19" ht="15">
      <c r="A19" s="29"/>
      <c r="B19" s="30" t="s">
        <v>1355</v>
      </c>
      <c r="C19" s="29" t="s">
        <v>1242</v>
      </c>
      <c r="D19" s="29"/>
      <c r="E19" s="29"/>
      <c r="F19" s="29"/>
      <c r="G19" s="29"/>
      <c r="H19" s="41">
        <f>INPUT!J7</f>
        <v>0</v>
      </c>
      <c r="I19" s="39"/>
      <c r="J19" s="41">
        <f>INPUT!L7</f>
        <v>32983715</v>
      </c>
      <c r="K19" s="39"/>
      <c r="L19" s="41">
        <f>INPUT!M7</f>
        <v>8016250</v>
      </c>
      <c r="M19" s="39"/>
      <c r="N19" s="41">
        <f>INPUT!O7</f>
        <v>40981125</v>
      </c>
      <c r="O19" s="29"/>
      <c r="P19" s="43"/>
      <c r="Q19" s="43"/>
      <c r="R19" s="43"/>
      <c r="S19" s="39"/>
    </row>
    <row r="20" spans="1:19" ht="15">
      <c r="A20" s="29"/>
      <c r="B20" s="30"/>
      <c r="C20" s="29" t="s">
        <v>1243</v>
      </c>
      <c r="D20" s="29"/>
      <c r="E20" s="29"/>
      <c r="F20" s="29"/>
      <c r="G20" s="29"/>
      <c r="H20" s="42">
        <f>INPUT!J8</f>
        <v>0</v>
      </c>
      <c r="I20" s="39"/>
      <c r="J20" s="42">
        <f>INPUT!L8</f>
        <v>556372</v>
      </c>
      <c r="K20" s="39"/>
      <c r="L20" s="42">
        <f>INPUT!M8</f>
        <v>30403288</v>
      </c>
      <c r="M20" s="39"/>
      <c r="N20" s="42">
        <f>INPUT!O8</f>
        <v>6210491</v>
      </c>
      <c r="O20" s="29"/>
      <c r="P20" s="43"/>
      <c r="Q20" s="43"/>
      <c r="R20" s="43"/>
      <c r="S20" s="39"/>
    </row>
    <row r="21" spans="1:19" ht="15">
      <c r="A21" s="29"/>
      <c r="B21" s="30"/>
      <c r="C21" s="29" t="s">
        <v>1348</v>
      </c>
      <c r="D21" s="29"/>
      <c r="E21" s="29"/>
      <c r="F21" s="29"/>
      <c r="G21" s="29"/>
      <c r="H21" s="41">
        <f>SUM(H16:H20)</f>
        <v>41147041</v>
      </c>
      <c r="I21" s="39"/>
      <c r="J21" s="41">
        <f>SUM(J16:J20)</f>
        <v>41147041</v>
      </c>
      <c r="K21" s="39"/>
      <c r="L21" s="41">
        <f>SUM(L16:L20)</f>
        <v>79061358</v>
      </c>
      <c r="M21" s="39"/>
      <c r="N21" s="41">
        <f>SUM(N16:N20)</f>
        <v>79061358</v>
      </c>
      <c r="O21" s="29"/>
      <c r="P21" s="43"/>
      <c r="Q21" s="43"/>
      <c r="R21" s="43"/>
      <c r="S21" s="39"/>
    </row>
    <row r="22" spans="1:19" ht="15">
      <c r="A22" s="29"/>
      <c r="B22" s="30"/>
      <c r="C22" s="29"/>
      <c r="D22" s="29"/>
      <c r="E22" s="29"/>
      <c r="F22" s="29"/>
      <c r="G22" s="29"/>
      <c r="H22" s="41"/>
      <c r="I22" s="39"/>
      <c r="J22" s="41"/>
      <c r="K22" s="39"/>
      <c r="L22" s="41"/>
      <c r="M22" s="39"/>
      <c r="N22" s="41"/>
      <c r="O22" s="29"/>
      <c r="P22" s="43"/>
      <c r="Q22" s="43"/>
      <c r="R22" s="43"/>
      <c r="S22" s="39"/>
    </row>
    <row r="23" spans="1:19" ht="15">
      <c r="A23" s="29" t="s">
        <v>1479</v>
      </c>
      <c r="B23" s="30" t="s">
        <v>1469</v>
      </c>
      <c r="C23" s="29" t="s">
        <v>1239</v>
      </c>
      <c r="D23" s="29"/>
      <c r="E23" s="29"/>
      <c r="F23" s="29"/>
      <c r="G23" s="29"/>
      <c r="H23" s="114">
        <f>+H9-H16</f>
        <v>-3146839</v>
      </c>
      <c r="I23" s="39"/>
      <c r="J23" s="114">
        <f>+J9-J16</f>
        <v>0</v>
      </c>
      <c r="K23" s="39"/>
      <c r="L23" s="39">
        <f>+L9-L16</f>
        <v>-619782</v>
      </c>
      <c r="M23" s="39"/>
      <c r="N23" s="39">
        <f>+N9-N16</f>
        <v>-618596</v>
      </c>
      <c r="O23" s="29"/>
      <c r="P23" s="43"/>
      <c r="Q23" s="43"/>
      <c r="R23" s="43"/>
      <c r="S23" s="39"/>
    </row>
    <row r="24" spans="1:19" ht="15">
      <c r="A24" s="29"/>
      <c r="B24" s="30" t="s">
        <v>1476</v>
      </c>
      <c r="C24" s="29" t="s">
        <v>1240</v>
      </c>
      <c r="D24" s="29"/>
      <c r="E24" s="29"/>
      <c r="F24" s="29"/>
      <c r="G24" s="29"/>
      <c r="H24" s="114">
        <f>+H10-H17</f>
        <v>-426010</v>
      </c>
      <c r="I24" s="39"/>
      <c r="J24" s="114">
        <f>+J10-J17</f>
        <v>0</v>
      </c>
      <c r="K24" s="39"/>
      <c r="L24" s="39">
        <f>+L10-L17</f>
        <v>-41033</v>
      </c>
      <c r="M24" s="39"/>
      <c r="N24" s="39">
        <f>+N10-N17</f>
        <v>52349</v>
      </c>
      <c r="O24" s="29"/>
      <c r="P24" s="43"/>
      <c r="Q24" s="43"/>
      <c r="R24" s="43"/>
      <c r="S24" s="39"/>
    </row>
    <row r="25" spans="1:19" ht="15">
      <c r="A25" s="29"/>
      <c r="B25" s="30" t="s">
        <v>1477</v>
      </c>
      <c r="C25" s="29" t="s">
        <v>1241</v>
      </c>
      <c r="D25" s="29"/>
      <c r="E25" s="29"/>
      <c r="F25" s="29"/>
      <c r="G25" s="29"/>
      <c r="H25" s="114">
        <f>+H11-H18</f>
        <v>0</v>
      </c>
      <c r="I25" s="39"/>
      <c r="J25" s="114">
        <f>+J11-J18</f>
        <v>-462694</v>
      </c>
      <c r="K25" s="39"/>
      <c r="L25" s="39">
        <f>+L11-L18</f>
        <v>-103369</v>
      </c>
      <c r="M25" s="39"/>
      <c r="N25" s="39">
        <f>+N11-N18</f>
        <v>-70317</v>
      </c>
      <c r="O25" s="29"/>
      <c r="P25" s="43"/>
      <c r="Q25" s="43"/>
      <c r="R25" s="43"/>
      <c r="S25" s="39"/>
    </row>
    <row r="26" spans="1:19" ht="15">
      <c r="A26" s="29"/>
      <c r="B26" s="37" t="s">
        <v>2152</v>
      </c>
      <c r="C26" s="29" t="s">
        <v>1242</v>
      </c>
      <c r="D26" s="29"/>
      <c r="E26" s="29"/>
      <c r="F26" s="29"/>
      <c r="G26" s="29"/>
      <c r="H26" s="114">
        <f>+H12-H19</f>
        <v>0</v>
      </c>
      <c r="I26" s="39"/>
      <c r="J26" s="114">
        <f>+J12-J19</f>
        <v>-3063545</v>
      </c>
      <c r="K26" s="39"/>
      <c r="L26" s="39">
        <f>+L12-L19</f>
        <v>-258751</v>
      </c>
      <c r="M26" s="39"/>
      <c r="N26" s="39">
        <f>+N12-N19</f>
        <v>-1010572</v>
      </c>
      <c r="O26" s="29"/>
      <c r="P26" s="43"/>
      <c r="Q26" s="43"/>
      <c r="R26" s="43"/>
      <c r="S26" s="39"/>
    </row>
    <row r="27" spans="1:19" ht="15">
      <c r="A27" s="29"/>
      <c r="B27" s="37"/>
      <c r="C27" s="29" t="s">
        <v>1243</v>
      </c>
      <c r="D27" s="29"/>
      <c r="E27" s="29"/>
      <c r="F27" s="29"/>
      <c r="G27" s="29"/>
      <c r="H27" s="44">
        <f>+H13-H20</f>
        <v>0</v>
      </c>
      <c r="I27" s="39"/>
      <c r="J27" s="44">
        <f>+J13-J20</f>
        <v>-46610</v>
      </c>
      <c r="K27" s="39"/>
      <c r="L27" s="44">
        <f>+L13-L20</f>
        <v>-861103</v>
      </c>
      <c r="M27" s="39"/>
      <c r="N27" s="44">
        <f>+N13-N20</f>
        <v>-236902</v>
      </c>
      <c r="O27" s="29"/>
      <c r="P27" s="43"/>
      <c r="Q27" s="43"/>
      <c r="R27" s="43"/>
      <c r="S27" s="39"/>
    </row>
    <row r="28" spans="1:19" ht="15">
      <c r="A28" s="29"/>
      <c r="B28" s="37"/>
      <c r="C28" s="29" t="s">
        <v>1348</v>
      </c>
      <c r="D28" s="29"/>
      <c r="E28" s="29"/>
      <c r="F28" s="29"/>
      <c r="G28" s="29"/>
      <c r="H28" s="39">
        <f>SUM(H23:H27)</f>
        <v>-3572849</v>
      </c>
      <c r="I28" s="39"/>
      <c r="J28" s="39">
        <f>SUM(J23:J27)</f>
        <v>-3572849</v>
      </c>
      <c r="K28" s="39"/>
      <c r="L28" s="39">
        <f>SUM(L23:L27)</f>
        <v>-1884038</v>
      </c>
      <c r="M28" s="39"/>
      <c r="N28" s="39">
        <f>SUM(N23:N27)</f>
        <v>-1884038</v>
      </c>
      <c r="O28" s="29"/>
      <c r="P28" s="43"/>
      <c r="Q28" s="43"/>
      <c r="R28" s="43"/>
      <c r="S28" s="39"/>
    </row>
    <row r="29" spans="1:19" ht="15">
      <c r="A29" s="29"/>
      <c r="B29" s="37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8" ht="15">
      <c r="A30" s="29"/>
      <c r="B30" s="37"/>
      <c r="C30" s="29"/>
      <c r="D30" s="45"/>
      <c r="E30" s="46" t="s">
        <v>1236</v>
      </c>
      <c r="F30" s="45"/>
      <c r="G30" s="29"/>
      <c r="H30" s="47"/>
      <c r="I30" s="34" t="s">
        <v>1244</v>
      </c>
      <c r="J30" s="47"/>
      <c r="K30" s="29"/>
      <c r="L30" s="47"/>
      <c r="M30" s="36" t="s">
        <v>1508</v>
      </c>
      <c r="N30" s="47"/>
      <c r="O30" s="48" t="s">
        <v>1236</v>
      </c>
      <c r="P30" s="45"/>
      <c r="Q30" s="29"/>
      <c r="R30" s="29"/>
    </row>
    <row r="31" spans="1:18" ht="15">
      <c r="A31" s="29"/>
      <c r="B31" s="37"/>
      <c r="C31" s="29"/>
      <c r="D31" s="113"/>
      <c r="E31" s="49"/>
      <c r="F31" s="113"/>
      <c r="G31" s="29"/>
      <c r="H31" s="37" t="s">
        <v>2156</v>
      </c>
      <c r="I31" s="29"/>
      <c r="J31" s="37" t="s">
        <v>2156</v>
      </c>
      <c r="K31" s="29"/>
      <c r="L31" s="37" t="s">
        <v>2157</v>
      </c>
      <c r="M31" s="29"/>
      <c r="N31" s="37" t="s">
        <v>2158</v>
      </c>
      <c r="O31" s="29"/>
      <c r="P31" s="49"/>
      <c r="Q31" s="29"/>
      <c r="R31" s="29"/>
    </row>
    <row r="32" spans="1:18" ht="15">
      <c r="A32" s="29"/>
      <c r="B32" s="37"/>
      <c r="C32" s="29"/>
      <c r="D32" s="50"/>
      <c r="E32" s="50"/>
      <c r="F32" s="50"/>
      <c r="G32" s="29"/>
      <c r="H32" s="29"/>
      <c r="I32" s="29"/>
      <c r="J32" s="29"/>
      <c r="K32" s="29"/>
      <c r="L32" s="30" t="s">
        <v>1235</v>
      </c>
      <c r="M32" s="29"/>
      <c r="N32" s="30" t="s">
        <v>1237</v>
      </c>
      <c r="O32" s="29"/>
      <c r="P32" s="50"/>
      <c r="Q32" s="29"/>
      <c r="R32" s="29"/>
    </row>
    <row r="33" spans="1:18" ht="15">
      <c r="A33" s="29"/>
      <c r="B33" s="37"/>
      <c r="C33" s="29"/>
      <c r="D33" s="49"/>
      <c r="E33" s="49"/>
      <c r="F33" s="49"/>
      <c r="G33" s="29"/>
      <c r="H33" s="34" t="s">
        <v>1246</v>
      </c>
      <c r="I33" s="29"/>
      <c r="J33" s="34" t="s">
        <v>1247</v>
      </c>
      <c r="K33" s="29"/>
      <c r="L33" s="36" t="s">
        <v>1510</v>
      </c>
      <c r="M33" s="29"/>
      <c r="N33" s="36" t="s">
        <v>1511</v>
      </c>
      <c r="O33" s="29"/>
      <c r="P33" s="49"/>
      <c r="Q33" s="29"/>
      <c r="R33" s="29"/>
    </row>
    <row r="34" spans="1:18" ht="15">
      <c r="A34" s="29" t="s">
        <v>1464</v>
      </c>
      <c r="B34" s="30" t="s">
        <v>1343</v>
      </c>
      <c r="C34" s="29" t="s">
        <v>1239</v>
      </c>
      <c r="D34" s="43"/>
      <c r="E34" s="43"/>
      <c r="F34" s="43"/>
      <c r="G34" s="41"/>
      <c r="H34" s="41">
        <f>+PAGE4!D46</f>
        <v>1109232</v>
      </c>
      <c r="I34" s="41"/>
      <c r="J34" s="41">
        <f>+PAGE4!F46</f>
        <v>335943</v>
      </c>
      <c r="K34" s="41"/>
      <c r="L34" s="41">
        <f>+H9+L9</f>
        <v>62777220</v>
      </c>
      <c r="M34" s="41"/>
      <c r="N34" s="41">
        <f>+J9+N9</f>
        <v>12261444</v>
      </c>
      <c r="O34" s="29"/>
      <c r="P34" s="45"/>
      <c r="Q34" s="29"/>
      <c r="R34" s="29"/>
    </row>
    <row r="35" spans="1:18" ht="15">
      <c r="A35" s="29"/>
      <c r="B35" s="30" t="s">
        <v>1352</v>
      </c>
      <c r="C35" s="29" t="s">
        <v>1240</v>
      </c>
      <c r="D35" s="43"/>
      <c r="E35" s="43"/>
      <c r="F35" s="43"/>
      <c r="G35" s="41"/>
      <c r="H35" s="41">
        <f>+PAGE4!D47</f>
        <v>98915</v>
      </c>
      <c r="I35" s="41"/>
      <c r="J35" s="41">
        <f>+PAGE4!F47</f>
        <v>205025</v>
      </c>
      <c r="K35" s="41"/>
      <c r="L35" s="41">
        <f>+H10+L10</f>
        <v>7654850</v>
      </c>
      <c r="M35" s="41"/>
      <c r="N35" s="41">
        <f>+J10+N10</f>
        <v>5276758</v>
      </c>
      <c r="O35" s="29"/>
      <c r="P35" s="45"/>
      <c r="Q35" s="29"/>
      <c r="R35" s="29"/>
    </row>
    <row r="36" spans="1:18" ht="15">
      <c r="A36" s="29"/>
      <c r="B36" s="30" t="s">
        <v>1355</v>
      </c>
      <c r="C36" s="29" t="s">
        <v>1241</v>
      </c>
      <c r="D36" s="43"/>
      <c r="E36" s="43"/>
      <c r="F36" s="43"/>
      <c r="G36" s="41"/>
      <c r="H36" s="41">
        <f>+PAGE4!D48</f>
        <v>220871</v>
      </c>
      <c r="I36" s="41"/>
      <c r="J36" s="41">
        <f>+PAGE4!F48</f>
        <v>525264</v>
      </c>
      <c r="K36" s="41"/>
      <c r="L36" s="41">
        <f>+H11+L11</f>
        <v>7019758</v>
      </c>
      <c r="M36" s="41"/>
      <c r="N36" s="41">
        <f>+J11+N11</f>
        <v>20839236</v>
      </c>
      <c r="O36" s="29"/>
      <c r="P36" s="45"/>
      <c r="Q36" s="29"/>
      <c r="R36" s="29"/>
    </row>
    <row r="37" spans="1:18" ht="15">
      <c r="A37" s="29"/>
      <c r="B37" s="30"/>
      <c r="C37" s="29" t="s">
        <v>1242</v>
      </c>
      <c r="D37" s="43"/>
      <c r="E37" s="43"/>
      <c r="F37" s="43"/>
      <c r="G37" s="41"/>
      <c r="H37" s="41">
        <f>+PAGE4!D49</f>
        <v>222918</v>
      </c>
      <c r="I37" s="41"/>
      <c r="J37" s="41">
        <f>+PAGE4!F49</f>
        <v>1485042</v>
      </c>
      <c r="K37" s="41"/>
      <c r="L37" s="41">
        <f>+H12+L12</f>
        <v>7757499</v>
      </c>
      <c r="M37" s="41"/>
      <c r="N37" s="41">
        <f>+J12+N12</f>
        <v>69890723</v>
      </c>
      <c r="O37" s="29"/>
      <c r="P37" s="45"/>
      <c r="Q37" s="29"/>
      <c r="R37" s="29"/>
    </row>
    <row r="38" spans="1:18" ht="15">
      <c r="A38" s="29"/>
      <c r="B38" s="30"/>
      <c r="C38" s="29" t="s">
        <v>1243</v>
      </c>
      <c r="D38" s="43"/>
      <c r="E38" s="43"/>
      <c r="F38" s="43"/>
      <c r="G38" s="41"/>
      <c r="H38" s="42">
        <f>+PAGE4!D50</f>
        <v>1095211</v>
      </c>
      <c r="I38" s="41"/>
      <c r="J38" s="42">
        <f>+PAGE4!F50</f>
        <v>195873</v>
      </c>
      <c r="K38" s="41"/>
      <c r="L38" s="42">
        <f>+H13+L13</f>
        <v>29542185</v>
      </c>
      <c r="M38" s="41"/>
      <c r="N38" s="42">
        <f>+J13+N13</f>
        <v>6483351</v>
      </c>
      <c r="O38" s="29"/>
      <c r="P38" s="45"/>
      <c r="Q38" s="29"/>
      <c r="R38" s="29"/>
    </row>
    <row r="39" spans="1:18" ht="15">
      <c r="A39" s="29"/>
      <c r="B39" s="30"/>
      <c r="C39" s="29" t="s">
        <v>1348</v>
      </c>
      <c r="D39" s="43"/>
      <c r="E39" s="43"/>
      <c r="F39" s="43"/>
      <c r="G39" s="41"/>
      <c r="H39" s="41">
        <f>SUM(H34:H38)</f>
        <v>2747147</v>
      </c>
      <c r="I39" s="41"/>
      <c r="J39" s="41">
        <f>SUM(J34:J38)</f>
        <v>2747147</v>
      </c>
      <c r="K39" s="41"/>
      <c r="L39" s="41">
        <f>SUM(L34:L38)</f>
        <v>114751512</v>
      </c>
      <c r="M39" s="41"/>
      <c r="N39" s="41">
        <f>SUM(N34:N38)</f>
        <v>114751512</v>
      </c>
      <c r="O39" s="29"/>
      <c r="P39" s="45"/>
      <c r="Q39" s="29"/>
      <c r="R39" s="29"/>
    </row>
    <row r="40" spans="1:18" ht="15">
      <c r="A40" s="29"/>
      <c r="B40" s="30"/>
      <c r="C40" s="29"/>
      <c r="D40" s="45"/>
      <c r="E40" s="45"/>
      <c r="F40" s="45"/>
      <c r="G40" s="29"/>
      <c r="H40" s="29"/>
      <c r="I40" s="29"/>
      <c r="J40" s="29"/>
      <c r="K40" s="29"/>
      <c r="L40" s="29"/>
      <c r="M40" s="29"/>
      <c r="N40" s="29"/>
      <c r="O40" s="29"/>
      <c r="P40" s="45"/>
      <c r="Q40" s="29"/>
      <c r="R40" s="29"/>
    </row>
    <row r="41" spans="1:18" ht="15">
      <c r="A41" s="29" t="s">
        <v>1465</v>
      </c>
      <c r="B41" s="30" t="s">
        <v>1466</v>
      </c>
      <c r="C41" s="29" t="s">
        <v>1239</v>
      </c>
      <c r="D41" s="43"/>
      <c r="E41" s="114"/>
      <c r="F41" s="43"/>
      <c r="G41" s="29"/>
      <c r="H41" s="41">
        <f>INPUT!J12</f>
        <v>1113052</v>
      </c>
      <c r="I41" s="51"/>
      <c r="J41" s="41">
        <f>INPUT!L12</f>
        <v>339268</v>
      </c>
      <c r="K41" s="51"/>
      <c r="L41" s="41">
        <f>INPUT!M12</f>
        <v>66543841</v>
      </c>
      <c r="M41" s="51"/>
      <c r="N41" s="41">
        <f>INPUT!O12</f>
        <v>12880040</v>
      </c>
      <c r="O41" s="29"/>
      <c r="P41" s="45"/>
      <c r="Q41" s="29"/>
      <c r="R41" s="29"/>
    </row>
    <row r="42" spans="1:18" ht="15">
      <c r="A42" s="29"/>
      <c r="B42" s="30" t="s">
        <v>1467</v>
      </c>
      <c r="C42" s="29" t="s">
        <v>1240</v>
      </c>
      <c r="D42" s="43"/>
      <c r="E42" s="114"/>
      <c r="F42" s="43"/>
      <c r="G42" s="29"/>
      <c r="H42" s="41">
        <f>INPUT!J13</f>
        <v>98073</v>
      </c>
      <c r="I42" s="51"/>
      <c r="J42" s="41">
        <f>INPUT!L13</f>
        <v>200837</v>
      </c>
      <c r="K42" s="51"/>
      <c r="L42" s="41">
        <f>INPUT!M13</f>
        <v>8121893</v>
      </c>
      <c r="M42" s="51"/>
      <c r="N42" s="41">
        <f>INPUT!O13</f>
        <v>5224409</v>
      </c>
      <c r="O42" s="29"/>
      <c r="P42" s="45"/>
      <c r="Q42" s="29"/>
      <c r="R42" s="29"/>
    </row>
    <row r="43" spans="1:18" ht="15">
      <c r="A43" s="29"/>
      <c r="B43" s="30" t="s">
        <v>752</v>
      </c>
      <c r="C43" s="29" t="s">
        <v>1241</v>
      </c>
      <c r="D43" s="43"/>
      <c r="E43" s="114"/>
      <c r="F43" s="43"/>
      <c r="G43" s="29"/>
      <c r="H43" s="41">
        <f>INPUT!J14</f>
        <v>219023</v>
      </c>
      <c r="I43" s="51"/>
      <c r="J43" s="41">
        <f>INPUT!L14</f>
        <v>529451</v>
      </c>
      <c r="K43" s="51"/>
      <c r="L43" s="41">
        <f>INPUT!M14</f>
        <v>7123127</v>
      </c>
      <c r="M43" s="51"/>
      <c r="N43" s="41">
        <f>INPUT!O14</f>
        <v>21372247</v>
      </c>
      <c r="O43" s="29"/>
      <c r="P43" s="45"/>
      <c r="Q43" s="29"/>
      <c r="R43" s="29"/>
    </row>
    <row r="44" spans="1:18" ht="15">
      <c r="A44" s="29"/>
      <c r="B44" s="30" t="s">
        <v>1352</v>
      </c>
      <c r="C44" s="29" t="s">
        <v>1242</v>
      </c>
      <c r="D44" s="43"/>
      <c r="E44" s="114"/>
      <c r="F44" s="43"/>
      <c r="G44" s="29"/>
      <c r="H44" s="41">
        <f>INPUT!J15</f>
        <v>224306</v>
      </c>
      <c r="I44" s="51"/>
      <c r="J44" s="41">
        <f>INPUT!L15</f>
        <v>1483003</v>
      </c>
      <c r="K44" s="51"/>
      <c r="L44" s="41">
        <f>INPUT!M15</f>
        <v>8016250</v>
      </c>
      <c r="M44" s="51"/>
      <c r="N44" s="41">
        <f>INPUT!O15</f>
        <v>73964840</v>
      </c>
      <c r="O44" s="29"/>
      <c r="P44" s="45"/>
      <c r="Q44" s="29"/>
      <c r="R44" s="29"/>
    </row>
    <row r="45" spans="1:18" ht="15">
      <c r="A45" s="29"/>
      <c r="B45" s="30" t="s">
        <v>1355</v>
      </c>
      <c r="C45" s="29" t="s">
        <v>1243</v>
      </c>
      <c r="D45" s="43"/>
      <c r="E45" s="114"/>
      <c r="F45" s="43"/>
      <c r="G45" s="29"/>
      <c r="H45" s="42">
        <f>INPUT!J16</f>
        <v>1101767</v>
      </c>
      <c r="I45" s="51"/>
      <c r="J45" s="42">
        <f>INPUT!L16</f>
        <v>203662</v>
      </c>
      <c r="K45" s="51"/>
      <c r="L45" s="42">
        <f>INPUT!M16</f>
        <v>30403288</v>
      </c>
      <c r="M45" s="51"/>
      <c r="N45" s="42">
        <f>INPUT!O16</f>
        <v>6766863</v>
      </c>
      <c r="O45" s="29"/>
      <c r="P45" s="45"/>
      <c r="Q45" s="29"/>
      <c r="R45" s="29"/>
    </row>
    <row r="46" spans="1:18" ht="15">
      <c r="A46" s="29"/>
      <c r="B46" s="30"/>
      <c r="C46" s="29" t="s">
        <v>1348</v>
      </c>
      <c r="D46" s="43"/>
      <c r="E46" s="114"/>
      <c r="F46" s="43"/>
      <c r="G46" s="29"/>
      <c r="H46" s="41">
        <f>SUM(H41:H45)</f>
        <v>2756221</v>
      </c>
      <c r="I46" s="51"/>
      <c r="J46" s="41">
        <f>SUM(J41:J45)</f>
        <v>2756221</v>
      </c>
      <c r="K46" s="51"/>
      <c r="L46" s="41">
        <f>SUM(L41:L45)</f>
        <v>120208399</v>
      </c>
      <c r="M46" s="51"/>
      <c r="N46" s="41">
        <f>SUM(N41:N45)</f>
        <v>120208399</v>
      </c>
      <c r="O46" s="29"/>
      <c r="P46" s="45"/>
      <c r="Q46" s="29"/>
      <c r="R46" s="29"/>
    </row>
    <row r="47" spans="1:18" ht="15">
      <c r="A47" s="29"/>
      <c r="B47" s="30"/>
      <c r="C47" s="29"/>
      <c r="D47" s="43"/>
      <c r="E47" s="114"/>
      <c r="F47" s="43"/>
      <c r="G47" s="29"/>
      <c r="H47" s="41"/>
      <c r="I47" s="51"/>
      <c r="J47" s="41"/>
      <c r="K47" s="51"/>
      <c r="L47" s="41"/>
      <c r="M47" s="51"/>
      <c r="N47" s="41"/>
      <c r="O47" s="29"/>
      <c r="P47" s="45"/>
      <c r="Q47" s="29"/>
      <c r="R47" s="29"/>
    </row>
    <row r="48" spans="1:18" ht="15">
      <c r="A48" s="29"/>
      <c r="B48" s="29"/>
      <c r="C48" s="29"/>
      <c r="D48" s="43"/>
      <c r="E48" s="43"/>
      <c r="F48" s="43"/>
      <c r="G48" s="41"/>
      <c r="H48" s="41"/>
      <c r="I48" s="41"/>
      <c r="J48" s="41"/>
      <c r="K48" s="41"/>
      <c r="L48" s="41"/>
      <c r="M48" s="41"/>
      <c r="N48" s="41"/>
      <c r="O48" s="29"/>
      <c r="P48" s="29"/>
      <c r="Q48" s="29"/>
      <c r="R48" s="29"/>
    </row>
    <row r="49" spans="1:14" ht="15">
      <c r="A49" s="29" t="s">
        <v>1479</v>
      </c>
      <c r="B49" s="30" t="s">
        <v>1469</v>
      </c>
      <c r="C49" s="29" t="s">
        <v>1239</v>
      </c>
      <c r="D49" s="43"/>
      <c r="E49" s="43"/>
      <c r="F49" s="43"/>
      <c r="G49" s="41"/>
      <c r="H49" s="41">
        <f>+H34-H41</f>
        <v>-3820</v>
      </c>
      <c r="I49" s="41"/>
      <c r="J49" s="41">
        <f>+J34-J41</f>
        <v>-3325</v>
      </c>
      <c r="K49" s="41"/>
      <c r="L49" s="41">
        <f>+L34-L41</f>
        <v>-3766621</v>
      </c>
      <c r="M49" s="41"/>
      <c r="N49" s="41">
        <f>+N34-N41</f>
        <v>-618596</v>
      </c>
    </row>
    <row r="50" spans="1:14" ht="15">
      <c r="A50" s="29"/>
      <c r="B50" s="30" t="s">
        <v>1476</v>
      </c>
      <c r="C50" s="29" t="s">
        <v>1240</v>
      </c>
      <c r="D50" s="43"/>
      <c r="E50" s="43"/>
      <c r="F50" s="43"/>
      <c r="G50" s="41"/>
      <c r="H50" s="41">
        <f>+H35-H42</f>
        <v>842</v>
      </c>
      <c r="I50" s="41"/>
      <c r="J50" s="41">
        <f>+J35-J42</f>
        <v>4188</v>
      </c>
      <c r="K50" s="41"/>
      <c r="L50" s="41">
        <f>+L35-L42</f>
        <v>-467043</v>
      </c>
      <c r="M50" s="41"/>
      <c r="N50" s="41">
        <f>+N35-N42</f>
        <v>52349</v>
      </c>
    </row>
    <row r="51" spans="1:14" ht="15">
      <c r="A51" s="29"/>
      <c r="B51" s="30" t="s">
        <v>1477</v>
      </c>
      <c r="C51" s="29" t="s">
        <v>1241</v>
      </c>
      <c r="D51" s="43"/>
      <c r="E51" s="43"/>
      <c r="F51" s="43"/>
      <c r="G51" s="41"/>
      <c r="H51" s="41">
        <f>+H36-H43</f>
        <v>1848</v>
      </c>
      <c r="I51" s="41"/>
      <c r="J51" s="41">
        <f>+J36-J43</f>
        <v>-4187</v>
      </c>
      <c r="K51" s="41"/>
      <c r="L51" s="41">
        <f>+L36-L43</f>
        <v>-103369</v>
      </c>
      <c r="M51" s="41"/>
      <c r="N51" s="41">
        <f>+N36-N43</f>
        <v>-533011</v>
      </c>
    </row>
    <row r="52" spans="1:14" ht="15">
      <c r="A52" s="29"/>
      <c r="B52" s="37" t="s">
        <v>1572</v>
      </c>
      <c r="C52" s="29" t="s">
        <v>1242</v>
      </c>
      <c r="D52" s="43"/>
      <c r="E52" s="43"/>
      <c r="F52" s="43"/>
      <c r="G52" s="41"/>
      <c r="H52" s="41">
        <f>+H37-H44</f>
        <v>-1388</v>
      </c>
      <c r="I52" s="41"/>
      <c r="J52" s="41">
        <f>+J37-J44</f>
        <v>2039</v>
      </c>
      <c r="K52" s="41"/>
      <c r="L52" s="41">
        <f>+L37-L44</f>
        <v>-258751</v>
      </c>
      <c r="M52" s="41"/>
      <c r="N52" s="41">
        <f>+N37-N44</f>
        <v>-4074117</v>
      </c>
    </row>
    <row r="53" spans="1:14" ht="15">
      <c r="A53" s="29"/>
      <c r="B53" s="29"/>
      <c r="C53" s="29" t="s">
        <v>1243</v>
      </c>
      <c r="D53" s="43"/>
      <c r="E53" s="43"/>
      <c r="F53" s="43"/>
      <c r="G53" s="41"/>
      <c r="H53" s="42">
        <f>+H38-H45</f>
        <v>-6556</v>
      </c>
      <c r="I53" s="41"/>
      <c r="J53" s="42">
        <f>+J38-J45</f>
        <v>-7789</v>
      </c>
      <c r="K53" s="41"/>
      <c r="L53" s="42">
        <f>+L38-L45</f>
        <v>-861103</v>
      </c>
      <c r="M53" s="41"/>
      <c r="N53" s="42">
        <f>+N38-N45</f>
        <v>-283512</v>
      </c>
    </row>
    <row r="54" spans="1:14" ht="15">
      <c r="A54" s="29"/>
      <c r="B54" s="29"/>
      <c r="C54" s="29" t="s">
        <v>1348</v>
      </c>
      <c r="D54" s="43"/>
      <c r="E54" s="43"/>
      <c r="F54" s="43"/>
      <c r="G54" s="41"/>
      <c r="H54" s="41">
        <f>SUM(H49:H53)</f>
        <v>-9074</v>
      </c>
      <c r="I54" s="41"/>
      <c r="J54" s="41">
        <f>SUM(J49:J53)</f>
        <v>-9074</v>
      </c>
      <c r="K54" s="41"/>
      <c r="L54" s="41">
        <f>SUM(L49:L53)</f>
        <v>-5456887</v>
      </c>
      <c r="M54" s="41"/>
      <c r="N54" s="41">
        <f>SUM(N49:N53)</f>
        <v>-5456887</v>
      </c>
    </row>
  </sheetData>
  <printOptions horizontalCentered="1"/>
  <pageMargins left="0.25" right="0.25" top="0.5" bottom="0.5" header="0" footer="0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L. Campbell</dc:creator>
  <cp:keywords/>
  <dc:description/>
  <cp:lastModifiedBy>AEP</cp:lastModifiedBy>
  <cp:lastPrinted>2009-08-03T19:56:08Z</cp:lastPrinted>
  <dcterms:created xsi:type="dcterms:W3CDTF">1997-01-09T21:36:07Z</dcterms:created>
  <dcterms:modified xsi:type="dcterms:W3CDTF">2009-08-03T20:37:27Z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