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360" windowWidth="15480" windowHeight="9105" tabRatio="903" activeTab="3"/>
  </bookViews>
  <sheets>
    <sheet name="Risk Assessment-IPS Actual" sheetId="1" r:id="rId1"/>
    <sheet name="Change Revisions" sheetId="2" r:id="rId2"/>
    <sheet name="INPUT" sheetId="3" r:id="rId3"/>
    <sheet name="Cover Page" sheetId="4" r:id="rId4"/>
    <sheet name="Statement" sheetId="5" r:id="rId5"/>
    <sheet name="Contents" sheetId="6" r:id="rId6"/>
    <sheet name="PAGE1" sheetId="7" r:id="rId7"/>
    <sheet name="PAGE2" sheetId="8" r:id="rId8"/>
    <sheet name="PAGE3" sheetId="9" r:id="rId9"/>
    <sheet name="PAGE4" sheetId="10" r:id="rId10"/>
    <sheet name="PAGE5" sheetId="11" r:id="rId11"/>
    <sheet name="PAGE6" sheetId="12" r:id="rId12"/>
    <sheet name="PAGE6B" sheetId="13" r:id="rId13"/>
    <sheet name="PAGE7" sheetId="14" r:id="rId14"/>
    <sheet name="PAGE8" sheetId="15" r:id="rId15"/>
    <sheet name="PRIMARY 151" sheetId="16" r:id="rId16"/>
    <sheet name="PAGE9" sheetId="17" r:id="rId17"/>
    <sheet name="ECONOMY 151" sheetId="18" r:id="rId18"/>
    <sheet name="PAGE10" sheetId="19" r:id="rId19"/>
    <sheet name="PAGE11" sheetId="20" r:id="rId20"/>
    <sheet name="APP Contents" sheetId="21" r:id="rId21"/>
    <sheet name="APPI" sheetId="22" r:id="rId22"/>
    <sheet name="APPII" sheetId="23" r:id="rId23"/>
    <sheet name="APPIII" sheetId="24" r:id="rId24"/>
    <sheet name="APPIV" sheetId="25" r:id="rId25"/>
    <sheet name="APPV" sheetId="26" r:id="rId26"/>
    <sheet name="APPVI PG1" sheetId="27" r:id="rId27"/>
    <sheet name="APPVI PG 2" sheetId="28" r:id="rId28"/>
    <sheet name="APPVI VLOOKUP NAMES" sheetId="29" state="hidden" r:id="rId29"/>
    <sheet name="APPVII PG1" sheetId="30" r:id="rId30"/>
    <sheet name="APPVII PG2" sheetId="31" r:id="rId31"/>
    <sheet name="APPVII PG3" sheetId="32" r:id="rId32"/>
    <sheet name="APPVII PG4" sheetId="33" r:id="rId33"/>
    <sheet name="APPVIII PG 1" sheetId="34" r:id="rId34"/>
    <sheet name="APPVIII PG 2" sheetId="35" r:id="rId35"/>
    <sheet name="APPVIII PG 3" sheetId="36" r:id="rId36"/>
    <sheet name="APPVIII PG 4" sheetId="37" r:id="rId37"/>
    <sheet name="APPVIII PG 5" sheetId="38" r:id="rId38"/>
    <sheet name="APPVIII PG 6" sheetId="39" r:id="rId39"/>
    <sheet name="APPVIII PG 7" sheetId="40" r:id="rId40"/>
    <sheet name="APP IX (PJM)" sheetId="41" r:id="rId41"/>
    <sheet name="APP X (PASS-THROUGH)" sheetId="42" r:id="rId42"/>
  </sheets>
  <definedNames>
    <definedName name="AdjAcct4470.099Cost">'APPVII PG3'!$P$55:$P$59</definedName>
    <definedName name="AdjAcct4470.112Cost">'APPVII PG3'!$Q$55:$Q$59</definedName>
    <definedName name="AdjAcct4470.112MWH">'APPVII PG3'!$G$55:$G$59</definedName>
    <definedName name="AdjAcct4470.112Rev">'APPVII PG3'!$Q$55:$Q$59</definedName>
    <definedName name="AdjAcct4470.131Cost">'APPVII PG3'!$O$55:$O$59</definedName>
    <definedName name="AdjAcct4470.131MWH">'APPVII PG3'!$F$55:$F$59</definedName>
    <definedName name="AdjAcct4470.167Rev">'APPVII PG3'!$S$55:$S$59</definedName>
    <definedName name="AdjAcct4470.169Rev">'APPVII PG3'!$T$55:$T$59</definedName>
    <definedName name="AdjAcct4470.170MWH">'APPVII PG3'!$H$55:$H$59</definedName>
    <definedName name="AdjAcct4470.170Rev">'APPVII PG3'!$R$55:$R$59</definedName>
    <definedName name="AdjAcct5550.035Cost">'APPVII PG3'!$K$55:$K$59</definedName>
    <definedName name="AdjAcct5550.035MWH">'APPVII PG3'!$D$55:$D$59</definedName>
    <definedName name="AdjAcct5550.088Cost">'APPVII PG3'!$K$55:$K$59</definedName>
    <definedName name="AdjAcct5550.099Cost">'APPVII PG3'!$L$55:$L$59</definedName>
    <definedName name="AdjAcct5550.099MWH">'APPVII PG3'!$E$55:$E$59</definedName>
    <definedName name="AdjAcct5550.100Cost">'APPVII PG3'!$M$55:$M$59</definedName>
    <definedName name="AdjAcct5570.007REC">'APPVII PG3'!$I$55:$I$59</definedName>
    <definedName name="AdjAcct5614.008Cost">'APPVII PG3'!$N$55:$N$59</definedName>
    <definedName name="EastDirectAllcTotal">'APPVIII PG 1'!$C$92</definedName>
    <definedName name="_xlnm.Print_Area" localSheetId="20">'APP Contents'!$A$1:$B$41</definedName>
    <definedName name="_xlnm.Print_Area" localSheetId="40">'APP IX (PJM)'!$A$1:$M$234</definedName>
    <definedName name="_xlnm.Print_Area" localSheetId="41">'APP X (PASS-THROUGH)'!$A$1:$I$217</definedName>
    <definedName name="_xlnm.Print_Area" localSheetId="21">'APPI'!$A$1:$S$67</definedName>
    <definedName name="_xlnm.Print_Area" localSheetId="22">'APPII'!$A$1:$I$72</definedName>
    <definedName name="_xlnm.Print_Area" localSheetId="23">'APPIII'!$A$1:$J$73</definedName>
    <definedName name="_xlnm.Print_Area" localSheetId="24">'APPIV'!$B$1:$N$79</definedName>
    <definedName name="_xlnm.Print_Area" localSheetId="25">'APPV'!$B$1:$L$55</definedName>
    <definedName name="_xlnm.Print_Area" localSheetId="27">'APPVI PG 2'!$A$1:$R$102</definedName>
    <definedName name="_xlnm.Print_Area" localSheetId="26">'APPVI PG1'!$A$1:$O$58</definedName>
    <definedName name="_xlnm.Print_Area" localSheetId="29">'APPVII PG1'!$A$1:$J$56</definedName>
    <definedName name="_xlnm.Print_Area" localSheetId="30">'APPVII PG2'!$A$1:$N$58</definedName>
    <definedName name="_xlnm.Print_Area" localSheetId="31">'APPVII PG3'!$A$1:$T$60</definedName>
    <definedName name="_xlnm.Print_Area" localSheetId="32">'APPVII PG4'!$A$1:$M$71</definedName>
    <definedName name="_xlnm.Print_Area" localSheetId="33">'APPVIII PG 1'!$A$1:$G$94</definedName>
    <definedName name="_xlnm.Print_Area" localSheetId="35">'APPVIII PG 3'!$A$1:$I$53</definedName>
    <definedName name="_xlnm.Print_Area" localSheetId="39">'APPVIII PG 7'!$A$1:$J$61</definedName>
    <definedName name="_xlnm.Print_Area" localSheetId="3">'Cover Page'!$A$1:$C$50</definedName>
    <definedName name="_xlnm.Print_Area" localSheetId="17">'ECONOMY 151'!$A$1:$J$50</definedName>
    <definedName name="_xlnm.Print_Area" localSheetId="2">'INPUT'!$A$1:$V$196</definedName>
    <definedName name="_xlnm.Print_Area" localSheetId="6">'PAGE1'!$A$1:$J$121</definedName>
    <definedName name="_xlnm.Print_Area" localSheetId="18">'PAGE10'!$A$1:$L$114</definedName>
    <definedName name="_xlnm.Print_Area" localSheetId="19">'PAGE11'!$A$1:$J$60</definedName>
    <definedName name="_xlnm.Print_Area" localSheetId="7">'PAGE2'!$A$1:$O$55</definedName>
    <definedName name="_xlnm.Print_Area" localSheetId="8">'PAGE3'!$A$1:$I$42</definedName>
    <definedName name="_xlnm.Print_Area" localSheetId="9">'PAGE4'!$A$1:$J$59</definedName>
    <definedName name="_xlnm.Print_Area" localSheetId="10">'PAGE5'!$A$1:$K$50</definedName>
    <definedName name="_xlnm.Print_Area" localSheetId="11">'PAGE6'!$A$1:$I$50</definedName>
    <definedName name="_xlnm.Print_Area" localSheetId="12">'PAGE6B'!$A$1:$R$49</definedName>
    <definedName name="_xlnm.Print_Area" localSheetId="13">'PAGE7'!$A$1:$K$55</definedName>
    <definedName name="_xlnm.Print_Area" localSheetId="14">'PAGE8'!$A$1:$K$56</definedName>
    <definedName name="_xlnm.Print_Area" localSheetId="16">'PAGE9'!$A$1:$J$55</definedName>
    <definedName name="_xlnm.Print_Area" localSheetId="15">'PRIMARY 151'!$A$1:$J$50</definedName>
    <definedName name="_xlnm.Print_Titles" localSheetId="33">'APPVIII PG 1'!$1:$10</definedName>
    <definedName name="WestDirectAllcTotal">'APPVIII PG 1'!$D$92</definedName>
  </definedNames>
  <calcPr fullCalcOnLoad="1"/>
</workbook>
</file>

<file path=xl/comments3.xml><?xml version="1.0" encoding="utf-8"?>
<comments xmlns="http://schemas.openxmlformats.org/spreadsheetml/2006/main">
  <authors>
    <author>Teri Myers</author>
    <author>AEP</author>
  </authors>
  <commentList>
    <comment ref="O197" authorId="0">
      <text>
        <r>
          <rPr>
            <b/>
            <sz val="8"/>
            <rFont val="Tahoma"/>
            <family val="0"/>
          </rPr>
          <t>Teri Myers:</t>
        </r>
        <r>
          <rPr>
            <sz val="8"/>
            <rFont val="Tahoma"/>
            <family val="0"/>
          </rPr>
          <t xml:space="preserve">
Only May-September
</t>
        </r>
      </text>
    </comment>
    <comment ref="W151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W15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M18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9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M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O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O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L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L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M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APCO AM3 Actual Generation = AM3 Generation from App IV - AM1 from Page 10 - AM2 from Page 10.  </t>
        </r>
      </text>
    </comment>
    <comment ref="U111" authorId="1">
      <text>
        <r>
          <rPr>
            <b/>
            <sz val="8"/>
            <rFont val="Tahoma"/>
            <family val="0"/>
          </rPr>
          <t xml:space="preserve">AEP:
</t>
        </r>
        <r>
          <rPr>
            <sz val="8"/>
            <rFont val="Tahoma"/>
            <family val="2"/>
          </rPr>
          <t xml:space="preserve">APCO AM3 Actual Generation = AM3 Generation from App IV - AM1 from Page 10 - AM2 from Page 10.  </t>
        </r>
      </text>
    </comment>
    <comment ref="U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=Net Generation for OPCO 
Unit Total - AM3 APCO Total.  
Should equal generation listed on Appendix IV
 </t>
        </r>
      </text>
    </comment>
    <comment ref="M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AEP:
=Net Generation for OPCO 
Unit Total - AM3 APCO Total.  
Should equal generation listed on Appendix IV
</t>
        </r>
      </text>
    </comment>
    <comment ref="L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L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M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</commentList>
</comments>
</file>

<file path=xl/comments37.xml><?xml version="1.0" encoding="utf-8"?>
<comments xmlns="http://schemas.openxmlformats.org/spreadsheetml/2006/main">
  <authors>
    <author>AEP</author>
  </authors>
  <commentList>
    <comment ref="A3" authorId="0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<sst xmlns="http://schemas.openxmlformats.org/spreadsheetml/2006/main" count="5495" uniqueCount="2156">
  <si>
    <t xml:space="preserve">AEP System Actual Emission Allowances                                               </t>
  </si>
  <si>
    <t xml:space="preserve">Adjustments to System Account due to Emission Allowances                   </t>
  </si>
  <si>
    <t>Appendices</t>
  </si>
  <si>
    <t xml:space="preserve">Supporting Cost and Operating Data                                          </t>
  </si>
  <si>
    <t>I - VIII</t>
  </si>
  <si>
    <t>PAGE</t>
  </si>
  <si>
    <r>
      <t>NO</t>
    </r>
    <r>
      <rPr>
        <sz val="10"/>
        <rFont val="Comic Sans MS"/>
        <family val="4"/>
      </rPr>
      <t>.</t>
    </r>
  </si>
  <si>
    <t>APPENDICES</t>
  </si>
  <si>
    <t>SUPPORTING COST AND OPERATING DATA</t>
  </si>
  <si>
    <t xml:space="preserve">                                                                                                                                                                                           </t>
  </si>
  <si>
    <r>
      <t>SYNOPSIS OF CONTENTS</t>
    </r>
    <r>
      <rPr>
        <b/>
        <sz val="12"/>
        <rFont val="Comic Sans MS"/>
        <family val="4"/>
      </rPr>
      <t xml:space="preserve"> </t>
    </r>
  </si>
  <si>
    <t>-  Member Load Ratio (MLR) for each month</t>
  </si>
  <si>
    <t>-  List of maximum MLR demands in each of past 12 months</t>
  </si>
  <si>
    <t>-  Maximum MLR demands experienced in the past 12 months</t>
  </si>
  <si>
    <t>-  Kilowatts of Primary Capacity, listed by station</t>
  </si>
  <si>
    <t>PRIMARY CAPACITY INVESTMENT COSTS AND RATES, BY STATION,</t>
  </si>
  <si>
    <t>-  Kilowatts of capacity as of January 1</t>
  </si>
  <si>
    <t>-  Installed cost of production plant</t>
  </si>
  <si>
    <t>-  Weighted average investment cost, $/KW</t>
  </si>
  <si>
    <t>-  Member Primary Capacity Investment Rate, $/KW</t>
  </si>
  <si>
    <t>-  Net Generation  in megawatt-hours (MWH)</t>
  </si>
  <si>
    <t>-  Total Net Production Expenses</t>
  </si>
  <si>
    <t>-  Fuel Expenses, Account 501</t>
  </si>
  <si>
    <t>-  Maintenance Expenses, Accounts 510-515</t>
  </si>
  <si>
    <t>CALCULATION OF RATES BASED UPON THIS MONTH’S WEIGHTED</t>
  </si>
  <si>
    <t xml:space="preserve">V  </t>
  </si>
  <si>
    <t>-  Member Primary Energy Rates</t>
  </si>
  <si>
    <t>-  Member Primary Capacity Fixed Operating Rates</t>
  </si>
  <si>
    <t>SETTLEMENT OF PJM CHARGES NOT PROCESSED THROUGH ECR</t>
  </si>
  <si>
    <t xml:space="preserve">IX  </t>
  </si>
  <si>
    <t>SETTLEMENT OF BUCKEYE CHARGES FROM PJM</t>
  </si>
  <si>
    <t xml:space="preserve">X </t>
  </si>
  <si>
    <t xml:space="preserve">MEMBER LOAD RATIO SUMMARY                                            </t>
  </si>
  <si>
    <t xml:space="preserve"> I</t>
  </si>
  <si>
    <t xml:space="preserve">SYSTEM PRIMARY CAPACITY                                                 </t>
  </si>
  <si>
    <t>II</t>
  </si>
  <si>
    <t xml:space="preserve">APPLICABLE TO MEMBERS WITH PRIMARY CAPACITY SURPLUS       </t>
  </si>
  <si>
    <t>III</t>
  </si>
  <si>
    <t xml:space="preserve">PRIMARY CAPACITY NET PRODUCTION EXPENSES, BY MEMBER        </t>
  </si>
  <si>
    <t>IV</t>
  </si>
  <si>
    <t>VI-VII</t>
  </si>
  <si>
    <t xml:space="preserve">     </t>
  </si>
  <si>
    <t xml:space="preserve">VIII </t>
  </si>
  <si>
    <t>SETTLEMENT WITH SYSTEM AGENT ASSOCIATED WITH MLR ALLOCATIONS</t>
  </si>
  <si>
    <t xml:space="preserve"> OF AEP SYSTEM RECEIPTS AND DELIVERIES      </t>
  </si>
  <si>
    <t xml:space="preserve">TRADING AND MARKETING REALIZATIONS FOR BASE YEAR AND CURRENT </t>
  </si>
  <si>
    <t>MONTH -- BACKUP DATA FOR SERVICE SCHEDULE D WITH WESTERN AEP</t>
  </si>
  <si>
    <t>(1)  Source is ECR#MLR report, MLR Allocation of System Transactions.</t>
  </si>
  <si>
    <t>Created on 9/30/06</t>
  </si>
  <si>
    <t>(2)  Source is Appendix VII.</t>
  </si>
  <si>
    <t xml:space="preserve">NOTES:  </t>
  </si>
  <si>
    <t>WITH ECONOMY ENERGY</t>
  </si>
  <si>
    <t>VIII.</t>
  </si>
  <si>
    <t>EXPENSE</t>
  </si>
  <si>
    <t>$ CHARGE</t>
  </si>
  <si>
    <t>$ CREDIT</t>
  </si>
  <si>
    <t>PAGE (11)</t>
  </si>
  <si>
    <t>STEC</t>
  </si>
  <si>
    <t>Notes</t>
  </si>
  <si>
    <t>LW1</t>
  </si>
  <si>
    <t>LW2</t>
  </si>
  <si>
    <t>LAWRENCEBURG 1</t>
  </si>
  <si>
    <t>LAWRENCEBURG 2</t>
  </si>
  <si>
    <t>South Texas Electric Coop, Inc.</t>
  </si>
  <si>
    <t>LOSSES</t>
  </si>
  <si>
    <t>PHYSICAL BOOKOUT</t>
  </si>
  <si>
    <t>MEMBER PRIMARY</t>
  </si>
  <si>
    <t>NOX</t>
  </si>
  <si>
    <t>SO2</t>
  </si>
  <si>
    <r>
      <t>ALLOWANCES</t>
    </r>
    <r>
      <rPr>
        <b/>
        <sz val="8"/>
        <rFont val="Comic Sans MS"/>
        <family val="4"/>
      </rPr>
      <t>(Pg 11)</t>
    </r>
    <r>
      <rPr>
        <b/>
        <sz val="12"/>
        <rFont val="Comic Sans MS"/>
        <family val="4"/>
      </rPr>
      <t>:</t>
    </r>
  </si>
  <si>
    <t>SO2 EMISSION</t>
  </si>
  <si>
    <t>06/08</t>
  </si>
  <si>
    <t>SO2 COST ($)</t>
  </si>
  <si>
    <t>SO2 ADJUSTMENT</t>
  </si>
  <si>
    <t>(7)  From ECR/MLR report "Allocated Sources by Operating Companies - All Deliveries"</t>
  </si>
  <si>
    <t>NOX COST ($)</t>
  </si>
  <si>
    <t>NOX ADJUSTMENT</t>
  </si>
  <si>
    <t>SO2 COST</t>
  </si>
  <si>
    <t>NOX COST</t>
  </si>
  <si>
    <t>(6)=(5)-(4)</t>
  </si>
  <si>
    <t>(8)=(7)+(3)+(6)</t>
  </si>
  <si>
    <t>ADJUSTED</t>
  </si>
  <si>
    <t>(5)=(3)*(4)</t>
  </si>
  <si>
    <t>GTC</t>
  </si>
  <si>
    <t>Georgia Transmission Corporation</t>
  </si>
  <si>
    <t>KEYG2</t>
  </si>
  <si>
    <t>Long Island Power Authority - KeySpan</t>
  </si>
  <si>
    <t>PAGE 6B:</t>
  </si>
  <si>
    <t>(3)=(2)/(1)</t>
  </si>
  <si>
    <t>(4)=(3)*.0137</t>
  </si>
  <si>
    <t>TOTAL NET</t>
  </si>
  <si>
    <t>FUEL</t>
  </si>
  <si>
    <t>ONE-HALF</t>
  </si>
  <si>
    <t>A/C 501</t>
  </si>
  <si>
    <t>CAPABILITY OF</t>
  </si>
  <si>
    <t>TOTAL FIXED</t>
  </si>
  <si>
    <t>OPERATING</t>
  </si>
  <si>
    <t>CAPACITY, kW</t>
  </si>
  <si>
    <t>CAPACITY FIXED</t>
  </si>
  <si>
    <t>OPERATING RATE</t>
  </si>
  <si>
    <t>AEP SYSTEM</t>
  </si>
  <si>
    <t>ALLOWANCES CONSUMED FOR SALES</t>
  </si>
  <si>
    <t>TO NON-AFFILIATED SYSTEMS (a)</t>
  </si>
  <si>
    <t>ALLOCATED</t>
  </si>
  <si>
    <t>TO SALES TO</t>
  </si>
  <si>
    <t>SYSTEM</t>
  </si>
  <si>
    <t>EMISSION</t>
  </si>
  <si>
    <t>NON-AFFILIATED</t>
  </si>
  <si>
    <t>ALLOCATION</t>
  </si>
  <si>
    <t>EXPENDED FOR</t>
  </si>
  <si>
    <t>(MWh)</t>
  </si>
  <si>
    <t>FACTOR</t>
  </si>
  <si>
    <t>(3)=(1)/(2)</t>
  </si>
  <si>
    <t>TANNERS CREEK 4</t>
  </si>
  <si>
    <t>CARDINAL 1</t>
  </si>
  <si>
    <t>CARDINAL 2</t>
  </si>
  <si>
    <t>GAVIN 1</t>
  </si>
  <si>
    <t>GAVIN 2</t>
  </si>
  <si>
    <t>KAMMER 1</t>
  </si>
  <si>
    <t>KAMMER 2</t>
  </si>
  <si>
    <t>KAMMER 3</t>
  </si>
  <si>
    <t>MITCHELL 1</t>
  </si>
  <si>
    <t>MITCHELL 2</t>
  </si>
  <si>
    <t>MUSKINGUM 1</t>
  </si>
  <si>
    <t>MUSKINGUM 2</t>
  </si>
  <si>
    <t>MUSKINGUM 3</t>
  </si>
  <si>
    <t>MUSKINGUM 4</t>
  </si>
  <si>
    <t>MUSKINGUM 5</t>
  </si>
  <si>
    <t>BECKJORD 6</t>
  </si>
  <si>
    <t>CONESVILLE 1</t>
  </si>
  <si>
    <t>CONESVILLE 2</t>
  </si>
  <si>
    <t>CONESVILLE 3</t>
  </si>
  <si>
    <t>CONESVILLE 4</t>
  </si>
  <si>
    <t>PICWAY 5</t>
  </si>
  <si>
    <t>STUART 1</t>
  </si>
  <si>
    <t>STUART 2</t>
  </si>
  <si>
    <t>STUART 3</t>
  </si>
  <si>
    <t>STUART 4</t>
  </si>
  <si>
    <t>(a)  As per Section 4.3 and Appendix E of the Interim Allowance Agreement.</t>
  </si>
  <si>
    <t>ADJUSTMENT TO ACCOUNT FOR</t>
  </si>
  <si>
    <t>LESS EASTERN AEP REALIZATION SHARE:</t>
  </si>
  <si>
    <t>CE1</t>
  </si>
  <si>
    <t>CE2</t>
  </si>
  <si>
    <t>CE3</t>
  </si>
  <si>
    <t>CE4</t>
  </si>
  <si>
    <t>CE5</t>
  </si>
  <si>
    <t>CE6</t>
  </si>
  <si>
    <t>WFD</t>
  </si>
  <si>
    <t>CEREDO1</t>
  </si>
  <si>
    <t>CEREDO2</t>
  </si>
  <si>
    <t>CEREDO3</t>
  </si>
  <si>
    <t>CEREDO4</t>
  </si>
  <si>
    <t>CEREDO5</t>
  </si>
  <si>
    <t>CEREDO6</t>
  </si>
  <si>
    <t>RTO Start-up Cost Recovery</t>
  </si>
  <si>
    <t>MARKET PRICE (1) vs. INVENTORY COST (2)</t>
  </si>
  <si>
    <t>DIFFERENTIAL OF EMISSION ALLOWANCES</t>
  </si>
  <si>
    <t>SOURCE ALLOCATION</t>
  </si>
  <si>
    <t>I.  AEP EXTERNAL ENERGY (3)</t>
  </si>
  <si>
    <t>(ADJUSTED)</t>
  </si>
  <si>
    <t>(3)=(2)-(1)</t>
  </si>
  <si>
    <t>SOURCE</t>
  </si>
  <si>
    <t>(UNADJUSTED)</t>
  </si>
  <si>
    <t>East. AEP (Co. 122)</t>
  </si>
  <si>
    <t>(1)  Market Price ($/allowance):</t>
  </si>
  <si>
    <t xml:space="preserve">      OPCO allowance:</t>
  </si>
  <si>
    <t xml:space="preserve">      CSP allowance:</t>
  </si>
  <si>
    <t>APPENDIX II</t>
  </si>
  <si>
    <t>CD2 &amp; CD3</t>
  </si>
  <si>
    <t xml:space="preserve">SO2 Allow. </t>
  </si>
  <si>
    <t>Calculated Totals</t>
  </si>
  <si>
    <t xml:space="preserve">                SYSTEM PRIMARY CAPACITY</t>
  </si>
  <si>
    <t>STATION</t>
  </si>
  <si>
    <t>APPALACHIAN POWER COMPANY</t>
  </si>
  <si>
    <t>TOTAL MEMBER STEAM-ELECTRIC PRIMARY CAPACITY</t>
  </si>
  <si>
    <t>EXGN/CE/PECO</t>
  </si>
  <si>
    <t>TOTAL MEMBER PRIMARY CAPACITY</t>
  </si>
  <si>
    <t>KENTUCKY POWER COMPANY</t>
  </si>
  <si>
    <t>INDIANA MICHIGAN POWER COMPANY</t>
  </si>
  <si>
    <t>Progress Energy</t>
  </si>
  <si>
    <t>18</t>
  </si>
  <si>
    <t>UBS/ABN Amro - 4470.081</t>
  </si>
  <si>
    <t>OHIO POWER COMPANY</t>
  </si>
  <si>
    <t>COLUMBUS SOUTHERN POWER COMPANY</t>
  </si>
  <si>
    <t>TOTAL SYSTEM PRIMARY CAPACITY</t>
  </si>
  <si>
    <t>SOURCE:  kW RATINGS ARE ESTABLISHED BY THE OPERATING COMMITTEE.</t>
  </si>
  <si>
    <t>APPENDIX III</t>
  </si>
  <si>
    <t>City of Westerville</t>
  </si>
  <si>
    <t>City of Columbus</t>
  </si>
  <si>
    <t xml:space="preserve">Correcting Entry for October Actual Meter Correction </t>
  </si>
  <si>
    <t>MEMBER WEIGHTED AVERAGE INVESTMENT COSTS</t>
  </si>
  <si>
    <t>AND MEMBER PRIMARY CAPACITY INVESTMENT RATES</t>
  </si>
  <si>
    <t>Installed</t>
  </si>
  <si>
    <t>Member</t>
  </si>
  <si>
    <t>Cost of</t>
  </si>
  <si>
    <t xml:space="preserve">Weighted </t>
  </si>
  <si>
    <t>Primary</t>
  </si>
  <si>
    <t>Generating Stations</t>
  </si>
  <si>
    <t>ALLOCATION BY MLR (MWh)</t>
  </si>
  <si>
    <t>Dollars</t>
  </si>
  <si>
    <t>Production</t>
  </si>
  <si>
    <t>Average</t>
  </si>
  <si>
    <t>Capacity</t>
  </si>
  <si>
    <t>Other than Hydro</t>
  </si>
  <si>
    <t>Plant *</t>
  </si>
  <si>
    <t>Investment</t>
  </si>
  <si>
    <t xml:space="preserve">Investment </t>
  </si>
  <si>
    <t>Classified as Part of</t>
  </si>
  <si>
    <t>as of</t>
  </si>
  <si>
    <t xml:space="preserve">Cost </t>
  </si>
  <si>
    <t>Member Primary Capacity</t>
  </si>
  <si>
    <t>$/kW/Month</t>
  </si>
  <si>
    <t>Rockport 2 Purchased from AEG</t>
  </si>
  <si>
    <t>Cook</t>
  </si>
  <si>
    <t>MECS</t>
  </si>
  <si>
    <t>Michigan Electric Coordinated System</t>
  </si>
  <si>
    <t>Rockport 1 Ownership Share</t>
  </si>
  <si>
    <t>Rockport 2 Leased Shared</t>
  </si>
  <si>
    <t>Tanners Creek</t>
  </si>
  <si>
    <t>Amos</t>
  </si>
  <si>
    <t>Cardinal</t>
  </si>
  <si>
    <t>Gavin</t>
  </si>
  <si>
    <t>Kammer</t>
  </si>
  <si>
    <t>Mitchell</t>
  </si>
  <si>
    <t>Muskingum River</t>
  </si>
  <si>
    <t>Sporn</t>
  </si>
  <si>
    <t xml:space="preserve">  Ohio Total</t>
  </si>
  <si>
    <t>19</t>
  </si>
  <si>
    <t xml:space="preserve">APPENDIX IV </t>
  </si>
  <si>
    <t>PRODUCTION EXPENSES INCURRED</t>
  </si>
  <si>
    <t>STEAM-ELECTRIC STATIONS ALLOCATED TO SYSTEM PRIMARY CAPACITY</t>
  </si>
  <si>
    <t>NET</t>
  </si>
  <si>
    <t>EXPENSES</t>
  </si>
  <si>
    <t>A/C 151</t>
  </si>
  <si>
    <t>A/C 152</t>
  </si>
  <si>
    <t>GLEN LYN</t>
  </si>
  <si>
    <t>KANAWHA RIVER</t>
  </si>
  <si>
    <t>CLINCH RIVER</t>
  </si>
  <si>
    <t>TES</t>
  </si>
  <si>
    <t>TECO Energy Source</t>
  </si>
  <si>
    <t>AMOS (APCO)</t>
  </si>
  <si>
    <t>MOUNTAINEER</t>
  </si>
  <si>
    <t>SUM</t>
  </si>
  <si>
    <t>COAL CONVERSION</t>
  </si>
  <si>
    <t>RATES:</t>
  </si>
  <si>
    <t>BIG SANDY</t>
  </si>
  <si>
    <t>ROCKPORT 1 (AEG)</t>
  </si>
  <si>
    <t>ROCKPORT 2 (AEG)</t>
  </si>
  <si>
    <t>A/C 515 ALL STATIONS</t>
  </si>
  <si>
    <t>TANNERS CREEK 1-3</t>
  </si>
  <si>
    <t>TANNERS CREEK TOTAL</t>
  </si>
  <si>
    <t>ROCKPORT 1</t>
  </si>
  <si>
    <t>ROCKPORT 2 (LEASED SHARE)</t>
  </si>
  <si>
    <t>SPORN (OPCO)</t>
  </si>
  <si>
    <t>MUSKINGUM</t>
  </si>
  <si>
    <t>(I - II + III)</t>
  </si>
  <si>
    <t>KAMMER</t>
  </si>
  <si>
    <t>PAGE (10-1)</t>
  </si>
  <si>
    <t>PAGE (10-2)</t>
  </si>
  <si>
    <t>(PAGE 4)</t>
  </si>
  <si>
    <t>(1)+(3)</t>
  </si>
  <si>
    <t>(2)+(4)</t>
  </si>
  <si>
    <t>CARDINAL (OPCO)</t>
  </si>
  <si>
    <t>Network Integration Transmission Service Charge</t>
  </si>
  <si>
    <t>Transmission Owner Scheduling, System…</t>
  </si>
  <si>
    <t>Power Factor Charges</t>
  </si>
  <si>
    <t>Other Supporting Facilities Charge</t>
  </si>
  <si>
    <t>MITCHELL</t>
  </si>
  <si>
    <t>AMOS (OPCO)</t>
  </si>
  <si>
    <t>GAVIN</t>
  </si>
  <si>
    <t>CONESVILLE</t>
  </si>
  <si>
    <t>PICWAY</t>
  </si>
  <si>
    <t>BECKJORD</t>
  </si>
  <si>
    <t>STUART</t>
  </si>
  <si>
    <t>ZIMMER</t>
  </si>
  <si>
    <t>SYSTEM TOTAL</t>
  </si>
  <si>
    <t>APPENDIX V</t>
  </si>
  <si>
    <t xml:space="preserve">CALCULATION OF </t>
  </si>
  <si>
    <t>PRIMARY ENERGY RATES AND PRIMARY CAPACITY FIXED OPERATING RATES</t>
  </si>
  <si>
    <t>PRODUCTION EXPENSES OF STEAM-ELECTRIC PRIMARY CAPACITY (FROM APPENDIX IV):</t>
  </si>
  <si>
    <t>COMPANY</t>
  </si>
  <si>
    <t>EXPENSE (*)</t>
  </si>
  <si>
    <t>A/C 151 (*)</t>
  </si>
  <si>
    <t>CALCULATION OF MEMBER PRIMARY RATES:</t>
  </si>
  <si>
    <t xml:space="preserve">PART OF </t>
  </si>
  <si>
    <t>GENERATION (*)</t>
  </si>
  <si>
    <t>ENERGY RATE</t>
  </si>
  <si>
    <t>Documentation of Change Management:</t>
  </si>
  <si>
    <t>Date of</t>
  </si>
  <si>
    <t>Change</t>
  </si>
  <si>
    <t>Effective Date</t>
  </si>
  <si>
    <t>Rev. No.</t>
  </si>
  <si>
    <t>Description of Change</t>
  </si>
  <si>
    <t>Owner</t>
  </si>
  <si>
    <t>Approver</t>
  </si>
  <si>
    <t>of New Version</t>
  </si>
  <si>
    <t xml:space="preserve">  (1) Adjustment from August 2005 for buy-through allocation error in ECR</t>
  </si>
  <si>
    <t>NOTES:    (*)  Figures on this page are carried on to "Total System Account Energy", Item III, page 4.</t>
  </si>
  <si>
    <t>(APPENDIX IV)</t>
  </si>
  <si>
    <t>MILLS/kWh</t>
  </si>
  <si>
    <t>(6)=(3)+(5)</t>
  </si>
  <si>
    <t>(9)=(5)/(7)</t>
  </si>
  <si>
    <t>CALCULATION OF MEMBER PRIMARY CAPACITY FIXED OPERATING RATES:</t>
  </si>
  <si>
    <t>STEAM-ELECTRIC</t>
  </si>
  <si>
    <t>($/kW)</t>
  </si>
  <si>
    <t>(10)=(1)-(2)-(6)</t>
  </si>
  <si>
    <t>(11)</t>
  </si>
  <si>
    <t>(12)=(10)/(11)</t>
  </si>
  <si>
    <t xml:space="preserve">NOTE:  </t>
  </si>
  <si>
    <t xml:space="preserve"> *  Adjusted to exclude allocation of fuel costs (Acct. 151) associated with coal conversion services.</t>
  </si>
  <si>
    <t>APPENDIX VI</t>
  </si>
  <si>
    <t>SETTLEMENT WITH SYSTEM AGENT ASSOCIATED WITH MLR</t>
  </si>
  <si>
    <t>ALLOCATIONS OF AEP SYSTEM RECEIPTS AND DELIVERIES</t>
  </si>
  <si>
    <t>ACTUAL SETTLEMENT</t>
  </si>
  <si>
    <t>ADJUSTMENT AMOUNT</t>
  </si>
  <si>
    <t xml:space="preserve">TO AGENT </t>
  </si>
  <si>
    <t>NET AMOUNT DUE</t>
  </si>
  <si>
    <t>FOR ALL SYSTEM</t>
  </si>
  <si>
    <t>TRANSACTIONS</t>
  </si>
  <si>
    <t>(EXCEPT TRANS.</t>
  </si>
  <si>
    <t>SERVICE)      (1)</t>
  </si>
  <si>
    <t>TRANSMISSION</t>
  </si>
  <si>
    <t>GROSS TOTAL</t>
  </si>
  <si>
    <t>NET TOTAL</t>
  </si>
  <si>
    <t>APPENDIX VII</t>
  </si>
  <si>
    <t>SETTLEMENT WITH SYSTEM AGENT ASSOCIATED</t>
  </si>
  <si>
    <t>NOx Differential</t>
  </si>
  <si>
    <t>Meter Correction Charges</t>
  </si>
  <si>
    <t>Wabash Capacity Payment Obligation</t>
  </si>
  <si>
    <t>(West) = 5650.002</t>
  </si>
  <si>
    <t>4470.147 &amp; 5550.053</t>
  </si>
  <si>
    <t>5614.005 &amp; 5650.002</t>
  </si>
  <si>
    <t>Journal Entry to Reclass Entergy Spread Portion to Appropriate Zone - Account 4470.066</t>
  </si>
  <si>
    <t>Transmission</t>
  </si>
  <si>
    <t>Purchased</t>
  </si>
  <si>
    <t>Page 1 of 7</t>
  </si>
  <si>
    <t>Page 5 of 7</t>
  </si>
  <si>
    <t>Page 6 of 7</t>
  </si>
  <si>
    <t>Page 7 of 7</t>
  </si>
  <si>
    <t>WITH MLR ALLOCATIONS OF AEP SYSTEM</t>
  </si>
  <si>
    <t>BOOKOUTS AND OPTIONS</t>
  </si>
  <si>
    <t>ALLOCATION BY MLR</t>
  </si>
  <si>
    <t>MCPC2</t>
  </si>
  <si>
    <t>Mid-Continent Power Corp.</t>
  </si>
  <si>
    <t>PJM Interconnection Pool</t>
  </si>
  <si>
    <t>TOTAL COSTS</t>
  </si>
  <si>
    <t>TOTAL REVENUES</t>
  </si>
  <si>
    <t>PREVIOUS</t>
  </si>
  <si>
    <t>ESTIMATE</t>
  </si>
  <si>
    <t>PJM CHARGES TRANSFERRED FROM nMARKET to AEE</t>
  </si>
  <si>
    <t>(I-II)</t>
  </si>
  <si>
    <t>CPL(Unit Power)</t>
  </si>
  <si>
    <t>DC1</t>
  </si>
  <si>
    <t>DC2</t>
  </si>
  <si>
    <t>SMT</t>
  </si>
  <si>
    <t>Check Totals</t>
  </si>
  <si>
    <t>Portion not allocated</t>
  </si>
  <si>
    <t>(1)  Power that did not enter into nor did it flow out of the AEP System, and is not included in the ECR/MLR report.</t>
  </si>
  <si>
    <t>EXERCISED</t>
  </si>
  <si>
    <t>EXERCISED OPTIONS</t>
  </si>
  <si>
    <r>
      <t xml:space="preserve">1.  </t>
    </r>
    <r>
      <rPr>
        <b/>
        <sz val="10"/>
        <color indexed="10"/>
        <rFont val="Comic Sans MS"/>
        <family val="4"/>
      </rPr>
      <t>II. Tax on Capacity Credit</t>
    </r>
    <r>
      <rPr>
        <sz val="10"/>
        <color indexed="10"/>
        <rFont val="Comic Sans MS"/>
        <family val="4"/>
      </rPr>
      <t xml:space="preserve"> (gross up) must equal </t>
    </r>
    <r>
      <rPr>
        <b/>
        <sz val="10"/>
        <color indexed="10"/>
        <rFont val="Comic Sans MS"/>
        <family val="4"/>
      </rPr>
      <t xml:space="preserve">II. Allocation of Tax </t>
    </r>
  </si>
  <si>
    <r>
      <t xml:space="preserve">     </t>
    </r>
    <r>
      <rPr>
        <b/>
        <sz val="10"/>
        <color indexed="10"/>
        <rFont val="Comic Sans MS"/>
        <family val="4"/>
      </rPr>
      <t>on Capacity Credit</t>
    </r>
    <r>
      <rPr>
        <sz val="10"/>
        <color indexed="10"/>
        <rFont val="Comic Sans MS"/>
        <family val="4"/>
      </rPr>
      <t xml:space="preserve"> (charge/credit columns).</t>
    </r>
  </si>
  <si>
    <t>17</t>
  </si>
  <si>
    <t>OPERATING COMPANY PERCENTAGE</t>
  </si>
  <si>
    <t>Internal (MLR) MLR MONTHLY MAXIMUM</t>
  </si>
  <si>
    <t>Internal (MLR) MAXIMUM 60-MINUTE</t>
  </si>
  <si>
    <r>
      <t xml:space="preserve">2. </t>
    </r>
    <r>
      <rPr>
        <b/>
        <sz val="10"/>
        <color indexed="10"/>
        <rFont val="Comic Sans MS"/>
        <family val="4"/>
      </rPr>
      <t xml:space="preserve"> I. Allocation of Tax on Sales for Resale</t>
    </r>
    <r>
      <rPr>
        <sz val="10"/>
        <color indexed="10"/>
        <rFont val="Comic Sans MS"/>
        <family val="4"/>
      </rPr>
      <t xml:space="preserve"> (MLR Share of Tax $ </t>
    </r>
  </si>
  <si>
    <r>
      <t xml:space="preserve">3.  </t>
    </r>
    <r>
      <rPr>
        <b/>
        <sz val="10"/>
        <color indexed="10"/>
        <rFont val="Comic Sans MS"/>
        <family val="4"/>
      </rPr>
      <t>II. Allocation of Tax on Capacity Credit</t>
    </r>
    <r>
      <rPr>
        <sz val="10"/>
        <color indexed="10"/>
        <rFont val="Comic Sans MS"/>
        <family val="4"/>
      </rPr>
      <t xml:space="preserve"> (ratio) must equal 1.0000.</t>
    </r>
  </si>
  <si>
    <r>
      <t xml:space="preserve">  </t>
    </r>
    <r>
      <rPr>
        <b/>
        <sz val="10"/>
        <rFont val="Comic Sans MS"/>
        <family val="4"/>
      </rPr>
      <t>Indiana Total</t>
    </r>
  </si>
  <si>
    <t>Subtotal (more than two tiers away)</t>
  </si>
  <si>
    <t>+(2)/(8) +(3)/(7)</t>
  </si>
  <si>
    <t>BROKERS'</t>
  </si>
  <si>
    <t>COMMISSIONS</t>
  </si>
  <si>
    <t>PURCHASE</t>
  </si>
  <si>
    <t>RPQ</t>
  </si>
  <si>
    <t>BROKER COMMISSIONS</t>
  </si>
  <si>
    <t xml:space="preserve">         PREVIOUS ESTIMATE</t>
  </si>
  <si>
    <t>POWER</t>
  </si>
  <si>
    <t xml:space="preserve">TOTAL NET  </t>
  </si>
  <si>
    <t>&amp; PREMIUMS (2)</t>
  </si>
  <si>
    <t xml:space="preserve">              CURRENT MONTH</t>
  </si>
  <si>
    <t>=Actual-Allocated</t>
  </si>
  <si>
    <t>CLEB2</t>
  </si>
  <si>
    <t>City of Lebanon</t>
  </si>
  <si>
    <t xml:space="preserve">                 expense, then aggregates such hourly data for the month to arrive at the totals reported above.</t>
  </si>
  <si>
    <t>ERCOT Capacity Purchases</t>
  </si>
  <si>
    <t>ERCOT Non-Dedicated Administration Fee</t>
  </si>
  <si>
    <t>Physical Off-System Purchases</t>
  </si>
  <si>
    <t>Physical Off-System Sales</t>
  </si>
  <si>
    <t>SIA Ratio Calculation</t>
  </si>
  <si>
    <t>Trading and Marketing Realizations</t>
  </si>
  <si>
    <t>Direct</t>
  </si>
  <si>
    <t>Sharing</t>
  </si>
  <si>
    <t>Allocation</t>
  </si>
  <si>
    <t>Act</t>
  </si>
  <si>
    <t>12-Month Total Realizations</t>
  </si>
  <si>
    <t>SIA Sharing Ratios for:</t>
  </si>
  <si>
    <t xml:space="preserve">SOURCE:  The ECR computer program calculates  for each hour of the month the MWh of ECONOMY deliveries </t>
  </si>
  <si>
    <t xml:space="preserve">                 and the associated charges and credits based upon an equal sharing of the savings in production </t>
  </si>
  <si>
    <t xml:space="preserve">                 used in the hourly calculations are derived in APPENDIX V.</t>
  </si>
  <si>
    <t>OPTIONS &amp;</t>
  </si>
  <si>
    <t>PREMIUMS</t>
  </si>
  <si>
    <t>04/08</t>
  </si>
  <si>
    <t>MO/YR</t>
  </si>
  <si>
    <t>03/08</t>
  </si>
  <si>
    <t>02/08</t>
  </si>
  <si>
    <t xml:space="preserve">CSP load for February 2008 was restated due to an error in the Firm schedule not mapping to the Internal (MLR) load calculation. </t>
  </si>
  <si>
    <t xml:space="preserve">SOURCE:  The ECR computer program calculates Primary energy deliveries and associated charges for each hour </t>
  </si>
  <si>
    <t xml:space="preserve">  Appalachian Total</t>
  </si>
  <si>
    <t>28</t>
  </si>
  <si>
    <t>FTR Auction Charges</t>
  </si>
  <si>
    <t>Inadvertent Interchange Charges</t>
  </si>
  <si>
    <t>PJM Scheduling System Control and Dispatch Service Charges</t>
  </si>
  <si>
    <t>Reliability First Corporation (RFC) Charges</t>
  </si>
  <si>
    <t>RECs</t>
  </si>
  <si>
    <t>Credit ($)</t>
  </si>
  <si>
    <t>Check</t>
  </si>
  <si>
    <t>Compare</t>
  </si>
  <si>
    <t xml:space="preserve">                 of the month and aggregates such MWh and Charges for the month as reported above.  The $/mWh </t>
  </si>
  <si>
    <t>(MLR * COL. 2 TOT.)</t>
  </si>
  <si>
    <t>Additional SO2 Adjustment</t>
  </si>
  <si>
    <t>Transmission Paid by East Applicable to West</t>
  </si>
  <si>
    <t>Renewable Energy Credit Commissions</t>
  </si>
  <si>
    <t>0 MW's</t>
  </si>
  <si>
    <t>225 MW's</t>
  </si>
  <si>
    <t xml:space="preserve">NOTE:  (*)  Source of data is "Summary - System Account Settlement for AEP System Deliveries" in the ECR#MLR </t>
  </si>
  <si>
    <t xml:space="preserve">                   report.  The MWh and $ CREDIT AMOUNTS labeled "As Supplied" correspond to the MWh and COST </t>
  </si>
  <si>
    <t>11</t>
  </si>
  <si>
    <t xml:space="preserve">                   columns associated with the "Total All Source Allocation".  The MWh and $ CHARGE AMOUNTS labeled</t>
  </si>
  <si>
    <t xml:space="preserve">                   "MLR SHARE" correspond to the MWh and COST columns associated with the "Total All MLR Allocation".  </t>
  </si>
  <si>
    <t xml:space="preserve">                   Not included are any demand charge portions of purchased power out-of-pocket costs allocated to AEP </t>
  </si>
  <si>
    <t xml:space="preserve">                   incurred and allocated in identical MLR proportion, thus netting zero).  Also, see NOTE (1), page 6.</t>
  </si>
  <si>
    <t>isum</t>
  </si>
  <si>
    <t xml:space="preserve">                   System deliveries (such demand costs would have no net effect in the System Account because they are </t>
  </si>
  <si>
    <t xml:space="preserve">             through the System Pool Account Agent.</t>
  </si>
  <si>
    <t xml:space="preserve">NOTE:  This statement provides amounts to be booked in accounts 555 and 447 and the settlement </t>
  </si>
  <si>
    <t>NET BOOKOUTS,</t>
  </si>
  <si>
    <t>Big Sandy</t>
  </si>
  <si>
    <t>Rockport 1 Purchased from AEG</t>
  </si>
  <si>
    <t xml:space="preserve">  Kentucky Total</t>
  </si>
  <si>
    <t>GAIN</t>
  </si>
  <si>
    <t xml:space="preserve">OPTIONS, </t>
  </si>
  <si>
    <t>COMMISSIONS,</t>
  </si>
  <si>
    <t>NON-ECR</t>
  </si>
  <si>
    <t>BUCKEYE</t>
  </si>
  <si>
    <t>PASS-THROUGH</t>
  </si>
  <si>
    <t>CONGESTION</t>
  </si>
  <si>
    <t>ACCT. 4470.006</t>
  </si>
  <si>
    <t>ACCT. 4470.007</t>
  </si>
  <si>
    <t>(2)  Sold in previous period(s) and exercised in:</t>
  </si>
  <si>
    <t>OFF-SYSTEM THIRD PARTY</t>
  </si>
  <si>
    <t>SALES (1)</t>
  </si>
  <si>
    <t xml:space="preserve">      KPCO allowance:</t>
  </si>
  <si>
    <t xml:space="preserve">      I&amp;M allowance:</t>
  </si>
  <si>
    <t>(2) APCO allowance:</t>
  </si>
  <si>
    <t>Period</t>
  </si>
  <si>
    <t>Accounts</t>
  </si>
  <si>
    <t>Loss</t>
  </si>
  <si>
    <t>City of Westerville - Generation</t>
  </si>
  <si>
    <t>PJM - Westerville - Generation</t>
  </si>
  <si>
    <t>Lawrenceburg Purchased from AEG</t>
  </si>
  <si>
    <t>Sharing %'s</t>
  </si>
  <si>
    <t>East</t>
  </si>
  <si>
    <t>West</t>
  </si>
  <si>
    <t>Split Dollars</t>
  </si>
  <si>
    <t>SWEPCo</t>
  </si>
  <si>
    <t>Applicable</t>
  </si>
  <si>
    <t>Gain /</t>
  </si>
  <si>
    <t>Page 2 of 7</t>
  </si>
  <si>
    <t>Page 4 of 7</t>
  </si>
  <si>
    <t>Page 3 of 7</t>
  </si>
  <si>
    <t>Day-Ahead Scheduling Reserve</t>
  </si>
  <si>
    <t>Adj. for Other Supporting Facilities Charge - Aggregate Allocation</t>
  </si>
  <si>
    <t>Adj. for Load Reconciliation for Transmission Losses Charge</t>
  </si>
  <si>
    <t>Load Reconciliation for Inadvertent Interchange Charge</t>
  </si>
  <si>
    <t>Load Reconciliation for PJM Scheduling, System Control and Dispatch Service Refund Charge</t>
  </si>
  <si>
    <t>Load Reconciliation for FERC Annual Charge Recovery Charge</t>
  </si>
  <si>
    <t>Load Reconciliation for Organization of PJM States, Inc. (OPSI) Funding Charge</t>
  </si>
  <si>
    <t>Load Reconciliation for North American Electric Reliability Corporation (NERC) Charge</t>
  </si>
  <si>
    <t>Load Reconciliation for Reliability First Corporation (RFC) Charge</t>
  </si>
  <si>
    <t>Adj. To Balancing Operating Reserves Credits</t>
  </si>
  <si>
    <t>Misc Credits</t>
  </si>
  <si>
    <t>Fowler Ridge Wind Farm</t>
  </si>
  <si>
    <t>*The Fowler Ridge Wind Farm capacity has been pro-rated for the period following its closing on February 27, 2009.  In subsequent months, APCO will receive a full primary capacity credit of 34 MW.</t>
  </si>
  <si>
    <r>
      <t xml:space="preserve">(2) A portion of the DUKE invoice is charged back to CLEB2 </t>
    </r>
    <r>
      <rPr>
        <b/>
        <sz val="8"/>
        <color indexed="8"/>
        <rFont val="Comic Sans MS"/>
        <family val="4"/>
      </rPr>
      <t>($26,476)</t>
    </r>
  </si>
  <si>
    <t>Adj. for Other Supporting Facilities Charges - Aggregate Allocation</t>
  </si>
  <si>
    <t>Adj. for Other Supporting Facilities Charges - Power Factor</t>
  </si>
  <si>
    <t>74.993 MW's</t>
  </si>
  <si>
    <t>Buckeye - Financial Payment-Correcting Entry for December 2008 Actual</t>
  </si>
  <si>
    <t>4470.107 &amp; 4470.110</t>
  </si>
  <si>
    <t>5550.035 &amp; 5550.099</t>
  </si>
  <si>
    <t>PJM Purchases Non-ECR - Auctions</t>
  </si>
  <si>
    <t>PJM Capacity Purchases - Auction</t>
  </si>
  <si>
    <t>Non-ECR Auction Sales - OSS</t>
  </si>
  <si>
    <t>Swaps Related to PJM Purchases Non-ECR - Auction</t>
  </si>
  <si>
    <t>Change in SIA Sharing Related to ICR Re-runs</t>
  </si>
  <si>
    <t xml:space="preserve">TOTAL </t>
  </si>
  <si>
    <t>(2)  Prior period adjustments that apply to ICR Reruns for 2-07 thru 10-08 as shown in Appendix VIII, page 6.</t>
  </si>
  <si>
    <t>East Summary:</t>
  </si>
  <si>
    <t>West Summary:</t>
  </si>
  <si>
    <t>AMOS 1</t>
  </si>
  <si>
    <t>AMOS 2</t>
  </si>
  <si>
    <t>ACCOUNTS RECEIVABLE</t>
  </si>
  <si>
    <t>ACCOUNTS PAYABLE</t>
  </si>
  <si>
    <t>AEP SYSTEM MLR ALLOCATION OF PASS-THROUGH RECEIPTS FOR TRANSMISSION SERVICE TO BE RECORDED</t>
  </si>
  <si>
    <t>AMOS 3</t>
  </si>
  <si>
    <t>SPORN 1</t>
  </si>
  <si>
    <t>SPORN 2</t>
  </si>
  <si>
    <t>SPORN 3</t>
  </si>
  <si>
    <t>SPORN 4</t>
  </si>
  <si>
    <t>SPORN 5</t>
  </si>
  <si>
    <t>BIG SANDY 1</t>
  </si>
  <si>
    <t>BIG SANDY 2</t>
  </si>
  <si>
    <t>ROCKPORT 2</t>
  </si>
  <si>
    <t>TANNERS CREEK 1</t>
  </si>
  <si>
    <t>TANNERS CREEK 2</t>
  </si>
  <si>
    <t>TANNERS CREEK 3</t>
  </si>
  <si>
    <t>CONESVILLE 5</t>
  </si>
  <si>
    <t>CONESVILLE 6</t>
  </si>
  <si>
    <t>MOUNTAINEER 1</t>
  </si>
  <si>
    <t>CLINCH RIVER 1</t>
  </si>
  <si>
    <t>CLINCH RIVER 2</t>
  </si>
  <si>
    <t>CLINCH RIVER 3</t>
  </si>
  <si>
    <t>KANAWHA RIVER 1</t>
  </si>
  <si>
    <t>KANAWHA RIVER 2</t>
  </si>
  <si>
    <t>GLEN LYN 51</t>
  </si>
  <si>
    <t>GLEN LYN 52</t>
  </si>
  <si>
    <t>GLEN LYN 6</t>
  </si>
  <si>
    <t>AM1</t>
  </si>
  <si>
    <t>AM2</t>
  </si>
  <si>
    <t>AM3</t>
  </si>
  <si>
    <t>CR1</t>
  </si>
  <si>
    <t>CR2</t>
  </si>
  <si>
    <t>CR3</t>
  </si>
  <si>
    <t>GL51</t>
  </si>
  <si>
    <t>GL52</t>
  </si>
  <si>
    <t>GL6</t>
  </si>
  <si>
    <t>KR1</t>
  </si>
  <si>
    <t>KR2</t>
  </si>
  <si>
    <t>MT1</t>
  </si>
  <si>
    <t>SP1</t>
  </si>
  <si>
    <t>SP2</t>
  </si>
  <si>
    <t>SP3</t>
  </si>
  <si>
    <t>SP4</t>
  </si>
  <si>
    <t>SP5</t>
  </si>
  <si>
    <t>BS1</t>
  </si>
  <si>
    <t>BS2</t>
  </si>
  <si>
    <t>TC1</t>
  </si>
  <si>
    <t>TC2</t>
  </si>
  <si>
    <t>TC3</t>
  </si>
  <si>
    <t xml:space="preserve">Swaps Related to HPJM &amp; NPJM Books </t>
  </si>
  <si>
    <t>CV5</t>
  </si>
  <si>
    <t>CV6</t>
  </si>
  <si>
    <t>SYSTEMS</t>
  </si>
  <si>
    <t>(b)</t>
  </si>
  <si>
    <t>ZM1</t>
  </si>
  <si>
    <t>ZIMMER 1</t>
  </si>
  <si>
    <t>RP1 (AEG)</t>
  </si>
  <si>
    <t>CD3</t>
  </si>
  <si>
    <t>CARDINAL 3</t>
  </si>
  <si>
    <t>RP1 (OS)</t>
  </si>
  <si>
    <t>SPORN (APCO)</t>
  </si>
  <si>
    <t>Realization Sharing Calculations</t>
  </si>
  <si>
    <t xml:space="preserve">West Share of </t>
  </si>
  <si>
    <t>(1) $285,750 of the ENTE invoice will be allocated to PSO/SWEPCO - See Appendix VIII Page 4</t>
  </si>
  <si>
    <t>07/08</t>
  </si>
  <si>
    <t>21</t>
  </si>
  <si>
    <t>PJM NON-ECR PURCHASES - LSE</t>
  </si>
  <si>
    <t>*  SOURCE:  Line 17 of Schedule entitled "Steam-Electric Generating Plant Statistics (Large Plants)" in the FERC Form No. 1</t>
  </si>
  <si>
    <t>08/08</t>
  </si>
  <si>
    <t>01</t>
  </si>
  <si>
    <t>22</t>
  </si>
  <si>
    <t>07/31/08 HR 14</t>
  </si>
  <si>
    <t>06/09/08 HR 12</t>
  </si>
  <si>
    <t>06/09/08 HR 16</t>
  </si>
  <si>
    <t xml:space="preserve">AP load for July 21, 2008 was changed from 6504 MW to 6493 MW. The Mosel 69 kV tie was understated due to a blown fuse on the meter.  </t>
  </si>
  <si>
    <t>Buckeye Pass-Through</t>
  </si>
  <si>
    <t>Buckeye</t>
  </si>
  <si>
    <t>PJM Admin Fee - Schedule 9 MMU</t>
  </si>
  <si>
    <t xml:space="preserve">     to column (1) numbers).</t>
  </si>
  <si>
    <t xml:space="preserve">East Share of </t>
  </si>
  <si>
    <t>Number</t>
  </si>
  <si>
    <t>ACCT. 4470.010</t>
  </si>
  <si>
    <t>ACCT. 4470.011</t>
  </si>
  <si>
    <t>Central Hudson Gas &amp; Electric Corp.</t>
  </si>
  <si>
    <t>Transmission Purchases</t>
  </si>
  <si>
    <t>(MLR ALLOC.)</t>
  </si>
  <si>
    <t>(SOURCE ALLOC)</t>
  </si>
  <si>
    <t>10</t>
  </si>
  <si>
    <t>BUCKEYE TOTAL</t>
  </si>
  <si>
    <t>ROCKPORT 1 (OWNED SHARE)</t>
  </si>
  <si>
    <t>ComEd Wholesale Marketing</t>
  </si>
  <si>
    <t>Duke Power Company</t>
  </si>
  <si>
    <t>PJM Interconnection</t>
  </si>
  <si>
    <t>CPP</t>
  </si>
  <si>
    <t>BELOW THE LINE</t>
  </si>
  <si>
    <t>PJM Default Payment Charge - OSS</t>
  </si>
  <si>
    <t>Renewable Energy Credits</t>
  </si>
  <si>
    <t>SO2 Differential</t>
  </si>
  <si>
    <t>BELOW THE</t>
  </si>
  <si>
    <t>LINE</t>
  </si>
  <si>
    <t>(ABOVE THE LINE)</t>
  </si>
  <si>
    <t>CHECK TOTALS</t>
  </si>
  <si>
    <t>NO LONGER PARTIAL OWNER</t>
  </si>
  <si>
    <t>WESTERN AEP:</t>
  </si>
  <si>
    <t>=</t>
  </si>
  <si>
    <t>PAGE (6B)</t>
  </si>
  <si>
    <t>East Zone SIA</t>
  </si>
  <si>
    <t>PJM CHARGES FOR EAST ZONE SIA</t>
  </si>
  <si>
    <t>ALLOCATION OF REALIZATION SHARING BY EASTERN AEP OPERATING COMPANIES AND ACCOUNT NUMBERS</t>
  </si>
  <si>
    <t>EASTERN AEP:</t>
  </si>
  <si>
    <t>x</t>
  </si>
  <si>
    <t>ACCOUNT NO.</t>
  </si>
  <si>
    <t>TOTAL OF ALL</t>
  </si>
  <si>
    <t>ACCOUNTS</t>
  </si>
  <si>
    <t>CEREDO</t>
  </si>
  <si>
    <t>Account</t>
  </si>
  <si>
    <t>PJM NON-ECR</t>
  </si>
  <si>
    <t>PJM NON-ECR PURCHASES-OSS</t>
  </si>
  <si>
    <t>NON-ECR PHYSICAL SALES-OSS</t>
  </si>
  <si>
    <t>Amount</t>
  </si>
  <si>
    <t>APPENDIX VIII</t>
  </si>
  <si>
    <t>West. AEP</t>
  </si>
  <si>
    <t>VII.</t>
  </si>
  <si>
    <t>TRADING &amp; MARKETING REALIZATION</t>
  </si>
  <si>
    <t xml:space="preserve">ADJUSTMENT TO ALLOCATION OF </t>
  </si>
  <si>
    <t>SALES (2)</t>
  </si>
  <si>
    <t>SERVICE</t>
  </si>
  <si>
    <t>COMMISSIONS (3)</t>
  </si>
  <si>
    <t>(PURCHASES)</t>
  </si>
  <si>
    <t>TO BE BOOKED NEXT MONTH</t>
  </si>
  <si>
    <t>(SEE PAGE 6B)</t>
  </si>
  <si>
    <t>ADJUSTMENT FOR TRANSMISSION</t>
  </si>
  <si>
    <t xml:space="preserve">SERVICE (PURCHASES) TO BE </t>
  </si>
  <si>
    <t>BOOKED NEXT MONTH</t>
  </si>
  <si>
    <t>CHECK</t>
  </si>
  <si>
    <t>Realization</t>
  </si>
  <si>
    <t>Allegheny Power GM</t>
  </si>
  <si>
    <t>TOTAL SHARE</t>
  </si>
  <si>
    <t>Check Calculation</t>
  </si>
  <si>
    <t>TRANSMISSION SERVICE</t>
  </si>
  <si>
    <t>(b)  From Continuous Emission Monitoring System monthly data.</t>
  </si>
  <si>
    <t>New York Power Authority</t>
  </si>
  <si>
    <t>NYSEG Energy Trading</t>
  </si>
  <si>
    <t>City of Redding</t>
  </si>
  <si>
    <t>AMPO</t>
  </si>
  <si>
    <t>Total</t>
  </si>
  <si>
    <t>AMOUNT DUE (TO)/FROM AGENT</t>
  </si>
  <si>
    <t>Pwr</t>
  </si>
  <si>
    <t>CO.</t>
  </si>
  <si>
    <t>Code</t>
  </si>
  <si>
    <t>Customer</t>
  </si>
  <si>
    <t>ACCT</t>
  </si>
  <si>
    <t>AGNT</t>
  </si>
  <si>
    <t>BILL</t>
  </si>
  <si>
    <t>Totals</t>
  </si>
  <si>
    <t>APGM</t>
  </si>
  <si>
    <t>07</t>
  </si>
  <si>
    <t>CPLC</t>
  </si>
  <si>
    <t>02</t>
  </si>
  <si>
    <t>CPMT</t>
  </si>
  <si>
    <t>CEWM</t>
  </si>
  <si>
    <t>04</t>
  </si>
  <si>
    <t>ENTE</t>
  </si>
  <si>
    <t>FEWM</t>
  </si>
  <si>
    <t>MIJM</t>
  </si>
  <si>
    <t>OVPS</t>
  </si>
  <si>
    <t>PJM</t>
  </si>
  <si>
    <t>SWE</t>
  </si>
  <si>
    <t>SWPP</t>
  </si>
  <si>
    <t>TVAM</t>
  </si>
  <si>
    <t>VAPG</t>
  </si>
  <si>
    <t>BPAP</t>
  </si>
  <si>
    <t>Notes:</t>
  </si>
  <si>
    <t>Short Desc</t>
  </si>
  <si>
    <t>Descr</t>
  </si>
  <si>
    <t>ACE</t>
  </si>
  <si>
    <t>Atlantic City Elect</t>
  </si>
  <si>
    <t>ACET</t>
  </si>
  <si>
    <t>Acetex - Mingo Jct Energy</t>
  </si>
  <si>
    <t>AECC</t>
  </si>
  <si>
    <t>Arkansas Electric Co-Op Corp</t>
  </si>
  <si>
    <t>4210.032</t>
  </si>
  <si>
    <t>4210.031</t>
  </si>
  <si>
    <t>31</t>
  </si>
  <si>
    <t>30</t>
  </si>
  <si>
    <t>20</t>
  </si>
  <si>
    <t>AEMC</t>
  </si>
  <si>
    <t>TOTAL PJM CHARGES TRANSFERRED FROM nMARKET TO AEE (ESTIMATED)</t>
  </si>
  <si>
    <t>TOTAL PJM CHARGES TRANSFERRED FROM nMARKET TO AEE (ACTUAL)</t>
  </si>
  <si>
    <t>TOTAL PJM CHARGES TRANSFERRED FROM nMARKET TO AEE (ADJUSTMENT)</t>
  </si>
  <si>
    <t>(1)  The results shown on this appendix are tabulated for system settlement on IPS, page 1, items VI and VII.</t>
  </si>
  <si>
    <t>TOTAL PJM CHARGES (NON-ECR) FROM INVOICE (ESTIMATED)</t>
  </si>
  <si>
    <t>TOTAL PJM CHARGES (NON-ECR) FROM INVOICE (ACTUAL)</t>
  </si>
  <si>
    <t>Aquila Energy Marktg</t>
  </si>
  <si>
    <t>AEN</t>
  </si>
  <si>
    <t>Austin Energy</t>
  </si>
  <si>
    <t>AEPES</t>
  </si>
  <si>
    <t>AEP Energy Services</t>
  </si>
  <si>
    <t>AES</t>
  </si>
  <si>
    <t>Alliance Energy Services</t>
  </si>
  <si>
    <t>AETC</t>
  </si>
  <si>
    <t>AMOCO Energy Trading</t>
  </si>
  <si>
    <t>AETS</t>
  </si>
  <si>
    <t>Allegheny Energy</t>
  </si>
  <si>
    <t>ALTM</t>
  </si>
  <si>
    <t>Alliant Energy</t>
  </si>
  <si>
    <t>American Municipal Power-Ohio</t>
  </si>
  <si>
    <t>ANHM</t>
  </si>
  <si>
    <t>City of Anaheim</t>
  </si>
  <si>
    <t>APM</t>
  </si>
  <si>
    <t>Associated Elect Cooperative</t>
  </si>
  <si>
    <t>APQF</t>
  </si>
  <si>
    <t>Aquenergy System</t>
  </si>
  <si>
    <t>APS</t>
  </si>
  <si>
    <t>Arizona Public Svc</t>
  </si>
  <si>
    <t>APX</t>
  </si>
  <si>
    <t>Automated Power Exchange, Inc</t>
  </si>
  <si>
    <t>Arcadia</t>
  </si>
  <si>
    <t>Arcadia  (OMEG)</t>
  </si>
  <si>
    <t>AVA</t>
  </si>
  <si>
    <t>Avista Corporation</t>
  </si>
  <si>
    <t>AVST</t>
  </si>
  <si>
    <t>Avista Energy, Inc.</t>
  </si>
  <si>
    <t>AYP</t>
  </si>
  <si>
    <t>AYP Energy, Inc.</t>
  </si>
  <si>
    <t>BCPD</t>
  </si>
  <si>
    <t>PUD No. 1 of Benton</t>
  </si>
  <si>
    <t>BGE</t>
  </si>
  <si>
    <t>Baltimore Gas &amp; Electric</t>
  </si>
  <si>
    <t>Bloomdale</t>
  </si>
  <si>
    <t>Bloomdale  (OMEG)</t>
  </si>
  <si>
    <t>BLUE</t>
  </si>
  <si>
    <t>Blue Ridge Power Agency</t>
  </si>
  <si>
    <t>Bonneville Power Admin</t>
  </si>
  <si>
    <t>BPEC</t>
  </si>
  <si>
    <t>B.P. Energy Company</t>
  </si>
  <si>
    <t>BRPS</t>
  </si>
  <si>
    <t>BREC Power Supply</t>
  </si>
  <si>
    <t>Bryan</t>
  </si>
  <si>
    <t>Bryan  (OMEG)</t>
  </si>
  <si>
    <t>BRYN2</t>
  </si>
  <si>
    <t>City of Bryan, Texas</t>
  </si>
  <si>
    <t>BUCK</t>
  </si>
  <si>
    <t>Buckeye Rural Electric Admin</t>
  </si>
  <si>
    <t>BURB</t>
  </si>
  <si>
    <t>City of Burbank</t>
  </si>
  <si>
    <t>CAES</t>
  </si>
  <si>
    <t>ConAgra Energy Services, Inc.</t>
  </si>
  <si>
    <t>CALP</t>
  </si>
  <si>
    <t>Calpine Power Service Company</t>
  </si>
  <si>
    <t>Carey</t>
  </si>
  <si>
    <t>Carey   (OMEG)</t>
  </si>
  <si>
    <t>CEDE</t>
  </si>
  <si>
    <t>ConEd Energy</t>
  </si>
  <si>
    <t>CEDS</t>
  </si>
  <si>
    <t>Con Edison Solutions, Inc.</t>
  </si>
  <si>
    <t>CEPD</t>
  </si>
  <si>
    <t>ConEdison Company of New York</t>
  </si>
  <si>
    <t>CETR</t>
  </si>
  <si>
    <t>Consumers Energy Traders</t>
  </si>
  <si>
    <t>CHEC</t>
  </si>
  <si>
    <t>CHPM</t>
  </si>
  <si>
    <t>Chelan County PUD</t>
  </si>
  <si>
    <t>CIES</t>
  </si>
  <si>
    <t>Cook Inlet Energy Supply, LP</t>
  </si>
  <si>
    <t>CILM</t>
  </si>
  <si>
    <t>Central Illinois</t>
  </si>
  <si>
    <t>CISO</t>
  </si>
  <si>
    <t>California ISO</t>
  </si>
  <si>
    <t>CITZ</t>
  </si>
  <si>
    <t>Citizens Lehman Power Sales</t>
  </si>
  <si>
    <t>CLEC</t>
  </si>
  <si>
    <t>Cleco Utility Group, LLC</t>
  </si>
  <si>
    <t>Clyde</t>
  </si>
  <si>
    <t>Clyde  (OMEG)</t>
  </si>
  <si>
    <t>CMS</t>
  </si>
  <si>
    <t>CMS Marketing Svcs and Trading</t>
  </si>
  <si>
    <t>CNCT</t>
  </si>
  <si>
    <t>Conectiv Energy Supply, Inc.</t>
  </si>
  <si>
    <t>CNGP</t>
  </si>
  <si>
    <t>CNG Power Services</t>
  </si>
  <si>
    <t>CONC</t>
  </si>
  <si>
    <t>Conoco Inc.</t>
  </si>
  <si>
    <t>CORP</t>
  </si>
  <si>
    <t>Coral Power, LLC</t>
  </si>
  <si>
    <t>CPM</t>
  </si>
  <si>
    <t>Columbia Power Marketing Corp</t>
  </si>
  <si>
    <t>Cinergy Power Mktg &amp; Trading</t>
  </si>
  <si>
    <t xml:space="preserve">Changed the input macro to prompt the user for the year.  Previously, the year was hard-coded in the macro. </t>
  </si>
  <si>
    <t>Cleveland Public Power</t>
  </si>
  <si>
    <t>CPS</t>
  </si>
  <si>
    <t>Constellation Power Source</t>
  </si>
  <si>
    <t>CPX</t>
  </si>
  <si>
    <t>(3)  Actual commissions paid in:</t>
  </si>
  <si>
    <t>Rate**</t>
  </si>
  <si>
    <t>** SOURCE:  Member Weighted Average Investment Cost multiplied by Monthly Carrying Charge Factor from</t>
  </si>
  <si>
    <t xml:space="preserve">                     Interconnection Agreement, Article 6.212.</t>
  </si>
  <si>
    <t>SPP Non-Dedicated Region Settlement</t>
  </si>
  <si>
    <t>City of Columbus Generation Credit</t>
  </si>
  <si>
    <t>SO2 &amp; NOX emission allowances used in dispatch versus operating companies inventory costs (see page 11).</t>
  </si>
  <si>
    <t>Buckeye Energy / Mone UCAP</t>
  </si>
  <si>
    <t>Split Rock Energy</t>
  </si>
  <si>
    <t>CHECK W/CKD</t>
  </si>
  <si>
    <t>Transmission Enhancement Charges</t>
  </si>
  <si>
    <t>Adj. to Non-Firm Point-to-Point Transmission Service Charges</t>
  </si>
  <si>
    <t>Adj. for Day-Ahead Economic Load Response Charge</t>
  </si>
  <si>
    <t>Adj. to Meter Correction Charges</t>
  </si>
  <si>
    <t>Adj. for Reactive Supply and Voltage Control from Generation Sources Service Charges</t>
  </si>
  <si>
    <t>Adj. for Synchronous Reserve Charge</t>
  </si>
  <si>
    <t>Adj. for Balancing Operating Reserve for Load Response</t>
  </si>
  <si>
    <t>Adj. to Black Start Service Charges</t>
  </si>
  <si>
    <t>Load Reconciliation for Balancing Operating Reserve</t>
  </si>
  <si>
    <t>Load Reconciliation for Reactive Services Charge</t>
  </si>
  <si>
    <t>Adj. for Miscellaneous Bilateral (WVPA) - Regulation</t>
  </si>
  <si>
    <t>Adj. for Miscellaneous Bilateral (WVPA) - Synchronous Reserve</t>
  </si>
  <si>
    <t>Adj. for Miscellaneous Bilateral (WVPA) - Spot Market</t>
  </si>
  <si>
    <t>Adj. for Miscellaneous Bilateral (WVPA) - Congestion</t>
  </si>
  <si>
    <t>Adj. for Miscellaneous Bilateral (WVPA) - Losses</t>
  </si>
  <si>
    <t>Adj. for Miscellaneous Bilateral (WVPA) - Trans Loss Credit</t>
  </si>
  <si>
    <t>Adj. for Miscellaneous Bilateral (WVPA) - PJM Scheduling Control &amp; Disspatch Service Charges</t>
  </si>
  <si>
    <t>Adj. for Miscellaneous Bilateral (WVPA) - Transmission Owner</t>
  </si>
  <si>
    <t>Adj. to Transmission Congestion Credits for Jun 2006 - May 2007</t>
  </si>
  <si>
    <t>Market Monitoring Unit (MMU) Funding Charge</t>
  </si>
  <si>
    <t>FERC Annual Charge Recovery Charge</t>
  </si>
  <si>
    <t>Organization of PJM States, Inc. (OPSI) Funding Charge</t>
  </si>
  <si>
    <t>Day-Ahead Scheduling Reserve Charges</t>
  </si>
  <si>
    <t>Load Reconciliation for Day-ahead Scheduling Reserve Charge</t>
  </si>
  <si>
    <t>Load Reconciliation for Reactive Services</t>
  </si>
  <si>
    <t xml:space="preserve">       </t>
  </si>
  <si>
    <t xml:space="preserve">         companies are recovered as credits.  Includes adjustment to account for the difference between market price of </t>
  </si>
  <si>
    <t>(2)    The total of the credits reported in the ECR#MLR report for System Sales for Resale (A/C 447).</t>
  </si>
  <si>
    <t>MLR Report</t>
  </si>
  <si>
    <t>Cantor</t>
  </si>
  <si>
    <t>Plant Performance</t>
  </si>
  <si>
    <t>Macro</t>
  </si>
  <si>
    <t>AMS Recap</t>
  </si>
  <si>
    <t>Dale Template Pg 2</t>
  </si>
  <si>
    <t>Dale Template Pg 3</t>
  </si>
  <si>
    <t>Dale Template Pg 1</t>
  </si>
  <si>
    <t xml:space="preserve">(1)     The variable energy costs, which are incurred by the members in supplying energy for AEP System deliveries to non-affiliated </t>
  </si>
  <si>
    <t>Firm Load Gen.</t>
  </si>
  <si>
    <t>California Power Exchange</t>
  </si>
  <si>
    <t>CRC</t>
  </si>
  <si>
    <t>Colorado River Commission</t>
  </si>
  <si>
    <t>CRGL</t>
  </si>
  <si>
    <t>Cargill - Alliant</t>
  </si>
  <si>
    <t>CTM</t>
  </si>
  <si>
    <t>CLECO Corporation Trading</t>
  </si>
  <si>
    <t>CWL</t>
  </si>
  <si>
    <t>City, Water and Light</t>
  </si>
  <si>
    <t>Cygnet</t>
  </si>
  <si>
    <t>Cygnet  (OMEG)</t>
  </si>
  <si>
    <t>DEL</t>
  </si>
  <si>
    <t>Delmarva Power &amp; Light</t>
  </si>
  <si>
    <t>DEMO</t>
  </si>
  <si>
    <t>Detroit Edison Merch</t>
  </si>
  <si>
    <t>Deshler</t>
  </si>
  <si>
    <t>Deshler  (OMEG)</t>
  </si>
  <si>
    <t>DETM</t>
  </si>
  <si>
    <t>Duke Energy Trading</t>
  </si>
  <si>
    <t>DGTM</t>
  </si>
  <si>
    <t>Deseret Gen &amp; Trans Co-op</t>
  </si>
  <si>
    <t>DLPM</t>
  </si>
  <si>
    <t>Duquesne Light Company</t>
  </si>
  <si>
    <t>DPLG</t>
  </si>
  <si>
    <t>DP&amp;L Power Services</t>
  </si>
  <si>
    <t>DTET</t>
  </si>
  <si>
    <t>DTE Energy Trading, Inc.</t>
  </si>
  <si>
    <t>DUKS</t>
  </si>
  <si>
    <t>DukeSolutions, Inc.</t>
  </si>
  <si>
    <t>DYPM</t>
  </si>
  <si>
    <t>MISO</t>
  </si>
  <si>
    <t>Midwest ISO</t>
  </si>
  <si>
    <t>Dynegy Power Marketing, Inc.</t>
  </si>
  <si>
    <t>EEI</t>
  </si>
  <si>
    <t>Electric Energy, Inc.</t>
  </si>
  <si>
    <t>EKPM</t>
  </si>
  <si>
    <t>East KY Power Co-Op Power Mktg</t>
  </si>
  <si>
    <t>ELKM</t>
  </si>
  <si>
    <t>Elkem</t>
  </si>
  <si>
    <t>EMMT</t>
  </si>
  <si>
    <t>Description</t>
  </si>
  <si>
    <t>Commissions on Bookout Purchases</t>
  </si>
  <si>
    <t>Commissions on Bookout Sales</t>
  </si>
  <si>
    <t>Exercised Sales Options</t>
  </si>
  <si>
    <t>Exercised Purchase Options</t>
  </si>
  <si>
    <t>Swaps Related to Trading Activity ("P" Books)</t>
  </si>
  <si>
    <t>Swaps Related to Accrual / Hedging Activity</t>
  </si>
  <si>
    <t>Below the Line Activity:</t>
  </si>
  <si>
    <t>Transitional Purchases (West Coast)</t>
  </si>
  <si>
    <t>Transitional Sales (West Coast)</t>
  </si>
  <si>
    <t>Above the Line Activity:</t>
  </si>
  <si>
    <t>(SEE APPENDIX VIII, pages 2, 3, &amp; 4)</t>
  </si>
  <si>
    <t>Physical Energy Sales Margins</t>
  </si>
  <si>
    <t>16</t>
  </si>
  <si>
    <t>15</t>
  </si>
  <si>
    <t>14</t>
  </si>
  <si>
    <t>13</t>
  </si>
  <si>
    <t>Lawrenceburg</t>
  </si>
  <si>
    <t>COLUMBUS SOUHTHERN POWER COMPANY</t>
  </si>
  <si>
    <t>Columbus Total</t>
  </si>
  <si>
    <t>Difference between Market price and Book Value</t>
  </si>
  <si>
    <t>West Non-Dedicated Sales Demand Charges</t>
  </si>
  <si>
    <t>West Non-Dedicated Purchase Demand Charges</t>
  </si>
  <si>
    <t>PJM Entries</t>
  </si>
  <si>
    <t>AEP Pool Purchases from Dow Plaquemine</t>
  </si>
  <si>
    <t>4470.001, 002 &amp; 089</t>
  </si>
  <si>
    <t>Off System Physical Purchases</t>
  </si>
  <si>
    <t>Off System Physical Purchases for Agent for Contracts</t>
  </si>
  <si>
    <t>SPREADS FOR DIRECT ALLOCATION TO WEST</t>
  </si>
  <si>
    <t>ADJUSTMENT FOR RECLASS OF ENTERGY</t>
  </si>
  <si>
    <t>Off System Physical Purchases for BGE / PEPCo</t>
  </si>
  <si>
    <t>4470.001 &amp; 002</t>
  </si>
  <si>
    <t xml:space="preserve">Received </t>
  </si>
  <si>
    <t>From</t>
  </si>
  <si>
    <t>Source File</t>
  </si>
  <si>
    <t>ECR Section 452</t>
  </si>
  <si>
    <t>Quaintance</t>
  </si>
  <si>
    <t>IPS</t>
  </si>
  <si>
    <t>Shimman</t>
  </si>
  <si>
    <t>Supplemental Spreadsheet</t>
  </si>
  <si>
    <t>Woodruff</t>
  </si>
  <si>
    <t>Buckeye / PJM Entry</t>
  </si>
  <si>
    <t>Reed</t>
  </si>
  <si>
    <t>PJM Entry</t>
  </si>
  <si>
    <t>Sterling</t>
  </si>
  <si>
    <t>Gas Off System File</t>
  </si>
  <si>
    <t>Entries Received from Christoff</t>
  </si>
  <si>
    <t>East Off System Spreadsheets</t>
  </si>
  <si>
    <t>Roberts</t>
  </si>
  <si>
    <t>West Off System Spreadsheets</t>
  </si>
  <si>
    <t>Bookout Purchases Related to Entergy Spreads</t>
  </si>
  <si>
    <t>Bookout Sales Related to Entergy Spreads</t>
  </si>
  <si>
    <t>(East) = 4470.066</t>
  </si>
  <si>
    <t>Exercised  &amp; Expired Sales Option Premiums</t>
  </si>
  <si>
    <t>Gas Swaps - NYMEX, Basis, Gas Daily, Penult</t>
  </si>
  <si>
    <t>$ COST</t>
  </si>
  <si>
    <t>$ REVENUE</t>
  </si>
  <si>
    <t>PJM NON-ECR - ACTUAL</t>
  </si>
  <si>
    <t>Exercised &amp; Expired Purchase Option Premiums</t>
  </si>
  <si>
    <t>Bookout Purchase Commissions Related to Entergy Spread</t>
  </si>
  <si>
    <t>Bookout Sales Commissions Related to Entergy Spread</t>
  </si>
  <si>
    <t>Edison Mission Mktg &amp; Trading</t>
  </si>
  <si>
    <t>ENERZ</t>
  </si>
  <si>
    <t>ENGA</t>
  </si>
  <si>
    <t>Engage Energy</t>
  </si>
  <si>
    <t>Western AEP Needs to Receive from Eastern AEP</t>
  </si>
  <si>
    <t>PJM - New Allocation Summary Sheet Effective 10-07</t>
  </si>
  <si>
    <t>PJM Administration Fees - Schedule 9 &amp; 10 Effective 10-07</t>
  </si>
  <si>
    <t>PJM Non-ECR Explicit Congestion &amp; Losses Effective 10-07</t>
  </si>
  <si>
    <t>PJM NITS &amp; Transmission Owner Entry Effective 10-07</t>
  </si>
  <si>
    <t>05/08</t>
  </si>
  <si>
    <t>27</t>
  </si>
  <si>
    <t>FTR Charges/Credits</t>
  </si>
  <si>
    <t>PJM Scheduling System Control Charges - LSE</t>
  </si>
  <si>
    <t>Transmission Owner Scheduling Charges (Expense)</t>
  </si>
  <si>
    <t>Entergy Power Serv</t>
  </si>
  <si>
    <t>EPEC</t>
  </si>
  <si>
    <t>El Paso Electric Company</t>
  </si>
  <si>
    <t>EPLU</t>
  </si>
  <si>
    <t>PP&amp;L Energy Plus Co.</t>
  </si>
  <si>
    <t>EPMC</t>
  </si>
  <si>
    <t>Entergy Power Marketing Corp</t>
  </si>
  <si>
    <t>EPME</t>
  </si>
  <si>
    <t>WT</t>
  </si>
  <si>
    <t>WATERFORD</t>
  </si>
  <si>
    <t>El Paso Merchant Energy, L.P.</t>
  </si>
  <si>
    <t>EPMI</t>
  </si>
  <si>
    <t>Enron Capital &amp; Trading</t>
  </si>
  <si>
    <t>EPPS</t>
  </si>
  <si>
    <t>El Paso Power Services Company</t>
  </si>
  <si>
    <t>EPRM</t>
  </si>
  <si>
    <t>E Prime, Inc.</t>
  </si>
  <si>
    <t>ETGX</t>
  </si>
  <si>
    <t>Energy Transfer Group</t>
  </si>
  <si>
    <t>EWEB</t>
  </si>
  <si>
    <t>Eugene Water &amp; Elect Board</t>
  </si>
  <si>
    <t>EXEL</t>
  </si>
  <si>
    <t>Exelon Energy</t>
  </si>
  <si>
    <t>FETM</t>
  </si>
  <si>
    <t>FirstEnergy Trading</t>
  </si>
  <si>
    <t>First Energy Wholesale Pwr Mkt</t>
  </si>
  <si>
    <t>FORM2</t>
  </si>
  <si>
    <t>Formosa Plastics Corporation</t>
  </si>
  <si>
    <t>FPCM</t>
  </si>
  <si>
    <t>Florida Power Corporation</t>
  </si>
  <si>
    <t>FPLM</t>
  </si>
  <si>
    <t>Florida Power &amp; Light</t>
  </si>
  <si>
    <t>FPLP</t>
  </si>
  <si>
    <t>FPL Energy Power Marketing,Inc</t>
  </si>
  <si>
    <t>GCPD</t>
  </si>
  <si>
    <t>Grant County PUD No.</t>
  </si>
  <si>
    <t>GEM</t>
  </si>
  <si>
    <t>Griffin Energy Marketing, LLC</t>
  </si>
  <si>
    <t>GLND</t>
  </si>
  <si>
    <t>Glendale Power Marketing</t>
  </si>
  <si>
    <t>GPUA</t>
  </si>
  <si>
    <t>GPU Advance Resources, Inc.</t>
  </si>
  <si>
    <t>GPUE</t>
  </si>
  <si>
    <t>GPU Energy</t>
  </si>
  <si>
    <t>GRE</t>
  </si>
  <si>
    <t>Great River Energy</t>
  </si>
  <si>
    <t>Greenwich</t>
  </si>
  <si>
    <t>Greenwich  (OMEG)</t>
  </si>
  <si>
    <t>Hamilton</t>
  </si>
  <si>
    <t>City of Hamilton</t>
  </si>
  <si>
    <t>HEPM</t>
  </si>
  <si>
    <t>Hoosier Power Market</t>
  </si>
  <si>
    <t>HFET</t>
  </si>
  <si>
    <t>Hafslund Energy Trading</t>
  </si>
  <si>
    <t>HLPT</t>
  </si>
  <si>
    <t>Houston Lighting &amp; Power</t>
  </si>
  <si>
    <t>HOLL</t>
  </si>
  <si>
    <t>City of Holland</t>
  </si>
  <si>
    <t>HQUS</t>
  </si>
  <si>
    <t>HQ Energy Services US Inc.</t>
  </si>
  <si>
    <t>IEPI</t>
  </si>
  <si>
    <t>Illinova Energy Partners, Inc.</t>
  </si>
  <si>
    <t>ILMX</t>
  </si>
  <si>
    <t>Illinois Electric Marketing</t>
  </si>
  <si>
    <t>Indiana Municipal Power Agency</t>
  </si>
  <si>
    <t>IPBP</t>
  </si>
  <si>
    <t>Illinois Power Co.</t>
  </si>
  <si>
    <t>IPCA</t>
  </si>
  <si>
    <t>Illinois Power Company</t>
  </si>
  <si>
    <t>IPCM</t>
  </si>
  <si>
    <t>Idaho Power Marketng</t>
  </si>
  <si>
    <t>IPLM</t>
  </si>
  <si>
    <t>&amp; ENERGY</t>
  </si>
  <si>
    <t>Indianapolis Power &amp; Light Co</t>
  </si>
  <si>
    <t>JRMC</t>
  </si>
  <si>
    <t>Jay County Electric Co-Op, Inc</t>
  </si>
  <si>
    <t>KCPS</t>
  </si>
  <si>
    <t>Kansas City Power &amp; Light Co</t>
  </si>
  <si>
    <t>KOCH</t>
  </si>
  <si>
    <t>Koch Power Services, Inc.</t>
  </si>
  <si>
    <t>LCRA</t>
  </si>
  <si>
    <t>Lower Colorado River Authority</t>
  </si>
  <si>
    <t>LDWP</t>
  </si>
  <si>
    <t>Los Angeles Dept Water &amp; Power</t>
  </si>
  <si>
    <t>APPENDIX IX</t>
  </si>
  <si>
    <t>NON-ECR ENERGY</t>
  </si>
  <si>
    <t>SWAPS &amp; PJM</t>
  </si>
  <si>
    <t>Capacity Credit Market</t>
  </si>
  <si>
    <t>WR</t>
  </si>
  <si>
    <t>Check Data</t>
  </si>
  <si>
    <t>LGE</t>
  </si>
  <si>
    <t>LPM</t>
  </si>
  <si>
    <t>LG&amp;E Power Markets</t>
  </si>
  <si>
    <t>LTVI</t>
  </si>
  <si>
    <t>LTV - Illinois</t>
  </si>
  <si>
    <t>MECB</t>
  </si>
  <si>
    <t>MidAmerican Energy</t>
  </si>
  <si>
    <t>MECO</t>
  </si>
  <si>
    <t>MIECO, Inc.</t>
  </si>
  <si>
    <t>MECR</t>
  </si>
  <si>
    <t>MidAmerican Energy Company</t>
  </si>
  <si>
    <t>MEGA</t>
  </si>
  <si>
    <t>Merchant Energy Grp (Americas)</t>
  </si>
  <si>
    <t>MERL</t>
  </si>
  <si>
    <t>Merrill Lynch Capital Svcs.</t>
  </si>
  <si>
    <t>MGEP</t>
  </si>
  <si>
    <t>Madison Gas and Electric Co</t>
  </si>
  <si>
    <t>MID</t>
  </si>
  <si>
    <t>Modesto Irrigation District</t>
  </si>
  <si>
    <t>MI Elect Coord Syst-Joint Mer</t>
  </si>
  <si>
    <t>MPEX</t>
  </si>
  <si>
    <t>Minnesota Power Energy Exch</t>
  </si>
  <si>
    <t>MPPA</t>
  </si>
  <si>
    <t>Michigan Public Power Agency</t>
  </si>
  <si>
    <t>MPS</t>
  </si>
  <si>
    <t>Missouri Public Service</t>
  </si>
  <si>
    <t>MPTM</t>
  </si>
  <si>
    <t>Montana Power Trading &amp; Mktg</t>
  </si>
  <si>
    <t>MSCG</t>
  </si>
  <si>
    <t>Morgan Stanley Capt.</t>
  </si>
  <si>
    <t>NAEC</t>
  </si>
  <si>
    <t>North American Energy</t>
  </si>
  <si>
    <t>NCEM</t>
  </si>
  <si>
    <t>NC Electric Membership Corp.</t>
  </si>
  <si>
    <t>NCMP</t>
  </si>
  <si>
    <t>No Carolina Muni Pwr Agency #1</t>
  </si>
  <si>
    <t>NCMX</t>
  </si>
  <si>
    <t>Eastern AEP Owes Western AEP</t>
  </si>
  <si>
    <t>NC Electric Marketing, LLC</t>
  </si>
  <si>
    <t>NCPA</t>
  </si>
  <si>
    <t>Northern California Pwr Agency</t>
  </si>
  <si>
    <t>NESI</t>
  </si>
  <si>
    <t>NESI Power Marketing</t>
  </si>
  <si>
    <t>NEVI</t>
  </si>
  <si>
    <t>ecpr</t>
  </si>
  <si>
    <t>gene</t>
  </si>
  <si>
    <t>New Energy Ventures, LLC</t>
  </si>
  <si>
    <t>NIP</t>
  </si>
  <si>
    <t>NIPSCO Energy Management</t>
  </si>
  <si>
    <t>NMEM</t>
  </si>
  <si>
    <t>Niagara Mohawk Energy Mktg</t>
  </si>
  <si>
    <t>NMNM</t>
  </si>
  <si>
    <t>Niagra Mohawk</t>
  </si>
  <si>
    <t>NRG</t>
  </si>
  <si>
    <t>NRG Power Marketing, Inc.</t>
  </si>
  <si>
    <t>NRTG</t>
  </si>
  <si>
    <t>Alloc. Gen.</t>
  </si>
  <si>
    <t>Act. Gen.</t>
  </si>
  <si>
    <t>NEPOO ISO New England</t>
  </si>
  <si>
    <t>NSI</t>
  </si>
  <si>
    <t>NYSEG Solutions, Inc.</t>
  </si>
  <si>
    <t>NSPP</t>
  </si>
  <si>
    <t>NSP Energy Marketing</t>
  </si>
  <si>
    <t>NU</t>
  </si>
  <si>
    <t>Northeast Utilities</t>
  </si>
  <si>
    <t>NVPM</t>
  </si>
  <si>
    <t>Nevada Power Co.- Power Mktg</t>
  </si>
  <si>
    <t>NYET</t>
  </si>
  <si>
    <t>NYIS</t>
  </si>
  <si>
    <t>New York ISO</t>
  </si>
  <si>
    <t>NYNY</t>
  </si>
  <si>
    <t>New York State Elect</t>
  </si>
  <si>
    <t>xxxxxxxx</t>
  </si>
  <si>
    <t>YEAR 2008</t>
  </si>
  <si>
    <t>12/31/2008</t>
  </si>
  <si>
    <t xml:space="preserve">                    for the year ending 12/31/2008.</t>
  </si>
  <si>
    <t>INVENTORY</t>
  </si>
  <si>
    <t>NYPA</t>
  </si>
  <si>
    <t>ODEC</t>
  </si>
  <si>
    <t>Old Dominion Elec.</t>
  </si>
  <si>
    <t>OERI</t>
  </si>
  <si>
    <t>OGE Energy Resources, Inc.</t>
  </si>
  <si>
    <t>Ohio City</t>
  </si>
  <si>
    <t>Ohio City  (OMEG)</t>
  </si>
  <si>
    <t>OHMK</t>
  </si>
  <si>
    <t>Ontario Hydro</t>
  </si>
  <si>
    <t>OKGE</t>
  </si>
  <si>
    <t>25</t>
  </si>
  <si>
    <t>Oklahoma Gas and Electric</t>
  </si>
  <si>
    <t>OMPA</t>
  </si>
  <si>
    <t>Oklahoma Municipal Power Auth</t>
  </si>
  <si>
    <t>OMPC</t>
  </si>
  <si>
    <t>Old Mill Power Company</t>
  </si>
  <si>
    <t>OPC</t>
  </si>
  <si>
    <t>Ogelthorpe Power Corporation</t>
  </si>
  <si>
    <t>OPMC</t>
  </si>
  <si>
    <t>Actual:</t>
  </si>
  <si>
    <t>Appendix VIII</t>
  </si>
  <si>
    <t>ALLOCATION BY MLR ($)</t>
  </si>
  <si>
    <t>ONEOK Power Marketing</t>
  </si>
  <si>
    <t>OPMW</t>
  </si>
  <si>
    <t>Orion Power MidWest</t>
  </si>
  <si>
    <t>OPPM</t>
  </si>
  <si>
    <t>OPPD Energy Marketing</t>
  </si>
  <si>
    <t>ORPH</t>
  </si>
  <si>
    <t>BS</t>
  </si>
  <si>
    <t>OVEC Power Scheduling</t>
  </si>
  <si>
    <t>PAC</t>
  </si>
  <si>
    <t>Pacificorp Power Marketing</t>
  </si>
  <si>
    <t>PAPL</t>
  </si>
  <si>
    <t>Pennsylvania Power &amp; Light</t>
  </si>
  <si>
    <t>PASM</t>
  </si>
  <si>
    <t>City of Pasadena</t>
  </si>
  <si>
    <t>PCES</t>
  </si>
  <si>
    <t>Orion Camp Grove</t>
  </si>
  <si>
    <t>Fowler Ridge</t>
  </si>
  <si>
    <t>(3) A portion of the MISO invoice is charged back to CLEB2 ($75,876)</t>
  </si>
  <si>
    <t>February 2009 Actual Cycle - Sales Reclassification</t>
  </si>
  <si>
    <t>February 2009 Actual Cycle - Purchase Reclassification</t>
  </si>
  <si>
    <t>February 2009 Actual Cycle - Purchased Transmission Reclassification</t>
  </si>
  <si>
    <t>150.007 MW's</t>
  </si>
  <si>
    <t>PJM - Westerville Generation Charges &amp; Credits</t>
  </si>
  <si>
    <t>Paribas UBS Accrual - 4470.143</t>
  </si>
  <si>
    <t>Paribas UBS Accrual - 5550.035 &amp; 5550.099</t>
  </si>
  <si>
    <t>UBS/ABN Amro - 4470.082</t>
  </si>
  <si>
    <t>Bookout Purchases - 4470.01</t>
  </si>
  <si>
    <t>Bookout Purchases - 4470.131</t>
  </si>
  <si>
    <t>Bookout Purchases - 5550.035</t>
  </si>
  <si>
    <t>Bookout Sales - 4470.006</t>
  </si>
  <si>
    <t>Bookout Sales - 4470.112</t>
  </si>
  <si>
    <t>Pan Canadian Energy Services</t>
  </si>
  <si>
    <t>PECO</t>
  </si>
  <si>
    <t>PECO Energy</t>
  </si>
  <si>
    <t>PEGT</t>
  </si>
  <si>
    <t>REALIZED</t>
  </si>
  <si>
    <t>February 2009</t>
  </si>
  <si>
    <t>MONTH ENDING 01/31/2009</t>
  </si>
  <si>
    <t>01/09</t>
  </si>
  <si>
    <t>01/16/09 HR 08</t>
  </si>
  <si>
    <t>01/16/09 HR 09</t>
  </si>
  <si>
    <t xml:space="preserve">OP and CSP loads for January 2009, were revised due to an underlying change in the Buckeye load. The change did not create a new MLR peak. </t>
  </si>
  <si>
    <t>Plains Electric Generation</t>
  </si>
  <si>
    <t>PEPS</t>
  </si>
  <si>
    <t>PEPCO Services Inc.</t>
  </si>
  <si>
    <t>PGAE</t>
  </si>
  <si>
    <t>SIA</t>
  </si>
  <si>
    <t>Pacific Gas &amp; Electric</t>
  </si>
  <si>
    <t>PGEM</t>
  </si>
  <si>
    <t>Portland General Electric</t>
  </si>
  <si>
    <t>PGET</t>
  </si>
  <si>
    <t>PG&amp;E Energy Trading - Power LP</t>
  </si>
  <si>
    <t>PHIB</t>
  </si>
  <si>
    <t>Phibro Power LLC</t>
  </si>
  <si>
    <t>PJMP</t>
  </si>
  <si>
    <t>Plymouth</t>
  </si>
  <si>
    <t>Plymouth  (OMEG)</t>
  </si>
  <si>
    <t>PNGC</t>
  </si>
  <si>
    <t>IMPA/RP&amp;L</t>
  </si>
  <si>
    <t>Pacific NW Generating Co-Op</t>
  </si>
  <si>
    <t>PNMM</t>
  </si>
  <si>
    <t>Public Svc Co of New Mexico</t>
  </si>
  <si>
    <t>PPMI</t>
  </si>
  <si>
    <t>PacifiCorp Power Marketing</t>
  </si>
  <si>
    <t>PRO</t>
  </si>
  <si>
    <t>ProLiance Energy, LLC</t>
  </si>
  <si>
    <t>PSCM</t>
  </si>
  <si>
    <t>Public Service Co of Colorado</t>
  </si>
  <si>
    <t>PSEG</t>
  </si>
  <si>
    <t>Public Service Electric &amp; Gas</t>
  </si>
  <si>
    <t>PSEM</t>
  </si>
  <si>
    <t>Puget Sound Energy, Inc.</t>
  </si>
  <si>
    <t>PWMT</t>
  </si>
  <si>
    <t>Pinnacle West Capital Corp</t>
  </si>
  <si>
    <t>PWRAZUS</t>
  </si>
  <si>
    <t>City of Azusa</t>
  </si>
  <si>
    <t>PWRCCT</t>
  </si>
  <si>
    <t>Cinergy Capital &amp; Trading, Inc</t>
  </si>
  <si>
    <t>PWRCDWR</t>
  </si>
  <si>
    <t>CA Dept of Water Resources</t>
  </si>
  <si>
    <t>PWRHESS</t>
  </si>
  <si>
    <t>Amerada Hess Corporation</t>
  </si>
  <si>
    <t>PWX</t>
  </si>
  <si>
    <t>British Columbia Power Exch Co</t>
  </si>
  <si>
    <t>RADF</t>
  </si>
  <si>
    <t>City of Radford</t>
  </si>
  <si>
    <t>REDD</t>
  </si>
  <si>
    <t>REMC</t>
  </si>
  <si>
    <t>Rainbow Energy Marketing</t>
  </si>
  <si>
    <t>(West) = 565 Accts.</t>
  </si>
  <si>
    <t>Transmission Associated With 250 MW Link paid by West</t>
  </si>
  <si>
    <t>Republic</t>
  </si>
  <si>
    <t>Republic  (OMEG)</t>
  </si>
  <si>
    <t>RES</t>
  </si>
  <si>
    <t>Reliant Energy Serv.</t>
  </si>
  <si>
    <t>RPL</t>
  </si>
  <si>
    <t>Richmond Power &amp; Light Co</t>
  </si>
  <si>
    <t>RVS</t>
  </si>
  <si>
    <t>City of Riverside</t>
  </si>
  <si>
    <t>SCAN</t>
  </si>
  <si>
    <t>Scana Energy Marketing, Inc.</t>
  </si>
  <si>
    <t>SCEG</t>
  </si>
  <si>
    <t>Figure A - Spreadsheet/Database Risk Assessment Template</t>
  </si>
  <si>
    <t>Interchange Power Statement - Actual</t>
  </si>
  <si>
    <t>Risk Values</t>
  </si>
  <si>
    <t>Risk Factors</t>
  </si>
  <si>
    <t>Comments</t>
  </si>
  <si>
    <t>Response</t>
  </si>
  <si>
    <t>Score</t>
  </si>
  <si>
    <t>Maximum Score</t>
  </si>
  <si>
    <t>SR Charge (Tier 2)</t>
  </si>
  <si>
    <t>09/08</t>
  </si>
  <si>
    <t>03</t>
  </si>
  <si>
    <t>Is the spreadsheet used as a model or for modeling? (model variables are input in order to attempt to predict a future result) - 1 point</t>
  </si>
  <si>
    <t>Yes = 1 point
No = 0 points</t>
  </si>
  <si>
    <t>No</t>
  </si>
  <si>
    <t>Does the spreadsheet contain data-tranforming macros? (Excluding Print Macros)- 2 points</t>
  </si>
  <si>
    <t>Yes = 2 points
No = 0 points</t>
  </si>
  <si>
    <t>Does the spreadsheet contain V-lookups? - 1 point</t>
  </si>
  <si>
    <t>Does the spreadsheet contain IF statements? - 1 point</t>
  </si>
  <si>
    <t>Yes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</si>
  <si>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</si>
  <si>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</si>
  <si>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</si>
  <si>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</si>
  <si>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
No = 1 points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</si>
  <si>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</si>
  <si>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</si>
  <si>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</si>
  <si>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</si>
  <si>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</t>
  </si>
  <si>
    <t>Minimum</t>
  </si>
  <si>
    <t>Risk Assessment Grading Scale</t>
  </si>
  <si>
    <t>Control Category</t>
  </si>
  <si>
    <t>Classification</t>
  </si>
  <si>
    <t>Rely on general policy and controls</t>
  </si>
  <si>
    <t xml:space="preserve"> 0 - 5</t>
  </si>
  <si>
    <t>Maximum control features outlined in the policy</t>
  </si>
  <si>
    <t>Complex</t>
  </si>
  <si>
    <t>6+</t>
  </si>
  <si>
    <t>File Assessed:</t>
  </si>
  <si>
    <t>Assessment Date:</t>
  </si>
  <si>
    <t>Assessor's Name:</t>
  </si>
  <si>
    <t>South Carolina Electric &amp; Gas</t>
  </si>
  <si>
    <t>SCEM</t>
  </si>
  <si>
    <t>Southern Co Energy Marketing</t>
  </si>
  <si>
    <t>SCLM</t>
  </si>
  <si>
    <t>Seattle City Light</t>
  </si>
  <si>
    <t>SDGE</t>
  </si>
  <si>
    <t>San Diego Gas &amp; Electric Co</t>
  </si>
  <si>
    <t>SEI</t>
  </si>
  <si>
    <t>Southern Electric Int'l</t>
  </si>
  <si>
    <t>SEL</t>
  </si>
  <si>
    <t>Strategic Energy, Ltd.</t>
  </si>
  <si>
    <t>SEPA</t>
  </si>
  <si>
    <t>Southeastern Power Admin</t>
  </si>
  <si>
    <t>SESI</t>
  </si>
  <si>
    <t>$$$</t>
  </si>
  <si>
    <t>PJM NON-ECR - ACTUAL MWH</t>
  </si>
  <si>
    <t>Act. 5550.035</t>
  </si>
  <si>
    <t>Act. 5550.099</t>
  </si>
  <si>
    <t>Act. 4470.131</t>
  </si>
  <si>
    <t>Act. 4470.112</t>
  </si>
  <si>
    <t>Act. 4470.170</t>
  </si>
  <si>
    <t>Act. 5570.007</t>
  </si>
  <si>
    <t>Act. 5550.088</t>
  </si>
  <si>
    <t>Act. 5550.100</t>
  </si>
  <si>
    <t>Act. 5614.008</t>
  </si>
  <si>
    <t>Act. 4470.099</t>
  </si>
  <si>
    <t>Act. 4470.167</t>
  </si>
  <si>
    <t>Act. 4470.169</t>
  </si>
  <si>
    <t>Act. 4470.082</t>
  </si>
  <si>
    <t>Act. 4470.143</t>
  </si>
  <si>
    <t>Act. 5550.001</t>
  </si>
  <si>
    <t>Statoil Energy Services, Inc.</t>
  </si>
  <si>
    <t>SETC</t>
  </si>
  <si>
    <t>Sempra Energy Trading</t>
  </si>
  <si>
    <t>SETI</t>
  </si>
  <si>
    <t>Allocation of Frozen Book Transfer</t>
  </si>
  <si>
    <t>City of Columbus - PJM Entry</t>
  </si>
  <si>
    <t>PAGE (3)</t>
  </si>
  <si>
    <t>CALCULATION OF MEMBER PRIMARY CAPACITY</t>
  </si>
  <si>
    <t>SURPLUS/(DEFICIT) kW AND $ SETTLEMENT</t>
  </si>
  <si>
    <t>SURPLUS</t>
  </si>
  <si>
    <t>RESERVATION</t>
  </si>
  <si>
    <t>(SYS. kW) * (2)</t>
  </si>
  <si>
    <t>(4) = (1) - (3)</t>
  </si>
  <si>
    <t>MEMBER CAPACITY $ SETTLEMENT</t>
  </si>
  <si>
    <t>(CHARGE) **</t>
  </si>
  <si>
    <t>$/kW *</t>
  </si>
  <si>
    <t>+</t>
  </si>
  <si>
    <t>EQUALIZATION CAPACITY RATE:</t>
  </si>
  <si>
    <t>(This is the average $/kW rate paid by deficit members.)</t>
  </si>
  <si>
    <t xml:space="preserve">NOTES:    </t>
  </si>
  <si>
    <t xml:space="preserve">  *  The sum of the Member's Primary Capacity Investment Rate (Appendix III) and the Member's Capacity Fixed</t>
  </si>
  <si>
    <t xml:space="preserve">      Operating Rate (Appendix IV &amp; V) applicable to Members having a Member Primary Capacity Surplus.</t>
  </si>
  <si>
    <t>** Credits should be recoreded in Account 447, Sales for Resale.</t>
  </si>
  <si>
    <t xml:space="preserve">      Charges should be recorded in Account 555, Purchased Power.</t>
  </si>
  <si>
    <t>Power Intercompany with AEPEP</t>
  </si>
  <si>
    <t>Gas Intercompany with AEPEP</t>
  </si>
  <si>
    <t>Statoil Energy Trading, Inc.</t>
  </si>
  <si>
    <t>Shiloh</t>
  </si>
  <si>
    <t>Shiloh  (OMEG)</t>
  </si>
  <si>
    <t>SIGH</t>
  </si>
  <si>
    <t>Sigeco/Hoosier (Sigehoo)</t>
  </si>
  <si>
    <t>SIGW</t>
  </si>
  <si>
    <t>SIGE Power Marketing</t>
  </si>
  <si>
    <t>SIPC</t>
  </si>
  <si>
    <t>Southern Illinois Power Co-Op</t>
  </si>
  <si>
    <t>SMUD</t>
  </si>
  <si>
    <t>Sacramento Muni Utility Distr</t>
  </si>
  <si>
    <t>SNCL</t>
  </si>
  <si>
    <t>Silicon Valley Power</t>
  </si>
  <si>
    <t>SNPD</t>
  </si>
  <si>
    <t>Snohomish County PUD</t>
  </si>
  <si>
    <t>SPM</t>
  </si>
  <si>
    <t>Sonat Power Marketing</t>
  </si>
  <si>
    <t>SPMI</t>
  </si>
  <si>
    <t>Sithe Power Marketing, Inc.</t>
  </si>
  <si>
    <t>SPPC</t>
  </si>
  <si>
    <t>Sierra Pacific Power Corp</t>
  </si>
  <si>
    <t>SPSM</t>
  </si>
  <si>
    <t>Southwestern Public Service Co</t>
  </si>
  <si>
    <t>SRPM</t>
  </si>
  <si>
    <t>POWER SWAPS</t>
  </si>
  <si>
    <t>FINANCIAL GAS</t>
  </si>
  <si>
    <t>PHYSICAL GAS</t>
  </si>
  <si>
    <t>FIN. SPARK GAS</t>
  </si>
  <si>
    <t>POWER DEFERRALS</t>
  </si>
  <si>
    <t>GAS DEFERRALS</t>
  </si>
  <si>
    <t xml:space="preserve">BROKER </t>
  </si>
  <si>
    <t>COMMISIONS</t>
  </si>
  <si>
    <t>SWAPS</t>
  </si>
  <si>
    <t>MMBTU</t>
  </si>
  <si>
    <t>BROKER</t>
  </si>
  <si>
    <t>FINANCIALS</t>
  </si>
  <si>
    <t>PREMIUM</t>
  </si>
  <si>
    <t>PAYMENTS</t>
  </si>
  <si>
    <t>GREATER THAN 1 YEAR</t>
  </si>
  <si>
    <t>LESS THAN 1 YEAR</t>
  </si>
  <si>
    <t>Salt River Project-Power Mktg</t>
  </si>
  <si>
    <t>St. Clairs</t>
  </si>
  <si>
    <t>St. Clairsville  (OMEG)</t>
  </si>
  <si>
    <t>STAN</t>
  </si>
  <si>
    <t>Stand Energy Corporation</t>
  </si>
  <si>
    <t>STRG</t>
  </si>
  <si>
    <t>City of Sturgis</t>
  </si>
  <si>
    <t>Southern Company</t>
  </si>
  <si>
    <t>Southwest Power Pool</t>
  </si>
  <si>
    <t>Sycamore</t>
  </si>
  <si>
    <t>Sycamore  (OMEG)</t>
  </si>
  <si>
    <t>TCP</t>
  </si>
  <si>
    <t>Trans Canada Power</t>
  </si>
  <si>
    <t>TCPM</t>
  </si>
  <si>
    <t>TransCanada Power Marketing</t>
  </si>
  <si>
    <t>TEA</t>
  </si>
  <si>
    <t>The Energy Authority</t>
  </si>
  <si>
    <t>TEMI</t>
  </si>
  <si>
    <t>Tractebel Energy Marketing</t>
  </si>
  <si>
    <t>TEMU</t>
  </si>
  <si>
    <t>TransAlta Energy Marketing US</t>
  </si>
  <si>
    <t>TEMX</t>
  </si>
  <si>
    <t xml:space="preserve">TOTAL COSTS  </t>
  </si>
  <si>
    <t>Texas Electric Marketing LLC</t>
  </si>
  <si>
    <t>TEPM</t>
  </si>
  <si>
    <t>Spinning Reserve - Credit</t>
  </si>
  <si>
    <t>Reactive Supply and Voltage Control Credit (Expense)</t>
  </si>
  <si>
    <t>Regulation Credit (Expense)</t>
  </si>
  <si>
    <t>Tuscon Electric Power</t>
  </si>
  <si>
    <t>TIDS</t>
  </si>
  <si>
    <t>Turlock Irrigation Dist (PSE)</t>
  </si>
  <si>
    <t>TLEG</t>
  </si>
  <si>
    <t>PAGE N/A:</t>
  </si>
  <si>
    <t>PAGE 11:</t>
  </si>
  <si>
    <t>EXGN</t>
  </si>
  <si>
    <t>The Legacy Energy Group, LLC</t>
  </si>
  <si>
    <t>PAGE 8:  PRIMARY</t>
  </si>
  <si>
    <t>PAGE 9:  ECONOMY</t>
  </si>
  <si>
    <t>TMPA</t>
  </si>
  <si>
    <t>Page 4 of 4</t>
  </si>
  <si>
    <t>Page 3 of 4</t>
  </si>
  <si>
    <t>Page 2 of 4</t>
  </si>
  <si>
    <t>Page 1 of 4</t>
  </si>
  <si>
    <t>Texas Municipal Power Auth</t>
  </si>
  <si>
    <t>TNMP</t>
  </si>
  <si>
    <t xml:space="preserve">Created a macro to print the appropriate pages of the IPS.  This does not affect any of the functionality of formulas of the spreadsheet. </t>
  </si>
  <si>
    <t>CKD</t>
  </si>
  <si>
    <t>Texas-New Mexico Power Company</t>
  </si>
  <si>
    <t>TNSK</t>
  </si>
  <si>
    <t>Tenaska Power Services Company</t>
  </si>
  <si>
    <t>TPCO</t>
  </si>
  <si>
    <t>Tennessee Power</t>
  </si>
  <si>
    <t>TPWP</t>
  </si>
  <si>
    <t>As Booked</t>
  </si>
  <si>
    <t>Bookouts</t>
  </si>
  <si>
    <t>Commissions</t>
  </si>
  <si>
    <t>Journal Entry to Reclass Entergy Spreads to Appropriate Zone - Account 4470.006</t>
  </si>
  <si>
    <t>Journal Entry to Reclass Entergy Spreads to Appropriate Zone - Account 4470.010</t>
  </si>
  <si>
    <t>In Actual Cycle</t>
  </si>
  <si>
    <t>Less Entergy Direct</t>
  </si>
  <si>
    <t>In Estimated Cycle</t>
  </si>
  <si>
    <t>Adjustment</t>
  </si>
  <si>
    <t>Tacoma Power</t>
  </si>
  <si>
    <t>Darby</t>
  </si>
  <si>
    <t>TUEG</t>
  </si>
  <si>
    <t>Tu Electric Power Supply</t>
  </si>
  <si>
    <t>TVA Bulk Power Trading</t>
  </si>
  <si>
    <t>TXU</t>
  </si>
  <si>
    <t>TXU Energy Trading</t>
  </si>
  <si>
    <t>UCU</t>
  </si>
  <si>
    <t>UtiliCorp United, Inc.</t>
  </si>
  <si>
    <t>USGC</t>
  </si>
  <si>
    <t>WABASH (WVPA)</t>
  </si>
  <si>
    <t>Incremental Implicit Congestion - OSS</t>
  </si>
  <si>
    <t>Meter Correction - LSE</t>
  </si>
  <si>
    <t>SRE</t>
  </si>
  <si>
    <t>U.S. Generating Comp</t>
  </si>
  <si>
    <t>TOTAL SWAPS</t>
  </si>
  <si>
    <t>Virginia Power Marketing</t>
  </si>
  <si>
    <t>VEPG</t>
  </si>
  <si>
    <t>VERN</t>
  </si>
  <si>
    <t>City of Vernon</t>
  </si>
  <si>
    <t>VGE</t>
  </si>
  <si>
    <t>Vitol Gas &amp; Electric, LLC</t>
  </si>
  <si>
    <t>APPENDIX X</t>
  </si>
  <si>
    <t>PJM CHARGE DESCRIPTION</t>
  </si>
  <si>
    <t>AP AMT</t>
  </si>
  <si>
    <t>KP AMT</t>
  </si>
  <si>
    <t>IM AMT</t>
  </si>
  <si>
    <t>OP AMT</t>
  </si>
  <si>
    <t>CS AMT</t>
  </si>
  <si>
    <t>A/C 510-514</t>
  </si>
  <si>
    <t>AEP AMT TOTAL</t>
  </si>
  <si>
    <t>Note:</t>
  </si>
  <si>
    <t>WABV</t>
  </si>
  <si>
    <t>Louisville Gas &amp; Electric, Co.</t>
  </si>
  <si>
    <t>Wabash Valley</t>
  </si>
  <si>
    <t>WAMP</t>
  </si>
  <si>
    <t>Western Area Power</t>
  </si>
  <si>
    <t>Wapakoneta</t>
  </si>
  <si>
    <t>Wapakoneta  (OMEG)</t>
  </si>
  <si>
    <t>WEPM</t>
  </si>
  <si>
    <t>Wisconsin Electric Power Co</t>
  </si>
  <si>
    <t>WESC</t>
  </si>
  <si>
    <t>Williams Energy Services Co.</t>
  </si>
  <si>
    <t>Wharton</t>
  </si>
  <si>
    <t>Wharton  (OMEG)</t>
  </si>
  <si>
    <t>WPEK</t>
  </si>
  <si>
    <t>West Plains Energy - Kansas</t>
  </si>
  <si>
    <t>WPEL</t>
  </si>
  <si>
    <t>West Plains Energy - Colorado</t>
  </si>
  <si>
    <t>WPL</t>
  </si>
  <si>
    <t>Wisconsin Power &amp; Light</t>
  </si>
  <si>
    <t>WPPI</t>
  </si>
  <si>
    <t>Wisconsin Public Power, Inc.</t>
  </si>
  <si>
    <t>WPSC</t>
  </si>
  <si>
    <t>Wolverine Power Supply Coop</t>
  </si>
  <si>
    <t>WPSE</t>
  </si>
  <si>
    <t>WPS Energy Services, Inc.</t>
  </si>
  <si>
    <t>WPSM</t>
  </si>
  <si>
    <t>Wisconsin Public Service</t>
  </si>
  <si>
    <t>WRGS</t>
  </si>
  <si>
    <t>MAPP</t>
  </si>
  <si>
    <t>Mid-Continent Area Power Pool</t>
  </si>
  <si>
    <t>DOWP</t>
  </si>
  <si>
    <t>East. AEP (Co. 28)</t>
  </si>
  <si>
    <t>XIII.</t>
  </si>
  <si>
    <t>XIV.</t>
  </si>
  <si>
    <t>Dow Plaquemine</t>
  </si>
  <si>
    <t>Western Resources Gen Svcs</t>
  </si>
  <si>
    <t>WVPA</t>
  </si>
  <si>
    <t>Wabash Valley Power Assn, Inc.</t>
  </si>
  <si>
    <t>WVPR</t>
  </si>
  <si>
    <t>West Virginia Power</t>
  </si>
  <si>
    <t>Page 1 of 2</t>
  </si>
  <si>
    <t>Page 2 of 2</t>
  </si>
  <si>
    <t>ERCO</t>
  </si>
  <si>
    <t>ERCOT ISO</t>
  </si>
  <si>
    <t>MONTH/YEAR:</t>
  </si>
  <si>
    <t>CAPACITY</t>
  </si>
  <si>
    <t>ENERGY</t>
  </si>
  <si>
    <t>OTHER</t>
  </si>
  <si>
    <t>CHARGE</t>
  </si>
  <si>
    <t xml:space="preserve"> </t>
  </si>
  <si>
    <t>CREDIT</t>
  </si>
  <si>
    <t>MLR:</t>
  </si>
  <si>
    <t>APCO</t>
  </si>
  <si>
    <t>KPCO</t>
  </si>
  <si>
    <t>I&amp;M</t>
  </si>
  <si>
    <t>Fowler Ridge Wind Farm*</t>
  </si>
  <si>
    <t>OPCO</t>
  </si>
  <si>
    <t>CSP</t>
  </si>
  <si>
    <t>ENERGY MWh</t>
  </si>
  <si>
    <t>$ TOTAL</t>
  </si>
  <si>
    <t>FROM POOL</t>
  </si>
  <si>
    <t>TO POOL</t>
  </si>
  <si>
    <t xml:space="preserve">CHARGE </t>
  </si>
  <si>
    <t>PRICE INDEX:</t>
  </si>
  <si>
    <t>1.  Include in note on page 6.</t>
  </si>
  <si>
    <t>PAGE 3:</t>
  </si>
  <si>
    <t>1.  ROUND COLUMN 3, ROW 1, TO NEAREST 100TH.</t>
  </si>
  <si>
    <t>2.  CHANGES MAY NEED TO BE MADE TO COLUMN 3, ROW 2,</t>
  </si>
  <si>
    <t>(APPENDIX II)</t>
  </si>
  <si>
    <t xml:space="preserve">     FOR ROUNDING.</t>
  </si>
  <si>
    <t>PAGE 4:</t>
  </si>
  <si>
    <t>MWH</t>
  </si>
  <si>
    <t>RECEIVED</t>
  </si>
  <si>
    <t>DELIVERED</t>
  </si>
  <si>
    <t>APPENDIX IV :</t>
  </si>
  <si>
    <t>(MLR SHARE)</t>
  </si>
  <si>
    <t>(AS SUPPLIED)</t>
  </si>
  <si>
    <t>NET GENERATION</t>
  </si>
  <si>
    <t>PRODUCTION</t>
  </si>
  <si>
    <t>EEA</t>
  </si>
  <si>
    <t>Engage Energy America, LLC</t>
  </si>
  <si>
    <t>FUEL 501</t>
  </si>
  <si>
    <t>MAINTENANCE</t>
  </si>
  <si>
    <t>FUEL 151</t>
  </si>
  <si>
    <t>GL</t>
  </si>
  <si>
    <t>SP</t>
  </si>
  <si>
    <t>KR</t>
  </si>
  <si>
    <t>CR</t>
  </si>
  <si>
    <t>AM</t>
  </si>
  <si>
    <t>MT</t>
  </si>
  <si>
    <t>XXXXXXXXXXXXXXXX</t>
  </si>
  <si>
    <t>XXXXXXXXXXXXX</t>
  </si>
  <si>
    <t>PAGE 5:</t>
  </si>
  <si>
    <t>PREVIOUSLY ESTIMATED</t>
  </si>
  <si>
    <t>XXXXXXXXXXXXXXXXXX</t>
  </si>
  <si>
    <t>$</t>
  </si>
  <si>
    <t>RP1</t>
  </si>
  <si>
    <t>RP2</t>
  </si>
  <si>
    <t>TC1-3</t>
  </si>
  <si>
    <t>XXXXXXXXXXXX</t>
  </si>
  <si>
    <t>TC4</t>
  </si>
  <si>
    <t>TC TOTAL</t>
  </si>
  <si>
    <t>PAGE 2:  PREVIOUS ESTIMATE</t>
  </si>
  <si>
    <t>PAGE 6:</t>
  </si>
  <si>
    <t xml:space="preserve">SYSTEM </t>
  </si>
  <si>
    <t>THIRD PARTY</t>
  </si>
  <si>
    <t>1.  Make sure the totals of column</t>
  </si>
  <si>
    <t>RP2 (AEG)</t>
  </si>
  <si>
    <t>SALES</t>
  </si>
  <si>
    <t>DEMAND</t>
  </si>
  <si>
    <t xml:space="preserve">     (1) &amp; (2) are equal.</t>
  </si>
  <si>
    <t>RP2 (LS)</t>
  </si>
  <si>
    <t>REVENUES</t>
  </si>
  <si>
    <t xml:space="preserve">     (Make changes, if necessary,</t>
  </si>
  <si>
    <t>COOK</t>
  </si>
  <si>
    <t>2.  Put the price index number in</t>
  </si>
  <si>
    <t xml:space="preserve">     the note.</t>
  </si>
  <si>
    <t>MR</t>
  </si>
  <si>
    <t>KM</t>
  </si>
  <si>
    <t>CD</t>
  </si>
  <si>
    <t>ML</t>
  </si>
  <si>
    <t>PAGE 7:</t>
  </si>
  <si>
    <t>GENERATION SUPPLIED</t>
  </si>
  <si>
    <t>AEG/OVEC PURCHASES</t>
  </si>
  <si>
    <t>PURCHASED POWER</t>
  </si>
  <si>
    <t>GV</t>
  </si>
  <si>
    <t>MWh</t>
  </si>
  <si>
    <t>COST</t>
  </si>
  <si>
    <t>CV</t>
  </si>
  <si>
    <t>PC</t>
  </si>
  <si>
    <t>BJ</t>
  </si>
  <si>
    <t>ST</t>
  </si>
  <si>
    <t>ZM</t>
  </si>
  <si>
    <t>151</t>
  </si>
  <si>
    <t xml:space="preserve">(1)  Details of the realization sharing by account numbers is shown in Appendix VIII, page 7. </t>
  </si>
  <si>
    <t>KPCO/APCO</t>
  </si>
  <si>
    <t>I&amp;M/APCO</t>
  </si>
  <si>
    <t>OPCO/APCO</t>
  </si>
  <si>
    <t>APPENDIX VI-1:</t>
  </si>
  <si>
    <t>CSP/APCO</t>
  </si>
  <si>
    <t>APCO/KPCO</t>
  </si>
  <si>
    <t>I&amp;M/KPCO</t>
  </si>
  <si>
    <t>OPCO/KPCO</t>
  </si>
  <si>
    <t>CSP/KPCO</t>
  </si>
  <si>
    <t>APCO/I&amp;M</t>
  </si>
  <si>
    <t>KPCO/I&amp;M</t>
  </si>
  <si>
    <t>OPCO/I&amp;M</t>
  </si>
  <si>
    <t>CSP/I&amp;M</t>
  </si>
  <si>
    <t>APCO/OPCO</t>
  </si>
  <si>
    <t>PJM Feasibility Study - OSS</t>
  </si>
  <si>
    <t>Monthly Payment / Refund for Buckeye / OVEC 6-08 thru 12-08</t>
  </si>
  <si>
    <t>KPCO/OPCO</t>
  </si>
  <si>
    <t>I&amp;M/OPCO</t>
  </si>
  <si>
    <t>CSP/OPCO</t>
  </si>
  <si>
    <t>APPENDIX VII-1</t>
  </si>
  <si>
    <t>APCO/CSP</t>
  </si>
  <si>
    <t>KPCO/CSP</t>
  </si>
  <si>
    <t>ACTUAL</t>
  </si>
  <si>
    <t>PURCHASES</t>
  </si>
  <si>
    <t>COSTS</t>
  </si>
  <si>
    <t>REVENUE</t>
  </si>
  <si>
    <t>I&amp;M/CSP</t>
  </si>
  <si>
    <t>TOTAL</t>
  </si>
  <si>
    <t>OPCO/CSP</t>
  </si>
  <si>
    <t>PREVIOUS ESTIMATE</t>
  </si>
  <si>
    <t>PAGE 10:</t>
  </si>
  <si>
    <t>BILLING</t>
  </si>
  <si>
    <t>TAXABLE</t>
  </si>
  <si>
    <t>NOTES:</t>
  </si>
  <si>
    <t>AMOUNT</t>
  </si>
  <si>
    <t>*****</t>
  </si>
  <si>
    <t>NIPS</t>
  </si>
  <si>
    <t xml:space="preserve">     Expense) - makes sure the total = the sum of its parts.</t>
  </si>
  <si>
    <t>OPTIONS</t>
  </si>
  <si>
    <t>CE</t>
  </si>
  <si>
    <t>WABASH</t>
  </si>
  <si>
    <t>IMPA</t>
  </si>
  <si>
    <t>IN-STATE</t>
  </si>
  <si>
    <t>ALLOC. GEN.</t>
  </si>
  <si>
    <t>ALLOWANCES</t>
  </si>
  <si>
    <t>GENERATION</t>
  </si>
  <si>
    <t>CONSUMED</t>
  </si>
  <si>
    <t>CD1</t>
  </si>
  <si>
    <t>CD2</t>
  </si>
  <si>
    <t>GV1</t>
  </si>
  <si>
    <t>GV2</t>
  </si>
  <si>
    <t>KM1</t>
  </si>
  <si>
    <t>KM2</t>
  </si>
  <si>
    <t>KM3</t>
  </si>
  <si>
    <t>ML1</t>
  </si>
  <si>
    <t>ML2</t>
  </si>
  <si>
    <t>MR1</t>
  </si>
  <si>
    <t>MR2</t>
  </si>
  <si>
    <t>MR3</t>
  </si>
  <si>
    <t>MR4</t>
  </si>
  <si>
    <t>MR5</t>
  </si>
  <si>
    <t>BJ6</t>
  </si>
  <si>
    <t>CV1</t>
  </si>
  <si>
    <t>CV2</t>
  </si>
  <si>
    <t>CV3</t>
  </si>
  <si>
    <t>CV4</t>
  </si>
  <si>
    <t>PC5</t>
  </si>
  <si>
    <t>10/08</t>
  </si>
  <si>
    <t>ST1</t>
  </si>
  <si>
    <t>ST2</t>
  </si>
  <si>
    <t>Adjustment to West</t>
  </si>
  <si>
    <t>ST3</t>
  </si>
  <si>
    <t>Unit Total</t>
  </si>
  <si>
    <t>Ohio Power</t>
  </si>
  <si>
    <t>East. AEP (Co.122)</t>
  </si>
  <si>
    <t>ST4</t>
  </si>
  <si>
    <t>ACCOUNT 509</t>
  </si>
  <si>
    <t>APPENDIX I</t>
  </si>
  <si>
    <t>AMERICAN ELECTRIC POWER SYSTEM</t>
  </si>
  <si>
    <t>MEMBER LOAD RATIO SUMMARY</t>
  </si>
  <si>
    <t>APPALACHIAN</t>
  </si>
  <si>
    <t>KENTUCKY</t>
  </si>
  <si>
    <t>INDIANA</t>
  </si>
  <si>
    <t>OHIO</t>
  </si>
  <si>
    <t>COLUMBUS</t>
  </si>
  <si>
    <t>60-MINUTE INTEGRATED MEGAWATT DEMAND</t>
  </si>
  <si>
    <t>EXCLUDE AEP SYSTEM SALES</t>
  </si>
  <si>
    <t>DA</t>
  </si>
  <si>
    <t>HR</t>
  </si>
  <si>
    <t>PEAK</t>
  </si>
  <si>
    <t>06</t>
  </si>
  <si>
    <t>09</t>
  </si>
  <si>
    <t>08</t>
  </si>
  <si>
    <t>nMARKET TO AEE (NON-ECR)</t>
  </si>
  <si>
    <t>(SEE APPENDIX IX)</t>
  </si>
  <si>
    <t>(SEE APPENDIX X)</t>
  </si>
  <si>
    <t>XI.</t>
  </si>
  <si>
    <t>IX.</t>
  </si>
  <si>
    <t>X.</t>
  </si>
  <si>
    <t>PAGE (1A)</t>
  </si>
  <si>
    <t>ADJUSTMENT FOR PJM CHARGES</t>
  </si>
  <si>
    <t xml:space="preserve">TRANSFERRED FROM </t>
  </si>
  <si>
    <t>(NON-ECR) FROM INVOICE</t>
  </si>
  <si>
    <t>ADJUSTMENT FOR OFFSET OF</t>
  </si>
  <si>
    <t>BUCKEYE PASS-THROUGH CHARGES</t>
  </si>
  <si>
    <t>ASSOCIATED WITH PJM</t>
  </si>
  <si>
    <t>ADJUSTMENT FOR BUCKEYE SHARE</t>
  </si>
  <si>
    <t>OF PJM CONGESTION CHARGES</t>
  </si>
  <si>
    <t>INTEGRATED MW DEMAND EXPERIENCED</t>
  </si>
  <si>
    <t>DURING PRECEDING 12-MONTHS</t>
  </si>
  <si>
    <t>DATE/TIME</t>
  </si>
  <si>
    <t>SOURCE ALLOC.</t>
  </si>
  <si>
    <t>AS SUPPLIED</t>
  </si>
  <si>
    <t>UNADJUSTED</t>
  </si>
  <si>
    <t>ACTUAL:</t>
  </si>
  <si>
    <t>PAGE (1)</t>
  </si>
  <si>
    <t>($)</t>
  </si>
  <si>
    <t>Affiliated Sales Removed from ECR / ICR</t>
  </si>
  <si>
    <t>(West)=565, 5614 &amp; 5757 Accts</t>
  </si>
  <si>
    <t>ICR Non-Dedicated AP / AR Energy &amp; Ancillaries</t>
  </si>
  <si>
    <t>Bookout Purchases Related To Entergy Spreads</t>
  </si>
  <si>
    <t>MEMBER</t>
  </si>
  <si>
    <t>AMOUNT DUE</t>
  </si>
  <si>
    <t>TO AGENT</t>
  </si>
  <si>
    <t>FROM AGENT</t>
  </si>
  <si>
    <t>(SOURCE:  PAGE 2)</t>
  </si>
  <si>
    <t>(CHARGE)</t>
  </si>
  <si>
    <t>(CREDIT)</t>
  </si>
  <si>
    <t>I.</t>
  </si>
  <si>
    <t>II.</t>
  </si>
  <si>
    <t>PREVIOUSLY</t>
  </si>
  <si>
    <t>ESTIMATED</t>
  </si>
  <si>
    <t>III.</t>
  </si>
  <si>
    <t>ADJUSTMENT</t>
  </si>
  <si>
    <t>TO BE BOOKED</t>
  </si>
  <si>
    <t>NEXT MONTH</t>
  </si>
  <si>
    <t>(I - II)</t>
  </si>
  <si>
    <t>IV.</t>
  </si>
  <si>
    <t>ACTUAL THIS MONTH</t>
  </si>
  <si>
    <t>(SEE APPENDIX VI)</t>
  </si>
  <si>
    <t>(Net amounts due System Agent to</t>
  </si>
  <si>
    <t xml:space="preserve"> effect sharing by MLR in revenues</t>
  </si>
  <si>
    <t xml:space="preserve"> and cost of purchases for AEP System</t>
  </si>
  <si>
    <t xml:space="preserve"> cash-settled transactions)</t>
  </si>
  <si>
    <t>V.</t>
  </si>
  <si>
    <t>ESTIMATED THIS MONTH</t>
  </si>
  <si>
    <t>VI.</t>
  </si>
  <si>
    <t>ADJUSTMENT TO BE MADE NEXT MONTH</t>
  </si>
  <si>
    <t>PAGE (2)</t>
  </si>
  <si>
    <t>SYSTEM ACCOUNT</t>
  </si>
  <si>
    <t>RECAPITULATION OF CAPACITY, ENERGY, AND OTHER CHARGES</t>
  </si>
  <si>
    <t>CAPACITY (PAGE 3)</t>
  </si>
  <si>
    <t>$ CAPACITY (PAGE 3)</t>
  </si>
  <si>
    <t>$ ENERGY (PAGE 4)</t>
  </si>
  <si>
    <t>SURPLUS/</t>
  </si>
  <si>
    <t xml:space="preserve">CREDIT </t>
  </si>
  <si>
    <t>(DEFICIT)</t>
  </si>
  <si>
    <t>RATE</t>
  </si>
  <si>
    <t>A/C 555</t>
  </si>
  <si>
    <t>A/C 447</t>
  </si>
  <si>
    <t>kW</t>
  </si>
  <si>
    <t>$/kW</t>
  </si>
  <si>
    <t>(1)</t>
  </si>
  <si>
    <t>(2)</t>
  </si>
  <si>
    <t>(3)</t>
  </si>
  <si>
    <t>(4)</t>
  </si>
  <si>
    <t>$ TOTAL OF ALL ABOVE</t>
  </si>
  <si>
    <t>(5)</t>
  </si>
  <si>
    <t>(7)</t>
  </si>
  <si>
    <t>(8)</t>
  </si>
  <si>
    <t>PRIMARY</t>
  </si>
  <si>
    <t>CAPACITY kW</t>
  </si>
  <si>
    <t>LOAD RATIO</t>
  </si>
  <si>
    <t>(APPENDIX I)</t>
  </si>
  <si>
    <t>AME</t>
  </si>
  <si>
    <t>Calc SO2</t>
  </si>
  <si>
    <t>ALLOCATION OF PJM Non-ECR CHARGES</t>
  </si>
  <si>
    <t>PJM NON-ECR CHARGES FROM INVOICE - COUNTERPARTY BUCKEYE</t>
  </si>
  <si>
    <t>PJM - BUCKEYE</t>
  </si>
  <si>
    <t>12/08</t>
  </si>
  <si>
    <t>Auction Revenue Rights Credits</t>
  </si>
  <si>
    <t>Balancing Operating Reserve Charge</t>
  </si>
  <si>
    <t>Balancing Operating Reserve Generator Credit</t>
  </si>
  <si>
    <t>Balancing Transmission Implicit Congestion Charge</t>
  </si>
  <si>
    <t>Balancing Transmission Implicit Loss Charge</t>
  </si>
  <si>
    <t>Black Start Service Charges</t>
  </si>
  <si>
    <t>Black Start Service Credits</t>
  </si>
  <si>
    <t>Day-Ahead Operating Reserve Charge</t>
  </si>
  <si>
    <t>Day-Ahead Operating Reserve Generator Credit</t>
  </si>
  <si>
    <t>Day-Ahead Transmission Implicit Congestion Charge</t>
  </si>
  <si>
    <t>Day-Ahead Transmission Implicit Loss Charge</t>
  </si>
  <si>
    <t>Expansion Cost Recovery Charges</t>
  </si>
  <si>
    <t>Firm Point-to-Point Transmission Service Credits</t>
  </si>
  <si>
    <t>FTR Congestion Credit (Target Allocation)</t>
  </si>
  <si>
    <t>Locational Reliability</t>
  </si>
  <si>
    <t>Non-Firm Point-to-Point Transmission Service Charges</t>
  </si>
  <si>
    <t>Non-Firm Point-to-Point Transmission Service Credits</t>
  </si>
  <si>
    <t>Non-Unit Specific Capacity Transaction Charges</t>
  </si>
  <si>
    <t>Non-Unit Specific Capacity Transaction Credits</t>
  </si>
  <si>
    <t>North American Electric Reliability Corporation (NERC) Charge</t>
  </si>
  <si>
    <t>Other Supporting Facilities Charges</t>
  </si>
  <si>
    <t>Reactive Supply and Voltage Control from Generation Sources Service Charges</t>
  </si>
  <si>
    <t>Reactive Supply and Voltage Control from Generation Sources Service Credits</t>
  </si>
  <si>
    <t>Regulation Charge</t>
  </si>
  <si>
    <t>Regulation Credit</t>
  </si>
  <si>
    <t>RPM Auction Credits</t>
  </si>
  <si>
    <t>Synchronous Condensing Charges</t>
  </si>
  <si>
    <t>Transmission Loss Credit</t>
  </si>
  <si>
    <t>N</t>
  </si>
  <si>
    <t>Network Integration Transmission Service Charges</t>
  </si>
  <si>
    <t>Transmission Owner Scheduling System Control and Dispatch Service Charges</t>
  </si>
  <si>
    <t>Non-ECR Explicit Congestion</t>
  </si>
  <si>
    <t>Non-ECR Explicit Losses</t>
  </si>
  <si>
    <t>Ameren Energy, Inc.</t>
  </si>
  <si>
    <t>NOTE:</t>
  </si>
  <si>
    <t>PUPP</t>
  </si>
  <si>
    <r>
      <t>Purchase Capacity for Monongahela Service Area</t>
    </r>
    <r>
      <rPr>
        <sz val="8"/>
        <rFont val="Comic Sans MS"/>
        <family val="4"/>
      </rPr>
      <t xml:space="preserve"> through December 2008</t>
    </r>
  </si>
  <si>
    <t>PJM Capacity Related to Normal Purchases</t>
  </si>
  <si>
    <t>Non-ECR Purchased Capacity</t>
  </si>
  <si>
    <t>Wabash &amp; AMPO PJM Capacity Entry</t>
  </si>
  <si>
    <t>4470.124, 125 &amp; 209</t>
  </si>
  <si>
    <t>Camp Grove Wind Farm</t>
  </si>
  <si>
    <t>PJM - Generation Activity on PJM Transmission Invoice</t>
  </si>
  <si>
    <t>PJM Administrative Defaults - OSS</t>
  </si>
  <si>
    <t>4470.126 &amp; 5550.039</t>
  </si>
  <si>
    <t>DUKE2</t>
  </si>
  <si>
    <t>Adj. for Real-time Economic Load Response Charge</t>
  </si>
  <si>
    <t>Adj. to Non-Firm Point-to-Point Transmission Service Credits</t>
  </si>
  <si>
    <t>Balancing Operating Reserve LOC Credit</t>
  </si>
  <si>
    <t>Capacity Resource Deficiency  Credit</t>
  </si>
  <si>
    <t>Load Reconciliation for Day-ahead Scheduling Reserve</t>
  </si>
  <si>
    <t>Load Reconciliation for Synchronous Condensing Charge</t>
  </si>
  <si>
    <t>Load Reconciliation for Transmission Losses Charge</t>
  </si>
  <si>
    <t>Reconciliation for Scheduling System Control and Dispatch Service Charges</t>
  </si>
  <si>
    <t>Reconciliation for Synchronized Reserve</t>
  </si>
  <si>
    <t>Reconciliation for Transmission Owner Scheduling System Control and Dispatch Service Charges</t>
  </si>
  <si>
    <t>Reconcilliation for Regulation Charges</t>
  </si>
  <si>
    <t>Reconcilliation for Spot Market Charges</t>
  </si>
  <si>
    <t>SR Credit (Tier 2)</t>
  </si>
  <si>
    <t>PJM Schedule 9 &amp; 10 Entry - LSE</t>
  </si>
  <si>
    <t>PJM Schedule 9 &amp; 10 Entry - OSS</t>
  </si>
  <si>
    <t>Adj. to Balancing Operating Reserves Charges</t>
  </si>
  <si>
    <t>Adj. to Transmission Losses Credits</t>
  </si>
  <si>
    <t>Reactive Services Charge</t>
  </si>
  <si>
    <t>Reconciliation for Transmission Congestion Charges</t>
  </si>
  <si>
    <t>Reconciliation for Transmission Losses Charges</t>
  </si>
  <si>
    <t>Reconciliation for Transmission Losses Credits</t>
  </si>
  <si>
    <t>Union Power Partners</t>
  </si>
  <si>
    <t>11/08</t>
  </si>
  <si>
    <t>Exelon Generation Company</t>
  </si>
  <si>
    <t>4470.099 &amp; 4470.124</t>
  </si>
  <si>
    <t>MISO FTR Revenue - Effective 1/1/08</t>
  </si>
  <si>
    <t>PJM AEP WOH Activity</t>
  </si>
  <si>
    <t xml:space="preserve">PJM/MISO </t>
  </si>
  <si>
    <t>RENEWABLE ENERGY</t>
  </si>
  <si>
    <t>CREDIT COMMISSIONS</t>
  </si>
  <si>
    <t>ACCT. 5570.007</t>
  </si>
  <si>
    <t>RENEWABLE</t>
  </si>
  <si>
    <t>ENERGY CREDITS</t>
  </si>
  <si>
    <t>Invoice Adjustment - Spot Energy Sales</t>
  </si>
  <si>
    <t>PAGE (4)</t>
  </si>
  <si>
    <t xml:space="preserve"> Actual</t>
  </si>
  <si>
    <t>SUMMARY OF ENERGY SETTLEMENT</t>
  </si>
  <si>
    <t>CHARGE MEMBER</t>
  </si>
  <si>
    <t>CREDIT MEMBER</t>
  </si>
  <si>
    <t xml:space="preserve">  I.  AEP EXTERNAL ENERGY  *</t>
  </si>
  <si>
    <t>ENERGY COST</t>
  </si>
  <si>
    <t>RECOVERY AND MLR</t>
  </si>
  <si>
    <t>ALLOCATION FOR ALL</t>
  </si>
  <si>
    <t xml:space="preserve">AEP SYSTEM </t>
  </si>
  <si>
    <t>DELIVERIES TO</t>
  </si>
  <si>
    <t>NON-AFFILIATED COS.</t>
  </si>
  <si>
    <t>AEP</t>
  </si>
  <si>
    <t>ADJUSTMENT TO</t>
  </si>
  <si>
    <t>PREVENT RECOGNITION</t>
  </si>
  <si>
    <t>OF SALES BY POOL</t>
  </si>
  <si>
    <t>GL5</t>
  </si>
  <si>
    <t>MEMBERS TO</t>
  </si>
  <si>
    <t>THEMSELVES</t>
  </si>
  <si>
    <t>(PAGE 7)</t>
  </si>
  <si>
    <t>SUBTOTAL</t>
  </si>
  <si>
    <t>AEP EXTERNAL</t>
  </si>
  <si>
    <t xml:space="preserve"> II.  INTERNAL ENERGY AMONG POOL MEMBERS</t>
  </si>
  <si>
    <t>(PAGE 8)</t>
  </si>
  <si>
    <t>ECONOMY</t>
  </si>
  <si>
    <t>(PAGE 9)</t>
  </si>
  <si>
    <t>III.  TOTAL SYSTEM ACCOUNT ENERGY</t>
  </si>
  <si>
    <t>(I + II)</t>
  </si>
  <si>
    <t>PAGE (5)</t>
  </si>
  <si>
    <t>RECONCILIATION OF INTERRUPTIBLE CUSTOMERS</t>
  </si>
  <si>
    <t>LAWRENCEBURG</t>
  </si>
  <si>
    <t>DB</t>
  </si>
  <si>
    <t>LW</t>
  </si>
  <si>
    <t>DARBY</t>
  </si>
  <si>
    <t>DB1</t>
  </si>
  <si>
    <t>DB2</t>
  </si>
  <si>
    <t>DB3</t>
  </si>
  <si>
    <t>DB4</t>
  </si>
  <si>
    <t>DB5</t>
  </si>
  <si>
    <t>DB6</t>
  </si>
  <si>
    <t>DARBY 1</t>
  </si>
  <si>
    <t>DARBY 2</t>
  </si>
  <si>
    <t>DARBY 3</t>
  </si>
  <si>
    <t>DARBY 4</t>
  </si>
  <si>
    <t>DARBY 5</t>
  </si>
  <si>
    <t>DARBY 6</t>
  </si>
  <si>
    <t>Beckjord</t>
  </si>
  <si>
    <t>Conesville</t>
  </si>
  <si>
    <t>Picway</t>
  </si>
  <si>
    <t>Stuart</t>
  </si>
  <si>
    <t>Waterford</t>
  </si>
  <si>
    <t>Zimmer</t>
  </si>
  <si>
    <t>Racine (Hydro)</t>
  </si>
  <si>
    <t>Rockport 1 (I&amp;M owned)</t>
  </si>
  <si>
    <t>Rockport 1 (Purchase from AEG)</t>
  </si>
  <si>
    <t>Rockport 2 (I&amp;M leased)</t>
  </si>
  <si>
    <t>Rockport 2 (Purchase from AEG)</t>
  </si>
  <si>
    <t>Others (Hydro)</t>
  </si>
  <si>
    <t>Ceredo</t>
  </si>
  <si>
    <t>Clinch River</t>
  </si>
  <si>
    <t>Glen Lyn</t>
  </si>
  <si>
    <t>Kanawha River</t>
  </si>
  <si>
    <t>Mountaineer</t>
  </si>
  <si>
    <t>Smith Mountain (Hydro)</t>
  </si>
  <si>
    <t>SEPA Capacity Agreement</t>
  </si>
  <si>
    <t>Other Conventional Hydros</t>
  </si>
  <si>
    <t>Summersville</t>
  </si>
  <si>
    <t>BUY-THROUGH ALLOCATION OR INTERNAL CUSTOMERS IN GENERAL</t>
  </si>
  <si>
    <t>WHEREBY POOL ENERGY IS SPECIFICALLY ALLOCATED</t>
  </si>
  <si>
    <t xml:space="preserve">  I.  AEP POOL ENERGY  *</t>
  </si>
  <si>
    <t>TRANSFER OF FUNDS BETWEEN EASTERN AEP AND WESTERN AEP</t>
  </si>
  <si>
    <t>WESTERN AEP JOURNAL ENTRIES</t>
  </si>
  <si>
    <t>EASTERN AEP JOURNAL ENTRIES</t>
  </si>
  <si>
    <t>Transfer</t>
  </si>
  <si>
    <t>of Funds</t>
  </si>
  <si>
    <t>Item Description</t>
  </si>
  <si>
    <t>East Amount</t>
  </si>
  <si>
    <t>West Amount</t>
  </si>
  <si>
    <t>Direct Allocation</t>
  </si>
  <si>
    <t>Amounts</t>
  </si>
  <si>
    <t>To Be Shared</t>
  </si>
  <si>
    <t>System Integration Agreement (SIA)</t>
  </si>
  <si>
    <t>Effective 4/1/06</t>
  </si>
  <si>
    <t>Various</t>
  </si>
  <si>
    <t>Monongahela Power - PJM Entry</t>
  </si>
  <si>
    <t xml:space="preserve">Buckeye - Financial Payment Adjustment </t>
  </si>
  <si>
    <t>Buckeye - PJM Entry</t>
  </si>
  <si>
    <t>PJM - G/L to Invoice Adjustment</t>
  </si>
  <si>
    <t>Dow Plaquemine Entry</t>
  </si>
  <si>
    <t>Gas Non-Dedicated Swaps</t>
  </si>
  <si>
    <t>Gas Net Non-Dedicated Spark Swaps</t>
  </si>
  <si>
    <t>Gas Net Non-Dedicated Spark Swap - Accruals</t>
  </si>
  <si>
    <t>Gas Net Non-Ded. Spark Broker Commissions</t>
  </si>
  <si>
    <t>Gas Non-Dedicated Swap - Accruals</t>
  </si>
  <si>
    <t>Gas Non-Ded Spark Gas Broker Commissions</t>
  </si>
  <si>
    <t>Paribas Futures</t>
  </si>
  <si>
    <t>ECR / ICR</t>
  </si>
  <si>
    <t>ECR Purchase Demand Charges</t>
  </si>
  <si>
    <t>4470.144</t>
  </si>
  <si>
    <t>SIA Sharing Ratios</t>
  </si>
  <si>
    <t>PSO</t>
  </si>
  <si>
    <t>SWEPCO</t>
  </si>
  <si>
    <t>TCC</t>
  </si>
  <si>
    <t>TNC</t>
  </si>
  <si>
    <t>PLR:</t>
  </si>
  <si>
    <t xml:space="preserve">   East Direct Allocation</t>
  </si>
  <si>
    <t xml:space="preserve">   West Direct Allocation</t>
  </si>
  <si>
    <t xml:space="preserve">   Total</t>
  </si>
  <si>
    <t>PLR</t>
  </si>
  <si>
    <t xml:space="preserve">Entergy Direct </t>
  </si>
  <si>
    <t>Allocation to West</t>
  </si>
  <si>
    <t>SWEP</t>
  </si>
  <si>
    <t>SIA SHARING RATIOS</t>
  </si>
  <si>
    <t>REALIZATION TO BE SHARED:</t>
  </si>
  <si>
    <t xml:space="preserve">     LESS AMOUNT ALREADY BOOKED ON WEST</t>
  </si>
  <si>
    <t>WESTERN REALIZATION SHARE:</t>
  </si>
  <si>
    <t>Realizations</t>
  </si>
  <si>
    <t>Booked to West</t>
  </si>
  <si>
    <t>ACCOUNTS EAST ($)</t>
  </si>
  <si>
    <t>ACCOUNTS WEST ($)</t>
  </si>
  <si>
    <t>AEP SYSTEM MLR ALLOCATION OF EXPENSES FOR TRANSMISSION SERVICE TO BE RECORDED</t>
  </si>
  <si>
    <t>IN ACCOUNT 4470.066 (POWER TRADING TRANSMISSION EXPENSE - NON ASSOCIATED - ABOVE)</t>
  </si>
  <si>
    <t>AND IN ACCOUNT 4210.020 (POWER TRADING TRANSMISSION EXPENSE - NON ASSOCIATED - BELOW)</t>
  </si>
  <si>
    <t>ENERGY AND ENERGY</t>
  </si>
  <si>
    <t>COST RECOVERY</t>
  </si>
  <si>
    <t>ALLOCATED TO</t>
  </si>
  <si>
    <t>SPECIAL SERVICE</t>
  </si>
  <si>
    <t>CUSTOMERS</t>
  </si>
  <si>
    <t xml:space="preserve">ADJUSTMENT </t>
  </si>
  <si>
    <t>PAGE (6)</t>
  </si>
  <si>
    <t xml:space="preserve">        AEP SYSTEM DELIVERIES TO OTHER COMPANIES</t>
  </si>
  <si>
    <t xml:space="preserve">        RECONCILIATION OF SYSTEM ACCOUNT COST EQUALIZATION</t>
  </si>
  <si>
    <t xml:space="preserve">         TOTAL AND NET REVENUES</t>
  </si>
  <si>
    <t>Cost Equalization for AEP System Deliveries</t>
  </si>
  <si>
    <t>in the System Account (Page 4, Item 1)</t>
  </si>
  <si>
    <t>CREDIT MEMBER (2)</t>
  </si>
  <si>
    <t>CREDIT MEMBER (1)</t>
  </si>
  <si>
    <t>SYSTEM SALES</t>
  </si>
  <si>
    <t>EXCESS OF REVENUE</t>
  </si>
  <si>
    <t>OVER ENERGY COSTS</t>
  </si>
  <si>
    <t>(4)=(3)-(1)</t>
  </si>
  <si>
    <t>NET REVENUE REALIZED</t>
  </si>
  <si>
    <t>DEMAND CHARGE</t>
  </si>
  <si>
    <t>BY THE MEMBERS</t>
  </si>
  <si>
    <t>(MLR)</t>
  </si>
  <si>
    <t>PAID TO</t>
  </si>
  <si>
    <t>(I.E., EXCESS OF REVENUE</t>
  </si>
  <si>
    <t>THIRD PARTIES</t>
  </si>
  <si>
    <t>OVER INCURRED COSTS)</t>
  </si>
  <si>
    <t>THIS MONTH</t>
  </si>
  <si>
    <t>(6)=(4)-(5)</t>
  </si>
  <si>
    <t>SO2 to CPL:</t>
  </si>
  <si>
    <t>PAGE (7)</t>
  </si>
  <si>
    <t>CALCULATION OF ADJUSTMENT TO PREVENT RECOGNITION OF SALES</t>
  </si>
  <si>
    <t>BY POOL MEMBERS TO THEMSELVES</t>
  </si>
  <si>
    <t>Paribas UBS Accrual</t>
  </si>
  <si>
    <t xml:space="preserve">  I.  GENERATION SUPPLIED TO THE POOL FOR SYSTEM SALES (1)</t>
  </si>
  <si>
    <t>COST (2)</t>
  </si>
  <si>
    <t>MLR</t>
  </si>
  <si>
    <t>COST ($)</t>
  </si>
  <si>
    <t xml:space="preserve"> II.  AEG AND OVEC PURCHASES SUPPLIED FOR SYSTEM SALES (1)</t>
  </si>
  <si>
    <t xml:space="preserve">COST </t>
  </si>
  <si>
    <t>PRIOR PERIOD ADJUSTMENTS (2)</t>
  </si>
  <si>
    <r>
      <t>PRIOR PERIOD ADJUSTMENTS</t>
    </r>
    <r>
      <rPr>
        <sz val="10"/>
        <rFont val="Comic Sans MS"/>
        <family val="4"/>
      </rPr>
      <t xml:space="preserve"> (2)</t>
    </r>
  </si>
  <si>
    <t>III.  PURCHASED POWER SUPPLIED FOR SYSTEM SALES (3)</t>
  </si>
  <si>
    <t>AS ALLOCATED</t>
  </si>
  <si>
    <t xml:space="preserve"> IV.  TOTAL ADJUSTMENT (I + II + III)</t>
  </si>
  <si>
    <t>TOTAL ADJUSTMENT</t>
  </si>
  <si>
    <t>TO PAGE 4</t>
  </si>
  <si>
    <t>(1)  The source of the MWh and COST data is the "Allocated Sources by Operating Companies - Summary -</t>
  </si>
  <si>
    <t xml:space="preserve">      All Deliveries - Cash "from the ECR#MLR report.</t>
  </si>
  <si>
    <t>(2)  See Note (1), page 6.</t>
  </si>
  <si>
    <t>(3)  Excludes OVEC and AEG purchases allocated to System Sales (shown in II above).</t>
  </si>
  <si>
    <t>PAGE (8)</t>
  </si>
  <si>
    <t xml:space="preserve">              PRIMARY ENERGY</t>
  </si>
  <si>
    <t>RECEIVED ENERGY</t>
  </si>
  <si>
    <t>DELIVERING</t>
  </si>
  <si>
    <t>RECEIVING</t>
  </si>
  <si>
    <t>$/MWh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</si>
  <si>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</si>
  <si>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</si>
  <si>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</si>
  <si>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</si>
  <si>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</si>
  <si>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</si>
  <si>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</si>
  <si>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</si>
  <si>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</si>
  <si>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</si>
  <si>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</si>
  <si>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</si>
  <si>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</si>
  <si>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</si>
  <si>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</si>
  <si>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</si>
  <si>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</si>
  <si>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</si>
  <si>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</si>
  <si>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</si>
  <si>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</si>
  <si>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</si>
  <si>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City of Columbus - Load</t>
  </si>
  <si>
    <t>City of Columbus - Generation</t>
  </si>
  <si>
    <t>PJM - Columbus Load</t>
  </si>
  <si>
    <t>PJM - Columbus Generation</t>
  </si>
  <si>
    <t>12</t>
  </si>
  <si>
    <t>23.</t>
  </si>
  <si>
    <t>24.</t>
  </si>
  <si>
    <t>OFFSET OF PASS-THROUGH CHARGES ASSOCIATED WITH PJM</t>
  </si>
  <si>
    <t>Monongahela Power Company</t>
  </si>
  <si>
    <t>TOTAL OFFSET OF PASS-THROUGH CHARGES (ACTUAL)</t>
  </si>
  <si>
    <t>TOTAL OFFSET OF PASS-THROUGH CHARGES (ESTIMATED)</t>
  </si>
  <si>
    <t>TOTAL OFFSET OF PASS-THROUGH CHARGES (ADJUSTMENT)</t>
  </si>
  <si>
    <t>Capability***</t>
  </si>
  <si>
    <t>*** SOURCE: Interchange Power Statement, Appendix II</t>
  </si>
  <si>
    <t>25.</t>
  </si>
  <si>
    <t>26.</t>
  </si>
  <si>
    <t>TOTAL ALL MEMBERS RECEIVED</t>
  </si>
  <si>
    <t>DELIVERED ENERGY</t>
  </si>
  <si>
    <t>BY MEMBER</t>
  </si>
  <si>
    <t>SUM OF LINES</t>
  </si>
  <si>
    <t>27.</t>
  </si>
  <si>
    <t>6, 11, 16, &amp; 21</t>
  </si>
  <si>
    <t>28.</t>
  </si>
  <si>
    <t>1, 12, 17, &amp; 22</t>
  </si>
  <si>
    <t>29.</t>
  </si>
  <si>
    <t>2, 7, 18, &amp; 23</t>
  </si>
  <si>
    <t>30.</t>
  </si>
  <si>
    <t>3, 8, 13, &amp; 24</t>
  </si>
  <si>
    <t>31.</t>
  </si>
  <si>
    <t>4, 9, 14, &amp; 19</t>
  </si>
  <si>
    <t>32.</t>
  </si>
  <si>
    <t>TOTAL ALL MEMBERS DELIVERED:</t>
  </si>
  <si>
    <t>ACCOUNT 151 FUEL COST ASSOCIATED</t>
  </si>
  <si>
    <t>WITH PRIMARY ENERGY</t>
  </si>
  <si>
    <t>PAGE (9)</t>
  </si>
  <si>
    <t xml:space="preserve">              ECONOMY ENERGY</t>
  </si>
  <si>
    <t>Date</t>
  </si>
  <si>
    <t>Subject</t>
  </si>
  <si>
    <t>East Interchange Power Statement and Related Data</t>
  </si>
  <si>
    <t>D. J. Kulha</t>
  </si>
  <si>
    <t>To</t>
  </si>
  <si>
    <t xml:space="preserve">See Distribution List  </t>
  </si>
  <si>
    <t xml:space="preserve">   </t>
  </si>
  <si>
    <t>INTERCHANGE POWER STATEMENT</t>
  </si>
  <si>
    <t>FOR THE MONTH OF</t>
  </si>
  <si>
    <t>----------------------------------------------------------------------</t>
  </si>
  <si>
    <t>Approved</t>
  </si>
  <si>
    <t>Reviewer:</t>
  </si>
  <si>
    <t>Richard P. Quaintance</t>
  </si>
  <si>
    <t>STATEMENT OF SETTLEMENT TO BE MADE</t>
  </si>
  <si>
    <t>FOR ELECTRIC POWER AND ENERGY RECEIVED AND DELIVERED</t>
  </si>
  <si>
    <t>APPLICABLE TO SEPTEMBER 2006 BUSINESS</t>
  </si>
  <si>
    <t xml:space="preserve">Pursuant to the Interconnection Agreement, dated July 6, 1951, </t>
  </si>
  <si>
    <t>as Amended</t>
  </si>
  <si>
    <t>by and among</t>
  </si>
  <si>
    <t>Appalachian Power Company (APCo),</t>
  </si>
  <si>
    <t>Columbus Southern Power Company (CSP),</t>
  </si>
  <si>
    <t>Indiana Michigan Power Company, (I&amp;M),</t>
  </si>
  <si>
    <t>Kentucky Power Company (KPCo),</t>
  </si>
  <si>
    <t>Ohio Power Company (OPCo),</t>
  </si>
  <si>
    <t>and with</t>
  </si>
  <si>
    <t>American Electric Power Service Corporation</t>
  </si>
  <si>
    <t>as Agent.</t>
  </si>
  <si>
    <t>Prepared by:</t>
  </si>
  <si>
    <t>Wholesale Commercial Accounting Group</t>
  </si>
  <si>
    <t>CONTENTS</t>
  </si>
  <si>
    <t>Inadvertent - OSS</t>
  </si>
  <si>
    <t>Inadvertent - LSE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</si>
  <si>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</si>
  <si>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Summary of Settlements with the System Agent, for all Members    </t>
  </si>
  <si>
    <t>System Account Settlement</t>
  </si>
  <si>
    <t xml:space="preserve">Recapitulation of Capacity, Energy, Other Charges                               </t>
  </si>
  <si>
    <t xml:space="preserve">Calculation of Capacity Settlement                                                       </t>
  </si>
  <si>
    <t xml:space="preserve">Summary of Energy Settlement                                                            </t>
  </si>
  <si>
    <t xml:space="preserve">Reconciliation with Interruptible Customers                                                </t>
  </si>
  <si>
    <t>Reconciliation with regard to Realization and</t>
  </si>
  <si>
    <t xml:space="preserve">Service Schedule D with Western AEP                                                           </t>
  </si>
  <si>
    <t xml:space="preserve">Calculation of Adjustment                                                                       </t>
  </si>
  <si>
    <t xml:space="preserve">Detail of Primary Energy                                                                    </t>
  </si>
  <si>
    <t xml:space="preserve">Detail of Economy Energy          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</si>
</sst>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"/>
    <numFmt numFmtId="166" formatCode="#,##0.000_);\(#,##0.000\)"/>
    <numFmt numFmtId="167" formatCode="#,##0.0000_);\(#,##0.0000\)"/>
    <numFmt numFmtId="168" formatCode="#,##0;[Red]#,##0"/>
    <numFmt numFmtId="169" formatCode="0.00_);\(0.00\)"/>
    <numFmt numFmtId="170" formatCode="#,##0.00000_);\(#,##0.00000\)"/>
    <numFmt numFmtId="171" formatCode="#,##0.0000"/>
    <numFmt numFmtId="172" formatCode="0.000"/>
    <numFmt numFmtId="173" formatCode="_(* #,##0_);_(* \(#,##0\);_(* &quot;-&quot;??_);_(@_)"/>
    <numFmt numFmtId="174" formatCode="&quot;$&quot;#,##0"/>
    <numFmt numFmtId="175" formatCode="0.000%"/>
    <numFmt numFmtId="176" formatCode="mmmm\-yy"/>
    <numFmt numFmtId="177" formatCode="00000"/>
    <numFmt numFmtId="178" formatCode="0.0000"/>
    <numFmt numFmtId="179" formatCode="0.000000"/>
    <numFmt numFmtId="180" formatCode="0.0000000"/>
    <numFmt numFmtId="181" formatCode="&quot;$&quot;#,##0.00000_);\(&quot;$&quot;#,##0.00000\)"/>
    <numFmt numFmtId="182" formatCode="&quot;$&quot;#,##0.0_);\(&quot;$&quot;#,##0.0\)"/>
    <numFmt numFmtId="183" formatCode="&quot;$&quot;#,##0.000_);\(&quot;$&quot;#,##0.000\)"/>
    <numFmt numFmtId="184" formatCode="0.0"/>
    <numFmt numFmtId="185" formatCode="_(* #,##0.0_);_(* \(#,##0.0\);_(* &quot;-&quot;??_);_(@_)"/>
    <numFmt numFmtId="186" formatCode="_(* #,##0.00000_);_(* \(#,##0.00000\);_(* &quot;-&quot;?????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0_);\(0\)"/>
    <numFmt numFmtId="191" formatCode="_(* #,##0.0_);_(* \(#,##0.0\);_(* &quot;-&quot;?_);_(@_)"/>
    <numFmt numFmtId="192" formatCode="#,##0.0_);\(#,##0.0\)"/>
    <numFmt numFmtId="193" formatCode="General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0000_);_(* \(#,##0.00000\);_(* &quot;-&quot;??_);_(@_)"/>
    <numFmt numFmtId="200" formatCode="0.00000000"/>
    <numFmt numFmtId="201" formatCode="_(* #,##0.0000_);_(* \(#,##0.0000\);_(* &quot;-&quot;????_);_(@_)"/>
    <numFmt numFmtId="202" formatCode="_(* #,##0.000_);_(* \(#,##0.000\);_(* &quot;-&quot;???_);_(@_)"/>
    <numFmt numFmtId="203" formatCode="&quot;$&quot;#,##0.0000_);\(&quot;$&quot;#,##0.0000\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#,##0.000000_);\(#,##0.000000\)"/>
    <numFmt numFmtId="208" formatCode="0.000000000"/>
    <numFmt numFmtId="209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9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MS Sans Serif"/>
      <family val="0"/>
    </font>
    <font>
      <b/>
      <i/>
      <sz val="8"/>
      <name val="Comic Sans MS"/>
      <family val="4"/>
    </font>
    <font>
      <i/>
      <sz val="8"/>
      <name val="Comic Sans MS"/>
      <family val="4"/>
    </font>
    <font>
      <sz val="8"/>
      <color indexed="48"/>
      <name val="Comic Sans MS"/>
      <family val="4"/>
    </font>
    <font>
      <b/>
      <sz val="8"/>
      <color indexed="48"/>
      <name val="Comic Sans MS"/>
      <family val="4"/>
    </font>
    <font>
      <sz val="7"/>
      <name val="Small Fonts"/>
      <family val="2"/>
    </font>
    <font>
      <sz val="9"/>
      <name val="Arial"/>
      <family val="2"/>
    </font>
    <font>
      <u val="single"/>
      <sz val="10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Comic Sans MS"/>
      <family val="4"/>
    </font>
    <font>
      <sz val="10"/>
      <name val="Courier"/>
      <family val="0"/>
    </font>
    <font>
      <sz val="10"/>
      <name val="Helv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sz val="8"/>
      <color indexed="10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Comic Sans MS"/>
      <family val="4"/>
    </font>
    <font>
      <sz val="10"/>
      <color indexed="12"/>
      <name val="Comic Sans MS"/>
      <family val="4"/>
    </font>
  </fonts>
  <fills count="13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38" fillId="0" borderId="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>
      <alignment/>
      <protection/>
    </xf>
    <xf numFmtId="193" fontId="39" fillId="0" borderId="0" applyProtection="0">
      <alignment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1">
      <alignment horizontal="center"/>
      <protection/>
    </xf>
    <xf numFmtId="0" fontId="4" fillId="2" borderId="0" applyNumberFormat="0" applyFont="0" applyBorder="0" applyAlignment="0" applyProtection="0"/>
  </cellStyleXfs>
  <cellXfs count="907">
    <xf numFmtId="0" fontId="0" fillId="0" borderId="0" xfId="0" applyAlignment="1">
      <alignment/>
    </xf>
    <xf numFmtId="0" fontId="7" fillId="3" borderId="2" xfId="0" applyFont="1" applyFill="1" applyBorder="1" applyAlignment="1">
      <alignment/>
    </xf>
    <xf numFmtId="17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9" fillId="3" borderId="2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" fontId="8" fillId="0" borderId="0" xfId="0" applyNumberFormat="1" applyFont="1" applyFill="1" applyAlignment="1" quotePrefix="1">
      <alignment/>
    </xf>
    <xf numFmtId="0" fontId="8" fillId="3" borderId="5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8" fillId="4" borderId="11" xfId="0" applyNumberFormat="1" applyFont="1" applyFill="1" applyBorder="1" applyAlignment="1">
      <alignment/>
    </xf>
    <xf numFmtId="37" fontId="8" fillId="3" borderId="12" xfId="0" applyNumberFormat="1" applyFont="1" applyFill="1" applyBorder="1" applyAlignment="1">
      <alignment/>
    </xf>
    <xf numFmtId="37" fontId="8" fillId="4" borderId="12" xfId="0" applyNumberFormat="1" applyFont="1" applyFill="1" applyBorder="1" applyAlignment="1">
      <alignment/>
    </xf>
    <xf numFmtId="0" fontId="8" fillId="3" borderId="11" xfId="0" applyFont="1" applyFill="1" applyBorder="1" applyAlignment="1">
      <alignment/>
    </xf>
    <xf numFmtId="164" fontId="8" fillId="4" borderId="1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7" fontId="8" fillId="4" borderId="8" xfId="0" applyNumberFormat="1" applyFont="1" applyFill="1" applyBorder="1" applyAlignment="1">
      <alignment/>
    </xf>
    <xf numFmtId="37" fontId="8" fillId="4" borderId="9" xfId="0" applyNumberFormat="1" applyFont="1" applyFill="1" applyBorder="1" applyAlignment="1">
      <alignment/>
    </xf>
    <xf numFmtId="37" fontId="8" fillId="4" borderId="10" xfId="0" applyNumberFormat="1" applyFont="1" applyFill="1" applyBorder="1" applyAlignment="1">
      <alignment/>
    </xf>
    <xf numFmtId="164" fontId="8" fillId="4" borderId="10" xfId="0" applyNumberFormat="1" applyFont="1" applyFill="1" applyBorder="1" applyAlignment="1">
      <alignment horizontal="center"/>
    </xf>
    <xf numFmtId="37" fontId="8" fillId="3" borderId="10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37" fontId="8" fillId="3" borderId="5" xfId="0" applyNumberFormat="1" applyFont="1" applyFill="1" applyBorder="1" applyAlignment="1">
      <alignment/>
    </xf>
    <xf numFmtId="37" fontId="12" fillId="3" borderId="6" xfId="0" applyNumberFormat="1" applyFont="1" applyFill="1" applyBorder="1" applyAlignment="1">
      <alignment horizontal="center"/>
    </xf>
    <xf numFmtId="37" fontId="8" fillId="3" borderId="7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13" fillId="3" borderId="8" xfId="0" applyNumberFormat="1" applyFont="1" applyFill="1" applyBorder="1" applyAlignment="1">
      <alignment horizontal="center"/>
    </xf>
    <xf numFmtId="37" fontId="13" fillId="3" borderId="9" xfId="0" applyNumberFormat="1" applyFont="1" applyFill="1" applyBorder="1" applyAlignment="1">
      <alignment horizontal="center"/>
    </xf>
    <xf numFmtId="37" fontId="13" fillId="3" borderId="10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14" fillId="4" borderId="5" xfId="0" applyFont="1" applyFill="1" applyBorder="1" applyAlignment="1" quotePrefix="1">
      <alignment/>
    </xf>
    <xf numFmtId="0" fontId="14" fillId="4" borderId="6" xfId="0" applyFont="1" applyFill="1" applyBorder="1" applyAlignment="1">
      <alignment/>
    </xf>
    <xf numFmtId="0" fontId="14" fillId="4" borderId="7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4" fillId="4" borderId="12" xfId="0" applyFont="1" applyFill="1" applyBorder="1" applyAlignment="1">
      <alignment/>
    </xf>
    <xf numFmtId="0" fontId="14" fillId="4" borderId="8" xfId="0" applyFont="1" applyFill="1" applyBorder="1" applyAlignment="1" quotePrefix="1">
      <alignment/>
    </xf>
    <xf numFmtId="0" fontId="14" fillId="4" borderId="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37" fontId="8" fillId="0" borderId="0" xfId="0" applyNumberFormat="1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13" fillId="3" borderId="12" xfId="0" applyFont="1" applyFill="1" applyBorder="1" applyAlignment="1">
      <alignment horizontal="center"/>
    </xf>
    <xf numFmtId="0" fontId="8" fillId="3" borderId="3" xfId="0" applyFont="1" applyFill="1" applyBorder="1" applyAlignment="1">
      <alignment/>
    </xf>
    <xf numFmtId="0" fontId="13" fillId="3" borderId="8" xfId="0" applyFont="1" applyFill="1" applyBorder="1" applyAlignment="1" quotePrefix="1">
      <alignment horizontal="center"/>
    </xf>
    <xf numFmtId="0" fontId="8" fillId="3" borderId="9" xfId="0" applyFont="1" applyFill="1" applyBorder="1" applyAlignment="1">
      <alignment/>
    </xf>
    <xf numFmtId="0" fontId="13" fillId="3" borderId="10" xfId="0" applyFont="1" applyFill="1" applyBorder="1" applyAlignment="1" quotePrefix="1">
      <alignment horizontal="center"/>
    </xf>
    <xf numFmtId="0" fontId="15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37" fontId="8" fillId="4" borderId="15" xfId="0" applyNumberFormat="1" applyFont="1" applyFill="1" applyBorder="1" applyAlignment="1">
      <alignment/>
    </xf>
    <xf numFmtId="37" fontId="8" fillId="4" borderId="14" xfId="0" applyNumberFormat="1" applyFont="1" applyFill="1" applyBorder="1" applyAlignment="1">
      <alignment/>
    </xf>
    <xf numFmtId="37" fontId="13" fillId="3" borderId="14" xfId="0" applyNumberFormat="1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37" fontId="13" fillId="3" borderId="10" xfId="0" applyNumberFormat="1" applyFont="1" applyFill="1" applyBorder="1" applyAlignment="1">
      <alignment/>
    </xf>
    <xf numFmtId="39" fontId="13" fillId="3" borderId="10" xfId="0" applyNumberFormat="1" applyFont="1" applyFill="1" applyBorder="1" applyAlignment="1">
      <alignment/>
    </xf>
    <xf numFmtId="0" fontId="16" fillId="3" borderId="12" xfId="0" applyFont="1" applyFill="1" applyBorder="1" applyAlignment="1">
      <alignment horizontal="center"/>
    </xf>
    <xf numFmtId="37" fontId="10" fillId="4" borderId="12" xfId="0" applyNumberFormat="1" applyFont="1" applyFill="1" applyBorder="1" applyAlignment="1">
      <alignment/>
    </xf>
    <xf numFmtId="37" fontId="13" fillId="3" borderId="12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/>
    </xf>
    <xf numFmtId="37" fontId="13" fillId="3" borderId="12" xfId="0" applyNumberFormat="1" applyFont="1" applyFill="1" applyBorder="1" applyAlignment="1">
      <alignment/>
    </xf>
    <xf numFmtId="37" fontId="8" fillId="4" borderId="0" xfId="0" applyNumberFormat="1" applyFont="1" applyFill="1" applyBorder="1" applyAlignment="1">
      <alignment/>
    </xf>
    <xf numFmtId="0" fontId="15" fillId="3" borderId="12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37" fontId="13" fillId="3" borderId="11" xfId="0" applyNumberFormat="1" applyFont="1" applyFill="1" applyBorder="1" applyAlignment="1">
      <alignment horizontal="center"/>
    </xf>
    <xf numFmtId="0" fontId="14" fillId="4" borderId="0" xfId="0" applyFont="1" applyFill="1" applyBorder="1" applyAlignment="1" quotePrefix="1">
      <alignment/>
    </xf>
    <xf numFmtId="37" fontId="13" fillId="3" borderId="4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2" fillId="3" borderId="12" xfId="0" applyFont="1" applyFill="1" applyBorder="1" applyAlignment="1" quotePrefix="1">
      <alignment horizontal="center"/>
    </xf>
    <xf numFmtId="0" fontId="8" fillId="3" borderId="12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37" fontId="8" fillId="0" borderId="7" xfId="0" applyNumberFormat="1" applyFont="1" applyFill="1" applyBorder="1" applyAlignment="1">
      <alignment/>
    </xf>
    <xf numFmtId="37" fontId="8" fillId="3" borderId="3" xfId="0" applyNumberFormat="1" applyFont="1" applyFill="1" applyBorder="1" applyAlignment="1">
      <alignment/>
    </xf>
    <xf numFmtId="37" fontId="8" fillId="3" borderId="4" xfId="0" applyNumberFormat="1" applyFont="1" applyFill="1" applyBorder="1" applyAlignment="1">
      <alignment/>
    </xf>
    <xf numFmtId="37" fontId="8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37" fontId="13" fillId="3" borderId="7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37" fontId="12" fillId="3" borderId="10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/>
    </xf>
    <xf numFmtId="0" fontId="13" fillId="3" borderId="13" xfId="0" applyFont="1" applyFill="1" applyBorder="1" applyAlignment="1">
      <alignment/>
    </xf>
    <xf numFmtId="37" fontId="8" fillId="3" borderId="2" xfId="0" applyNumberFormat="1" applyFont="1" applyFill="1" applyBorder="1" applyAlignment="1">
      <alignment/>
    </xf>
    <xf numFmtId="0" fontId="13" fillId="3" borderId="16" xfId="0" applyFont="1" applyFill="1" applyBorder="1" applyAlignment="1">
      <alignment/>
    </xf>
    <xf numFmtId="37" fontId="8" fillId="4" borderId="16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3" fillId="3" borderId="15" xfId="0" applyFont="1" applyFill="1" applyBorder="1" applyAlignment="1">
      <alignment/>
    </xf>
    <xf numFmtId="39" fontId="8" fillId="3" borderId="12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0" fontId="12" fillId="3" borderId="16" xfId="0" applyFont="1" applyFill="1" applyBorder="1" applyAlignment="1">
      <alignment horizontal="center"/>
    </xf>
    <xf numFmtId="37" fontId="8" fillId="3" borderId="6" xfId="0" applyNumberFormat="1" applyFont="1" applyFill="1" applyBorder="1" applyAlignment="1">
      <alignment/>
    </xf>
    <xf numFmtId="0" fontId="14" fillId="4" borderId="8" xfId="0" applyFont="1" applyFill="1" applyBorder="1" applyAlignment="1">
      <alignment/>
    </xf>
    <xf numFmtId="0" fontId="12" fillId="3" borderId="14" xfId="0" applyFont="1" applyFill="1" applyBorder="1" applyAlignment="1">
      <alignment horizontal="center"/>
    </xf>
    <xf numFmtId="37" fontId="8" fillId="3" borderId="8" xfId="0" applyNumberFormat="1" applyFont="1" applyFill="1" applyBorder="1" applyAlignment="1">
      <alignment/>
    </xf>
    <xf numFmtId="37" fontId="8" fillId="3" borderId="9" xfId="0" applyNumberFormat="1" applyFont="1" applyFill="1" applyBorder="1" applyAlignment="1">
      <alignment/>
    </xf>
    <xf numFmtId="37" fontId="8" fillId="3" borderId="12" xfId="0" applyNumberFormat="1" applyFont="1" applyFill="1" applyBorder="1" applyAlignment="1" quotePrefix="1">
      <alignment horizontal="center"/>
    </xf>
    <xf numFmtId="39" fontId="8" fillId="0" borderId="0" xfId="0" applyNumberFormat="1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37" fontId="8" fillId="4" borderId="0" xfId="0" applyNumberFormat="1" applyFont="1" applyFill="1" applyBorder="1" applyAlignment="1">
      <alignment/>
    </xf>
    <xf numFmtId="37" fontId="8" fillId="4" borderId="12" xfId="0" applyNumberFormat="1" applyFont="1" applyFill="1" applyBorder="1" applyAlignment="1">
      <alignment/>
    </xf>
    <xf numFmtId="0" fontId="8" fillId="3" borderId="8" xfId="0" applyFont="1" applyFill="1" applyBorder="1" applyAlignment="1">
      <alignment horizontal="center"/>
    </xf>
    <xf numFmtId="37" fontId="8" fillId="4" borderId="9" xfId="0" applyNumberFormat="1" applyFont="1" applyFill="1" applyBorder="1" applyAlignment="1">
      <alignment/>
    </xf>
    <xf numFmtId="37" fontId="8" fillId="4" borderId="10" xfId="0" applyNumberFormat="1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12" fillId="3" borderId="12" xfId="0" applyFont="1" applyFill="1" applyBorder="1" applyAlignment="1">
      <alignment horizontal="center"/>
    </xf>
    <xf numFmtId="37" fontId="8" fillId="3" borderId="15" xfId="0" applyNumberFormat="1" applyFont="1" applyFill="1" applyBorder="1" applyAlignment="1">
      <alignment/>
    </xf>
    <xf numFmtId="37" fontId="8" fillId="3" borderId="14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17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quotePrefix="1">
      <alignment horizontal="center"/>
    </xf>
    <xf numFmtId="0" fontId="8" fillId="0" borderId="0" xfId="0" applyFont="1" applyAlignment="1" quotePrefix="1">
      <alignment/>
    </xf>
    <xf numFmtId="0" fontId="13" fillId="0" borderId="0" xfId="0" applyFont="1" applyAlignment="1" quotePrefix="1">
      <alignment horizontal="center"/>
    </xf>
    <xf numFmtId="37" fontId="8" fillId="0" borderId="9" xfId="0" applyNumberFormat="1" applyFont="1" applyFill="1" applyBorder="1" applyAlignment="1">
      <alignment/>
    </xf>
    <xf numFmtId="37" fontId="8" fillId="0" borderId="9" xfId="0" applyNumberFormat="1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17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9" xfId="0" applyFont="1" applyBorder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 quotePrefix="1">
      <alignment horizontal="center"/>
    </xf>
    <xf numFmtId="37" fontId="18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37" fontId="18" fillId="0" borderId="0" xfId="0" applyNumberFormat="1" applyFont="1" applyFill="1" applyAlignment="1">
      <alignment/>
    </xf>
    <xf numFmtId="37" fontId="18" fillId="0" borderId="9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9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9" xfId="0" applyFont="1" applyFill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0" fontId="13" fillId="0" borderId="0" xfId="0" applyFont="1" applyFill="1" applyAlignment="1" quotePrefix="1">
      <alignment horizontal="center"/>
    </xf>
    <xf numFmtId="168" fontId="8" fillId="0" borderId="0" xfId="0" applyNumberFormat="1" applyFont="1" applyAlignment="1">
      <alignment/>
    </xf>
    <xf numFmtId="168" fontId="8" fillId="0" borderId="9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 quotePrefix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9" xfId="0" applyFont="1" applyBorder="1" applyAlignment="1" quotePrefix="1">
      <alignment horizontal="center"/>
    </xf>
    <xf numFmtId="0" fontId="15" fillId="0" borderId="0" xfId="0" applyFont="1" applyAlignment="1" quotePrefix="1">
      <alignment horizontal="center"/>
    </xf>
    <xf numFmtId="0" fontId="8" fillId="0" borderId="0" xfId="0" applyFont="1" applyAlignment="1" quotePrefix="1">
      <alignment horizontal="right"/>
    </xf>
    <xf numFmtId="166" fontId="8" fillId="0" borderId="0" xfId="0" applyNumberFormat="1" applyFont="1" applyAlignment="1">
      <alignment/>
    </xf>
    <xf numFmtId="166" fontId="8" fillId="0" borderId="9" xfId="0" applyNumberFormat="1" applyFont="1" applyBorder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0" borderId="9" xfId="0" applyNumberFormat="1" applyFont="1" applyBorder="1" applyAlignment="1">
      <alignment/>
    </xf>
    <xf numFmtId="166" fontId="13" fillId="0" borderId="0" xfId="0" applyNumberFormat="1" applyFont="1" applyAlignment="1">
      <alignment horizontal="center"/>
    </xf>
    <xf numFmtId="37" fontId="13" fillId="0" borderId="9" xfId="0" applyNumberFormat="1" applyFont="1" applyBorder="1" applyAlignment="1">
      <alignment horizontal="center"/>
    </xf>
    <xf numFmtId="166" fontId="8" fillId="0" borderId="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 quotePrefix="1">
      <alignment/>
    </xf>
    <xf numFmtId="167" fontId="18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/>
    </xf>
    <xf numFmtId="167" fontId="18" fillId="0" borderId="9" xfId="0" applyNumberFormat="1" applyFont="1" applyBorder="1" applyAlignment="1">
      <alignment horizontal="center"/>
    </xf>
    <xf numFmtId="171" fontId="18" fillId="0" borderId="9" xfId="0" applyNumberFormat="1" applyFont="1" applyBorder="1" applyAlignment="1">
      <alignment/>
    </xf>
    <xf numFmtId="0" fontId="12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2" fillId="0" borderId="9" xfId="0" applyFont="1" applyBorder="1" applyAlignment="1">
      <alignment horizontal="center"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left"/>
    </xf>
    <xf numFmtId="37" fontId="18" fillId="0" borderId="0" xfId="0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9" xfId="0" applyNumberFormat="1" applyFont="1" applyBorder="1" applyAlignment="1">
      <alignment/>
    </xf>
    <xf numFmtId="37" fontId="18" fillId="0" borderId="0" xfId="0" applyNumberFormat="1" applyFont="1" applyAlignment="1" quotePrefix="1">
      <alignment/>
    </xf>
    <xf numFmtId="37" fontId="19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7" fontId="8" fillId="0" borderId="9" xfId="0" applyNumberFormat="1" applyFont="1" applyBorder="1" applyAlignment="1">
      <alignment/>
    </xf>
    <xf numFmtId="172" fontId="8" fillId="0" borderId="9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7" fontId="18" fillId="0" borderId="0" xfId="0" applyNumberFormat="1" applyFont="1" applyBorder="1" applyAlignment="1">
      <alignment/>
    </xf>
    <xf numFmtId="167" fontId="1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 quotePrefix="1">
      <alignment/>
    </xf>
    <xf numFmtId="167" fontId="18" fillId="0" borderId="9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" fontId="18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center"/>
    </xf>
    <xf numFmtId="37" fontId="13" fillId="0" borderId="0" xfId="0" applyNumberFormat="1" applyFont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/>
    </xf>
    <xf numFmtId="37" fontId="13" fillId="3" borderId="13" xfId="0" applyNumberFormat="1" applyFont="1" applyFill="1" applyBorder="1" applyAlignment="1">
      <alignment horizontal="center"/>
    </xf>
    <xf numFmtId="0" fontId="19" fillId="0" borderId="0" xfId="0" applyFont="1" applyAlignment="1" quotePrefix="1">
      <alignment horizontal="left"/>
    </xf>
    <xf numFmtId="0" fontId="8" fillId="4" borderId="6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37" fontId="8" fillId="3" borderId="9" xfId="0" applyNumberFormat="1" applyFont="1" applyFill="1" applyBorder="1" applyAlignment="1">
      <alignment horizontal="center"/>
    </xf>
    <xf numFmtId="39" fontId="8" fillId="3" borderId="14" xfId="0" applyNumberFormat="1" applyFont="1" applyFill="1" applyBorder="1" applyAlignment="1">
      <alignment/>
    </xf>
    <xf numFmtId="0" fontId="13" fillId="3" borderId="16" xfId="0" applyFont="1" applyFill="1" applyBorder="1" applyAlignment="1">
      <alignment horizontal="center"/>
    </xf>
    <xf numFmtId="0" fontId="7" fillId="0" borderId="0" xfId="0" applyFont="1" applyAlignment="1" quotePrefix="1">
      <alignment/>
    </xf>
    <xf numFmtId="37" fontId="8" fillId="3" borderId="7" xfId="0" applyNumberFormat="1" applyFont="1" applyFill="1" applyBorder="1" applyAlignment="1">
      <alignment/>
    </xf>
    <xf numFmtId="37" fontId="8" fillId="3" borderId="12" xfId="0" applyNumberFormat="1" applyFont="1" applyFill="1" applyBorder="1" applyAlignment="1">
      <alignment/>
    </xf>
    <xf numFmtId="37" fontId="8" fillId="3" borderId="10" xfId="0" applyNumberFormat="1" applyFont="1" applyFill="1" applyBorder="1" applyAlignment="1">
      <alignment/>
    </xf>
    <xf numFmtId="37" fontId="8" fillId="4" borderId="7" xfId="0" applyNumberFormat="1" applyFont="1" applyFill="1" applyBorder="1" applyAlignment="1">
      <alignment/>
    </xf>
    <xf numFmtId="14" fontId="12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37" fontId="8" fillId="0" borderId="11" xfId="0" applyNumberFormat="1" applyFont="1" applyFill="1" applyBorder="1" applyAlignment="1">
      <alignment/>
    </xf>
    <xf numFmtId="167" fontId="18" fillId="0" borderId="0" xfId="0" applyNumberFormat="1" applyFont="1" applyBorder="1" applyAlignment="1">
      <alignment horizontal="center"/>
    </xf>
    <xf numFmtId="171" fontId="18" fillId="0" borderId="0" xfId="0" applyNumberFormat="1" applyFont="1" applyBorder="1" applyAlignment="1">
      <alignment/>
    </xf>
    <xf numFmtId="37" fontId="8" fillId="6" borderId="15" xfId="0" applyNumberFormat="1" applyFont="1" applyFill="1" applyBorder="1" applyAlignment="1">
      <alignment/>
    </xf>
    <xf numFmtId="37" fontId="8" fillId="6" borderId="0" xfId="0" applyNumberFormat="1" applyFont="1" applyFill="1" applyBorder="1" applyAlignment="1">
      <alignment/>
    </xf>
    <xf numFmtId="37" fontId="8" fillId="6" borderId="12" xfId="0" applyNumberFormat="1" applyFont="1" applyFill="1" applyBorder="1" applyAlignment="1">
      <alignment/>
    </xf>
    <xf numFmtId="37" fontId="8" fillId="6" borderId="10" xfId="0" applyNumberFormat="1" applyFont="1" applyFill="1" applyBorder="1" applyAlignment="1">
      <alignment/>
    </xf>
    <xf numFmtId="37" fontId="8" fillId="6" borderId="9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8" fillId="6" borderId="0" xfId="0" applyFont="1" applyFill="1" applyAlignment="1">
      <alignment/>
    </xf>
    <xf numFmtId="37" fontId="18" fillId="6" borderId="0" xfId="0" applyNumberFormat="1" applyFont="1" applyFill="1" applyAlignment="1">
      <alignment/>
    </xf>
    <xf numFmtId="167" fontId="18" fillId="6" borderId="0" xfId="0" applyNumberFormat="1" applyFont="1" applyFill="1" applyAlignment="1">
      <alignment horizontal="center"/>
    </xf>
    <xf numFmtId="0" fontId="18" fillId="6" borderId="0" xfId="0" applyFont="1" applyFill="1" applyAlignment="1" quotePrefix="1">
      <alignment/>
    </xf>
    <xf numFmtId="171" fontId="18" fillId="6" borderId="0" xfId="0" applyNumberFormat="1" applyFont="1" applyFill="1" applyAlignment="1">
      <alignment/>
    </xf>
    <xf numFmtId="37" fontId="18" fillId="6" borderId="9" xfId="0" applyNumberFormat="1" applyFont="1" applyFill="1" applyBorder="1" applyAlignment="1">
      <alignment/>
    </xf>
    <xf numFmtId="167" fontId="18" fillId="6" borderId="9" xfId="0" applyNumberFormat="1" applyFont="1" applyFill="1" applyBorder="1" applyAlignment="1">
      <alignment horizontal="center"/>
    </xf>
    <xf numFmtId="171" fontId="18" fillId="6" borderId="9" xfId="0" applyNumberFormat="1" applyFont="1" applyFill="1" applyBorder="1" applyAlignment="1">
      <alignment/>
    </xf>
    <xf numFmtId="0" fontId="8" fillId="3" borderId="5" xfId="0" applyFont="1" applyFill="1" applyBorder="1" applyAlignment="1">
      <alignment horizontal="center"/>
    </xf>
    <xf numFmtId="37" fontId="8" fillId="4" borderId="6" xfId="0" applyNumberFormat="1" applyFont="1" applyFill="1" applyBorder="1" applyAlignment="1">
      <alignment/>
    </xf>
    <xf numFmtId="37" fontId="8" fillId="4" borderId="7" xfId="0" applyNumberFormat="1" applyFont="1" applyFill="1" applyBorder="1" applyAlignment="1">
      <alignment/>
    </xf>
    <xf numFmtId="0" fontId="15" fillId="0" borderId="0" xfId="0" applyFont="1" applyAlignment="1">
      <alignment/>
    </xf>
    <xf numFmtId="174" fontId="8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0" fontId="8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5" fontId="13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17" xfId="0" applyNumberFormat="1" applyBorder="1" applyAlignment="1">
      <alignment/>
    </xf>
    <xf numFmtId="5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9" fontId="8" fillId="3" borderId="15" xfId="0" applyNumberFormat="1" applyFont="1" applyFill="1" applyBorder="1" applyAlignment="1">
      <alignment/>
    </xf>
    <xf numFmtId="37" fontId="8" fillId="3" borderId="12" xfId="0" applyNumberFormat="1" applyFont="1" applyFill="1" applyBorder="1" applyAlignment="1">
      <alignment horizontal="center"/>
    </xf>
    <xf numFmtId="37" fontId="8" fillId="3" borderId="10" xfId="0" applyNumberFormat="1" applyFont="1" applyFill="1" applyBorder="1" applyAlignment="1">
      <alignment horizontal="center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37" fontId="18" fillId="0" borderId="1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37" fontId="8" fillId="3" borderId="13" xfId="0" applyNumberFormat="1" applyFont="1" applyFill="1" applyBorder="1" applyAlignment="1">
      <alignment/>
    </xf>
    <xf numFmtId="0" fontId="15" fillId="3" borderId="9" xfId="0" applyFont="1" applyFill="1" applyBorder="1" applyAlignment="1">
      <alignment horizontal="center"/>
    </xf>
    <xf numFmtId="167" fontId="18" fillId="0" borderId="0" xfId="0" applyNumberFormat="1" applyFont="1" applyFill="1" applyAlignment="1">
      <alignment horizontal="center"/>
    </xf>
    <xf numFmtId="0" fontId="18" fillId="0" borderId="0" xfId="0" applyFont="1" applyFill="1" applyAlignment="1" quotePrefix="1">
      <alignment/>
    </xf>
    <xf numFmtId="171" fontId="18" fillId="0" borderId="0" xfId="0" applyNumberFormat="1" applyFont="1" applyFill="1" applyAlignment="1">
      <alignment/>
    </xf>
    <xf numFmtId="0" fontId="13" fillId="3" borderId="5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37" fontId="8" fillId="3" borderId="11" xfId="0" applyNumberFormat="1" applyFont="1" applyFill="1" applyBorder="1" applyAlignment="1">
      <alignment/>
    </xf>
    <xf numFmtId="0" fontId="8" fillId="0" borderId="0" xfId="22">
      <alignment/>
      <protection/>
    </xf>
    <xf numFmtId="0" fontId="18" fillId="0" borderId="0" xfId="22" applyFont="1">
      <alignment/>
      <protection/>
    </xf>
    <xf numFmtId="17" fontId="19" fillId="0" borderId="0" xfId="22" applyNumberFormat="1" applyFont="1" applyAlignment="1">
      <alignment horizontal="left"/>
      <protection/>
    </xf>
    <xf numFmtId="0" fontId="19" fillId="0" borderId="0" xfId="22" applyFont="1">
      <alignment/>
      <protection/>
    </xf>
    <xf numFmtId="0" fontId="18" fillId="0" borderId="0" xfId="22" applyFont="1" applyAlignment="1">
      <alignment horizontal="left"/>
      <protection/>
    </xf>
    <xf numFmtId="37" fontId="18" fillId="0" borderId="0" xfId="22" applyNumberFormat="1" applyFont="1">
      <alignment/>
      <protection/>
    </xf>
    <xf numFmtId="37" fontId="18" fillId="0" borderId="0" xfId="22" applyNumberFormat="1" applyFont="1" applyBorder="1">
      <alignment/>
      <protection/>
    </xf>
    <xf numFmtId="0" fontId="19" fillId="0" borderId="0" xfId="22" applyFont="1" applyAlignment="1">
      <alignment horizontal="left"/>
      <protection/>
    </xf>
    <xf numFmtId="37" fontId="19" fillId="0" borderId="0" xfId="22" applyNumberFormat="1" applyFont="1">
      <alignment/>
      <protection/>
    </xf>
    <xf numFmtId="17" fontId="19" fillId="0" borderId="0" xfId="22" applyNumberFormat="1" applyFont="1">
      <alignment/>
      <protection/>
    </xf>
    <xf numFmtId="37" fontId="18" fillId="0" borderId="0" xfId="22" applyNumberFormat="1" applyFont="1" applyAlignment="1">
      <alignment horizontal="center"/>
      <protection/>
    </xf>
    <xf numFmtId="37" fontId="18" fillId="0" borderId="0" xfId="22" applyNumberFormat="1" applyFont="1" applyBorder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28" fillId="0" borderId="18" xfId="22" applyFont="1" applyBorder="1">
      <alignment/>
      <protection/>
    </xf>
    <xf numFmtId="0" fontId="29" fillId="0" borderId="19" xfId="22" applyFont="1" applyBorder="1">
      <alignment/>
      <protection/>
    </xf>
    <xf numFmtId="0" fontId="29" fillId="0" borderId="19" xfId="22" applyFont="1" applyBorder="1" applyAlignment="1">
      <alignment horizontal="center"/>
      <protection/>
    </xf>
    <xf numFmtId="0" fontId="29" fillId="0" borderId="20" xfId="22" applyFont="1" applyFill="1" applyBorder="1">
      <alignment/>
      <protection/>
    </xf>
    <xf numFmtId="0" fontId="19" fillId="0" borderId="0" xfId="22" applyFont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9" fillId="0" borderId="9" xfId="22" applyFont="1" applyBorder="1" applyAlignment="1">
      <alignment horizontal="center"/>
      <protection/>
    </xf>
    <xf numFmtId="175" fontId="30" fillId="0" borderId="21" xfId="25" applyNumberFormat="1" applyFont="1" applyBorder="1" applyAlignment="1">
      <alignment/>
    </xf>
    <xf numFmtId="10" fontId="30" fillId="0" borderId="22" xfId="22" applyNumberFormat="1" applyFont="1" applyFill="1" applyBorder="1" applyAlignment="1">
      <alignment horizontal="center"/>
      <protection/>
    </xf>
    <xf numFmtId="0" fontId="20" fillId="0" borderId="0" xfId="22" applyFont="1" applyFill="1" applyAlignment="1">
      <alignment horizontal="center"/>
      <protection/>
    </xf>
    <xf numFmtId="0" fontId="20" fillId="0" borderId="9" xfId="22" applyFont="1" applyBorder="1" applyAlignment="1">
      <alignment horizontal="center"/>
      <protection/>
    </xf>
    <xf numFmtId="173" fontId="18" fillId="0" borderId="9" xfId="16" applyNumberFormat="1" applyFont="1" applyBorder="1" applyAlignment="1">
      <alignment horizontal="center"/>
    </xf>
    <xf numFmtId="0" fontId="31" fillId="0" borderId="11" xfId="22" applyFont="1" applyBorder="1">
      <alignment/>
      <protection/>
    </xf>
    <xf numFmtId="0" fontId="32" fillId="0" borderId="0" xfId="22" applyFont="1" applyBorder="1">
      <alignment/>
      <protection/>
    </xf>
    <xf numFmtId="0" fontId="31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31" fillId="0" borderId="0" xfId="22" applyFont="1" applyBorder="1" quotePrefix="1">
      <alignment/>
      <protection/>
    </xf>
    <xf numFmtId="37" fontId="31" fillId="0" borderId="12" xfId="22" applyNumberFormat="1" applyFont="1" applyBorder="1">
      <alignment/>
      <protection/>
    </xf>
    <xf numFmtId="37" fontId="18" fillId="0" borderId="11" xfId="22" applyNumberFormat="1" applyFont="1" applyBorder="1">
      <alignment/>
      <protection/>
    </xf>
    <xf numFmtId="37" fontId="18" fillId="0" borderId="12" xfId="22" applyNumberFormat="1" applyFont="1" applyBorder="1">
      <alignment/>
      <protection/>
    </xf>
    <xf numFmtId="173" fontId="18" fillId="0" borderId="11" xfId="16" applyNumberFormat="1" applyFont="1" applyBorder="1" applyAlignment="1">
      <alignment/>
    </xf>
    <xf numFmtId="173" fontId="18" fillId="0" borderId="0" xfId="16" applyNumberFormat="1" applyFont="1" applyBorder="1" applyAlignment="1">
      <alignment/>
    </xf>
    <xf numFmtId="173" fontId="18" fillId="0" borderId="12" xfId="22" applyNumberFormat="1" applyFont="1" applyBorder="1">
      <alignment/>
      <protection/>
    </xf>
    <xf numFmtId="0" fontId="18" fillId="0" borderId="11" xfId="22" applyFont="1" applyBorder="1">
      <alignment/>
      <protection/>
    </xf>
    <xf numFmtId="43" fontId="18" fillId="0" borderId="12" xfId="16" applyFont="1" applyBorder="1" applyAlignment="1">
      <alignment/>
    </xf>
    <xf numFmtId="0" fontId="18" fillId="0" borderId="12" xfId="22" applyFont="1" applyBorder="1">
      <alignment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43" fontId="18" fillId="0" borderId="10" xfId="16" applyFont="1" applyBorder="1" applyAlignment="1">
      <alignment/>
    </xf>
    <xf numFmtId="0" fontId="18" fillId="0" borderId="10" xfId="22" applyFont="1" applyBorder="1">
      <alignment/>
      <protection/>
    </xf>
    <xf numFmtId="0" fontId="19" fillId="0" borderId="0" xfId="22" applyFont="1" applyAlignment="1">
      <alignment horizontal="right"/>
      <protection/>
    </xf>
    <xf numFmtId="43" fontId="18" fillId="0" borderId="0" xfId="16" applyFont="1" applyAlignment="1">
      <alignment/>
    </xf>
    <xf numFmtId="0" fontId="27" fillId="0" borderId="1" xfId="27" applyAlignment="1">
      <alignment horizontal="center" wrapText="1"/>
      <protection/>
    </xf>
    <xf numFmtId="0" fontId="8" fillId="0" borderId="0" xfId="26" applyAlignment="1">
      <alignment/>
    </xf>
    <xf numFmtId="0" fontId="8" fillId="2" borderId="0" xfId="28" applyAlignment="1">
      <alignment/>
    </xf>
    <xf numFmtId="37" fontId="19" fillId="0" borderId="0" xfId="22" applyNumberFormat="1" applyFont="1" applyAlignment="1">
      <alignment horizontal="right"/>
      <protection/>
    </xf>
    <xf numFmtId="0" fontId="8" fillId="0" borderId="0" xfId="26" applyFont="1" applyAlignment="1">
      <alignment/>
    </xf>
    <xf numFmtId="170" fontId="18" fillId="0" borderId="11" xfId="22" applyNumberFormat="1" applyFont="1" applyBorder="1">
      <alignment/>
      <protection/>
    </xf>
    <xf numFmtId="170" fontId="18" fillId="0" borderId="0" xfId="22" applyNumberFormat="1" applyFont="1" applyBorder="1">
      <alignment/>
      <protection/>
    </xf>
    <xf numFmtId="170" fontId="18" fillId="0" borderId="15" xfId="22" applyNumberFormat="1" applyFont="1" applyBorder="1">
      <alignment/>
      <protection/>
    </xf>
    <xf numFmtId="170" fontId="18" fillId="0" borderId="5" xfId="22" applyNumberFormat="1" applyFont="1" applyBorder="1">
      <alignment/>
      <protection/>
    </xf>
    <xf numFmtId="170" fontId="18" fillId="0" borderId="16" xfId="22" applyNumberFormat="1" applyFont="1" applyBorder="1">
      <alignment/>
      <protection/>
    </xf>
    <xf numFmtId="170" fontId="18" fillId="0" borderId="8" xfId="22" applyNumberFormat="1" applyFont="1" applyBorder="1">
      <alignment/>
      <protection/>
    </xf>
    <xf numFmtId="170" fontId="18" fillId="0" borderId="14" xfId="22" applyNumberFormat="1" applyFont="1" applyBorder="1">
      <alignment/>
      <protection/>
    </xf>
    <xf numFmtId="37" fontId="18" fillId="0" borderId="12" xfId="22" applyNumberFormat="1" applyFont="1" applyFill="1" applyBorder="1">
      <alignment/>
      <protection/>
    </xf>
    <xf numFmtId="37" fontId="8" fillId="4" borderId="6" xfId="0" applyNumberFormat="1" applyFont="1" applyFill="1" applyBorder="1" applyAlignment="1">
      <alignment/>
    </xf>
    <xf numFmtId="37" fontId="8" fillId="3" borderId="16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2" xfId="22" applyFont="1" applyFill="1" applyBorder="1">
      <alignment/>
      <protection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0" xfId="0" applyNumberFormat="1" applyAlignment="1">
      <alignment/>
    </xf>
    <xf numFmtId="5" fontId="24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9" xfId="0" applyNumberFormat="1" applyFont="1" applyBorder="1" applyAlignment="1">
      <alignment/>
    </xf>
    <xf numFmtId="5" fontId="0" fillId="0" borderId="9" xfId="0" applyNumberFormat="1" applyBorder="1" applyAlignment="1">
      <alignment horizontal="righ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5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5" fontId="0" fillId="0" borderId="0" xfId="0" applyNumberFormat="1" applyFill="1" applyAlignment="1">
      <alignment/>
    </xf>
    <xf numFmtId="0" fontId="8" fillId="7" borderId="13" xfId="0" applyFont="1" applyFill="1" applyBorder="1" applyAlignment="1">
      <alignment/>
    </xf>
    <xf numFmtId="0" fontId="19" fillId="0" borderId="0" xfId="22" applyFont="1" applyAlignment="1" quotePrefix="1">
      <alignment horizontal="left"/>
      <protection/>
    </xf>
    <xf numFmtId="5" fontId="13" fillId="0" borderId="9" xfId="0" applyNumberFormat="1" applyFont="1" applyBorder="1" applyAlignment="1">
      <alignment/>
    </xf>
    <xf numFmtId="5" fontId="8" fillId="0" borderId="9" xfId="0" applyNumberFormat="1" applyFont="1" applyBorder="1" applyAlignment="1">
      <alignment/>
    </xf>
    <xf numFmtId="164" fontId="8" fillId="3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17" fontId="19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37" fontId="13" fillId="0" borderId="0" xfId="0" applyNumberFormat="1" applyFont="1" applyBorder="1" applyAlignment="1" quotePrefix="1">
      <alignment horizontal="center"/>
    </xf>
    <xf numFmtId="37" fontId="8" fillId="8" borderId="12" xfId="0" applyNumberFormat="1" applyFont="1" applyFill="1" applyBorder="1" applyAlignment="1">
      <alignment/>
    </xf>
    <xf numFmtId="0" fontId="31" fillId="0" borderId="11" xfId="22" applyFont="1" applyFill="1" applyBorder="1">
      <alignment/>
      <protection/>
    </xf>
    <xf numFmtId="0" fontId="18" fillId="0" borderId="2" xfId="22" applyFont="1" applyBorder="1">
      <alignment/>
      <protection/>
    </xf>
    <xf numFmtId="37" fontId="31" fillId="0" borderId="0" xfId="22" applyNumberFormat="1" applyFont="1" applyBorder="1">
      <alignment/>
      <protection/>
    </xf>
    <xf numFmtId="37" fontId="18" fillId="0" borderId="0" xfId="22" applyNumberFormat="1" applyFont="1" applyFill="1" applyBorder="1">
      <alignment/>
      <protection/>
    </xf>
    <xf numFmtId="0" fontId="18" fillId="0" borderId="3" xfId="22" applyFont="1" applyBorder="1">
      <alignment/>
      <protection/>
    </xf>
    <xf numFmtId="37" fontId="18" fillId="0" borderId="3" xfId="22" applyNumberFormat="1" applyFont="1" applyBorder="1">
      <alignment/>
      <protection/>
    </xf>
    <xf numFmtId="37" fontId="18" fillId="0" borderId="4" xfId="22" applyNumberFormat="1" applyFont="1" applyBorder="1">
      <alignment/>
      <protection/>
    </xf>
    <xf numFmtId="0" fontId="14" fillId="0" borderId="0" xfId="0" applyFont="1" applyFill="1" applyAlignment="1">
      <alignment/>
    </xf>
    <xf numFmtId="0" fontId="18" fillId="0" borderId="9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37" fontId="8" fillId="4" borderId="13" xfId="0" applyNumberFormat="1" applyFont="1" applyFill="1" applyBorder="1" applyAlignment="1">
      <alignment/>
    </xf>
    <xf numFmtId="0" fontId="18" fillId="0" borderId="4" xfId="22" applyFont="1" applyBorder="1">
      <alignment/>
      <protection/>
    </xf>
    <xf numFmtId="0" fontId="16" fillId="0" borderId="0" xfId="0" applyFont="1" applyFill="1" applyBorder="1" applyAlignment="1">
      <alignment/>
    </xf>
    <xf numFmtId="0" fontId="31" fillId="0" borderId="0" xfId="22" applyFont="1" applyFill="1" applyBorder="1" quotePrefix="1">
      <alignment/>
      <protection/>
    </xf>
    <xf numFmtId="0" fontId="31" fillId="0" borderId="0" xfId="22" applyFont="1" applyFill="1" applyBorder="1">
      <alignment/>
      <protection/>
    </xf>
    <xf numFmtId="39" fontId="8" fillId="9" borderId="16" xfId="0" applyNumberFormat="1" applyFont="1" applyFill="1" applyBorder="1" applyAlignment="1">
      <alignment/>
    </xf>
    <xf numFmtId="39" fontId="8" fillId="9" borderId="15" xfId="0" applyNumberFormat="1" applyFont="1" applyFill="1" applyBorder="1" applyAlignment="1">
      <alignment/>
    </xf>
    <xf numFmtId="37" fontId="8" fillId="9" borderId="11" xfId="0" applyNumberFormat="1" applyFont="1" applyFill="1" applyBorder="1" applyAlignment="1">
      <alignment/>
    </xf>
    <xf numFmtId="37" fontId="8" fillId="9" borderId="8" xfId="0" applyNumberFormat="1" applyFont="1" applyFill="1" applyBorder="1" applyAlignment="1">
      <alignment/>
    </xf>
    <xf numFmtId="37" fontId="13" fillId="3" borderId="12" xfId="0" applyNumberFormat="1" applyFont="1" applyFill="1" applyBorder="1" applyAlignment="1">
      <alignment horizontal="left"/>
    </xf>
    <xf numFmtId="4" fontId="8" fillId="0" borderId="0" xfId="0" applyNumberFormat="1" applyFont="1" applyAlignment="1">
      <alignment/>
    </xf>
    <xf numFmtId="17" fontId="13" fillId="0" borderId="0" xfId="0" applyNumberFormat="1" applyFont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8" fillId="0" borderId="13" xfId="0" applyFont="1" applyBorder="1" applyAlignment="1" quotePrefix="1">
      <alignment horizontal="right"/>
    </xf>
    <xf numFmtId="0" fontId="8" fillId="0" borderId="13" xfId="0" applyFont="1" applyBorder="1" applyAlignment="1">
      <alignment horizontal="right"/>
    </xf>
    <xf numFmtId="0" fontId="8" fillId="3" borderId="13" xfId="0" applyFont="1" applyFill="1" applyBorder="1" applyAlignment="1">
      <alignment horizontal="center"/>
    </xf>
    <xf numFmtId="37" fontId="8" fillId="7" borderId="15" xfId="0" applyNumberFormat="1" applyFont="1" applyFill="1" applyBorder="1" applyAlignment="1">
      <alignment/>
    </xf>
    <xf numFmtId="37" fontId="8" fillId="7" borderId="0" xfId="0" applyNumberFormat="1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39" fontId="8" fillId="3" borderId="12" xfId="0" applyNumberFormat="1" applyFont="1" applyFill="1" applyBorder="1" applyAlignment="1">
      <alignment/>
    </xf>
    <xf numFmtId="39" fontId="8" fillId="3" borderId="10" xfId="0" applyNumberFormat="1" applyFont="1" applyFill="1" applyBorder="1" applyAlignment="1">
      <alignment/>
    </xf>
    <xf numFmtId="37" fontId="8" fillId="4" borderId="4" xfId="0" applyNumberFormat="1" applyFont="1" applyFill="1" applyBorder="1" applyAlignment="1">
      <alignment/>
    </xf>
    <xf numFmtId="0" fontId="12" fillId="3" borderId="10" xfId="0" applyFont="1" applyFill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5" fontId="0" fillId="1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8" fillId="0" borderId="11" xfId="0" applyFont="1" applyBorder="1" applyAlignment="1">
      <alignment/>
    </xf>
    <xf numFmtId="173" fontId="8" fillId="0" borderId="0" xfId="16" applyNumberFormat="1" applyFont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3" fontId="8" fillId="0" borderId="0" xfId="16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10" fontId="8" fillId="0" borderId="0" xfId="25" applyNumberFormat="1" applyFont="1" applyBorder="1" applyAlignment="1">
      <alignment/>
    </xf>
    <xf numFmtId="0" fontId="34" fillId="0" borderId="0" xfId="0" applyFont="1" applyBorder="1" applyAlignment="1">
      <alignment/>
    </xf>
    <xf numFmtId="37" fontId="8" fillId="9" borderId="16" xfId="0" applyNumberFormat="1" applyFont="1" applyFill="1" applyBorder="1" applyAlignment="1">
      <alignment/>
    </xf>
    <xf numFmtId="37" fontId="8" fillId="9" borderId="15" xfId="0" applyNumberFormat="1" applyFont="1" applyFill="1" applyBorder="1" applyAlignment="1">
      <alignment/>
    </xf>
    <xf numFmtId="37" fontId="8" fillId="9" borderId="14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8" fillId="9" borderId="0" xfId="0" applyNumberFormat="1" applyFont="1" applyFill="1" applyBorder="1" applyAlignment="1">
      <alignment/>
    </xf>
    <xf numFmtId="37" fontId="8" fillId="9" borderId="0" xfId="0" applyNumberFormat="1" applyFont="1" applyFill="1" applyBorder="1" applyAlignment="1">
      <alignment horizontal="right"/>
    </xf>
    <xf numFmtId="0" fontId="8" fillId="9" borderId="0" xfId="0" applyFont="1" applyFill="1" applyBorder="1" applyAlignment="1">
      <alignment/>
    </xf>
    <xf numFmtId="0" fontId="8" fillId="9" borderId="5" xfId="0" applyFont="1" applyFill="1" applyBorder="1" applyAlignment="1">
      <alignment horizontal="center"/>
    </xf>
    <xf numFmtId="0" fontId="8" fillId="9" borderId="7" xfId="0" applyFont="1" applyFill="1" applyBorder="1" applyAlignment="1">
      <alignment/>
    </xf>
    <xf numFmtId="0" fontId="8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/>
    </xf>
    <xf numFmtId="0" fontId="8" fillId="9" borderId="8" xfId="0" applyFont="1" applyFill="1" applyBorder="1" applyAlignment="1">
      <alignment horizontal="center"/>
    </xf>
    <xf numFmtId="0" fontId="8" fillId="9" borderId="10" xfId="0" applyFont="1" applyFill="1" applyBorder="1" applyAlignment="1">
      <alignment/>
    </xf>
    <xf numFmtId="0" fontId="8" fillId="9" borderId="0" xfId="0" applyFont="1" applyFill="1" applyAlignment="1">
      <alignment/>
    </xf>
    <xf numFmtId="37" fontId="8" fillId="9" borderId="7" xfId="0" applyNumberFormat="1" applyFont="1" applyFill="1" applyBorder="1" applyAlignment="1">
      <alignment/>
    </xf>
    <xf numFmtId="37" fontId="8" fillId="4" borderId="11" xfId="0" applyNumberFormat="1" applyFont="1" applyFill="1" applyBorder="1" applyAlignment="1">
      <alignment/>
    </xf>
    <xf numFmtId="37" fontId="8" fillId="9" borderId="12" xfId="0" applyNumberFormat="1" applyFont="1" applyFill="1" applyBorder="1" applyAlignment="1">
      <alignment/>
    </xf>
    <xf numFmtId="37" fontId="8" fillId="4" borderId="11" xfId="0" applyNumberFormat="1" applyFont="1" applyFill="1" applyBorder="1" applyAlignment="1">
      <alignment horizontal="right"/>
    </xf>
    <xf numFmtId="37" fontId="8" fillId="4" borderId="8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37" fontId="8" fillId="7" borderId="14" xfId="0" applyNumberFormat="1" applyFont="1" applyFill="1" applyBorder="1" applyAlignment="1">
      <alignment/>
    </xf>
    <xf numFmtId="37" fontId="8" fillId="7" borderId="16" xfId="0" applyNumberFormat="1" applyFont="1" applyFill="1" applyBorder="1" applyAlignment="1">
      <alignment/>
    </xf>
    <xf numFmtId="37" fontId="8" fillId="7" borderId="15" xfId="0" applyNumberFormat="1" applyFont="1" applyFill="1" applyBorder="1" applyAlignment="1">
      <alignment/>
    </xf>
    <xf numFmtId="0" fontId="13" fillId="3" borderId="16" xfId="0" applyFont="1" applyFill="1" applyBorder="1" applyAlignment="1">
      <alignment horizontal="centerContinuous"/>
    </xf>
    <xf numFmtId="0" fontId="8" fillId="3" borderId="7" xfId="0" applyFont="1" applyFill="1" applyBorder="1" applyAlignment="1">
      <alignment horizontal="centerContinuous"/>
    </xf>
    <xf numFmtId="0" fontId="13" fillId="3" borderId="8" xfId="0" applyFont="1" applyFill="1" applyBorder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0" fontId="13" fillId="3" borderId="2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8" fillId="3" borderId="16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37" fontId="8" fillId="4" borderId="5" xfId="0" applyNumberFormat="1" applyFont="1" applyFill="1" applyBorder="1" applyAlignment="1">
      <alignment/>
    </xf>
    <xf numFmtId="0" fontId="19" fillId="0" borderId="0" xfId="22" applyFont="1" applyFill="1" applyAlignment="1">
      <alignment horizontal="left"/>
      <protection/>
    </xf>
    <xf numFmtId="2" fontId="8" fillId="4" borderId="15" xfId="0" applyNumberFormat="1" applyFont="1" applyFill="1" applyBorder="1" applyAlignment="1">
      <alignment/>
    </xf>
    <xf numFmtId="2" fontId="8" fillId="4" borderId="14" xfId="0" applyNumberFormat="1" applyFont="1" applyFill="1" applyBorder="1" applyAlignment="1">
      <alignment/>
    </xf>
    <xf numFmtId="37" fontId="13" fillId="3" borderId="5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37" fontId="8" fillId="0" borderId="15" xfId="0" applyNumberFormat="1" applyFont="1" applyFill="1" applyBorder="1" applyAlignment="1">
      <alignment/>
    </xf>
    <xf numFmtId="0" fontId="12" fillId="3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190" fontId="31" fillId="0" borderId="0" xfId="22" applyNumberFormat="1" applyFont="1" applyBorder="1" quotePrefix="1">
      <alignment/>
      <protection/>
    </xf>
    <xf numFmtId="0" fontId="13" fillId="0" borderId="0" xfId="0" applyFont="1" applyFill="1" applyAlignment="1">
      <alignment horizontal="left"/>
    </xf>
    <xf numFmtId="17" fontId="8" fillId="0" borderId="0" xfId="0" applyNumberFormat="1" applyFont="1" applyAlignment="1" quotePrefix="1">
      <alignment/>
    </xf>
    <xf numFmtId="43" fontId="8" fillId="0" borderId="0" xfId="16" applyFont="1" applyAlignment="1">
      <alignment/>
    </xf>
    <xf numFmtId="43" fontId="8" fillId="0" borderId="0" xfId="16" applyFont="1" applyBorder="1" applyAlignment="1">
      <alignment/>
    </xf>
    <xf numFmtId="0" fontId="13" fillId="0" borderId="9" xfId="0" applyFont="1" applyBorder="1" applyAlignment="1">
      <alignment horizontal="center" wrapText="1"/>
    </xf>
    <xf numFmtId="43" fontId="13" fillId="0" borderId="9" xfId="16" applyFont="1" applyBorder="1" applyAlignment="1">
      <alignment horizontal="center"/>
    </xf>
    <xf numFmtId="43" fontId="13" fillId="0" borderId="0" xfId="16" applyFont="1" applyBorder="1" applyAlignment="1">
      <alignment horizontal="center"/>
    </xf>
    <xf numFmtId="43" fontId="13" fillId="0" borderId="9" xfId="16" applyFont="1" applyBorder="1" applyAlignment="1">
      <alignment horizontal="center" wrapText="1"/>
    </xf>
    <xf numFmtId="0" fontId="13" fillId="0" borderId="0" xfId="0" applyFont="1" applyBorder="1" applyAlignment="1">
      <alignment/>
    </xf>
    <xf numFmtId="173" fontId="8" fillId="0" borderId="0" xfId="16" applyNumberFormat="1" applyFont="1" applyAlignment="1">
      <alignment/>
    </xf>
    <xf numFmtId="173" fontId="8" fillId="0" borderId="9" xfId="16" applyNumberFormat="1" applyFont="1" applyBorder="1" applyAlignment="1">
      <alignment/>
    </xf>
    <xf numFmtId="173" fontId="8" fillId="0" borderId="17" xfId="16" applyNumberFormat="1" applyFont="1" applyBorder="1" applyAlignment="1">
      <alignment/>
    </xf>
    <xf numFmtId="173" fontId="8" fillId="0" borderId="0" xfId="16" applyNumberFormat="1" applyFont="1" applyAlignment="1">
      <alignment horizontal="center"/>
    </xf>
    <xf numFmtId="0" fontId="13" fillId="0" borderId="9" xfId="0" applyFont="1" applyFill="1" applyBorder="1" applyAlignment="1">
      <alignment horizontal="center" wrapText="1"/>
    </xf>
    <xf numFmtId="173" fontId="8" fillId="0" borderId="0" xfId="16" applyNumberFormat="1" applyFont="1" applyFill="1" applyAlignment="1">
      <alignment/>
    </xf>
    <xf numFmtId="173" fontId="8" fillId="0" borderId="9" xfId="16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39" fontId="25" fillId="0" borderId="6" xfId="0" applyNumberFormat="1" applyFont="1" applyBorder="1" applyAlignment="1">
      <alignment/>
    </xf>
    <xf numFmtId="39" fontId="25" fillId="0" borderId="7" xfId="0" applyNumberFormat="1" applyFont="1" applyBorder="1" applyAlignment="1">
      <alignment/>
    </xf>
    <xf numFmtId="39" fontId="25" fillId="0" borderId="0" xfId="0" applyNumberFormat="1" applyFont="1" applyBorder="1" applyAlignment="1">
      <alignment/>
    </xf>
    <xf numFmtId="39" fontId="25" fillId="0" borderId="12" xfId="0" applyNumberFormat="1" applyFont="1" applyBorder="1" applyAlignment="1">
      <alignment/>
    </xf>
    <xf numFmtId="39" fontId="25" fillId="0" borderId="9" xfId="0" applyNumberFormat="1" applyFont="1" applyBorder="1" applyAlignment="1">
      <alignment/>
    </xf>
    <xf numFmtId="39" fontId="25" fillId="0" borderId="10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13" fillId="0" borderId="9" xfId="0" applyFont="1" applyFill="1" applyBorder="1" applyAlignment="1">
      <alignment horizontal="center"/>
    </xf>
    <xf numFmtId="37" fontId="31" fillId="0" borderId="12" xfId="22" applyNumberFormat="1" applyFont="1" applyFill="1" applyBorder="1">
      <alignment/>
      <protection/>
    </xf>
    <xf numFmtId="39" fontId="13" fillId="3" borderId="16" xfId="0" applyNumberFormat="1" applyFont="1" applyFill="1" applyBorder="1" applyAlignment="1">
      <alignment horizontal="center"/>
    </xf>
    <xf numFmtId="39" fontId="13" fillId="3" borderId="14" xfId="0" applyNumberFormat="1" applyFont="1" applyFill="1" applyBorder="1" applyAlignment="1">
      <alignment horizontal="center"/>
    </xf>
    <xf numFmtId="43" fontId="8" fillId="0" borderId="0" xfId="16" applyFont="1" applyFill="1" applyBorder="1" applyAlignment="1">
      <alignment/>
    </xf>
    <xf numFmtId="0" fontId="37" fillId="0" borderId="0" xfId="0" applyFont="1" applyBorder="1" applyAlignment="1">
      <alignment horizontal="center" vertical="top" wrapText="1"/>
    </xf>
    <xf numFmtId="173" fontId="8" fillId="0" borderId="17" xfId="16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8" fillId="0" borderId="9" xfId="0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37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8" fillId="0" borderId="0" xfId="16" applyNumberFormat="1" applyFont="1" applyFill="1" applyBorder="1" applyAlignment="1">
      <alignment horizontal="center"/>
    </xf>
    <xf numFmtId="173" fontId="13" fillId="0" borderId="9" xfId="16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left"/>
    </xf>
    <xf numFmtId="37" fontId="8" fillId="7" borderId="1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44" fontId="8" fillId="0" borderId="0" xfId="18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1" fillId="0" borderId="0" xfId="22" applyFont="1" applyBorder="1" applyAlignment="1" quotePrefix="1">
      <alignment horizontal="center"/>
      <protection/>
    </xf>
    <xf numFmtId="0" fontId="31" fillId="0" borderId="0" xfId="22" applyFont="1" applyBorder="1" applyAlignment="1">
      <alignment horizontal="center"/>
      <protection/>
    </xf>
    <xf numFmtId="190" fontId="31" fillId="0" borderId="0" xfId="22" applyNumberFormat="1" applyFont="1" applyBorder="1" applyAlignment="1" quotePrefix="1">
      <alignment horizontal="center"/>
      <protection/>
    </xf>
    <xf numFmtId="0" fontId="8" fillId="0" borderId="0" xfId="0" applyFont="1" applyAlignment="1">
      <alignment horizontal="left"/>
    </xf>
    <xf numFmtId="37" fontId="13" fillId="3" borderId="6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8" fontId="13" fillId="0" borderId="0" xfId="16" applyNumberFormat="1" applyFont="1" applyBorder="1" applyAlignment="1">
      <alignment horizontal="center"/>
    </xf>
    <xf numFmtId="43" fontId="8" fillId="0" borderId="0" xfId="16" applyFont="1" applyFill="1" applyAlignment="1">
      <alignment/>
    </xf>
    <xf numFmtId="173" fontId="8" fillId="10" borderId="0" xfId="16" applyNumberFormat="1" applyFont="1" applyFill="1" applyBorder="1" applyAlignment="1">
      <alignment horizontal="center"/>
    </xf>
    <xf numFmtId="173" fontId="8" fillId="10" borderId="0" xfId="16" applyNumberFormat="1" applyFont="1" applyFill="1" applyAlignment="1">
      <alignment/>
    </xf>
    <xf numFmtId="43" fontId="18" fillId="0" borderId="0" xfId="16" applyFont="1" applyBorder="1" applyAlignment="1">
      <alignment/>
    </xf>
    <xf numFmtId="44" fontId="8" fillId="0" borderId="0" xfId="18" applyFon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17" fontId="8" fillId="4" borderId="4" xfId="0" applyNumberFormat="1" applyFont="1" applyFill="1" applyBorder="1" applyAlignment="1" quotePrefix="1">
      <alignment horizontal="left"/>
    </xf>
    <xf numFmtId="37" fontId="8" fillId="4" borderId="16" xfId="0" applyNumberFormat="1" applyFont="1" applyFill="1" applyBorder="1" applyAlignment="1">
      <alignment/>
    </xf>
    <xf numFmtId="37" fontId="8" fillId="4" borderId="15" xfId="0" applyNumberFormat="1" applyFont="1" applyFill="1" applyBorder="1" applyAlignment="1">
      <alignment/>
    </xf>
    <xf numFmtId="37" fontId="8" fillId="4" borderId="14" xfId="0" applyNumberFormat="1" applyFont="1" applyFill="1" applyBorder="1" applyAlignment="1">
      <alignment/>
    </xf>
    <xf numFmtId="37" fontId="8" fillId="4" borderId="9" xfId="0" applyNumberFormat="1" applyFont="1" applyFill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164" fontId="8" fillId="4" borderId="14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7" fontId="1" fillId="0" borderId="1" xfId="0" applyNumberFormat="1" applyFont="1" applyBorder="1" applyAlignment="1">
      <alignment horizontal="center"/>
    </xf>
    <xf numFmtId="7" fontId="1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Font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98" fontId="0" fillId="0" borderId="0" xfId="18" applyNumberFormat="1" applyBorder="1" applyAlignment="1">
      <alignment/>
    </xf>
    <xf numFmtId="175" fontId="0" fillId="0" borderId="23" xfId="25" applyNumberFormat="1" applyBorder="1" applyAlignment="1">
      <alignment/>
    </xf>
    <xf numFmtId="198" fontId="0" fillId="0" borderId="9" xfId="18" applyNumberFormat="1" applyBorder="1" applyAlignment="1">
      <alignment/>
    </xf>
    <xf numFmtId="0" fontId="0" fillId="0" borderId="21" xfId="0" applyBorder="1" applyAlignment="1">
      <alignment/>
    </xf>
    <xf numFmtId="198" fontId="0" fillId="0" borderId="1" xfId="18" applyNumberForma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indent="5"/>
    </xf>
    <xf numFmtId="17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9" xfId="0" applyNumberFormat="1" applyFont="1" applyFill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39" fontId="25" fillId="0" borderId="5" xfId="0" applyNumberFormat="1" applyFont="1" applyBorder="1" applyAlignment="1">
      <alignment/>
    </xf>
    <xf numFmtId="39" fontId="25" fillId="0" borderId="11" xfId="0" applyNumberFormat="1" applyFont="1" applyBorder="1" applyAlignment="1">
      <alignment/>
    </xf>
    <xf numFmtId="39" fontId="25" fillId="0" borderId="8" xfId="0" applyNumberFormat="1" applyFont="1" applyBorder="1" applyAlignment="1">
      <alignment/>
    </xf>
    <xf numFmtId="0" fontId="25" fillId="0" borderId="9" xfId="0" applyFont="1" applyBorder="1" applyAlignment="1">
      <alignment/>
    </xf>
    <xf numFmtId="175" fontId="8" fillId="0" borderId="0" xfId="0" applyNumberFormat="1" applyFont="1" applyAlignment="1">
      <alignment/>
    </xf>
    <xf numFmtId="5" fontId="8" fillId="0" borderId="0" xfId="0" applyNumberFormat="1" applyFont="1" applyBorder="1" applyAlignment="1">
      <alignment/>
    </xf>
    <xf numFmtId="0" fontId="0" fillId="0" borderId="9" xfId="0" applyFill="1" applyBorder="1" applyAlignment="1">
      <alignment/>
    </xf>
    <xf numFmtId="5" fontId="8" fillId="0" borderId="9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Fill="1" applyAlignment="1">
      <alignment/>
    </xf>
    <xf numFmtId="0" fontId="8" fillId="3" borderId="16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175" fontId="1" fillId="11" borderId="0" xfId="0" applyNumberFormat="1" applyFont="1" applyFill="1" applyBorder="1" applyAlignment="1">
      <alignment horizontal="center"/>
    </xf>
    <xf numFmtId="175" fontId="1" fillId="11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23" xfId="0" applyNumberFormat="1" applyFont="1" applyBorder="1" applyAlignment="1">
      <alignment horizontal="center"/>
    </xf>
    <xf numFmtId="7" fontId="24" fillId="0" borderId="0" xfId="0" applyNumberFormat="1" applyFont="1" applyBorder="1" applyAlignment="1">
      <alignment horizontal="center"/>
    </xf>
    <xf numFmtId="7" fontId="24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0" fillId="0" borderId="0" xfId="0" applyFont="1" applyAlignment="1">
      <alignment/>
    </xf>
    <xf numFmtId="0" fontId="1" fillId="1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7" fontId="23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7" fontId="40" fillId="0" borderId="0" xfId="0" applyNumberFormat="1" applyFont="1" applyAlignment="1">
      <alignment horizontal="center"/>
    </xf>
    <xf numFmtId="7" fontId="41" fillId="0" borderId="0" xfId="0" applyNumberFormat="1" applyFont="1" applyAlignment="1">
      <alignment horizontal="center"/>
    </xf>
    <xf numFmtId="37" fontId="8" fillId="0" borderId="6" xfId="0" applyNumberFormat="1" applyFont="1" applyBorder="1" applyAlignment="1">
      <alignment/>
    </xf>
    <xf numFmtId="173" fontId="0" fillId="0" borderId="0" xfId="16" applyNumberFormat="1" applyAlignment="1">
      <alignment/>
    </xf>
    <xf numFmtId="173" fontId="0" fillId="0" borderId="6" xfId="16" applyNumberFormat="1" applyBorder="1" applyAlignment="1">
      <alignment/>
    </xf>
    <xf numFmtId="0" fontId="42" fillId="0" borderId="0" xfId="0" applyFont="1" applyAlignment="1">
      <alignment/>
    </xf>
    <xf numFmtId="199" fontId="0" fillId="0" borderId="0" xfId="16" applyNumberFormat="1" applyAlignment="1">
      <alignment/>
    </xf>
    <xf numFmtId="0" fontId="0" fillId="0" borderId="9" xfId="0" applyBorder="1" applyAlignment="1">
      <alignment/>
    </xf>
    <xf numFmtId="164" fontId="0" fillId="0" borderId="17" xfId="0" applyNumberFormat="1" applyBorder="1" applyAlignment="1">
      <alignment/>
    </xf>
    <xf numFmtId="0" fontId="8" fillId="3" borderId="0" xfId="0" applyFont="1" applyFill="1" applyAlignment="1">
      <alignment/>
    </xf>
    <xf numFmtId="37" fontId="8" fillId="0" borderId="13" xfId="0" applyNumberFormat="1" applyFont="1" applyFill="1" applyBorder="1" applyAlignment="1">
      <alignment horizontal="center"/>
    </xf>
    <xf numFmtId="37" fontId="8" fillId="3" borderId="1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" fontId="8" fillId="7" borderId="13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37" fontId="8" fillId="4" borderId="14" xfId="0" applyNumberFormat="1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37" fontId="8" fillId="4" borderId="10" xfId="0" applyNumberFormat="1" applyFont="1" applyFill="1" applyBorder="1" applyAlignment="1">
      <alignment horizontal="center"/>
    </xf>
    <xf numFmtId="37" fontId="8" fillId="0" borderId="14" xfId="0" applyNumberFormat="1" applyFont="1" applyFill="1" applyBorder="1" applyAlignment="1">
      <alignment horizontal="center"/>
    </xf>
    <xf numFmtId="37" fontId="8" fillId="0" borderId="10" xfId="0" applyNumberFormat="1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6" xfId="0" applyFont="1" applyFill="1" applyBorder="1" applyAlignment="1">
      <alignment/>
    </xf>
    <xf numFmtId="37" fontId="8" fillId="7" borderId="13" xfId="0" applyNumberFormat="1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/>
    </xf>
    <xf numFmtId="0" fontId="8" fillId="7" borderId="14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37" fontId="8" fillId="7" borderId="11" xfId="0" applyNumberFormat="1" applyFont="1" applyFill="1" applyBorder="1" applyAlignment="1">
      <alignment/>
    </xf>
    <xf numFmtId="173" fontId="8" fillId="0" borderId="13" xfId="16" applyNumberFormat="1" applyFont="1" applyBorder="1" applyAlignment="1">
      <alignment horizontal="center"/>
    </xf>
    <xf numFmtId="173" fontId="8" fillId="9" borderId="13" xfId="16" applyNumberFormat="1" applyFont="1" applyFill="1" applyBorder="1" applyAlignment="1">
      <alignment horizontal="center"/>
    </xf>
    <xf numFmtId="173" fontId="8" fillId="3" borderId="15" xfId="16" applyNumberFormat="1" applyFont="1" applyFill="1" applyBorder="1" applyAlignment="1">
      <alignment horizontal="center"/>
    </xf>
    <xf numFmtId="173" fontId="8" fillId="3" borderId="14" xfId="16" applyNumberFormat="1" applyFont="1" applyFill="1" applyBorder="1" applyAlignment="1">
      <alignment horizontal="center"/>
    </xf>
    <xf numFmtId="37" fontId="8" fillId="3" borderId="14" xfId="0" applyNumberFormat="1" applyFont="1" applyFill="1" applyBorder="1" applyAlignment="1">
      <alignment horizontal="center"/>
    </xf>
    <xf numFmtId="37" fontId="8" fillId="9" borderId="11" xfId="0" applyNumberFormat="1" applyFont="1" applyFill="1" applyBorder="1" applyAlignment="1">
      <alignment/>
    </xf>
    <xf numFmtId="37" fontId="8" fillId="9" borderId="5" xfId="0" applyNumberFormat="1" applyFont="1" applyFill="1" applyBorder="1" applyAlignment="1">
      <alignment/>
    </xf>
    <xf numFmtId="37" fontId="8" fillId="9" borderId="15" xfId="0" applyNumberFormat="1" applyFont="1" applyFill="1" applyBorder="1" applyAlignment="1">
      <alignment/>
    </xf>
    <xf numFmtId="8" fontId="13" fillId="0" borderId="0" xfId="16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0" fontId="18" fillId="0" borderId="0" xfId="22" applyFont="1" applyFill="1">
      <alignment/>
      <protection/>
    </xf>
    <xf numFmtId="7" fontId="23" fillId="0" borderId="0" xfId="0" applyNumberFormat="1" applyFont="1" applyBorder="1" applyAlignment="1">
      <alignment horizontal="center"/>
    </xf>
    <xf numFmtId="17" fontId="42" fillId="0" borderId="0" xfId="0" applyNumberFormat="1" applyFont="1" applyAlignment="1">
      <alignment horizontal="right"/>
    </xf>
    <xf numFmtId="5" fontId="0" fillId="0" borderId="0" xfId="0" applyNumberFormat="1" applyFill="1" applyAlignment="1">
      <alignment horizontal="center"/>
    </xf>
    <xf numFmtId="37" fontId="8" fillId="6" borderId="14" xfId="0" applyNumberFormat="1" applyFont="1" applyFill="1" applyBorder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Alignment="1" quotePrefix="1">
      <alignment horizontal="left" indent="4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9" fillId="0" borderId="0" xfId="22" applyFont="1" applyFill="1">
      <alignment/>
      <protection/>
    </xf>
    <xf numFmtId="43" fontId="18" fillId="0" borderId="0" xfId="16" applyFont="1" applyFill="1" applyAlignment="1">
      <alignment/>
    </xf>
    <xf numFmtId="5" fontId="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43" fillId="0" borderId="0" xfId="0" applyFont="1" applyAlignment="1">
      <alignment horizontal="left"/>
    </xf>
    <xf numFmtId="0" fontId="31" fillId="0" borderId="0" xfId="22" applyFont="1" applyFill="1" applyBorder="1" applyAlignment="1" quotePrefix="1">
      <alignment horizontal="center"/>
      <protection/>
    </xf>
    <xf numFmtId="0" fontId="18" fillId="0" borderId="0" xfId="22" applyFont="1" applyFill="1" applyBorder="1">
      <alignment/>
      <protection/>
    </xf>
    <xf numFmtId="37" fontId="18" fillId="0" borderId="11" xfId="22" applyNumberFormat="1" applyFont="1" applyFill="1" applyBorder="1">
      <alignment/>
      <protection/>
    </xf>
    <xf numFmtId="173" fontId="18" fillId="0" borderId="11" xfId="16" applyNumberFormat="1" applyFont="1" applyFill="1" applyBorder="1" applyAlignment="1">
      <alignment/>
    </xf>
    <xf numFmtId="173" fontId="18" fillId="0" borderId="0" xfId="16" applyNumberFormat="1" applyFont="1" applyFill="1" applyBorder="1" applyAlignment="1">
      <alignment/>
    </xf>
    <xf numFmtId="173" fontId="18" fillId="0" borderId="12" xfId="22" applyNumberFormat="1" applyFont="1" applyFill="1" applyBorder="1">
      <alignment/>
      <protection/>
    </xf>
    <xf numFmtId="190" fontId="31" fillId="0" borderId="0" xfId="22" applyNumberFormat="1" applyFont="1" applyFill="1" applyBorder="1" applyAlignment="1" quotePrefix="1">
      <alignment horizontal="center"/>
      <protection/>
    </xf>
    <xf numFmtId="37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3" fillId="0" borderId="9" xfId="0" applyNumberFormat="1" applyFont="1" applyBorder="1" applyAlignment="1" quotePrefix="1">
      <alignment horizontal="center"/>
    </xf>
    <xf numFmtId="167" fontId="8" fillId="0" borderId="0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8" fillId="0" borderId="0" xfId="0" applyFont="1" applyAlignment="1">
      <alignment horizontal="left" indent="1"/>
    </xf>
    <xf numFmtId="173" fontId="0" fillId="0" borderId="0" xfId="0" applyNumberFormat="1" applyAlignment="1">
      <alignment/>
    </xf>
    <xf numFmtId="0" fontId="13" fillId="0" borderId="0" xfId="0" applyFont="1" applyAlignment="1">
      <alignment horizontal="left" indent="1"/>
    </xf>
    <xf numFmtId="0" fontId="12" fillId="3" borderId="9" xfId="16" applyNumberFormat="1" applyFont="1" applyFill="1" applyBorder="1" applyAlignment="1">
      <alignment horizontal="center"/>
    </xf>
    <xf numFmtId="172" fontId="12" fillId="3" borderId="9" xfId="0" applyNumberFormat="1" applyFont="1" applyFill="1" applyBorder="1" applyAlignment="1">
      <alignment horizontal="center"/>
    </xf>
    <xf numFmtId="0" fontId="12" fillId="3" borderId="10" xfId="16" applyNumberFormat="1" applyFont="1" applyFill="1" applyBorder="1" applyAlignment="1">
      <alignment horizontal="center"/>
    </xf>
    <xf numFmtId="37" fontId="13" fillId="3" borderId="3" xfId="0" applyNumberFormat="1" applyFont="1" applyFill="1" applyBorder="1" applyAlignment="1">
      <alignment/>
    </xf>
    <xf numFmtId="5" fontId="1" fillId="0" borderId="0" xfId="0" applyNumberFormat="1" applyFont="1" applyBorder="1" applyAlignment="1">
      <alignment/>
    </xf>
    <xf numFmtId="6" fontId="1" fillId="0" borderId="0" xfId="0" applyNumberFormat="1" applyFont="1" applyAlignment="1">
      <alignment horizontal="center"/>
    </xf>
    <xf numFmtId="8" fontId="8" fillId="0" borderId="0" xfId="18" applyNumberFormat="1" applyFont="1" applyFill="1" applyBorder="1" applyAlignment="1">
      <alignment/>
    </xf>
    <xf numFmtId="7" fontId="4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7" fontId="24" fillId="0" borderId="0" xfId="0" applyNumberFormat="1" applyFont="1" applyAlignment="1">
      <alignment horizontal="center"/>
    </xf>
    <xf numFmtId="0" fontId="1" fillId="11" borderId="26" xfId="0" applyFont="1" applyFill="1" applyBorder="1" applyAlignment="1">
      <alignment horizontal="center"/>
    </xf>
    <xf numFmtId="5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7" fontId="23" fillId="0" borderId="0" xfId="0" applyNumberFormat="1" applyFont="1" applyFill="1" applyBorder="1" applyAlignment="1">
      <alignment horizontal="center"/>
    </xf>
    <xf numFmtId="37" fontId="8" fillId="0" borderId="6" xfId="0" applyNumberFormat="1" applyFont="1" applyFill="1" applyBorder="1" applyAlignment="1">
      <alignment/>
    </xf>
    <xf numFmtId="37" fontId="8" fillId="4" borderId="28" xfId="0" applyNumberFormat="1" applyFont="1" applyFill="1" applyBorder="1" applyAlignment="1">
      <alignment/>
    </xf>
    <xf numFmtId="37" fontId="8" fillId="4" borderId="29" xfId="0" applyNumberFormat="1" applyFont="1" applyFill="1" applyBorder="1" applyAlignment="1">
      <alignment/>
    </xf>
    <xf numFmtId="37" fontId="8" fillId="3" borderId="30" xfId="0" applyNumberFormat="1" applyFont="1" applyFill="1" applyBorder="1" applyAlignment="1">
      <alignment/>
    </xf>
    <xf numFmtId="37" fontId="8" fillId="3" borderId="29" xfId="0" applyNumberFormat="1" applyFont="1" applyFill="1" applyBorder="1" applyAlignment="1">
      <alignment/>
    </xf>
    <xf numFmtId="0" fontId="13" fillId="3" borderId="31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44" fillId="4" borderId="2" xfId="0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center"/>
    </xf>
    <xf numFmtId="37" fontId="8" fillId="0" borderId="0" xfId="0" applyNumberFormat="1" applyFont="1" applyAlignment="1" quotePrefix="1">
      <alignment/>
    </xf>
    <xf numFmtId="43" fontId="0" fillId="0" borderId="0" xfId="23">
      <alignment/>
      <protection/>
    </xf>
    <xf numFmtId="0" fontId="1" fillId="0" borderId="24" xfId="23" applyNumberFormat="1" applyFont="1" applyBorder="1">
      <alignment/>
      <protection/>
    </xf>
    <xf numFmtId="43" fontId="0" fillId="0" borderId="0" xfId="23" applyBorder="1" applyAlignment="1">
      <alignment wrapText="1"/>
      <protection/>
    </xf>
    <xf numFmtId="43" fontId="0" fillId="0" borderId="0" xfId="23" applyBorder="1">
      <alignment/>
      <protection/>
    </xf>
    <xf numFmtId="0" fontId="0" fillId="0" borderId="23" xfId="23" applyNumberFormat="1" applyBorder="1">
      <alignment/>
      <protection/>
    </xf>
    <xf numFmtId="0" fontId="0" fillId="0" borderId="24" xfId="23" applyNumberFormat="1" applyBorder="1">
      <alignment/>
      <protection/>
    </xf>
    <xf numFmtId="0" fontId="0" fillId="0" borderId="30" xfId="23" applyNumberFormat="1" applyBorder="1">
      <alignment/>
      <protection/>
    </xf>
    <xf numFmtId="43" fontId="0" fillId="0" borderId="13" xfId="23" applyBorder="1" applyAlignment="1">
      <alignment wrapText="1"/>
      <protection/>
    </xf>
    <xf numFmtId="43" fontId="0" fillId="0" borderId="13" xfId="23" applyBorder="1" applyAlignment="1">
      <alignment horizontal="center" wrapText="1"/>
      <protection/>
    </xf>
    <xf numFmtId="0" fontId="0" fillId="0" borderId="32" xfId="23" applyNumberFormat="1" applyBorder="1" applyAlignment="1">
      <alignment horizontal="center" wrapText="1"/>
      <protection/>
    </xf>
    <xf numFmtId="43" fontId="0" fillId="0" borderId="13" xfId="23" applyFont="1" applyBorder="1">
      <alignment/>
      <protection/>
    </xf>
    <xf numFmtId="43" fontId="0" fillId="0" borderId="13" xfId="23" applyBorder="1">
      <alignment/>
      <protection/>
    </xf>
    <xf numFmtId="0" fontId="0" fillId="0" borderId="32" xfId="23" applyNumberFormat="1" applyBorder="1">
      <alignment/>
      <protection/>
    </xf>
    <xf numFmtId="43" fontId="1" fillId="0" borderId="2" xfId="23" applyFont="1" applyBorder="1" applyAlignment="1">
      <alignment wrapText="1"/>
      <protection/>
    </xf>
    <xf numFmtId="43" fontId="1" fillId="0" borderId="3" xfId="23" applyFont="1" applyBorder="1" applyAlignment="1">
      <alignment wrapText="1"/>
      <protection/>
    </xf>
    <xf numFmtId="43" fontId="1" fillId="0" borderId="3" xfId="23" applyFont="1" applyBorder="1">
      <alignment/>
      <protection/>
    </xf>
    <xf numFmtId="0" fontId="1" fillId="0" borderId="33" xfId="23" applyNumberFormat="1" applyFont="1" applyBorder="1">
      <alignment/>
      <protection/>
    </xf>
    <xf numFmtId="43" fontId="1" fillId="0" borderId="0" xfId="23" applyFont="1" applyBorder="1" applyAlignment="1">
      <alignment wrapText="1"/>
      <protection/>
    </xf>
    <xf numFmtId="43" fontId="1" fillId="0" borderId="0" xfId="23" applyFont="1" applyBorder="1">
      <alignment/>
      <protection/>
    </xf>
    <xf numFmtId="0" fontId="1" fillId="0" borderId="23" xfId="23" applyNumberFormat="1" applyFont="1" applyBorder="1">
      <alignment/>
      <protection/>
    </xf>
    <xf numFmtId="0" fontId="0" fillId="0" borderId="34" xfId="23" applyNumberFormat="1" applyBorder="1">
      <alignment/>
      <protection/>
    </xf>
    <xf numFmtId="43" fontId="0" fillId="0" borderId="35" xfId="23" applyBorder="1" applyAlignment="1">
      <alignment wrapText="1"/>
      <protection/>
    </xf>
    <xf numFmtId="43" fontId="0" fillId="0" borderId="35" xfId="23" applyBorder="1">
      <alignment/>
      <protection/>
    </xf>
    <xf numFmtId="43" fontId="0" fillId="0" borderId="1" xfId="23" applyBorder="1">
      <alignment/>
      <protection/>
    </xf>
    <xf numFmtId="0" fontId="0" fillId="0" borderId="22" xfId="23" applyNumberFormat="1" applyBorder="1">
      <alignment/>
      <protection/>
    </xf>
    <xf numFmtId="0" fontId="0" fillId="0" borderId="0" xfId="23" applyNumberFormat="1">
      <alignment/>
      <protection/>
    </xf>
    <xf numFmtId="43" fontId="0" fillId="0" borderId="0" xfId="23" applyAlignment="1">
      <alignment horizontal="right" wrapText="1"/>
      <protection/>
    </xf>
    <xf numFmtId="43" fontId="0" fillId="0" borderId="9" xfId="23" applyBorder="1" applyAlignment="1">
      <alignment wrapText="1"/>
      <protection/>
    </xf>
    <xf numFmtId="43" fontId="0" fillId="0" borderId="9" xfId="23" applyBorder="1">
      <alignment/>
      <protection/>
    </xf>
    <xf numFmtId="43" fontId="0" fillId="0" borderId="0" xfId="23" applyAlignment="1">
      <alignment horizontal="right"/>
      <protection/>
    </xf>
    <xf numFmtId="43" fontId="0" fillId="0" borderId="0" xfId="23" applyAlignment="1">
      <alignment wrapText="1"/>
      <protection/>
    </xf>
    <xf numFmtId="0" fontId="8" fillId="9" borderId="13" xfId="16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left"/>
    </xf>
    <xf numFmtId="173" fontId="8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6" fillId="4" borderId="0" xfId="0" applyFont="1" applyFill="1" applyAlignment="1">
      <alignment/>
    </xf>
    <xf numFmtId="15" fontId="2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4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41" fillId="4" borderId="0" xfId="0" applyFont="1" applyFill="1" applyAlignment="1">
      <alignment horizontal="justify"/>
    </xf>
    <xf numFmtId="0" fontId="48" fillId="4" borderId="0" xfId="0" applyFont="1" applyFill="1" applyAlignment="1">
      <alignment vertical="top" wrapText="1"/>
    </xf>
    <xf numFmtId="0" fontId="22" fillId="0" borderId="0" xfId="0" applyFont="1" applyAlignment="1">
      <alignment/>
    </xf>
    <xf numFmtId="0" fontId="21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17" fontId="7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/>
    </xf>
    <xf numFmtId="0" fontId="47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1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22" fillId="4" borderId="0" xfId="0" applyFont="1" applyFill="1" applyAlignment="1">
      <alignment horizontal="left"/>
    </xf>
    <xf numFmtId="0" fontId="17" fillId="0" borderId="0" xfId="0" applyFont="1" applyAlignment="1">
      <alignment/>
    </xf>
    <xf numFmtId="178" fontId="8" fillId="0" borderId="0" xfId="0" applyNumberFormat="1" applyFont="1" applyAlignment="1">
      <alignment/>
    </xf>
    <xf numFmtId="37" fontId="18" fillId="0" borderId="6" xfId="0" applyNumberFormat="1" applyFont="1" applyFill="1" applyBorder="1" applyAlignment="1">
      <alignment/>
    </xf>
    <xf numFmtId="14" fontId="48" fillId="4" borderId="0" xfId="0" applyNumberFormat="1" applyFont="1" applyFill="1" applyAlignment="1">
      <alignment horizontal="left" vertical="top" wrapText="1"/>
    </xf>
    <xf numFmtId="0" fontId="45" fillId="4" borderId="0" xfId="0" applyFont="1" applyFill="1" applyAlignment="1">
      <alignment/>
    </xf>
    <xf numFmtId="14" fontId="41" fillId="4" borderId="0" xfId="0" applyNumberFormat="1" applyFont="1" applyFill="1" applyAlignment="1">
      <alignment horizontal="left"/>
    </xf>
    <xf numFmtId="0" fontId="0" fillId="11" borderId="0" xfId="0" applyFill="1" applyAlignment="1">
      <alignment/>
    </xf>
    <xf numFmtId="0" fontId="48" fillId="11" borderId="0" xfId="0" applyFont="1" applyFill="1" applyAlignment="1">
      <alignment vertical="top" wrapText="1"/>
    </xf>
    <xf numFmtId="0" fontId="13" fillId="3" borderId="15" xfId="0" applyFont="1" applyFill="1" applyBorder="1" applyAlignment="1">
      <alignment horizontal="center"/>
    </xf>
    <xf numFmtId="172" fontId="12" fillId="3" borderId="8" xfId="0" applyNumberFormat="1" applyFont="1" applyFill="1" applyBorder="1" applyAlignment="1">
      <alignment horizontal="center"/>
    </xf>
    <xf numFmtId="0" fontId="13" fillId="3" borderId="36" xfId="0" applyFont="1" applyFill="1" applyBorder="1" applyAlignment="1">
      <alignment/>
    </xf>
    <xf numFmtId="0" fontId="13" fillId="3" borderId="3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37" fontId="13" fillId="0" borderId="9" xfId="0" applyNumberFormat="1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3" fillId="3" borderId="19" xfId="0" applyFont="1" applyFill="1" applyBorder="1" applyAlignment="1">
      <alignment/>
    </xf>
    <xf numFmtId="37" fontId="13" fillId="3" borderId="20" xfId="0" applyNumberFormat="1" applyFont="1" applyFill="1" applyBorder="1" applyAlignment="1">
      <alignment/>
    </xf>
    <xf numFmtId="172" fontId="12" fillId="3" borderId="9" xfId="16" applyNumberFormat="1" applyFont="1" applyFill="1" applyBorder="1" applyAlignment="1">
      <alignment horizontal="center"/>
    </xf>
    <xf numFmtId="37" fontId="8" fillId="0" borderId="3" xfId="0" applyNumberFormat="1" applyFont="1" applyFill="1" applyBorder="1" applyAlignment="1">
      <alignment/>
    </xf>
    <xf numFmtId="0" fontId="13" fillId="0" borderId="0" xfId="0" applyFont="1" applyBorder="1" applyAlignment="1" quotePrefix="1">
      <alignment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37" fontId="8" fillId="0" borderId="24" xfId="0" applyNumberFormat="1" applyFont="1" applyFill="1" applyBorder="1" applyAlignment="1">
      <alignment/>
    </xf>
    <xf numFmtId="37" fontId="8" fillId="0" borderId="38" xfId="0" applyNumberFormat="1" applyFont="1" applyFill="1" applyBorder="1" applyAlignment="1">
      <alignment/>
    </xf>
    <xf numFmtId="37" fontId="8" fillId="0" borderId="24" xfId="0" applyNumberFormat="1" applyFont="1" applyBorder="1" applyAlignment="1">
      <alignment/>
    </xf>
    <xf numFmtId="37" fontId="8" fillId="0" borderId="38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7" fontId="31" fillId="0" borderId="0" xfId="22" applyNumberFormat="1" applyFont="1" applyFill="1" applyBorder="1">
      <alignment/>
      <protection/>
    </xf>
    <xf numFmtId="37" fontId="8" fillId="4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 horizontal="center" wrapText="1"/>
    </xf>
    <xf numFmtId="44" fontId="1" fillId="0" borderId="0" xfId="0" applyNumberFormat="1" applyFont="1" applyAlignment="1">
      <alignment/>
    </xf>
    <xf numFmtId="7" fontId="23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37" fontId="0" fillId="0" borderId="0" xfId="18" applyNumberFormat="1" applyAlignment="1">
      <alignment horizontal="center"/>
    </xf>
    <xf numFmtId="37" fontId="0" fillId="0" borderId="0" xfId="0" applyNumberFormat="1" applyAlignment="1">
      <alignment horizontal="center"/>
    </xf>
    <xf numFmtId="198" fontId="23" fillId="0" borderId="17" xfId="0" applyNumberFormat="1" applyFont="1" applyBorder="1" applyAlignment="1">
      <alignment horizontal="center"/>
    </xf>
    <xf numFmtId="44" fontId="1" fillId="0" borderId="0" xfId="18" applyFont="1" applyAlignment="1">
      <alignment horizontal="center"/>
    </xf>
    <xf numFmtId="198" fontId="1" fillId="0" borderId="0" xfId="18" applyNumberFormat="1" applyFont="1" applyAlignment="1">
      <alignment horizontal="center"/>
    </xf>
    <xf numFmtId="0" fontId="7" fillId="3" borderId="13" xfId="0" applyFont="1" applyFill="1" applyBorder="1" applyAlignment="1">
      <alignment/>
    </xf>
    <xf numFmtId="2" fontId="19" fillId="0" borderId="0" xfId="22" applyNumberFormat="1" applyFont="1" applyFill="1" applyAlignment="1">
      <alignment horizontal="left"/>
      <protection/>
    </xf>
    <xf numFmtId="37" fontId="31" fillId="0" borderId="12" xfId="22" applyNumberFormat="1" applyFont="1" applyFill="1" applyBorder="1" quotePrefix="1">
      <alignment/>
      <protection/>
    </xf>
    <xf numFmtId="37" fontId="51" fillId="4" borderId="14" xfId="0" applyNumberFormat="1" applyFont="1" applyFill="1" applyBorder="1" applyAlignment="1">
      <alignment/>
    </xf>
    <xf numFmtId="37" fontId="51" fillId="4" borderId="5" xfId="0" applyNumberFormat="1" applyFont="1" applyFill="1" applyBorder="1" applyAlignment="1">
      <alignment/>
    </xf>
    <xf numFmtId="37" fontId="51" fillId="4" borderId="11" xfId="0" applyNumberFormat="1" applyFont="1" applyFill="1" applyBorder="1" applyAlignment="1">
      <alignment/>
    </xf>
    <xf numFmtId="0" fontId="13" fillId="12" borderId="0" xfId="0" applyFont="1" applyFill="1" applyAlignment="1">
      <alignment/>
    </xf>
    <xf numFmtId="37" fontId="5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0" fillId="0" borderId="0" xfId="16" applyNumberFormat="1" applyAlignment="1">
      <alignment/>
    </xf>
    <xf numFmtId="0" fontId="13" fillId="0" borderId="0" xfId="0" applyFont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3" fillId="0" borderId="9" xfId="0" applyFont="1" applyBorder="1" applyAlignment="1" quotePrefix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17" fontId="15" fillId="0" borderId="0" xfId="0" applyNumberFormat="1" applyFont="1" applyAlignment="1">
      <alignment horizontal="center"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43" fontId="0" fillId="0" borderId="13" xfId="23" applyBorder="1" applyAlignment="1">
      <alignment horizontal="center"/>
      <protection/>
    </xf>
    <xf numFmtId="43" fontId="0" fillId="0" borderId="32" xfId="23" applyBorder="1" applyAlignment="1">
      <alignment horizontal="center"/>
      <protection/>
    </xf>
    <xf numFmtId="43" fontId="23" fillId="0" borderId="39" xfId="23" applyFont="1" applyBorder="1" applyAlignment="1">
      <alignment horizontal="center"/>
      <protection/>
    </xf>
    <xf numFmtId="43" fontId="41" fillId="0" borderId="40" xfId="23" applyFont="1" applyBorder="1" applyAlignment="1">
      <alignment horizontal="center"/>
      <protection/>
    </xf>
    <xf numFmtId="43" fontId="41" fillId="0" borderId="41" xfId="23" applyFont="1" applyBorder="1" applyAlignment="1">
      <alignment horizontal="center"/>
      <protection/>
    </xf>
    <xf numFmtId="0" fontId="0" fillId="0" borderId="38" xfId="23" applyNumberFormat="1" applyBorder="1" applyAlignment="1">
      <alignment horizontal="center"/>
      <protection/>
    </xf>
    <xf numFmtId="0" fontId="0" fillId="0" borderId="9" xfId="23" applyNumberFormat="1" applyBorder="1" applyAlignment="1">
      <alignment horizontal="center"/>
      <protection/>
    </xf>
    <xf numFmtId="0" fontId="23" fillId="11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37" fontId="13" fillId="3" borderId="2" xfId="0" applyNumberFormat="1" applyFont="1" applyFill="1" applyBorder="1" applyAlignment="1">
      <alignment horizontal="center"/>
    </xf>
    <xf numFmtId="37" fontId="13" fillId="3" borderId="4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37" fontId="13" fillId="0" borderId="9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38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</cellXfs>
  <cellStyles count="15">
    <cellStyle name="Normal" xfId="0"/>
    <cellStyle name="cajun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IPS-565TRANS" xfId="22"/>
    <cellStyle name="Normal_Spreadsheet Risk Assessment_111108_bjm_final updated" xfId="23"/>
    <cellStyle name="ntec" xfId="24"/>
    <cellStyle name="Percent" xfId="25"/>
    <cellStyle name="PSChar" xfId="26"/>
    <cellStyle name="PSHeading" xfId="27"/>
    <cellStyle name="PSSpacer" xfId="28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0</xdr:row>
      <xdr:rowOff>0</xdr:rowOff>
    </xdr:from>
    <xdr:to>
      <xdr:col>2</xdr:col>
      <xdr:colOff>600075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343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28575</xdr:rowOff>
    </xdr:from>
    <xdr:to>
      <xdr:col>5</xdr:col>
      <xdr:colOff>571500</xdr:colOff>
      <xdr:row>14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6715125" y="28575"/>
          <a:ext cx="1781175" cy="2609850"/>
          <a:chOff x="708" y="44"/>
          <a:chExt cx="187" cy="231"/>
        </a:xfrm>
        <a:solidFill>
          <a:srgbClr val="FFFFFF"/>
        </a:solidFill>
      </xdr:grpSpPr>
      <xdr:pic macro="[0]!PrintIPS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0" y="44"/>
            <a:ext cx="184" cy="184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</xdr:pic>
      <xdr:sp macro="[0]!PrintIPS">
        <xdr:nvSpPr>
          <xdr:cNvPr id="4" name="TextBox 6"/>
          <xdr:cNvSpPr txBox="1">
            <a:spLocks noChangeArrowheads="1"/>
          </xdr:cNvSpPr>
        </xdr:nvSpPr>
        <xdr:spPr>
          <a:xfrm>
            <a:off x="708" y="211"/>
            <a:ext cx="187" cy="6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Print
Interchange Power Statement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2.75"/>
  <cols>
    <col min="1" max="1" width="4.421875" style="768" customWidth="1"/>
    <col min="2" max="2" width="28.7109375" style="773" customWidth="1"/>
    <col min="3" max="3" width="21.8515625" style="773" customWidth="1"/>
    <col min="4" max="5" width="9.140625" style="743" customWidth="1"/>
    <col min="6" max="6" width="9.140625" style="768" customWidth="1"/>
    <col min="7" max="16384" width="9.140625" style="743" customWidth="1"/>
  </cols>
  <sheetData>
    <row r="1" spans="1:6" ht="15.75">
      <c r="A1" s="873" t="s">
        <v>1248</v>
      </c>
      <c r="B1" s="874"/>
      <c r="C1" s="874"/>
      <c r="D1" s="874"/>
      <c r="E1" s="874"/>
      <c r="F1" s="875"/>
    </row>
    <row r="2" spans="1:6" ht="12.75">
      <c r="A2" s="744" t="s">
        <v>1249</v>
      </c>
      <c r="B2" s="745"/>
      <c r="C2" s="745"/>
      <c r="D2" s="746"/>
      <c r="E2" s="746"/>
      <c r="F2" s="747"/>
    </row>
    <row r="3" spans="1:6" ht="12.75">
      <c r="A3" s="748"/>
      <c r="B3" s="745"/>
      <c r="C3" s="745"/>
      <c r="D3" s="871" t="s">
        <v>1250</v>
      </c>
      <c r="E3" s="871"/>
      <c r="F3" s="872"/>
    </row>
    <row r="4" spans="1:6" ht="32.25" customHeight="1">
      <c r="A4" s="749"/>
      <c r="B4" s="750" t="s">
        <v>1251</v>
      </c>
      <c r="C4" s="750" t="s">
        <v>1252</v>
      </c>
      <c r="D4" s="751" t="s">
        <v>1253</v>
      </c>
      <c r="E4" s="751" t="s">
        <v>1254</v>
      </c>
      <c r="F4" s="752" t="s">
        <v>1255</v>
      </c>
    </row>
    <row r="5" spans="1:6" ht="63.75">
      <c r="A5" s="749">
        <v>1</v>
      </c>
      <c r="B5" s="750" t="s">
        <v>1259</v>
      </c>
      <c r="C5" s="750" t="s">
        <v>1260</v>
      </c>
      <c r="D5" s="753" t="s">
        <v>1261</v>
      </c>
      <c r="E5" s="754">
        <f>IF(D5="Yes",1,0)</f>
        <v>0</v>
      </c>
      <c r="F5" s="755">
        <v>1</v>
      </c>
    </row>
    <row r="6" spans="1:6" ht="51">
      <c r="A6" s="749">
        <v>2</v>
      </c>
      <c r="B6" s="750" t="s">
        <v>1262</v>
      </c>
      <c r="C6" s="750" t="s">
        <v>1263</v>
      </c>
      <c r="D6" s="753" t="s">
        <v>1261</v>
      </c>
      <c r="E6" s="754">
        <f>IF(D6="Yes",2,0)</f>
        <v>0</v>
      </c>
      <c r="F6" s="755">
        <v>2</v>
      </c>
    </row>
    <row r="7" spans="1:6" ht="25.5">
      <c r="A7" s="749">
        <v>3</v>
      </c>
      <c r="B7" s="750" t="s">
        <v>1264</v>
      </c>
      <c r="C7" s="750" t="s">
        <v>1260</v>
      </c>
      <c r="D7" s="753" t="s">
        <v>1261</v>
      </c>
      <c r="E7" s="754">
        <f>IF(D7="Yes",1,0)</f>
        <v>0</v>
      </c>
      <c r="F7" s="755">
        <v>1</v>
      </c>
    </row>
    <row r="8" spans="1:6" ht="25.5">
      <c r="A8" s="749">
        <v>4</v>
      </c>
      <c r="B8" s="750" t="s">
        <v>1265</v>
      </c>
      <c r="C8" s="750" t="s">
        <v>1260</v>
      </c>
      <c r="D8" s="753" t="s">
        <v>1266</v>
      </c>
      <c r="E8" s="754">
        <f>IF(D8="Yes",1,0)</f>
        <v>1</v>
      </c>
      <c r="F8" s="755">
        <v>1</v>
      </c>
    </row>
    <row r="9" spans="1:6" ht="25.5">
      <c r="A9" s="749">
        <v>5</v>
      </c>
      <c r="B9" s="750" t="s">
        <v>1267</v>
      </c>
      <c r="C9" s="750" t="s">
        <v>1260</v>
      </c>
      <c r="D9" s="753" t="s">
        <v>1266</v>
      </c>
      <c r="E9" s="754">
        <f>IF(D9="Yes",1,0)</f>
        <v>1</v>
      </c>
      <c r="F9" s="755">
        <v>1</v>
      </c>
    </row>
    <row r="10" spans="1:6" ht="25.5">
      <c r="A10" s="749">
        <v>6</v>
      </c>
      <c r="B10" s="750" t="s">
        <v>1268</v>
      </c>
      <c r="C10" s="750" t="s">
        <v>1260</v>
      </c>
      <c r="D10" s="753" t="s">
        <v>1261</v>
      </c>
      <c r="E10" s="754">
        <f>IF(D10="Yes",1,0)</f>
        <v>0</v>
      </c>
      <c r="F10" s="755">
        <v>1</v>
      </c>
    </row>
    <row r="11" spans="1:6" ht="38.25">
      <c r="A11" s="749">
        <v>7</v>
      </c>
      <c r="B11" s="750" t="s">
        <v>1269</v>
      </c>
      <c r="C11" s="750" t="s">
        <v>1263</v>
      </c>
      <c r="D11" s="753" t="s">
        <v>1266</v>
      </c>
      <c r="E11" s="754">
        <f>IF(D11="Yes",2,0)</f>
        <v>2</v>
      </c>
      <c r="F11" s="755">
        <v>2</v>
      </c>
    </row>
    <row r="12" spans="1:6" ht="51">
      <c r="A12" s="749">
        <v>8</v>
      </c>
      <c r="B12" s="750" t="s">
        <v>1270</v>
      </c>
      <c r="C12" s="750" t="s">
        <v>1271</v>
      </c>
      <c r="D12" s="753" t="s">
        <v>1266</v>
      </c>
      <c r="E12" s="754">
        <f>IF(D12="Yes",0,0)</f>
        <v>0</v>
      </c>
      <c r="F12" s="755">
        <v>1</v>
      </c>
    </row>
    <row r="13" spans="1:6" ht="51">
      <c r="A13" s="749">
        <v>9</v>
      </c>
      <c r="B13" s="750" t="s">
        <v>1272</v>
      </c>
      <c r="C13" s="750" t="s">
        <v>1273</v>
      </c>
      <c r="D13" s="753" t="s">
        <v>1274</v>
      </c>
      <c r="E13" s="754">
        <f>IF(D13="Yes",1,0)</f>
        <v>0</v>
      </c>
      <c r="F13" s="755">
        <v>3</v>
      </c>
    </row>
    <row r="14" spans="1:6" ht="12.75">
      <c r="A14" s="748"/>
      <c r="B14" s="745"/>
      <c r="C14" s="745"/>
      <c r="D14" s="746"/>
      <c r="E14" s="746"/>
      <c r="F14" s="747"/>
    </row>
    <row r="15" spans="1:6" ht="12.75">
      <c r="A15" s="748"/>
      <c r="B15" s="756" t="s">
        <v>1275</v>
      </c>
      <c r="C15" s="757"/>
      <c r="D15" s="758"/>
      <c r="E15" s="758">
        <f>+SUM(E5:E13)</f>
        <v>4</v>
      </c>
      <c r="F15" s="759">
        <v>13</v>
      </c>
    </row>
    <row r="16" spans="1:6" ht="12.75">
      <c r="A16" s="748"/>
      <c r="B16" s="760"/>
      <c r="C16" s="760"/>
      <c r="D16" s="761"/>
      <c r="E16" s="761"/>
      <c r="F16" s="762"/>
    </row>
    <row r="17" spans="1:6" ht="12.75">
      <c r="A17" s="748"/>
      <c r="B17" s="756" t="s">
        <v>1276</v>
      </c>
      <c r="C17" s="757"/>
      <c r="D17" s="758" t="s">
        <v>1277</v>
      </c>
      <c r="E17" s="758"/>
      <c r="F17" s="759"/>
    </row>
    <row r="18" spans="1:6" ht="12.75">
      <c r="A18" s="748"/>
      <c r="B18" s="745"/>
      <c r="C18" s="745"/>
      <c r="D18" s="746"/>
      <c r="E18" s="746"/>
      <c r="F18" s="747"/>
    </row>
    <row r="19" spans="1:6" ht="12.75">
      <c r="A19" s="876" t="s">
        <v>1278</v>
      </c>
      <c r="B19" s="877"/>
      <c r="C19" s="877"/>
      <c r="D19" s="877"/>
      <c r="E19" s="746"/>
      <c r="F19" s="747"/>
    </row>
    <row r="20" spans="1:6" ht="12.75">
      <c r="A20" s="749"/>
      <c r="B20" s="750" t="s">
        <v>1279</v>
      </c>
      <c r="C20" s="750" t="s">
        <v>1280</v>
      </c>
      <c r="D20" s="754" t="s">
        <v>1254</v>
      </c>
      <c r="E20" s="746"/>
      <c r="F20" s="747"/>
    </row>
    <row r="21" spans="1:6" ht="25.5">
      <c r="A21" s="749"/>
      <c r="B21" s="750" t="s">
        <v>1281</v>
      </c>
      <c r="C21" s="750" t="s">
        <v>1277</v>
      </c>
      <c r="D21" s="754" t="s">
        <v>1282</v>
      </c>
      <c r="E21" s="746"/>
      <c r="F21" s="747"/>
    </row>
    <row r="22" spans="1:6" ht="26.25" thickBot="1">
      <c r="A22" s="763"/>
      <c r="B22" s="764" t="s">
        <v>1283</v>
      </c>
      <c r="C22" s="764" t="s">
        <v>1284</v>
      </c>
      <c r="D22" s="765" t="s">
        <v>1285</v>
      </c>
      <c r="E22" s="766"/>
      <c r="F22" s="767"/>
    </row>
    <row r="25" spans="2:4" ht="23.25" customHeight="1">
      <c r="B25" s="769" t="s">
        <v>1286</v>
      </c>
      <c r="C25" s="770"/>
      <c r="D25" s="771"/>
    </row>
    <row r="26" spans="2:5" ht="23.25" customHeight="1">
      <c r="B26" s="769" t="s">
        <v>1287</v>
      </c>
      <c r="C26" s="770"/>
      <c r="D26" s="771"/>
      <c r="E26" s="746"/>
    </row>
    <row r="27" spans="2:4" ht="23.25" customHeight="1">
      <c r="B27" s="772" t="s">
        <v>1288</v>
      </c>
      <c r="C27" s="770"/>
      <c r="D27" s="771"/>
    </row>
    <row r="28" ht="18" customHeight="1"/>
  </sheetData>
  <mergeCells count="3">
    <mergeCell ref="D3:F3"/>
    <mergeCell ref="A1:F1"/>
    <mergeCell ref="A19:D1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8" customWidth="1"/>
    <col min="2" max="2" width="11.7109375" style="8" customWidth="1"/>
    <col min="3" max="3" width="5.7109375" style="8" customWidth="1"/>
    <col min="4" max="4" width="13.00390625" style="8" customWidth="1"/>
    <col min="5" max="5" width="3.7109375" style="8" customWidth="1"/>
    <col min="6" max="6" width="14.421875" style="8" customWidth="1"/>
    <col min="7" max="7" width="3.7109375" style="8" customWidth="1"/>
    <col min="8" max="8" width="17.7109375" style="8" customWidth="1"/>
    <col min="9" max="9" width="3.7109375" style="8" customWidth="1"/>
    <col min="10" max="10" width="16.421875" style="8" customWidth="1"/>
    <col min="11" max="16384" width="9.140625" style="8" customWidth="1"/>
  </cols>
  <sheetData>
    <row r="1" spans="1:10" ht="16.5">
      <c r="A1" s="136" t="s">
        <v>1729</v>
      </c>
      <c r="B1" s="137" t="str">
        <f>INPUT!C1</f>
        <v>February 2009</v>
      </c>
      <c r="J1" s="136" t="s">
        <v>1875</v>
      </c>
    </row>
    <row r="2" ht="16.5">
      <c r="F2" s="136" t="s">
        <v>1764</v>
      </c>
    </row>
    <row r="3" ht="16.5">
      <c r="F3" s="136" t="s">
        <v>1877</v>
      </c>
    </row>
    <row r="5" spans="4:10" ht="16.5">
      <c r="D5" s="138"/>
      <c r="E5" s="139" t="s">
        <v>1551</v>
      </c>
      <c r="F5" s="138"/>
      <c r="H5" s="138"/>
      <c r="I5" s="139" t="s">
        <v>1575</v>
      </c>
      <c r="J5" s="138"/>
    </row>
    <row r="6" spans="4:10" ht="16.5">
      <c r="D6" s="136" t="s">
        <v>1552</v>
      </c>
      <c r="F6" s="136" t="s">
        <v>1553</v>
      </c>
      <c r="H6" s="136" t="s">
        <v>1878</v>
      </c>
      <c r="J6" s="136" t="s">
        <v>1879</v>
      </c>
    </row>
    <row r="7" spans="4:10" ht="16.5">
      <c r="D7" s="136" t="s">
        <v>1540</v>
      </c>
      <c r="F7" s="136" t="s">
        <v>1541</v>
      </c>
      <c r="H7" s="136" t="s">
        <v>1773</v>
      </c>
      <c r="J7" s="136" t="s">
        <v>1774</v>
      </c>
    </row>
    <row r="8" spans="1:10" ht="16.5">
      <c r="A8" s="145" t="s">
        <v>1880</v>
      </c>
      <c r="D8" s="140" t="s">
        <v>1555</v>
      </c>
      <c r="F8" s="139" t="s">
        <v>1556</v>
      </c>
      <c r="H8" s="139" t="s">
        <v>1555</v>
      </c>
      <c r="J8" s="139" t="s">
        <v>1556</v>
      </c>
    </row>
    <row r="9" spans="1:10" ht="15">
      <c r="A9" s="8" t="s">
        <v>1881</v>
      </c>
      <c r="C9" s="8" t="s">
        <v>1532</v>
      </c>
      <c r="D9" s="116">
        <f>INPUT!J28</f>
        <v>491008</v>
      </c>
      <c r="E9" s="116"/>
      <c r="F9" s="116">
        <f>INPUT!L28</f>
        <v>519355</v>
      </c>
      <c r="G9" s="115"/>
      <c r="H9" s="116">
        <f>+PAGE6!C20</f>
        <v>18958563</v>
      </c>
      <c r="I9" s="116"/>
      <c r="J9" s="116">
        <f>+PAGE6!E20</f>
        <v>21625175.49</v>
      </c>
    </row>
    <row r="10" spans="1:10" ht="15">
      <c r="A10" s="8" t="s">
        <v>1882</v>
      </c>
      <c r="C10" s="8" t="s">
        <v>1533</v>
      </c>
      <c r="D10" s="116">
        <f>INPUT!J29</f>
        <v>101598</v>
      </c>
      <c r="E10" s="116"/>
      <c r="F10" s="116">
        <f>INPUT!L29</f>
        <v>77809</v>
      </c>
      <c r="G10" s="115"/>
      <c r="H10" s="116">
        <f>+PAGE6!C21</f>
        <v>3819992</v>
      </c>
      <c r="I10" s="116"/>
      <c r="J10" s="116">
        <f>+PAGE6!E21</f>
        <v>2797757</v>
      </c>
    </row>
    <row r="11" spans="1:10" ht="15">
      <c r="A11" s="8" t="s">
        <v>1883</v>
      </c>
      <c r="C11" s="8" t="s">
        <v>1534</v>
      </c>
      <c r="D11" s="116">
        <f>INPUT!J30</f>
        <v>250910</v>
      </c>
      <c r="E11" s="116"/>
      <c r="F11" s="116">
        <f>INPUT!L30</f>
        <v>192120</v>
      </c>
      <c r="G11" s="115"/>
      <c r="H11" s="116">
        <f>+PAGE6!C22</f>
        <v>9730720</v>
      </c>
      <c r="I11" s="116"/>
      <c r="J11" s="116">
        <f>+PAGE6!E22</f>
        <v>8232316</v>
      </c>
    </row>
    <row r="12" spans="1:10" ht="15">
      <c r="A12" s="8" t="s">
        <v>1884</v>
      </c>
      <c r="C12" s="8" t="s">
        <v>1536</v>
      </c>
      <c r="D12" s="116">
        <f>INPUT!J31</f>
        <v>321480</v>
      </c>
      <c r="E12" s="116"/>
      <c r="F12" s="116">
        <f>INPUT!L31</f>
        <v>353829</v>
      </c>
      <c r="G12" s="115"/>
      <c r="H12" s="116">
        <f>+PAGE6!C23</f>
        <v>12455277</v>
      </c>
      <c r="I12" s="116"/>
      <c r="J12" s="116">
        <f>+PAGE6!E23</f>
        <v>12744914</v>
      </c>
    </row>
    <row r="13" spans="1:10" ht="15">
      <c r="A13" s="8" t="s">
        <v>1885</v>
      </c>
      <c r="C13" s="8" t="s">
        <v>1537</v>
      </c>
      <c r="D13" s="143">
        <f>INPUT!J32</f>
        <v>257723</v>
      </c>
      <c r="E13" s="116"/>
      <c r="F13" s="143">
        <f>INPUT!L32</f>
        <v>279606</v>
      </c>
      <c r="G13" s="115"/>
      <c r="H13" s="143">
        <f>+PAGE6!C24</f>
        <v>10054783</v>
      </c>
      <c r="I13" s="116"/>
      <c r="J13" s="143">
        <f>+PAGE6!E24</f>
        <v>9619173</v>
      </c>
    </row>
    <row r="14" spans="1:10" ht="15">
      <c r="A14" s="8" t="s">
        <v>1886</v>
      </c>
      <c r="C14" s="8" t="s">
        <v>1887</v>
      </c>
      <c r="D14" s="116">
        <f>SUM(D9:D13)</f>
        <v>1422719</v>
      </c>
      <c r="E14" s="116"/>
      <c r="F14" s="116">
        <f>SUM(F9:F13)</f>
        <v>1422719</v>
      </c>
      <c r="G14" s="115"/>
      <c r="H14" s="116">
        <f>SUM(H9:H13)</f>
        <v>55019335</v>
      </c>
      <c r="I14" s="116"/>
      <c r="J14" s="116">
        <f>SUM(J9:J13)</f>
        <v>55019335.489999995</v>
      </c>
    </row>
    <row r="16" spans="1:10" ht="15">
      <c r="A16" s="8" t="s">
        <v>1888</v>
      </c>
      <c r="C16" s="8" t="s">
        <v>1532</v>
      </c>
      <c r="D16" s="116">
        <f>+PAGE7!I44*-1</f>
        <v>-295732</v>
      </c>
      <c r="E16" s="116"/>
      <c r="F16" s="116">
        <f>+PAGE7!I44*-1</f>
        <v>-295732</v>
      </c>
      <c r="G16" s="115"/>
      <c r="H16" s="116">
        <f>+PAGE7!K44*-1</f>
        <v>-12711897</v>
      </c>
      <c r="I16" s="115"/>
      <c r="J16" s="116">
        <f>+PAGE7!K44*-1</f>
        <v>-12711897</v>
      </c>
    </row>
    <row r="17" spans="1:10" ht="15">
      <c r="A17" s="8" t="s">
        <v>1889</v>
      </c>
      <c r="C17" s="8" t="s">
        <v>1533</v>
      </c>
      <c r="D17" s="116">
        <f>+PAGE7!I45*-1</f>
        <v>-39250</v>
      </c>
      <c r="E17" s="116"/>
      <c r="F17" s="116">
        <f>+PAGE7!I45*-1</f>
        <v>-39250</v>
      </c>
      <c r="G17" s="115"/>
      <c r="H17" s="116">
        <f>+PAGE7!K45*-1</f>
        <v>-1699106</v>
      </c>
      <c r="I17" s="115"/>
      <c r="J17" s="116">
        <f>+PAGE7!K45*-1</f>
        <v>-1699106</v>
      </c>
    </row>
    <row r="18" spans="1:10" ht="15">
      <c r="A18" s="8" t="s">
        <v>1890</v>
      </c>
      <c r="C18" s="8" t="s">
        <v>1534</v>
      </c>
      <c r="D18" s="116">
        <f>+PAGE7!I46*-1</f>
        <v>-109688</v>
      </c>
      <c r="E18" s="116"/>
      <c r="F18" s="116">
        <f>+PAGE7!I46*-1</f>
        <v>-109688</v>
      </c>
      <c r="G18" s="115"/>
      <c r="H18" s="116">
        <f>+PAGE7!K46*-1</f>
        <v>-4846778</v>
      </c>
      <c r="I18" s="115"/>
      <c r="J18" s="116">
        <f>+PAGE7!K46*-1</f>
        <v>-4846778</v>
      </c>
    </row>
    <row r="19" spans="1:10" ht="15">
      <c r="A19" s="8" t="s">
        <v>1892</v>
      </c>
      <c r="C19" s="8" t="s">
        <v>1536</v>
      </c>
      <c r="D19" s="116">
        <f>+PAGE7!I47*-1</f>
        <v>-170745</v>
      </c>
      <c r="E19" s="116"/>
      <c r="F19" s="116">
        <f>+PAGE7!I47*-1</f>
        <v>-170745</v>
      </c>
      <c r="G19" s="115"/>
      <c r="H19" s="116">
        <f>+PAGE7!K47*-1</f>
        <v>-6964306</v>
      </c>
      <c r="I19" s="115"/>
      <c r="J19" s="116">
        <f>+PAGE7!K47*-1</f>
        <v>-6964306</v>
      </c>
    </row>
    <row r="20" spans="1:10" ht="15">
      <c r="A20" s="8" t="s">
        <v>1893</v>
      </c>
      <c r="C20" s="8" t="s">
        <v>1537</v>
      </c>
      <c r="D20" s="143">
        <f>+PAGE7!I48*-1</f>
        <v>-128357</v>
      </c>
      <c r="E20" s="116"/>
      <c r="F20" s="143">
        <f>+PAGE7!I48*-1</f>
        <v>-128357</v>
      </c>
      <c r="G20" s="115"/>
      <c r="H20" s="143">
        <f>+PAGE7!K48*-1</f>
        <v>-5236570</v>
      </c>
      <c r="I20" s="115"/>
      <c r="J20" s="143">
        <f>+PAGE7!K48*-1</f>
        <v>-5236570</v>
      </c>
    </row>
    <row r="21" spans="1:10" ht="15">
      <c r="A21" s="141" t="s">
        <v>1894</v>
      </c>
      <c r="C21" s="8" t="s">
        <v>1887</v>
      </c>
      <c r="D21" s="116">
        <f>SUM(D16:D20)</f>
        <v>-743772</v>
      </c>
      <c r="E21" s="116"/>
      <c r="F21" s="116">
        <f>SUM(F16:F20)</f>
        <v>-743772</v>
      </c>
      <c r="G21" s="115"/>
      <c r="H21" s="116">
        <f>SUM(H16:H20)</f>
        <v>-31458657</v>
      </c>
      <c r="I21" s="115"/>
      <c r="J21" s="116">
        <f>SUM(J16:J20)</f>
        <v>-31458657</v>
      </c>
    </row>
    <row r="23" spans="1:10" ht="15">
      <c r="A23" s="8" t="s">
        <v>1895</v>
      </c>
      <c r="C23" s="8" t="s">
        <v>1532</v>
      </c>
      <c r="D23" s="179">
        <f>+D9+D16</f>
        <v>195276</v>
      </c>
      <c r="E23" s="179"/>
      <c r="F23" s="179">
        <f>+F9+F16</f>
        <v>223623</v>
      </c>
      <c r="G23" s="179"/>
      <c r="H23" s="179">
        <f>+H9+H16</f>
        <v>6246666</v>
      </c>
      <c r="I23" s="179"/>
      <c r="J23" s="179">
        <f>+J9+J16</f>
        <v>8913278.489999998</v>
      </c>
    </row>
    <row r="24" spans="1:10" ht="15">
      <c r="A24" s="8" t="s">
        <v>1896</v>
      </c>
      <c r="C24" s="8" t="s">
        <v>1533</v>
      </c>
      <c r="D24" s="179">
        <f aca="true" t="shared" si="0" ref="D24:J27">+D10+D17</f>
        <v>62348</v>
      </c>
      <c r="E24" s="179"/>
      <c r="F24" s="179">
        <f t="shared" si="0"/>
        <v>38559</v>
      </c>
      <c r="G24" s="179"/>
      <c r="H24" s="179">
        <f t="shared" si="0"/>
        <v>2120886</v>
      </c>
      <c r="I24" s="179"/>
      <c r="J24" s="179">
        <f t="shared" si="0"/>
        <v>1098651</v>
      </c>
    </row>
    <row r="25" spans="1:10" ht="15">
      <c r="A25" s="8" t="s">
        <v>1526</v>
      </c>
      <c r="C25" s="8" t="s">
        <v>1534</v>
      </c>
      <c r="D25" s="179">
        <f t="shared" si="0"/>
        <v>141222</v>
      </c>
      <c r="E25" s="179"/>
      <c r="F25" s="179">
        <f t="shared" si="0"/>
        <v>82432</v>
      </c>
      <c r="G25" s="179"/>
      <c r="H25" s="179">
        <f t="shared" si="0"/>
        <v>4883942</v>
      </c>
      <c r="I25" s="179"/>
      <c r="J25" s="179">
        <f t="shared" si="0"/>
        <v>3385538</v>
      </c>
    </row>
    <row r="26" spans="3:10" ht="15">
      <c r="C26" s="8" t="s">
        <v>1536</v>
      </c>
      <c r="D26" s="179">
        <f t="shared" si="0"/>
        <v>150735</v>
      </c>
      <c r="E26" s="179"/>
      <c r="F26" s="179">
        <f t="shared" si="0"/>
        <v>183084</v>
      </c>
      <c r="G26" s="179"/>
      <c r="H26" s="179">
        <f t="shared" si="0"/>
        <v>5490971</v>
      </c>
      <c r="I26" s="179"/>
      <c r="J26" s="179">
        <f t="shared" si="0"/>
        <v>5780608</v>
      </c>
    </row>
    <row r="27" spans="3:10" ht="15">
      <c r="C27" s="8" t="s">
        <v>1537</v>
      </c>
      <c r="D27" s="180">
        <f t="shared" si="0"/>
        <v>129366</v>
      </c>
      <c r="E27" s="179"/>
      <c r="F27" s="180">
        <f t="shared" si="0"/>
        <v>151249</v>
      </c>
      <c r="G27" s="179"/>
      <c r="H27" s="180">
        <f t="shared" si="0"/>
        <v>4818213</v>
      </c>
      <c r="I27" s="179"/>
      <c r="J27" s="180">
        <f t="shared" si="0"/>
        <v>4382603</v>
      </c>
    </row>
    <row r="28" spans="3:10" ht="15">
      <c r="C28" s="8" t="s">
        <v>1887</v>
      </c>
      <c r="D28" s="179">
        <f>SUM(D23:D27)</f>
        <v>678947</v>
      </c>
      <c r="E28" s="179"/>
      <c r="F28" s="179">
        <f>SUM(F23:F27)</f>
        <v>678947</v>
      </c>
      <c r="G28" s="179"/>
      <c r="H28" s="179">
        <f>SUM(H23:H27)</f>
        <v>23560678</v>
      </c>
      <c r="I28" s="179"/>
      <c r="J28" s="179">
        <f>SUM(J23:J27)</f>
        <v>23560678.49</v>
      </c>
    </row>
    <row r="30" ht="16.5">
      <c r="A30" s="145" t="s">
        <v>1897</v>
      </c>
    </row>
    <row r="31" spans="1:10" ht="15">
      <c r="A31" s="8" t="s">
        <v>1785</v>
      </c>
      <c r="C31" s="8" t="s">
        <v>1532</v>
      </c>
      <c r="D31" s="116">
        <f>+PAGE8!F12</f>
        <v>1076211</v>
      </c>
      <c r="E31" s="116"/>
      <c r="F31" s="116">
        <f>+PAGE8!F44</f>
        <v>0</v>
      </c>
      <c r="G31" s="116"/>
      <c r="H31" s="116">
        <f>+PAGE8!J12</f>
        <v>26090037</v>
      </c>
      <c r="I31" s="116"/>
      <c r="J31" s="116">
        <f>+PAGE8!J44</f>
        <v>0</v>
      </c>
    </row>
    <row r="32" spans="1:10" ht="15">
      <c r="A32" s="8" t="s">
        <v>1526</v>
      </c>
      <c r="C32" s="8" t="s">
        <v>1533</v>
      </c>
      <c r="D32" s="116">
        <f>+PAGE8!F18</f>
        <v>7913</v>
      </c>
      <c r="E32" s="116"/>
      <c r="F32" s="116">
        <f>+PAGE8!F45</f>
        <v>106577</v>
      </c>
      <c r="G32" s="116"/>
      <c r="H32" s="116">
        <f>+PAGE8!J18</f>
        <v>190203</v>
      </c>
      <c r="I32" s="116"/>
      <c r="J32" s="116">
        <f>+PAGE8!J45</f>
        <v>3024762</v>
      </c>
    </row>
    <row r="33" spans="1:10" ht="15">
      <c r="A33" s="8" t="s">
        <v>1898</v>
      </c>
      <c r="C33" s="8" t="s">
        <v>1534</v>
      </c>
      <c r="D33" s="116">
        <f>+PAGE8!F24</f>
        <v>34</v>
      </c>
      <c r="E33" s="116"/>
      <c r="F33" s="116">
        <f>+PAGE8!F46</f>
        <v>579542</v>
      </c>
      <c r="G33" s="116"/>
      <c r="H33" s="116">
        <f>+PAGE8!J24</f>
        <v>864</v>
      </c>
      <c r="I33" s="116"/>
      <c r="J33" s="116">
        <f>+PAGE8!J46</f>
        <v>12318168</v>
      </c>
    </row>
    <row r="34" spans="3:10" ht="15">
      <c r="C34" s="8" t="s">
        <v>1536</v>
      </c>
      <c r="D34" s="116">
        <f>+PAGE8!F30</f>
        <v>0</v>
      </c>
      <c r="E34" s="116"/>
      <c r="F34" s="116">
        <f>+PAGE8!F47</f>
        <v>1271432</v>
      </c>
      <c r="G34" s="116"/>
      <c r="H34" s="116">
        <f>+PAGE8!J30</f>
        <v>0</v>
      </c>
      <c r="I34" s="116"/>
      <c r="J34" s="116">
        <f>+PAGE8!J47</f>
        <v>32124004</v>
      </c>
    </row>
    <row r="35" spans="3:10" ht="15">
      <c r="C35" s="8" t="s">
        <v>1537</v>
      </c>
      <c r="D35" s="143">
        <f>+PAGE8!F36</f>
        <v>873393</v>
      </c>
      <c r="E35" s="116"/>
      <c r="F35" s="143">
        <f>+PAGE8!F48</f>
        <v>0</v>
      </c>
      <c r="G35" s="116"/>
      <c r="H35" s="143">
        <f>+PAGE8!J36</f>
        <v>21185830</v>
      </c>
      <c r="I35" s="116"/>
      <c r="J35" s="143">
        <f>+PAGE8!J48</f>
        <v>0</v>
      </c>
    </row>
    <row r="36" spans="3:10" ht="15">
      <c r="C36" s="8" t="s">
        <v>1887</v>
      </c>
      <c r="D36" s="116">
        <f>SUM(D31:D35)</f>
        <v>1957551</v>
      </c>
      <c r="E36" s="116"/>
      <c r="F36" s="116">
        <f>SUM(F31:F35)</f>
        <v>1957551</v>
      </c>
      <c r="G36" s="116"/>
      <c r="H36" s="116">
        <f>SUM(H31:H35)</f>
        <v>47466934</v>
      </c>
      <c r="I36" s="116"/>
      <c r="J36" s="116">
        <f>SUM(J31:J35)</f>
        <v>47466934</v>
      </c>
    </row>
    <row r="37" spans="4:10" ht="15">
      <c r="D37" s="116"/>
      <c r="E37" s="116"/>
      <c r="F37" s="116"/>
      <c r="G37" s="116"/>
      <c r="H37" s="116"/>
      <c r="I37" s="116"/>
      <c r="J37" s="116"/>
    </row>
    <row r="38" spans="1:10" ht="15">
      <c r="A38" s="8" t="s">
        <v>1899</v>
      </c>
      <c r="C38" s="8" t="s">
        <v>1532</v>
      </c>
      <c r="D38" s="116">
        <f>+'ECONOMY 151'!F12</f>
        <v>0</v>
      </c>
      <c r="E38" s="116"/>
      <c r="F38" s="116">
        <f>+'ECONOMY 151'!F44</f>
        <v>0</v>
      </c>
      <c r="G38" s="116"/>
      <c r="H38" s="116">
        <f>+PAGE9!J12</f>
        <v>0</v>
      </c>
      <c r="I38" s="116"/>
      <c r="J38" s="116">
        <f>+PAGE9!J44</f>
        <v>0</v>
      </c>
    </row>
    <row r="39" spans="1:10" ht="15">
      <c r="A39" s="8" t="s">
        <v>1526</v>
      </c>
      <c r="C39" s="8" t="s">
        <v>1533</v>
      </c>
      <c r="D39" s="116">
        <f>+'ECONOMY 151'!F18</f>
        <v>0</v>
      </c>
      <c r="E39" s="116"/>
      <c r="F39" s="116">
        <f>+'ECONOMY 151'!F45</f>
        <v>0</v>
      </c>
      <c r="G39" s="116"/>
      <c r="H39" s="116">
        <f>+PAGE9!J18</f>
        <v>0</v>
      </c>
      <c r="I39" s="116"/>
      <c r="J39" s="116">
        <f>+PAGE9!J45</f>
        <v>0</v>
      </c>
    </row>
    <row r="40" spans="1:10" ht="15">
      <c r="A40" s="8" t="s">
        <v>1900</v>
      </c>
      <c r="C40" s="8" t="s">
        <v>1534</v>
      </c>
      <c r="D40" s="116">
        <f>+'ECONOMY 151'!F24</f>
        <v>0</v>
      </c>
      <c r="E40" s="116"/>
      <c r="F40" s="116">
        <f>+'ECONOMY 151'!F46</f>
        <v>0</v>
      </c>
      <c r="G40" s="116"/>
      <c r="H40" s="116">
        <f>+PAGE9!J24</f>
        <v>0</v>
      </c>
      <c r="I40" s="116"/>
      <c r="J40" s="116">
        <f>+PAGE9!J46</f>
        <v>0</v>
      </c>
    </row>
    <row r="41" spans="3:10" ht="15">
      <c r="C41" s="8" t="s">
        <v>1536</v>
      </c>
      <c r="D41" s="116">
        <f>+'ECONOMY 151'!F30</f>
        <v>0</v>
      </c>
      <c r="E41" s="116"/>
      <c r="F41" s="116">
        <f>+'ECONOMY 151'!F47</f>
        <v>0</v>
      </c>
      <c r="G41" s="116"/>
      <c r="H41" s="116">
        <f>+PAGE9!J30</f>
        <v>0</v>
      </c>
      <c r="I41" s="116"/>
      <c r="J41" s="116">
        <f>+PAGE9!J47</f>
        <v>0</v>
      </c>
    </row>
    <row r="42" spans="3:10" ht="15">
      <c r="C42" s="8" t="s">
        <v>1537</v>
      </c>
      <c r="D42" s="143">
        <f>+'ECONOMY 151'!F36</f>
        <v>0</v>
      </c>
      <c r="E42" s="116"/>
      <c r="F42" s="143">
        <f>+'ECONOMY 151'!F48</f>
        <v>0</v>
      </c>
      <c r="G42" s="116"/>
      <c r="H42" s="143">
        <f>+PAGE9!J36</f>
        <v>0</v>
      </c>
      <c r="I42" s="116"/>
      <c r="J42" s="143">
        <f>+PAGE9!J48</f>
        <v>0</v>
      </c>
    </row>
    <row r="43" spans="3:10" ht="15">
      <c r="C43" s="8" t="s">
        <v>1887</v>
      </c>
      <c r="D43" s="116">
        <f>SUM(D38:D42)</f>
        <v>0</v>
      </c>
      <c r="E43" s="116"/>
      <c r="F43" s="116">
        <f>SUM(F38:F42)</f>
        <v>0</v>
      </c>
      <c r="G43" s="116"/>
      <c r="H43" s="116">
        <f>SUM(H38:H42)</f>
        <v>0</v>
      </c>
      <c r="I43" s="116"/>
      <c r="J43" s="116">
        <f>SUM(J38:J42)</f>
        <v>0</v>
      </c>
    </row>
    <row r="44" spans="4:10" ht="15">
      <c r="D44" s="116"/>
      <c r="E44" s="116"/>
      <c r="F44" s="116"/>
      <c r="G44" s="116"/>
      <c r="H44" s="116"/>
      <c r="I44" s="116"/>
      <c r="J44" s="116"/>
    </row>
    <row r="45" spans="1:10" ht="16.5">
      <c r="A45" s="145" t="s">
        <v>1901</v>
      </c>
      <c r="D45" s="116"/>
      <c r="E45" s="116"/>
      <c r="F45" s="116"/>
      <c r="G45" s="116"/>
      <c r="H45" s="116"/>
      <c r="I45" s="116"/>
      <c r="J45" s="116"/>
    </row>
    <row r="46" spans="1:10" ht="15">
      <c r="A46" s="141" t="s">
        <v>1902</v>
      </c>
      <c r="C46" s="8" t="s">
        <v>1532</v>
      </c>
      <c r="D46" s="116">
        <f>+D23+D31+D38+PAGE5!D16</f>
        <v>1271487</v>
      </c>
      <c r="E46" s="116"/>
      <c r="F46" s="116">
        <f>+F23+F31+F38+PAGE5!F16</f>
        <v>223696</v>
      </c>
      <c r="G46" s="116"/>
      <c r="H46" s="116">
        <f>+H23+H31+H38+PAGE5!H16</f>
        <v>32336703</v>
      </c>
      <c r="I46" s="116"/>
      <c r="J46" s="116">
        <f>+J23+J31+J38+PAGE5!J16</f>
        <v>8919268.489999998</v>
      </c>
    </row>
    <row r="47" spans="3:10" ht="15">
      <c r="C47" s="8" t="s">
        <v>1533</v>
      </c>
      <c r="D47" s="116">
        <f>+D24+D32+D39+PAGE5!D17</f>
        <v>70261</v>
      </c>
      <c r="E47" s="116"/>
      <c r="F47" s="116">
        <f>+F24+F32+F39+PAGE5!F17</f>
        <v>145143</v>
      </c>
      <c r="G47" s="116"/>
      <c r="H47" s="116">
        <f>+H24+H32+H39+PAGE5!H17</f>
        <v>2311089</v>
      </c>
      <c r="I47" s="116"/>
      <c r="J47" s="116">
        <f>+J24+J32+J39+PAGE5!J17</f>
        <v>4124407</v>
      </c>
    </row>
    <row r="48" spans="3:10" ht="15">
      <c r="C48" s="8" t="s">
        <v>1534</v>
      </c>
      <c r="D48" s="116">
        <f>+D25+D33+D40+PAGE5!D18</f>
        <v>141297</v>
      </c>
      <c r="E48" s="116"/>
      <c r="F48" s="116">
        <f>+F25+F33+F40+PAGE5!F18</f>
        <v>661988</v>
      </c>
      <c r="G48" s="116"/>
      <c r="H48" s="116">
        <f>+H25+H33+H40+PAGE5!H18</f>
        <v>4888757</v>
      </c>
      <c r="I48" s="116"/>
      <c r="J48" s="116">
        <f>+J25+J33+J40+PAGE5!J18</f>
        <v>15705391</v>
      </c>
    </row>
    <row r="49" spans="3:10" ht="15">
      <c r="C49" s="8" t="s">
        <v>1536</v>
      </c>
      <c r="D49" s="116">
        <f>+D26+D34+D41+PAGE5!D19</f>
        <v>150823</v>
      </c>
      <c r="E49" s="116"/>
      <c r="F49" s="116">
        <f>+F26+F34+F41+PAGE5!F19</f>
        <v>1454527</v>
      </c>
      <c r="G49" s="116"/>
      <c r="H49" s="116">
        <f>+H26+H34+H41+PAGE5!H19</f>
        <v>5499393.57</v>
      </c>
      <c r="I49" s="116"/>
      <c r="J49" s="116">
        <f>+J26+J34+J41+PAGE5!J19</f>
        <v>37905699</v>
      </c>
    </row>
    <row r="50" spans="3:10" ht="15">
      <c r="C50" s="8" t="s">
        <v>1537</v>
      </c>
      <c r="D50" s="143">
        <f>+D27+D35+D42+PAGE5!D20</f>
        <v>1002759</v>
      </c>
      <c r="E50" s="116"/>
      <c r="F50" s="143">
        <f>+F27+F35+F42+PAGE5!F20</f>
        <v>151273</v>
      </c>
      <c r="G50" s="116"/>
      <c r="H50" s="143">
        <f>+H27+H35+H42+PAGE5!H20</f>
        <v>26004043</v>
      </c>
      <c r="I50" s="116"/>
      <c r="J50" s="143">
        <f>+J27+J35+J42+PAGE5!J20</f>
        <v>4385221</v>
      </c>
    </row>
    <row r="51" spans="3:10" ht="15">
      <c r="C51" s="8" t="s">
        <v>1887</v>
      </c>
      <c r="D51" s="116">
        <f>SUM(D46:D50)</f>
        <v>2636627</v>
      </c>
      <c r="E51" s="116"/>
      <c r="F51" s="116">
        <f>SUM(F46:F50)</f>
        <v>2636627</v>
      </c>
      <c r="G51" s="116"/>
      <c r="H51" s="116">
        <f>SUM(H46:H50)</f>
        <v>71039985.57</v>
      </c>
      <c r="I51" s="116"/>
      <c r="J51" s="116">
        <f>SUM(J46:J50)</f>
        <v>71039986.49</v>
      </c>
    </row>
    <row r="53" ht="15">
      <c r="A53" s="8" t="s">
        <v>425</v>
      </c>
    </row>
    <row r="54" ht="15">
      <c r="A54" s="141" t="s">
        <v>426</v>
      </c>
    </row>
    <row r="55" ht="15">
      <c r="A55" s="141" t="s">
        <v>428</v>
      </c>
    </row>
    <row r="56" ht="15">
      <c r="A56" s="141" t="s">
        <v>429</v>
      </c>
    </row>
    <row r="57" ht="15">
      <c r="A57" s="141" t="s">
        <v>430</v>
      </c>
    </row>
    <row r="58" ht="15">
      <c r="A58" s="141" t="s">
        <v>433</v>
      </c>
    </row>
    <row r="59" ht="15">
      <c r="A59" s="141" t="s">
        <v>431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3" width="5.7109375" style="8" customWidth="1"/>
    <col min="4" max="4" width="12.57421875" style="8" customWidth="1"/>
    <col min="5" max="5" width="5.7109375" style="8" customWidth="1"/>
    <col min="6" max="6" width="13.57421875" style="8" customWidth="1"/>
    <col min="7" max="7" width="3.7109375" style="8" customWidth="1"/>
    <col min="8" max="8" width="16.57421875" style="8" customWidth="1"/>
    <col min="9" max="9" width="5.7109375" style="8" customWidth="1"/>
    <col min="10" max="10" width="15.7109375" style="8" customWidth="1"/>
    <col min="11" max="11" width="5.7109375" style="8" customWidth="1"/>
    <col min="12" max="16384" width="9.140625" style="8" customWidth="1"/>
  </cols>
  <sheetData>
    <row r="1" spans="1:10" ht="16.5">
      <c r="A1" s="136" t="s">
        <v>1729</v>
      </c>
      <c r="B1" s="137" t="str">
        <f>INPUT!C1</f>
        <v>February 2009</v>
      </c>
      <c r="J1" s="136" t="s">
        <v>1903</v>
      </c>
    </row>
    <row r="2" spans="1:10" ht="16.5">
      <c r="A2" s="136"/>
      <c r="B2" s="137"/>
      <c r="J2" s="136"/>
    </row>
    <row r="4" ht="16.5">
      <c r="F4" s="136" t="s">
        <v>1764</v>
      </c>
    </row>
    <row r="5" ht="16.5">
      <c r="F5" s="136" t="s">
        <v>1904</v>
      </c>
    </row>
    <row r="6" ht="16.5">
      <c r="F6" s="136" t="s">
        <v>1942</v>
      </c>
    </row>
    <row r="7" ht="16.5">
      <c r="F7" s="136" t="s">
        <v>1943</v>
      </c>
    </row>
    <row r="8" ht="16.5">
      <c r="F8" s="136"/>
    </row>
    <row r="9" ht="16.5">
      <c r="F9" s="136"/>
    </row>
    <row r="10" spans="4:10" ht="16.5">
      <c r="D10" s="138"/>
      <c r="E10" s="139" t="s">
        <v>1551</v>
      </c>
      <c r="F10" s="138"/>
      <c r="H10" s="138"/>
      <c r="I10" s="139" t="s">
        <v>1575</v>
      </c>
      <c r="J10" s="138"/>
    </row>
    <row r="11" spans="4:10" ht="16.5">
      <c r="D11" s="136" t="s">
        <v>1552</v>
      </c>
      <c r="F11" s="136" t="s">
        <v>1553</v>
      </c>
      <c r="H11" s="136" t="s">
        <v>1528</v>
      </c>
      <c r="J11" s="136" t="s">
        <v>1530</v>
      </c>
    </row>
    <row r="12" spans="4:10" ht="16.5">
      <c r="D12" s="136" t="s">
        <v>1540</v>
      </c>
      <c r="F12" s="136" t="s">
        <v>1541</v>
      </c>
      <c r="H12" s="136" t="s">
        <v>1736</v>
      </c>
      <c r="J12" s="136" t="s">
        <v>1736</v>
      </c>
    </row>
    <row r="13" spans="1:10" ht="16.5">
      <c r="A13" s="145" t="s">
        <v>1944</v>
      </c>
      <c r="D13" s="139" t="s">
        <v>1529</v>
      </c>
      <c r="F13" s="139" t="s">
        <v>1556</v>
      </c>
      <c r="H13" s="139" t="s">
        <v>1773</v>
      </c>
      <c r="J13" s="139" t="s">
        <v>1774</v>
      </c>
    </row>
    <row r="14" ht="16.5">
      <c r="J14" s="181" t="s">
        <v>1556</v>
      </c>
    </row>
    <row r="15" spans="1:10" ht="16.5">
      <c r="A15" s="145"/>
      <c r="D15" s="181"/>
      <c r="F15" s="181"/>
      <c r="H15" s="181"/>
      <c r="J15" s="181"/>
    </row>
    <row r="16" spans="1:10" ht="15">
      <c r="A16" s="8" t="s">
        <v>1998</v>
      </c>
      <c r="C16" s="8" t="s">
        <v>1532</v>
      </c>
      <c r="D16" s="116">
        <f>INPUT!J38</f>
        <v>0</v>
      </c>
      <c r="E16" s="3"/>
      <c r="F16" s="116">
        <f>INPUT!L38</f>
        <v>73</v>
      </c>
      <c r="G16" s="3"/>
      <c r="H16" s="116">
        <f>INPUT!M38</f>
        <v>0</v>
      </c>
      <c r="I16" s="116"/>
      <c r="J16" s="116">
        <f>INPUT!O38</f>
        <v>5990</v>
      </c>
    </row>
    <row r="17" spans="1:10" ht="15">
      <c r="A17" s="8" t="s">
        <v>1999</v>
      </c>
      <c r="C17" s="8" t="s">
        <v>1533</v>
      </c>
      <c r="D17" s="116">
        <f>INPUT!J39</f>
        <v>0</v>
      </c>
      <c r="E17" s="3"/>
      <c r="F17" s="116">
        <f>INPUT!L39</f>
        <v>7</v>
      </c>
      <c r="G17" s="3"/>
      <c r="H17" s="116">
        <f>INPUT!M39</f>
        <v>0</v>
      </c>
      <c r="I17" s="116"/>
      <c r="J17" s="116">
        <f>INPUT!O39</f>
        <v>994</v>
      </c>
    </row>
    <row r="18" spans="1:10" ht="15">
      <c r="A18" s="8" t="s">
        <v>2000</v>
      </c>
      <c r="C18" s="8" t="s">
        <v>1534</v>
      </c>
      <c r="D18" s="116">
        <f>INPUT!J40</f>
        <v>41</v>
      </c>
      <c r="E18" s="3"/>
      <c r="F18" s="116">
        <f>INPUT!L40</f>
        <v>14</v>
      </c>
      <c r="G18" s="3"/>
      <c r="H18" s="116">
        <f>INPUT!M40</f>
        <v>3951</v>
      </c>
      <c r="I18" s="116"/>
      <c r="J18" s="116">
        <f>INPUT!O40</f>
        <v>1685</v>
      </c>
    </row>
    <row r="19" spans="1:10" ht="15">
      <c r="A19" s="8" t="s">
        <v>2001</v>
      </c>
      <c r="C19" s="8" t="s">
        <v>1536</v>
      </c>
      <c r="D19" s="116">
        <f>INPUT!J41</f>
        <v>88</v>
      </c>
      <c r="E19" s="3"/>
      <c r="F19" s="116">
        <f>INPUT!L41</f>
        <v>11</v>
      </c>
      <c r="G19" s="3"/>
      <c r="H19" s="116">
        <f>INPUT!M41</f>
        <v>8422.57</v>
      </c>
      <c r="I19" s="116"/>
      <c r="J19" s="116">
        <f>INPUT!O41</f>
        <v>1087</v>
      </c>
    </row>
    <row r="20" spans="1:10" ht="15">
      <c r="A20" s="8" t="s">
        <v>2002</v>
      </c>
      <c r="C20" s="8" t="s">
        <v>1537</v>
      </c>
      <c r="D20" s="143">
        <f>INPUT!J42</f>
        <v>0</v>
      </c>
      <c r="E20" s="3"/>
      <c r="F20" s="143">
        <f>INPUT!L42</f>
        <v>24</v>
      </c>
      <c r="G20" s="3"/>
      <c r="H20" s="143">
        <f>INPUT!M42</f>
        <v>0</v>
      </c>
      <c r="I20" s="116"/>
      <c r="J20" s="143">
        <f>INPUT!O42</f>
        <v>2618</v>
      </c>
    </row>
    <row r="21" spans="1:10" ht="15">
      <c r="A21" s="8" t="s">
        <v>1529</v>
      </c>
      <c r="C21" s="8" t="s">
        <v>1887</v>
      </c>
      <c r="D21" s="116">
        <f>SUM(D16:D20)</f>
        <v>129</v>
      </c>
      <c r="E21" s="3"/>
      <c r="F21" s="116">
        <f>SUM(F16:F20)</f>
        <v>129</v>
      </c>
      <c r="G21" s="3"/>
      <c r="H21" s="116">
        <f>SUM(H16:H20)</f>
        <v>12373.57</v>
      </c>
      <c r="I21" s="116"/>
      <c r="J21" s="116">
        <f>SUM(J16:J20)</f>
        <v>12374</v>
      </c>
    </row>
    <row r="23" spans="1:10" ht="15">
      <c r="A23" s="8" t="s">
        <v>1745</v>
      </c>
      <c r="C23" s="8" t="s">
        <v>1532</v>
      </c>
      <c r="D23" s="116">
        <f>INPUT!P38</f>
        <v>0</v>
      </c>
      <c r="E23" s="3"/>
      <c r="F23" s="116">
        <f>INPUT!R38</f>
        <v>58</v>
      </c>
      <c r="G23" s="3"/>
      <c r="H23" s="116">
        <f>+INPUT!S38</f>
        <v>0</v>
      </c>
      <c r="I23" s="116"/>
      <c r="J23" s="116">
        <f>+INPUT!U38</f>
        <v>5136</v>
      </c>
    </row>
    <row r="24" spans="1:10" ht="15">
      <c r="A24" s="8" t="s">
        <v>1746</v>
      </c>
      <c r="C24" s="8" t="s">
        <v>1533</v>
      </c>
      <c r="D24" s="116">
        <f>INPUT!P39</f>
        <v>0</v>
      </c>
      <c r="E24" s="3"/>
      <c r="F24" s="116">
        <f>INPUT!R39</f>
        <v>9</v>
      </c>
      <c r="G24" s="3"/>
      <c r="H24" s="116">
        <f>+INPUT!S39</f>
        <v>0</v>
      </c>
      <c r="I24" s="116"/>
      <c r="J24" s="116">
        <f>+INPUT!U39</f>
        <v>832</v>
      </c>
    </row>
    <row r="25" spans="1:10" ht="15">
      <c r="A25" s="8" t="s">
        <v>1649</v>
      </c>
      <c r="C25" s="8" t="s">
        <v>1534</v>
      </c>
      <c r="D25" s="116">
        <f>INPUT!P40</f>
        <v>42</v>
      </c>
      <c r="E25" s="3"/>
      <c r="F25" s="116">
        <f>INPUT!R40</f>
        <v>13</v>
      </c>
      <c r="G25" s="3"/>
      <c r="H25" s="116">
        <f>+INPUT!S40</f>
        <v>3895</v>
      </c>
      <c r="I25" s="116"/>
      <c r="J25" s="116">
        <f>+INPUT!U40</f>
        <v>1283</v>
      </c>
    </row>
    <row r="26" spans="1:10" ht="15">
      <c r="A26" s="8" t="s">
        <v>1529</v>
      </c>
      <c r="C26" s="8" t="s">
        <v>1536</v>
      </c>
      <c r="D26" s="116">
        <f>INPUT!P41</f>
        <v>74</v>
      </c>
      <c r="E26" s="3"/>
      <c r="F26" s="116">
        <f>INPUT!R41</f>
        <v>15</v>
      </c>
      <c r="G26" s="3"/>
      <c r="H26" s="116">
        <f>+INPUT!S41</f>
        <v>6617</v>
      </c>
      <c r="I26" s="116"/>
      <c r="J26" s="116">
        <f>+INPUT!U41</f>
        <v>1071</v>
      </c>
    </row>
    <row r="27" spans="1:10" ht="15">
      <c r="A27" s="8" t="s">
        <v>1529</v>
      </c>
      <c r="C27" s="8" t="s">
        <v>1537</v>
      </c>
      <c r="D27" s="143">
        <f>INPUT!P42</f>
        <v>0</v>
      </c>
      <c r="E27" s="3"/>
      <c r="F27" s="143">
        <f>INPUT!R42</f>
        <v>21</v>
      </c>
      <c r="G27" s="3"/>
      <c r="H27" s="143">
        <f>+INPUT!S42</f>
        <v>0</v>
      </c>
      <c r="I27" s="116"/>
      <c r="J27" s="143">
        <f>+INPUT!U42</f>
        <v>2190</v>
      </c>
    </row>
    <row r="28" spans="1:10" ht="15">
      <c r="A28" s="8" t="s">
        <v>1529</v>
      </c>
      <c r="C28" s="8" t="s">
        <v>1887</v>
      </c>
      <c r="D28" s="116">
        <f>SUM(D23:D27)</f>
        <v>116</v>
      </c>
      <c r="E28" s="3"/>
      <c r="F28" s="116">
        <f>SUM(F23:F27)</f>
        <v>116</v>
      </c>
      <c r="G28" s="3"/>
      <c r="H28" s="116">
        <f>SUM(H23:H27)</f>
        <v>10512</v>
      </c>
      <c r="I28" s="116"/>
      <c r="J28" s="116">
        <f>SUM(J23:J27)</f>
        <v>10512</v>
      </c>
    </row>
    <row r="29" spans="4:10" ht="15">
      <c r="D29" s="116"/>
      <c r="E29" s="3"/>
      <c r="F29" s="116"/>
      <c r="G29" s="3"/>
      <c r="H29" s="116"/>
      <c r="I29" s="116"/>
      <c r="J29" s="116"/>
    </row>
    <row r="30" spans="1:11" ht="15">
      <c r="A30" s="8" t="s">
        <v>2003</v>
      </c>
      <c r="C30" s="8" t="s">
        <v>1532</v>
      </c>
      <c r="D30" s="116">
        <f>+D16-D23</f>
        <v>0</v>
      </c>
      <c r="E30" s="3"/>
      <c r="F30" s="116">
        <f>+F16-F23</f>
        <v>15</v>
      </c>
      <c r="G30" s="3"/>
      <c r="H30" s="116">
        <f>+H16-H23</f>
        <v>0</v>
      </c>
      <c r="I30" s="116"/>
      <c r="J30" s="116">
        <f>+J16-J23</f>
        <v>854</v>
      </c>
      <c r="K30" s="173"/>
    </row>
    <row r="31" spans="1:10" ht="15">
      <c r="A31" s="8" t="s">
        <v>1749</v>
      </c>
      <c r="C31" s="8" t="s">
        <v>1533</v>
      </c>
      <c r="D31" s="116">
        <f>+D17-D24</f>
        <v>0</v>
      </c>
      <c r="E31" s="3"/>
      <c r="F31" s="116">
        <f>+F17-F24</f>
        <v>-2</v>
      </c>
      <c r="G31" s="3"/>
      <c r="H31" s="116">
        <f>+H17-H24</f>
        <v>0</v>
      </c>
      <c r="I31" s="116"/>
      <c r="J31" s="116">
        <f>+J17-J24</f>
        <v>162</v>
      </c>
    </row>
    <row r="32" spans="1:11" ht="15">
      <c r="A32" s="8" t="s">
        <v>1750</v>
      </c>
      <c r="C32" s="8" t="s">
        <v>1534</v>
      </c>
      <c r="D32" s="116">
        <f>+D18-D25</f>
        <v>-1</v>
      </c>
      <c r="E32" s="3"/>
      <c r="F32" s="116">
        <f>+F18-F25</f>
        <v>1</v>
      </c>
      <c r="G32" s="3"/>
      <c r="H32" s="116">
        <f>+H18-H25</f>
        <v>56</v>
      </c>
      <c r="I32" s="116"/>
      <c r="J32" s="116">
        <f>+J18-J25</f>
        <v>402</v>
      </c>
      <c r="K32" s="173"/>
    </row>
    <row r="33" spans="1:10" ht="15">
      <c r="A33" s="8" t="s">
        <v>1529</v>
      </c>
      <c r="C33" s="8" t="s">
        <v>1536</v>
      </c>
      <c r="D33" s="116">
        <f>+D19-D26</f>
        <v>14</v>
      </c>
      <c r="E33" s="3"/>
      <c r="F33" s="116">
        <f>+F19-F26</f>
        <v>-4</v>
      </c>
      <c r="G33" s="3"/>
      <c r="H33" s="116">
        <f>+H19-H26</f>
        <v>1805.5699999999997</v>
      </c>
      <c r="I33" s="116"/>
      <c r="J33" s="116">
        <f>+J19-J26</f>
        <v>16</v>
      </c>
    </row>
    <row r="34" spans="1:11" ht="15">
      <c r="A34" s="8" t="s">
        <v>1529</v>
      </c>
      <c r="C34" s="8" t="s">
        <v>1537</v>
      </c>
      <c r="D34" s="143">
        <f>+D20-D27</f>
        <v>0</v>
      </c>
      <c r="E34" s="3"/>
      <c r="F34" s="143">
        <f>+F20-F27</f>
        <v>3</v>
      </c>
      <c r="G34" s="3"/>
      <c r="H34" s="143">
        <f>+H20-H27</f>
        <v>0</v>
      </c>
      <c r="I34" s="116"/>
      <c r="J34" s="143">
        <f>+J20-J27</f>
        <v>428</v>
      </c>
      <c r="K34" s="173"/>
    </row>
    <row r="35" spans="1:10" ht="15">
      <c r="A35" s="8" t="s">
        <v>1529</v>
      </c>
      <c r="C35" s="8" t="s">
        <v>1887</v>
      </c>
      <c r="D35" s="116">
        <f>SUM(D30:D34)</f>
        <v>13</v>
      </c>
      <c r="E35" s="3"/>
      <c r="F35" s="116">
        <f>SUM(F30:F34)</f>
        <v>13</v>
      </c>
      <c r="G35" s="3"/>
      <c r="H35" s="116">
        <f>SUM(H30:H34)</f>
        <v>1861.5699999999997</v>
      </c>
      <c r="I35" s="116"/>
      <c r="J35" s="116">
        <f>SUM(J30:J34)</f>
        <v>1862</v>
      </c>
    </row>
    <row r="37" ht="16.5">
      <c r="A37" s="145"/>
    </row>
    <row r="39" ht="16.5">
      <c r="A39" s="145"/>
    </row>
    <row r="40" ht="15">
      <c r="A40" s="141"/>
    </row>
    <row r="47" ht="15">
      <c r="A47" s="141" t="s">
        <v>297</v>
      </c>
    </row>
    <row r="48" ht="15">
      <c r="A48" s="691" t="s">
        <v>296</v>
      </c>
    </row>
  </sheetData>
  <printOptions/>
  <pageMargins left="0.25" right="0.25" top="0.25" bottom="0.25" header="0" footer="0"/>
  <pageSetup fitToHeight="1" fitToWidth="1" horizontalDpi="600" verticalDpi="6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8" customWidth="1"/>
    <col min="2" max="2" width="2.7109375" style="8" customWidth="1"/>
    <col min="3" max="3" width="22.421875" style="8" customWidth="1"/>
    <col min="4" max="4" width="2.7109375" style="8" customWidth="1"/>
    <col min="5" max="5" width="24.8515625" style="8" customWidth="1"/>
    <col min="6" max="6" width="2.7109375" style="8" customWidth="1"/>
    <col min="7" max="7" width="20.421875" style="8" customWidth="1"/>
    <col min="8" max="8" width="2.7109375" style="8" customWidth="1"/>
    <col min="9" max="9" width="24.421875" style="8" customWidth="1"/>
    <col min="10" max="16384" width="9.140625" style="8" customWidth="1"/>
  </cols>
  <sheetData>
    <row r="1" spans="1:9" ht="16.5">
      <c r="A1" s="145" t="s">
        <v>1729</v>
      </c>
      <c r="B1" s="137" t="str">
        <f>INPUT!C1</f>
        <v>February 2009</v>
      </c>
      <c r="I1" s="136" t="s">
        <v>2004</v>
      </c>
    </row>
    <row r="5" ht="16.5">
      <c r="E5" s="136" t="s">
        <v>2005</v>
      </c>
    </row>
    <row r="6" ht="16.5">
      <c r="E6" s="136" t="s">
        <v>2006</v>
      </c>
    </row>
    <row r="7" ht="16.5">
      <c r="E7" s="136" t="s">
        <v>2007</v>
      </c>
    </row>
    <row r="10" ht="16.5">
      <c r="A10" s="182" t="s">
        <v>2008</v>
      </c>
    </row>
    <row r="11" ht="16.5">
      <c r="A11" s="183" t="s">
        <v>2009</v>
      </c>
    </row>
    <row r="12" ht="16.5">
      <c r="A12" s="183"/>
    </row>
    <row r="13" ht="16.5">
      <c r="A13" s="183"/>
    </row>
    <row r="14" ht="15">
      <c r="G14" s="184" t="s">
        <v>2010</v>
      </c>
    </row>
    <row r="15" spans="3:9" ht="16.5">
      <c r="C15" s="171" t="s">
        <v>1878</v>
      </c>
      <c r="E15" s="136" t="s">
        <v>2011</v>
      </c>
      <c r="G15" s="184" t="s">
        <v>2012</v>
      </c>
      <c r="I15" s="136" t="s">
        <v>2013</v>
      </c>
    </row>
    <row r="16" spans="3:9" ht="16.5">
      <c r="C16" s="178" t="s">
        <v>419</v>
      </c>
      <c r="E16" s="136" t="s">
        <v>1999</v>
      </c>
      <c r="G16" s="184" t="s">
        <v>1592</v>
      </c>
      <c r="I16" s="136" t="s">
        <v>2014</v>
      </c>
    </row>
    <row r="17" spans="3:9" ht="16.5">
      <c r="C17" s="172" t="s">
        <v>1731</v>
      </c>
      <c r="E17" s="140" t="s">
        <v>1731</v>
      </c>
      <c r="G17" s="185" t="s">
        <v>1731</v>
      </c>
      <c r="I17" s="140" t="s">
        <v>1731</v>
      </c>
    </row>
    <row r="18" spans="3:9" ht="15">
      <c r="C18" s="173" t="s">
        <v>1777</v>
      </c>
      <c r="D18" s="174"/>
      <c r="E18" s="173" t="s">
        <v>1778</v>
      </c>
      <c r="F18" s="174"/>
      <c r="G18" s="173" t="s">
        <v>1779</v>
      </c>
      <c r="H18" s="174"/>
      <c r="I18" s="173" t="s">
        <v>2015</v>
      </c>
    </row>
    <row r="20" spans="1:9" ht="15">
      <c r="A20" s="8" t="s">
        <v>1532</v>
      </c>
      <c r="C20" s="115">
        <f>ROUND($E$25*INPUT!C5,0)</f>
        <v>18958563</v>
      </c>
      <c r="D20" s="115"/>
      <c r="E20" s="116">
        <f>+PAGE11!I43</f>
        <v>21625175.49</v>
      </c>
      <c r="F20" s="115"/>
      <c r="G20" s="116">
        <f>INPUT!J49</f>
        <v>23121593</v>
      </c>
      <c r="H20" s="115"/>
      <c r="I20" s="115">
        <f>+G20-C20</f>
        <v>4163030</v>
      </c>
    </row>
    <row r="21" spans="1:9" ht="15">
      <c r="A21" s="8" t="s">
        <v>1533</v>
      </c>
      <c r="C21" s="115">
        <f>ROUND($E$25*INPUT!C6,0)</f>
        <v>3819992</v>
      </c>
      <c r="D21" s="115"/>
      <c r="E21" s="116">
        <f>+PAGE11!I44</f>
        <v>2797757</v>
      </c>
      <c r="F21" s="115"/>
      <c r="G21" s="116">
        <f>INPUT!J50</f>
        <v>4658816</v>
      </c>
      <c r="H21" s="115"/>
      <c r="I21" s="115">
        <f>+G21-C21</f>
        <v>838824</v>
      </c>
    </row>
    <row r="22" spans="1:9" ht="15">
      <c r="A22" s="8" t="s">
        <v>1534</v>
      </c>
      <c r="C22" s="115">
        <f>ROUND($E$25*INPUT!C7,0)</f>
        <v>9730720</v>
      </c>
      <c r="D22" s="115"/>
      <c r="E22" s="116">
        <f>+PAGE11!I45</f>
        <v>8232316</v>
      </c>
      <c r="F22" s="115"/>
      <c r="G22" s="116">
        <f>INPUT!J51</f>
        <v>11867446</v>
      </c>
      <c r="H22" s="115"/>
      <c r="I22" s="115">
        <f>+G22-C22</f>
        <v>2136726</v>
      </c>
    </row>
    <row r="23" spans="1:9" ht="15">
      <c r="A23" s="8" t="s">
        <v>1536</v>
      </c>
      <c r="C23" s="115">
        <f>ROUND($E$25*INPUT!C8,0)</f>
        <v>12455277</v>
      </c>
      <c r="D23" s="115"/>
      <c r="E23" s="116">
        <f>+PAGE11!I46</f>
        <v>12744914</v>
      </c>
      <c r="F23" s="115"/>
      <c r="G23" s="116">
        <f>INPUT!J52</f>
        <v>15190263</v>
      </c>
      <c r="H23" s="115"/>
      <c r="I23" s="115">
        <f>+G23-C23</f>
        <v>2734986</v>
      </c>
    </row>
    <row r="24" spans="1:9" ht="15">
      <c r="A24" s="8" t="s">
        <v>1537</v>
      </c>
      <c r="C24" s="144">
        <f>ROUND($E$25*INPUT!C9,0)-1</f>
        <v>10054783</v>
      </c>
      <c r="D24" s="115"/>
      <c r="E24" s="143">
        <f>+PAGE11!I47</f>
        <v>9619173</v>
      </c>
      <c r="F24" s="115"/>
      <c r="G24" s="143">
        <f>INPUT!J53</f>
        <v>12262667</v>
      </c>
      <c r="H24" s="115"/>
      <c r="I24" s="144">
        <f>+G24-C24</f>
        <v>2207884</v>
      </c>
    </row>
    <row r="25" spans="1:9" ht="15">
      <c r="A25" s="8" t="s">
        <v>1642</v>
      </c>
      <c r="C25" s="115">
        <f>SUM(C20:C24)</f>
        <v>55019335</v>
      </c>
      <c r="D25" s="115"/>
      <c r="E25" s="116">
        <f>SUM(E20:E24)</f>
        <v>55019335.489999995</v>
      </c>
      <c r="F25" s="115"/>
      <c r="G25" s="116">
        <f>SUM(G20:G24)</f>
        <v>67100785</v>
      </c>
      <c r="H25" s="115"/>
      <c r="I25" s="115">
        <f>SUM(I20:I24)</f>
        <v>12081450</v>
      </c>
    </row>
    <row r="29" ht="15">
      <c r="C29" s="225"/>
    </row>
    <row r="30" spans="3:6" ht="16.5">
      <c r="C30" s="225"/>
      <c r="D30" s="136"/>
      <c r="E30" s="184" t="s">
        <v>2016</v>
      </c>
      <c r="F30" s="136"/>
    </row>
    <row r="31" spans="3:7" ht="16.5">
      <c r="C31" s="136" t="s">
        <v>2017</v>
      </c>
      <c r="D31" s="136"/>
      <c r="E31" s="184" t="s">
        <v>2018</v>
      </c>
      <c r="F31" s="136"/>
      <c r="G31" s="142" t="s">
        <v>2019</v>
      </c>
    </row>
    <row r="32" spans="3:7" ht="16.5">
      <c r="C32" s="136" t="s">
        <v>2020</v>
      </c>
      <c r="D32" s="136"/>
      <c r="E32" s="186" t="s">
        <v>2021</v>
      </c>
      <c r="F32" s="136"/>
      <c r="G32" s="136" t="s">
        <v>1736</v>
      </c>
    </row>
    <row r="33" spans="3:7" ht="16.5">
      <c r="C33" s="136" t="s">
        <v>2022</v>
      </c>
      <c r="D33" s="136"/>
      <c r="E33" s="184" t="s">
        <v>2023</v>
      </c>
      <c r="F33" s="136"/>
      <c r="G33" s="136" t="s">
        <v>1787</v>
      </c>
    </row>
    <row r="34" spans="3:7" ht="16.5">
      <c r="C34" s="140" t="s">
        <v>1731</v>
      </c>
      <c r="D34" s="136"/>
      <c r="E34" s="185" t="s">
        <v>1731</v>
      </c>
      <c r="F34" s="136"/>
      <c r="G34" s="139" t="s">
        <v>2024</v>
      </c>
    </row>
    <row r="35" spans="3:7" ht="15">
      <c r="C35" s="173" t="s">
        <v>1782</v>
      </c>
      <c r="D35" s="174"/>
      <c r="E35" s="173" t="s">
        <v>2025</v>
      </c>
      <c r="F35" s="174"/>
      <c r="G35" s="173" t="s">
        <v>1783</v>
      </c>
    </row>
    <row r="37" spans="1:7" ht="15">
      <c r="A37" s="8" t="s">
        <v>1532</v>
      </c>
      <c r="C37" s="116">
        <f>+INPUT!L49</f>
        <v>0</v>
      </c>
      <c r="D37" s="115"/>
      <c r="E37" s="115">
        <f>+I20-C37</f>
        <v>4163030</v>
      </c>
      <c r="G37" s="175">
        <f>INPUT!C5</f>
        <v>0.34458</v>
      </c>
    </row>
    <row r="38" spans="1:7" ht="15">
      <c r="A38" s="8" t="s">
        <v>1533</v>
      </c>
      <c r="C38" s="116">
        <f>+INPUT!L50</f>
        <v>0</v>
      </c>
      <c r="D38" s="115"/>
      <c r="E38" s="115">
        <f>+I21-C38</f>
        <v>838824</v>
      </c>
      <c r="G38" s="175">
        <f>INPUT!C6</f>
        <v>0.06943</v>
      </c>
    </row>
    <row r="39" spans="1:7" ht="15">
      <c r="A39" s="8" t="s">
        <v>1534</v>
      </c>
      <c r="C39" s="116">
        <f>+INPUT!L51</f>
        <v>0</v>
      </c>
      <c r="D39" s="115"/>
      <c r="E39" s="115">
        <f>+I22-C39</f>
        <v>2136726</v>
      </c>
      <c r="G39" s="175">
        <f>INPUT!C7</f>
        <v>0.17686</v>
      </c>
    </row>
    <row r="40" spans="1:7" ht="15">
      <c r="A40" s="8" t="s">
        <v>1536</v>
      </c>
      <c r="C40" s="116">
        <f>+INPUT!L52</f>
        <v>0</v>
      </c>
      <c r="D40" s="115"/>
      <c r="E40" s="115">
        <f>+I23-C40</f>
        <v>2734986</v>
      </c>
      <c r="G40" s="175">
        <f>INPUT!C8</f>
        <v>0.22638</v>
      </c>
    </row>
    <row r="41" spans="1:7" ht="15">
      <c r="A41" s="8" t="s">
        <v>1537</v>
      </c>
      <c r="C41" s="143">
        <f>+INPUT!L53</f>
        <v>0</v>
      </c>
      <c r="D41" s="115"/>
      <c r="E41" s="144">
        <f>+I24-C41</f>
        <v>2207884</v>
      </c>
      <c r="G41" s="176">
        <f>INPUT!C9</f>
        <v>0.18275</v>
      </c>
    </row>
    <row r="42" spans="1:7" ht="15">
      <c r="A42" s="8" t="s">
        <v>1642</v>
      </c>
      <c r="C42" s="116">
        <f>SUM(C37:C41)</f>
        <v>0</v>
      </c>
      <c r="D42" s="115"/>
      <c r="E42" s="115">
        <f>SUM(E37:E41)</f>
        <v>12081450</v>
      </c>
      <c r="G42" s="175">
        <f>SUM(G37:G41)</f>
        <v>1</v>
      </c>
    </row>
    <row r="44" ht="16.5">
      <c r="A44" s="145" t="s">
        <v>1648</v>
      </c>
    </row>
    <row r="46" ht="15">
      <c r="A46" s="141" t="s">
        <v>840</v>
      </c>
    </row>
    <row r="47" ht="15">
      <c r="A47" s="141" t="s">
        <v>830</v>
      </c>
    </row>
    <row r="48" ht="15">
      <c r="A48" s="690" t="s">
        <v>800</v>
      </c>
    </row>
    <row r="50" ht="15">
      <c r="A50" s="141" t="s">
        <v>831</v>
      </c>
    </row>
    <row r="55" ht="15">
      <c r="A55" s="141" t="s">
        <v>829</v>
      </c>
    </row>
    <row r="57" ht="15">
      <c r="A57" s="141"/>
    </row>
    <row r="58" ht="15">
      <c r="A58" s="141"/>
    </row>
    <row r="59" ht="15">
      <c r="A59" s="141"/>
    </row>
    <row r="60" ht="15">
      <c r="A60" s="141"/>
    </row>
  </sheetData>
  <printOptions horizontalCentered="1"/>
  <pageMargins left="0.25" right="0.25" top="0.25" bottom="0.25" header="0" footer="0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51"/>
  <sheetViews>
    <sheetView workbookViewId="0" topLeftCell="A1">
      <selection activeCell="A2" sqref="A2"/>
    </sheetView>
  </sheetViews>
  <sheetFormatPr defaultColWidth="9.140625" defaultRowHeight="12.75"/>
  <cols>
    <col min="1" max="1" width="16.28125" style="0" bestFit="1" customWidth="1"/>
    <col min="2" max="2" width="14.8515625" style="0" customWidth="1"/>
    <col min="3" max="3" width="2.28125" style="0" bestFit="1" customWidth="1"/>
    <col min="4" max="4" width="14.8515625" style="0" customWidth="1"/>
    <col min="5" max="5" width="2.421875" style="0" bestFit="1" customWidth="1"/>
    <col min="6" max="6" width="14.8515625" style="0" customWidth="1"/>
    <col min="7" max="7" width="1.7109375" style="0" customWidth="1"/>
    <col min="8" max="8" width="17.140625" style="0" bestFit="1" customWidth="1"/>
    <col min="9" max="9" width="2.28125" style="0" bestFit="1" customWidth="1"/>
    <col min="10" max="10" width="15.140625" style="0" bestFit="1" customWidth="1"/>
    <col min="11" max="11" width="2.28125" style="0" bestFit="1" customWidth="1"/>
    <col min="12" max="12" width="18.7109375" style="0" bestFit="1" customWidth="1"/>
    <col min="13" max="13" width="2.140625" style="0" customWidth="1"/>
    <col min="14" max="14" width="17.140625" style="0" customWidth="1"/>
    <col min="15" max="15" width="2.140625" style="0" customWidth="1"/>
    <col min="16" max="16" width="17.140625" style="0" customWidth="1"/>
    <col min="17" max="17" width="2.140625" style="0" customWidth="1"/>
    <col min="18" max="18" width="21.7109375" style="0" bestFit="1" customWidth="1"/>
    <col min="19" max="19" width="1.7109375" style="0" customWidth="1"/>
    <col min="20" max="20" width="29.28125" style="0" customWidth="1"/>
    <col min="21" max="21" width="3.57421875" style="0" customWidth="1"/>
    <col min="22" max="22" width="16.140625" style="0" bestFit="1" customWidth="1"/>
    <col min="23" max="23" width="17.7109375" style="0" bestFit="1" customWidth="1"/>
  </cols>
  <sheetData>
    <row r="1" spans="1:12" s="8" customFormat="1" ht="15">
      <c r="A1" s="278" t="s">
        <v>1729</v>
      </c>
      <c r="B1" s="867" t="str">
        <f>INPUT!C1</f>
        <v>February 2009</v>
      </c>
      <c r="C1" s="169"/>
      <c r="D1" s="169"/>
      <c r="E1" s="169"/>
      <c r="F1" s="169"/>
      <c r="G1" s="169"/>
      <c r="H1" s="169"/>
      <c r="L1" s="184" t="s">
        <v>606</v>
      </c>
    </row>
    <row r="2" spans="1:18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6.5">
      <c r="A4" s="850" t="s">
        <v>609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"/>
      <c r="N4" s="8"/>
      <c r="O4" s="8"/>
      <c r="P4" s="8"/>
      <c r="Q4" s="8"/>
      <c r="R4" s="8"/>
    </row>
    <row r="5" spans="1:18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0" ht="16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T6" s="181"/>
    </row>
    <row r="7" spans="1:20" ht="16.5">
      <c r="A7" s="8"/>
      <c r="B7" s="866" t="s">
        <v>1987</v>
      </c>
      <c r="C7" s="866"/>
      <c r="D7" s="866"/>
      <c r="E7" s="866"/>
      <c r="F7" s="866"/>
      <c r="G7" s="8"/>
      <c r="H7" s="200" t="s">
        <v>638</v>
      </c>
      <c r="M7" s="8"/>
      <c r="N7" s="8"/>
      <c r="O7" s="8"/>
      <c r="P7" s="8"/>
      <c r="Q7" s="8"/>
      <c r="T7" s="181"/>
    </row>
    <row r="8" spans="1:20" ht="15">
      <c r="A8" s="8"/>
      <c r="B8" s="8"/>
      <c r="C8" s="8"/>
      <c r="D8" s="8"/>
      <c r="E8" s="8"/>
      <c r="F8" s="8"/>
      <c r="G8" s="8"/>
      <c r="H8" s="8"/>
      <c r="M8" s="8"/>
      <c r="N8" s="8"/>
      <c r="O8" s="8"/>
      <c r="P8" s="8"/>
      <c r="Q8" s="8"/>
      <c r="T8" s="387"/>
    </row>
    <row r="9" spans="1:20" ht="16.5">
      <c r="A9" s="8" t="s">
        <v>610</v>
      </c>
      <c r="B9" s="618">
        <f>'APPVIII PG 7'!E31</f>
        <v>0.9757536826577615</v>
      </c>
      <c r="C9" s="174" t="s">
        <v>611</v>
      </c>
      <c r="D9" s="116">
        <f>'APPVIII PG 7'!E25</f>
        <v>-419884</v>
      </c>
      <c r="E9" s="174" t="s">
        <v>605</v>
      </c>
      <c r="F9" s="284">
        <f>ROUND(B9*D9,0)-1</f>
        <v>-409704</v>
      </c>
      <c r="H9" s="284">
        <f>F9</f>
        <v>-409704</v>
      </c>
      <c r="M9" s="8"/>
      <c r="N9" s="8"/>
      <c r="O9" s="8"/>
      <c r="P9" s="8"/>
      <c r="Q9" s="8"/>
      <c r="T9" s="619"/>
    </row>
    <row r="10" spans="1:20" ht="15">
      <c r="A10" s="8"/>
      <c r="B10" s="8"/>
      <c r="C10" s="174"/>
      <c r="D10" s="8"/>
      <c r="E10" s="174"/>
      <c r="F10" s="285"/>
      <c r="H10" s="279"/>
      <c r="M10" s="8"/>
      <c r="N10" s="8"/>
      <c r="O10" s="8"/>
      <c r="P10" s="8"/>
      <c r="Q10" s="8"/>
      <c r="T10" s="387"/>
    </row>
    <row r="11" spans="1:20" ht="16.5">
      <c r="A11" s="8" t="s">
        <v>604</v>
      </c>
      <c r="B11" s="618">
        <f>'APPVIII PG 7'!E32</f>
        <v>0.02424631734223843</v>
      </c>
      <c r="C11" s="174" t="s">
        <v>611</v>
      </c>
      <c r="D11" s="116">
        <f>'APPVIII PG 7'!E25</f>
        <v>-419884</v>
      </c>
      <c r="E11" s="174" t="s">
        <v>605</v>
      </c>
      <c r="F11" s="284">
        <f>ROUND(B11*D11,0)+1</f>
        <v>-10180</v>
      </c>
      <c r="H11" s="396">
        <f>F11</f>
        <v>-10180</v>
      </c>
      <c r="M11" s="8"/>
      <c r="N11" s="8"/>
      <c r="O11" s="8"/>
      <c r="P11" s="8"/>
      <c r="Q11" s="8"/>
      <c r="T11" s="619"/>
    </row>
    <row r="12" spans="1:20" ht="16.5">
      <c r="A12" s="8"/>
      <c r="B12" s="282"/>
      <c r="C12" s="174"/>
      <c r="D12" s="115"/>
      <c r="E12" s="174"/>
      <c r="F12" s="283"/>
      <c r="G12" s="8"/>
      <c r="H12" s="285">
        <f>SUM(H9:H11)</f>
        <v>-419884</v>
      </c>
      <c r="M12" s="8"/>
      <c r="N12" s="8"/>
      <c r="O12" s="8"/>
      <c r="P12" s="8"/>
      <c r="Q12" s="8"/>
      <c r="T12" s="619"/>
    </row>
    <row r="13" spans="1:18" ht="16.5">
      <c r="A13" s="8"/>
      <c r="B13" s="8"/>
      <c r="C13" s="8"/>
      <c r="D13" s="8"/>
      <c r="E13" s="8"/>
      <c r="F13" s="8"/>
      <c r="G13" s="8"/>
      <c r="H13" s="282"/>
      <c r="I13" s="174"/>
      <c r="J13" s="115"/>
      <c r="K13" s="174"/>
      <c r="L13" s="283"/>
      <c r="M13" s="8"/>
      <c r="N13" s="8"/>
      <c r="O13" s="8"/>
      <c r="P13" s="8"/>
      <c r="Q13" s="8"/>
      <c r="R13" s="8"/>
    </row>
    <row r="14" spans="1:18" ht="15">
      <c r="A14" s="8"/>
      <c r="B14" s="8"/>
      <c r="C14" s="8"/>
      <c r="D14" s="8"/>
      <c r="E14" s="8"/>
      <c r="F14" s="8"/>
      <c r="G14" s="8"/>
      <c r="H14" s="282"/>
      <c r="I14" s="8"/>
      <c r="J14" s="115"/>
      <c r="K14" s="8"/>
      <c r="L14" s="279"/>
      <c r="M14" s="8"/>
      <c r="N14" s="8"/>
      <c r="O14" s="8"/>
      <c r="P14" s="8"/>
      <c r="Q14" s="8"/>
      <c r="R14" s="8"/>
    </row>
    <row r="15" spans="1:18" ht="15">
      <c r="A15" s="8"/>
      <c r="B15" s="177" t="s">
        <v>1988</v>
      </c>
      <c r="C15" s="8"/>
      <c r="D15" s="8"/>
      <c r="E15" s="8"/>
      <c r="G15" s="8"/>
      <c r="H15" s="282"/>
      <c r="I15" s="8"/>
      <c r="J15" s="285">
        <f>'APPVIII PG 7'!E25</f>
        <v>-419884</v>
      </c>
      <c r="K15" s="8"/>
      <c r="L15" s="290"/>
      <c r="M15" s="141"/>
      <c r="N15" s="141"/>
      <c r="O15" s="141"/>
      <c r="P15" s="141"/>
      <c r="Q15" s="141"/>
      <c r="R15" s="8"/>
    </row>
    <row r="16" spans="1:18" ht="15">
      <c r="A16" s="8"/>
      <c r="B16" s="8" t="s">
        <v>140</v>
      </c>
      <c r="C16" s="8"/>
      <c r="D16" s="8"/>
      <c r="E16" s="8"/>
      <c r="G16" s="8"/>
      <c r="H16" s="282"/>
      <c r="I16" s="8"/>
      <c r="J16" s="619">
        <f>H9</f>
        <v>-409704</v>
      </c>
      <c r="K16" s="8"/>
      <c r="M16" s="141"/>
      <c r="N16" s="141"/>
      <c r="O16" s="141"/>
      <c r="P16" s="141"/>
      <c r="Q16" s="141"/>
      <c r="R16" s="8"/>
    </row>
    <row r="17" spans="1:18" ht="15">
      <c r="A17" s="8"/>
      <c r="B17" s="8" t="s">
        <v>1990</v>
      </c>
      <c r="C17" s="8"/>
      <c r="D17" s="8"/>
      <c r="E17" s="8"/>
      <c r="G17" s="8"/>
      <c r="H17" s="282"/>
      <c r="I17" s="8"/>
      <c r="J17" s="619">
        <f>'APPVIII PG 7'!G16+'APPVIII PG 7'!G20+'APPVIII PG 7'!G23</f>
        <v>-10180</v>
      </c>
      <c r="K17" s="8"/>
      <c r="M17" s="141"/>
      <c r="N17" s="141"/>
      <c r="O17" s="141"/>
      <c r="P17" s="141"/>
      <c r="Q17" s="141"/>
      <c r="R17" s="8"/>
    </row>
    <row r="18" spans="1:18" ht="15">
      <c r="A18" s="8"/>
      <c r="B18" s="8" t="s">
        <v>1989</v>
      </c>
      <c r="C18" s="8"/>
      <c r="D18" s="8"/>
      <c r="E18" s="8"/>
      <c r="G18" s="8"/>
      <c r="H18" s="282"/>
      <c r="I18" s="8"/>
      <c r="J18" s="397">
        <f>'APPVIII PG 7'!H16</f>
        <v>0</v>
      </c>
      <c r="K18" s="8"/>
      <c r="M18" s="141"/>
      <c r="N18" s="141"/>
      <c r="O18" s="141"/>
      <c r="P18" s="141"/>
      <c r="Q18" s="141"/>
      <c r="R18" s="8"/>
    </row>
    <row r="19" spans="1:18" ht="15">
      <c r="A19" s="8"/>
      <c r="B19" s="8"/>
      <c r="C19" s="8"/>
      <c r="D19" s="8"/>
      <c r="E19" s="8"/>
      <c r="G19" s="8"/>
      <c r="H19" s="282"/>
      <c r="I19" s="8"/>
      <c r="J19" s="619"/>
      <c r="K19" s="8"/>
      <c r="M19" s="141"/>
      <c r="N19" s="141"/>
      <c r="O19" s="141"/>
      <c r="P19" s="141"/>
      <c r="Q19" s="141"/>
      <c r="R19" s="8"/>
    </row>
    <row r="20" spans="1:18" ht="16.5">
      <c r="A20" s="8"/>
      <c r="B20" s="3" t="str">
        <f>"TOTAL DOLLAR TRANSFER FROM "&amp;(IF(J17&gt;0,"EASTERN AEP TO WESTERN AEP:","WESTERN AEP TO EASTERN AEP:"))</f>
        <v>TOTAL DOLLAR TRANSFER FROM WESTERN AEP TO EASTERN AEP:</v>
      </c>
      <c r="C20" s="8"/>
      <c r="E20" s="8"/>
      <c r="F20" s="8"/>
      <c r="G20" s="8"/>
      <c r="H20" s="8"/>
      <c r="I20" s="8"/>
      <c r="J20" s="285">
        <f>ABS(J17-J18)</f>
        <v>10180</v>
      </c>
      <c r="K20" s="8"/>
      <c r="M20" s="8"/>
      <c r="N20" s="8"/>
      <c r="O20" s="8"/>
      <c r="P20" s="8"/>
      <c r="Q20" s="8"/>
      <c r="R20" s="145"/>
    </row>
    <row r="21" spans="1:18" s="390" customFormat="1" ht="14.25" customHeight="1">
      <c r="A21" s="536"/>
      <c r="B21" s="536"/>
      <c r="C21" s="536"/>
      <c r="D21" s="620"/>
      <c r="E21" s="536"/>
      <c r="F21" s="536"/>
      <c r="G21" s="536"/>
      <c r="H21" s="536"/>
      <c r="I21" s="536"/>
      <c r="J21" s="536"/>
      <c r="K21" s="536"/>
      <c r="L21" s="621"/>
      <c r="M21" s="3"/>
      <c r="N21" s="3"/>
      <c r="O21" s="3"/>
      <c r="P21" s="3"/>
      <c r="Q21" s="3"/>
      <c r="R21" s="3"/>
    </row>
    <row r="22" spans="1:18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285"/>
      <c r="M22" s="8"/>
      <c r="N22" s="8"/>
      <c r="O22" s="8"/>
      <c r="P22" s="8"/>
      <c r="Q22" s="8"/>
      <c r="R22" s="8"/>
    </row>
    <row r="23" spans="1:17" ht="16.5">
      <c r="A23" s="8"/>
      <c r="B23" s="145" t="s">
        <v>1945</v>
      </c>
      <c r="C23" s="3"/>
      <c r="D23" s="390"/>
      <c r="E23" s="3"/>
      <c r="F23" s="3"/>
      <c r="G23" s="3"/>
      <c r="H23" s="3"/>
      <c r="I23" s="3"/>
      <c r="J23" s="3"/>
      <c r="K23" s="3"/>
      <c r="L23" s="622" t="s">
        <v>1777</v>
      </c>
      <c r="M23" s="392"/>
      <c r="N23" s="392"/>
      <c r="O23" s="392"/>
      <c r="P23" s="392"/>
      <c r="Q23" s="392"/>
    </row>
    <row r="24" spans="1:21" ht="16.5">
      <c r="A24" s="8"/>
      <c r="B24" s="145"/>
      <c r="C24" s="3"/>
      <c r="D24" s="390"/>
      <c r="E24" s="3"/>
      <c r="F24" s="3"/>
      <c r="G24" s="3"/>
      <c r="H24" s="3"/>
      <c r="I24" s="3"/>
      <c r="J24" s="3"/>
      <c r="K24" s="3"/>
      <c r="L24" s="391"/>
      <c r="M24" s="392"/>
      <c r="N24" s="392"/>
      <c r="O24" s="392"/>
      <c r="P24" s="392"/>
      <c r="Q24" s="392"/>
      <c r="R24" s="8"/>
      <c r="U24" s="388"/>
    </row>
    <row r="25" spans="1:18" ht="16.5">
      <c r="A25" s="145" t="s">
        <v>1947</v>
      </c>
      <c r="B25" s="3"/>
      <c r="C25" s="3"/>
      <c r="D25" s="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21" ht="16.5">
      <c r="A26" s="145"/>
      <c r="B26" s="8"/>
      <c r="C26" s="8"/>
      <c r="D26" s="8"/>
      <c r="E26" s="8"/>
      <c r="F26" s="8"/>
      <c r="G26" s="8"/>
      <c r="H26" s="171" t="s">
        <v>1637</v>
      </c>
      <c r="J26" s="171" t="s">
        <v>347</v>
      </c>
      <c r="L26" s="851" t="s">
        <v>2038</v>
      </c>
      <c r="M26" s="851"/>
      <c r="N26" s="851"/>
      <c r="O26" s="171"/>
      <c r="P26" s="171" t="s">
        <v>1748</v>
      </c>
      <c r="R26" s="99"/>
      <c r="S26" s="201"/>
      <c r="T26" s="181"/>
      <c r="U26" s="181"/>
    </row>
    <row r="27" spans="1:17" ht="16.5">
      <c r="A27" s="8"/>
      <c r="B27" s="136" t="s">
        <v>612</v>
      </c>
      <c r="C27" s="8"/>
      <c r="D27" s="136" t="s">
        <v>612</v>
      </c>
      <c r="E27" s="8"/>
      <c r="F27" s="136" t="s">
        <v>612</v>
      </c>
      <c r="H27" s="171" t="s">
        <v>613</v>
      </c>
      <c r="J27" s="171" t="s">
        <v>1746</v>
      </c>
      <c r="K27" s="171"/>
      <c r="L27" s="136" t="s">
        <v>612</v>
      </c>
      <c r="M27" s="171"/>
      <c r="N27" s="136" t="s">
        <v>612</v>
      </c>
      <c r="O27" s="171"/>
      <c r="P27" s="171" t="s">
        <v>1749</v>
      </c>
      <c r="Q27" s="181"/>
    </row>
    <row r="28" spans="1:17" ht="16.5">
      <c r="A28" s="8"/>
      <c r="B28" s="140" t="s">
        <v>1973</v>
      </c>
      <c r="C28" s="8"/>
      <c r="D28" s="139">
        <v>4210.043</v>
      </c>
      <c r="E28" s="8"/>
      <c r="F28" s="139">
        <v>4210.044</v>
      </c>
      <c r="H28" s="528" t="s">
        <v>614</v>
      </c>
      <c r="J28" s="528" t="s">
        <v>496</v>
      </c>
      <c r="K28" s="99"/>
      <c r="L28" s="139">
        <v>4470.118</v>
      </c>
      <c r="M28" s="99"/>
      <c r="N28" s="139">
        <v>4470.144</v>
      </c>
      <c r="O28" s="99"/>
      <c r="P28" s="528" t="s">
        <v>1750</v>
      </c>
      <c r="Q28" s="181"/>
    </row>
    <row r="29" spans="1:17" ht="15">
      <c r="A29" s="8" t="s">
        <v>1532</v>
      </c>
      <c r="B29" s="116">
        <f>'APPVIII PG 7'!C40</f>
        <v>-5399</v>
      </c>
      <c r="C29" s="116"/>
      <c r="D29" s="116">
        <f>'APPVIII PG 7'!D40</f>
        <v>1891</v>
      </c>
      <c r="E29" s="116"/>
      <c r="F29" s="116">
        <f>'APPVIII PG 7'!E40</f>
        <v>0</v>
      </c>
      <c r="G29" s="390"/>
      <c r="H29" s="116">
        <f>'APPVIII PG 7'!F40</f>
        <v>-3508</v>
      </c>
      <c r="I29" s="390"/>
      <c r="J29" s="34">
        <f>INPUT!R49</f>
        <v>-3103</v>
      </c>
      <c r="K29" s="387"/>
      <c r="L29" s="34">
        <v>0</v>
      </c>
      <c r="M29" s="292"/>
      <c r="N29" s="34">
        <f>'APPVIII PG 6'!M12</f>
        <v>0</v>
      </c>
      <c r="O29" s="387"/>
      <c r="P29" s="177">
        <f aca="true" t="shared" si="0" ref="P29:P36">H29-J29+L29+N29</f>
        <v>-405</v>
      </c>
      <c r="Q29" s="177"/>
    </row>
    <row r="30" spans="1:17" ht="15">
      <c r="A30" s="8"/>
      <c r="B30" s="116"/>
      <c r="C30" s="116"/>
      <c r="D30" s="116"/>
      <c r="E30" s="116"/>
      <c r="F30" s="116"/>
      <c r="G30" s="390"/>
      <c r="H30" s="116"/>
      <c r="I30" s="390"/>
      <c r="J30" s="34"/>
      <c r="K30" s="387"/>
      <c r="L30" s="34"/>
      <c r="M30" s="292"/>
      <c r="N30" s="34"/>
      <c r="O30" s="387"/>
      <c r="P30" s="177"/>
      <c r="Q30" s="177"/>
    </row>
    <row r="31" spans="1:17" ht="16.5">
      <c r="A31" s="136" t="s">
        <v>1533</v>
      </c>
      <c r="B31" s="868">
        <f>'APPVIII PG 7'!C41</f>
        <v>-1088</v>
      </c>
      <c r="C31" s="116"/>
      <c r="D31" s="116">
        <f>'APPVIII PG 7'!D41</f>
        <v>381</v>
      </c>
      <c r="E31" s="116"/>
      <c r="F31" s="116">
        <f>'APPVIII PG 7'!E41</f>
        <v>0</v>
      </c>
      <c r="G31" s="390"/>
      <c r="H31" s="116">
        <f>'APPVIII PG 7'!F41</f>
        <v>-707</v>
      </c>
      <c r="I31" s="390"/>
      <c r="J31" s="34">
        <f>INPUT!R50</f>
        <v>-625</v>
      </c>
      <c r="K31" s="387"/>
      <c r="L31" s="34">
        <v>0</v>
      </c>
      <c r="M31" s="292"/>
      <c r="N31" s="34">
        <f>'APPVIII PG 6'!M13</f>
        <v>0</v>
      </c>
      <c r="O31" s="387"/>
      <c r="P31" s="869">
        <f t="shared" si="0"/>
        <v>-82</v>
      </c>
      <c r="Q31" s="177"/>
    </row>
    <row r="32" spans="1:17" ht="16.5">
      <c r="A32" s="136"/>
      <c r="B32" s="868"/>
      <c r="C32" s="116"/>
      <c r="D32" s="116"/>
      <c r="E32" s="116"/>
      <c r="F32" s="116"/>
      <c r="G32" s="390"/>
      <c r="H32" s="116"/>
      <c r="I32" s="390"/>
      <c r="J32" s="34"/>
      <c r="K32" s="387"/>
      <c r="L32" s="34"/>
      <c r="M32" s="292"/>
      <c r="N32" s="34"/>
      <c r="O32" s="387"/>
      <c r="P32" s="869"/>
      <c r="Q32" s="177"/>
    </row>
    <row r="33" spans="1:17" ht="15">
      <c r="A33" s="8" t="s">
        <v>1534</v>
      </c>
      <c r="B33" s="116">
        <f>'APPVIII PG 7'!C42</f>
        <v>-2771</v>
      </c>
      <c r="C33" s="116"/>
      <c r="D33" s="116">
        <f>'APPVIII PG 7'!D42</f>
        <v>971</v>
      </c>
      <c r="E33" s="116"/>
      <c r="F33" s="116">
        <f>'APPVIII PG 7'!E42</f>
        <v>0</v>
      </c>
      <c r="G33" s="390"/>
      <c r="H33" s="116">
        <f>'APPVIII PG 7'!F42</f>
        <v>-1800</v>
      </c>
      <c r="I33" s="390"/>
      <c r="J33" s="34">
        <f>INPUT!R51</f>
        <v>-1592</v>
      </c>
      <c r="K33" s="387"/>
      <c r="L33" s="34">
        <v>0</v>
      </c>
      <c r="M33" s="292"/>
      <c r="N33" s="34">
        <f>'APPVIII PG 6'!M14</f>
        <v>0</v>
      </c>
      <c r="O33" s="387"/>
      <c r="P33" s="177">
        <f t="shared" si="0"/>
        <v>-208</v>
      </c>
      <c r="Q33" s="177"/>
    </row>
    <row r="34" spans="1:17" ht="15">
      <c r="A34" s="8" t="s">
        <v>1536</v>
      </c>
      <c r="B34" s="116">
        <f>'APPVIII PG 7'!C43</f>
        <v>-3547</v>
      </c>
      <c r="C34" s="116"/>
      <c r="D34" s="116">
        <f>'APPVIII PG 7'!D43</f>
        <v>1242</v>
      </c>
      <c r="E34" s="116"/>
      <c r="F34" s="116">
        <f>'APPVIII PG 7'!E43</f>
        <v>0</v>
      </c>
      <c r="G34" s="390"/>
      <c r="H34" s="116">
        <f>'APPVIII PG 7'!F43</f>
        <v>-2305</v>
      </c>
      <c r="I34" s="390"/>
      <c r="J34" s="34">
        <f>INPUT!R52</f>
        <v>-2038</v>
      </c>
      <c r="K34" s="387"/>
      <c r="L34" s="34">
        <v>0</v>
      </c>
      <c r="M34" s="292"/>
      <c r="N34" s="34">
        <f>'APPVIII PG 6'!M15</f>
        <v>0</v>
      </c>
      <c r="O34" s="387"/>
      <c r="P34" s="177">
        <f t="shared" si="0"/>
        <v>-267</v>
      </c>
      <c r="Q34" s="177"/>
    </row>
    <row r="35" spans="1:17" ht="15">
      <c r="A35" s="8" t="s">
        <v>1537</v>
      </c>
      <c r="B35" s="143">
        <f>'APPVIII PG 7'!C44</f>
        <v>-2863</v>
      </c>
      <c r="C35" s="116"/>
      <c r="D35" s="143">
        <f>'APPVIII PG 7'!D44</f>
        <v>1003</v>
      </c>
      <c r="E35" s="116"/>
      <c r="F35" s="143">
        <f>'APPVIII PG 7'!E44</f>
        <v>0</v>
      </c>
      <c r="G35" s="390"/>
      <c r="H35" s="143">
        <f>'APPVIII PG 7'!F44</f>
        <v>-1860</v>
      </c>
      <c r="I35" s="390"/>
      <c r="J35" s="143">
        <f>INPUT!R53</f>
        <v>-1646</v>
      </c>
      <c r="K35" s="387"/>
      <c r="L35" s="34">
        <v>0</v>
      </c>
      <c r="M35" s="292"/>
      <c r="N35" s="34">
        <f>'APPVIII PG 6'!M16</f>
        <v>0</v>
      </c>
      <c r="O35" s="387"/>
      <c r="P35" s="177">
        <f t="shared" si="0"/>
        <v>-214</v>
      </c>
      <c r="Q35" s="177"/>
    </row>
    <row r="36" spans="1:17" ht="15">
      <c r="A36" s="8" t="s">
        <v>1642</v>
      </c>
      <c r="B36" s="115">
        <f>SUM(B29:B35)</f>
        <v>-15668</v>
      </c>
      <c r="C36" s="115"/>
      <c r="D36" s="115">
        <f>SUM(D29:D35)</f>
        <v>5488</v>
      </c>
      <c r="E36" s="8"/>
      <c r="F36" s="115">
        <f>SUM(F29:F35)</f>
        <v>0</v>
      </c>
      <c r="H36" s="115">
        <f>SUM(H29:H35)</f>
        <v>-10180</v>
      </c>
      <c r="J36" s="177">
        <f>SUM(J29:J35)</f>
        <v>-9004</v>
      </c>
      <c r="K36" s="387"/>
      <c r="L36" s="648">
        <f>SUM(L29:L35)</f>
        <v>0</v>
      </c>
      <c r="M36" s="387"/>
      <c r="N36" s="648">
        <f>SUM(N29:N35)</f>
        <v>0</v>
      </c>
      <c r="O36" s="387"/>
      <c r="P36" s="648">
        <f t="shared" si="0"/>
        <v>-1176</v>
      </c>
      <c r="Q36" s="177"/>
    </row>
    <row r="37" spans="1:17" ht="15">
      <c r="A37" s="8"/>
      <c r="B37" s="115"/>
      <c r="C37" s="115"/>
      <c r="D37" s="115"/>
      <c r="E37" s="8"/>
      <c r="F37" s="115"/>
      <c r="H37" s="115"/>
      <c r="J37" s="177"/>
      <c r="K37" s="387"/>
      <c r="L37" s="387"/>
      <c r="M37" s="387"/>
      <c r="N37" s="387"/>
      <c r="O37" s="387"/>
      <c r="P37" s="177"/>
      <c r="Q37" s="177"/>
    </row>
    <row r="38" spans="1:17" ht="16.5">
      <c r="A38" s="145" t="s">
        <v>1946</v>
      </c>
      <c r="B38" s="115"/>
      <c r="C38" s="115"/>
      <c r="D38" s="115"/>
      <c r="E38" s="8"/>
      <c r="F38" s="115"/>
      <c r="H38" s="115"/>
      <c r="J38" s="177"/>
      <c r="K38" s="387"/>
      <c r="L38" s="387"/>
      <c r="M38" s="387"/>
      <c r="N38" s="387"/>
      <c r="O38" s="387"/>
      <c r="P38" s="177"/>
      <c r="Q38" s="177"/>
    </row>
    <row r="39" spans="1:21" ht="16.5">
      <c r="A39" s="8"/>
      <c r="B39" s="115"/>
      <c r="C39" s="115"/>
      <c r="D39" s="115"/>
      <c r="E39" s="8"/>
      <c r="F39" s="115"/>
      <c r="H39" s="171" t="s">
        <v>1637</v>
      </c>
      <c r="J39" s="171" t="s">
        <v>347</v>
      </c>
      <c r="K39" s="171"/>
      <c r="L39" s="851" t="s">
        <v>2037</v>
      </c>
      <c r="M39" s="851"/>
      <c r="N39" s="851"/>
      <c r="O39" s="171"/>
      <c r="P39" s="171" t="s">
        <v>1748</v>
      </c>
      <c r="R39" s="177"/>
      <c r="S39" s="387"/>
      <c r="T39" s="177"/>
      <c r="U39" s="115"/>
    </row>
    <row r="40" spans="1:17" ht="16.5">
      <c r="A40" s="8"/>
      <c r="B40" s="136" t="s">
        <v>612</v>
      </c>
      <c r="C40" s="8"/>
      <c r="D40" s="136" t="s">
        <v>612</v>
      </c>
      <c r="E40" s="8"/>
      <c r="F40" s="136" t="s">
        <v>612</v>
      </c>
      <c r="H40" s="171" t="s">
        <v>613</v>
      </c>
      <c r="J40" s="171" t="s">
        <v>1746</v>
      </c>
      <c r="K40" s="171"/>
      <c r="L40" s="136" t="s">
        <v>612</v>
      </c>
      <c r="M40" s="171"/>
      <c r="N40" s="136" t="s">
        <v>612</v>
      </c>
      <c r="O40" s="171"/>
      <c r="P40" s="171" t="s">
        <v>1749</v>
      </c>
      <c r="Q40" s="181"/>
    </row>
    <row r="41" spans="1:17" ht="16.5">
      <c r="A41" s="8"/>
      <c r="B41" s="140" t="s">
        <v>1973</v>
      </c>
      <c r="C41" s="8"/>
      <c r="D41" s="139">
        <v>4210.043</v>
      </c>
      <c r="E41" s="8"/>
      <c r="F41" s="139">
        <v>4210.044</v>
      </c>
      <c r="H41" s="528" t="s">
        <v>614</v>
      </c>
      <c r="J41" s="528" t="s">
        <v>496</v>
      </c>
      <c r="K41" s="99"/>
      <c r="L41" s="139">
        <v>4470.118</v>
      </c>
      <c r="M41" s="99"/>
      <c r="N41" s="139">
        <v>4470.144</v>
      </c>
      <c r="O41" s="99"/>
      <c r="P41" s="528" t="s">
        <v>1750</v>
      </c>
      <c r="Q41" s="181"/>
    </row>
    <row r="42" spans="1:17" ht="15">
      <c r="A42" s="8" t="s">
        <v>1975</v>
      </c>
      <c r="B42" s="116">
        <f>'APPVIII PG 7'!C53</f>
        <v>7192</v>
      </c>
      <c r="C42" s="116"/>
      <c r="D42" s="116">
        <f>'APPVIII PG 7'!D53</f>
        <v>-2519</v>
      </c>
      <c r="E42" s="116"/>
      <c r="F42" s="116">
        <f>'APPVIII PG 7'!E53</f>
        <v>0</v>
      </c>
      <c r="G42" s="390"/>
      <c r="H42" s="116">
        <f>'APPVIII PG 7'!F53</f>
        <v>4673</v>
      </c>
      <c r="I42" s="390"/>
      <c r="J42" s="34">
        <f>INPUT!W49</f>
        <v>4133</v>
      </c>
      <c r="K42" s="387"/>
      <c r="L42" s="34">
        <v>0</v>
      </c>
      <c r="M42" s="292"/>
      <c r="N42" s="34">
        <f>'APPVIII PG 6'!T13</f>
        <v>0</v>
      </c>
      <c r="O42" s="387"/>
      <c r="P42" s="177">
        <f>H42-J42+L42+N42</f>
        <v>540</v>
      </c>
      <c r="Q42" s="177"/>
    </row>
    <row r="43" spans="1:17" ht="15">
      <c r="A43" s="8" t="s">
        <v>1976</v>
      </c>
      <c r="B43" s="116">
        <f>'APPVIII PG 7'!C54</f>
        <v>8476</v>
      </c>
      <c r="C43" s="116"/>
      <c r="D43" s="116">
        <f>'APPVIII PG 7'!D54</f>
        <v>-2969</v>
      </c>
      <c r="E43" s="116"/>
      <c r="F43" s="116">
        <f>'APPVIII PG 7'!E54</f>
        <v>0</v>
      </c>
      <c r="G43" s="390"/>
      <c r="H43" s="116">
        <f>'APPVIII PG 7'!F54</f>
        <v>5507</v>
      </c>
      <c r="I43" s="390"/>
      <c r="J43" s="34">
        <f>INPUT!W50</f>
        <v>4871</v>
      </c>
      <c r="K43" s="387"/>
      <c r="L43" s="34">
        <v>0</v>
      </c>
      <c r="M43" s="292"/>
      <c r="N43" s="34">
        <f>'APPVIII PG 6'!T12</f>
        <v>0</v>
      </c>
      <c r="O43" s="387"/>
      <c r="P43" s="177">
        <f>H43-J43+L43+N43</f>
        <v>636</v>
      </c>
      <c r="Q43" s="177"/>
    </row>
    <row r="44" spans="1:17" ht="15">
      <c r="A44" s="8" t="s">
        <v>1977</v>
      </c>
      <c r="B44" s="116">
        <f>'APPVIII PG 7'!C55</f>
        <v>0</v>
      </c>
      <c r="C44" s="116"/>
      <c r="D44" s="116">
        <f>'APPVIII PG 7'!D55</f>
        <v>0</v>
      </c>
      <c r="E44" s="116"/>
      <c r="F44" s="116">
        <f>'APPVIII PG 7'!E55</f>
        <v>0</v>
      </c>
      <c r="G44" s="390"/>
      <c r="H44" s="116">
        <f>'APPVIII PG 7'!F55</f>
        <v>0</v>
      </c>
      <c r="I44" s="390"/>
      <c r="J44" s="34">
        <f>INPUT!W51</f>
        <v>0</v>
      </c>
      <c r="K44" s="387"/>
      <c r="L44" s="34">
        <v>0</v>
      </c>
      <c r="M44" s="292"/>
      <c r="N44" s="34">
        <f>'APPVIII PG 6'!T15</f>
        <v>0</v>
      </c>
      <c r="O44" s="387"/>
      <c r="P44" s="177">
        <f>H44-J44+L44+N44</f>
        <v>0</v>
      </c>
      <c r="Q44" s="177"/>
    </row>
    <row r="45" spans="1:17" ht="15">
      <c r="A45" s="8" t="s">
        <v>1978</v>
      </c>
      <c r="B45" s="143">
        <f>'APPVIII PG 7'!C56</f>
        <v>0</v>
      </c>
      <c r="C45" s="116"/>
      <c r="D45" s="143">
        <f>'APPVIII PG 7'!D56</f>
        <v>0</v>
      </c>
      <c r="E45" s="116"/>
      <c r="F45" s="143">
        <f>'APPVIII PG 7'!E56</f>
        <v>0</v>
      </c>
      <c r="G45" s="390"/>
      <c r="H45" s="143">
        <f>'APPVIII PG 7'!F56</f>
        <v>0</v>
      </c>
      <c r="I45" s="390"/>
      <c r="J45" s="143">
        <f>INPUT!W52</f>
        <v>0</v>
      </c>
      <c r="K45" s="387"/>
      <c r="L45" s="34">
        <v>0</v>
      </c>
      <c r="M45" s="292"/>
      <c r="N45" s="34">
        <f>'APPVIII PG 6'!T14</f>
        <v>0</v>
      </c>
      <c r="O45" s="387"/>
      <c r="P45" s="177">
        <f>H45-J45+L45+N45</f>
        <v>0</v>
      </c>
      <c r="Q45" s="177"/>
    </row>
    <row r="46" spans="1:17" ht="15">
      <c r="A46" s="8" t="s">
        <v>1642</v>
      </c>
      <c r="B46" s="115">
        <f>SUM(B42:B45)</f>
        <v>15668</v>
      </c>
      <c r="C46" s="115"/>
      <c r="D46" s="115">
        <f>SUM(D42:D45)</f>
        <v>-5488</v>
      </c>
      <c r="E46" s="8"/>
      <c r="F46" s="115">
        <f>SUM(F42:F45)</f>
        <v>0</v>
      </c>
      <c r="H46" s="115">
        <f>SUM(H42:H45)</f>
        <v>10180</v>
      </c>
      <c r="J46" s="177">
        <f>SUM(J42:J45)</f>
        <v>9004</v>
      </c>
      <c r="K46" s="387"/>
      <c r="L46" s="648">
        <f>SUM(L42:L45)</f>
        <v>0</v>
      </c>
      <c r="M46" s="387"/>
      <c r="N46" s="648">
        <f>SUM(N42:N45)</f>
        <v>0</v>
      </c>
      <c r="O46" s="387"/>
      <c r="P46" s="648">
        <f>H46-J46+L46+N46</f>
        <v>1176</v>
      </c>
      <c r="Q46" s="177"/>
    </row>
    <row r="47" spans="1:20" ht="15">
      <c r="A47" s="281"/>
      <c r="C47" s="280"/>
      <c r="D47" s="280"/>
      <c r="E47" s="280"/>
      <c r="F47" s="280"/>
      <c r="G47" s="280"/>
      <c r="H47" s="280"/>
      <c r="I47" s="280"/>
      <c r="J47" s="8"/>
      <c r="K47" s="8"/>
      <c r="T47" s="380"/>
    </row>
    <row r="48" spans="1:20" ht="15">
      <c r="A48" s="190" t="s">
        <v>1829</v>
      </c>
      <c r="B48" s="141" t="s">
        <v>1614</v>
      </c>
      <c r="C48" s="280"/>
      <c r="D48" s="280"/>
      <c r="E48" s="280"/>
      <c r="F48" s="280"/>
      <c r="G48" s="280"/>
      <c r="H48" s="280"/>
      <c r="I48" s="280"/>
      <c r="L48" s="390"/>
      <c r="M48" s="390"/>
      <c r="N48" s="390"/>
      <c r="O48" s="390"/>
      <c r="P48" s="390"/>
      <c r="Q48" s="390"/>
      <c r="R48" s="390"/>
      <c r="T48" s="380"/>
    </row>
    <row r="49" spans="1:20" s="390" customFormat="1" ht="15">
      <c r="A49" s="473"/>
      <c r="B49" s="392" t="s">
        <v>497</v>
      </c>
      <c r="C49" s="420"/>
      <c r="D49" s="420"/>
      <c r="E49" s="420"/>
      <c r="F49" s="420"/>
      <c r="G49" s="420"/>
      <c r="H49" s="420"/>
      <c r="I49" s="420"/>
      <c r="L49"/>
      <c r="M49"/>
      <c r="N49"/>
      <c r="O49"/>
      <c r="P49"/>
      <c r="Q49"/>
      <c r="R49"/>
      <c r="T49" s="623"/>
    </row>
    <row r="50" spans="2:20" ht="15">
      <c r="B50" s="392"/>
      <c r="C50" s="280"/>
      <c r="D50" s="280"/>
      <c r="E50" s="280"/>
      <c r="F50" s="280"/>
      <c r="G50" s="280"/>
      <c r="H50" s="280"/>
      <c r="I50" s="280"/>
      <c r="J50" s="280"/>
      <c r="T50" s="380"/>
    </row>
    <row r="51" ht="14.25">
      <c r="B51" s="420"/>
    </row>
  </sheetData>
  <mergeCells count="4">
    <mergeCell ref="B7:F7"/>
    <mergeCell ref="A4:L4"/>
    <mergeCell ref="L26:N26"/>
    <mergeCell ref="L39:N39"/>
  </mergeCells>
  <printOptions horizontalCentered="1" verticalCentered="1"/>
  <pageMargins left="0" right="0" top="0.75" bottom="0" header="0" footer="0"/>
  <pageSetup fitToHeight="1" fitToWidth="1"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8" customWidth="1"/>
    <col min="2" max="2" width="5.7109375" style="8" customWidth="1"/>
    <col min="3" max="3" width="10.57421875" style="8" bestFit="1" customWidth="1"/>
    <col min="4" max="4" width="5.7109375" style="8" customWidth="1"/>
    <col min="5" max="5" width="11.7109375" style="8" bestFit="1" customWidth="1"/>
    <col min="6" max="6" width="5.7109375" style="8" customWidth="1"/>
    <col min="7" max="7" width="14.00390625" style="8" customWidth="1"/>
    <col min="8" max="8" width="5.7109375" style="8" customWidth="1"/>
    <col min="9" max="9" width="10.57421875" style="8" bestFit="1" customWidth="1"/>
    <col min="10" max="10" width="5.7109375" style="8" customWidth="1"/>
    <col min="11" max="11" width="12.7109375" style="8" bestFit="1" customWidth="1"/>
    <col min="12" max="16384" width="9.140625" style="8" customWidth="1"/>
  </cols>
  <sheetData>
    <row r="1" spans="1:11" ht="16.5">
      <c r="A1" s="145" t="s">
        <v>1729</v>
      </c>
      <c r="B1" s="137" t="str">
        <f>INPUT!C1</f>
        <v>February 2009</v>
      </c>
      <c r="K1" s="136" t="s">
        <v>2027</v>
      </c>
    </row>
    <row r="3" ht="16.5">
      <c r="F3" s="136" t="s">
        <v>2028</v>
      </c>
    </row>
    <row r="4" ht="16.5">
      <c r="F4" s="136" t="s">
        <v>2029</v>
      </c>
    </row>
    <row r="6" ht="16.5">
      <c r="A6" s="145" t="s">
        <v>2031</v>
      </c>
    </row>
    <row r="7" spans="5:11" ht="16.5">
      <c r="E7" s="136" t="s">
        <v>2032</v>
      </c>
      <c r="G7" s="136" t="s">
        <v>2033</v>
      </c>
      <c r="I7" s="138"/>
      <c r="J7" s="139" t="s">
        <v>1748</v>
      </c>
      <c r="K7" s="138"/>
    </row>
    <row r="8" spans="3:11" ht="16.5">
      <c r="C8" s="139" t="s">
        <v>1606</v>
      </c>
      <c r="E8" s="140" t="s">
        <v>1731</v>
      </c>
      <c r="G8" s="140" t="s">
        <v>1788</v>
      </c>
      <c r="I8" s="139" t="s">
        <v>1606</v>
      </c>
      <c r="K8" s="139" t="s">
        <v>2034</v>
      </c>
    </row>
    <row r="10" spans="1:11" ht="15">
      <c r="A10" s="8" t="s">
        <v>1532</v>
      </c>
      <c r="C10" s="116">
        <f>INPUT!J59</f>
        <v>251280</v>
      </c>
      <c r="E10" s="116">
        <f>+INPUT!L59+PAGE11!I19+PAGE11!I30</f>
        <v>8461883.49</v>
      </c>
      <c r="G10" s="175">
        <f>INPUT!C5</f>
        <v>0.34458</v>
      </c>
      <c r="I10" s="115">
        <f>ROUND(C10*G10,)</f>
        <v>86586</v>
      </c>
      <c r="K10" s="115">
        <f>ROUND(E10*G10,0)</f>
        <v>2915796</v>
      </c>
    </row>
    <row r="11" spans="1:11" ht="15">
      <c r="A11" s="8" t="s">
        <v>1533</v>
      </c>
      <c r="C11" s="116">
        <f>INPUT!J60</f>
        <v>37647</v>
      </c>
      <c r="E11" s="116">
        <f>+INPUT!L60+PAGE11!I20+PAGE11!I31</f>
        <v>1088883</v>
      </c>
      <c r="G11" s="175">
        <f>INPUT!C6</f>
        <v>0.06943</v>
      </c>
      <c r="I11" s="115">
        <f>ROUND(C11*G11,)</f>
        <v>2614</v>
      </c>
      <c r="K11" s="115">
        <f>ROUND(E11*G11,0)</f>
        <v>75601</v>
      </c>
    </row>
    <row r="12" spans="1:11" ht="15">
      <c r="A12" s="8" t="s">
        <v>1534</v>
      </c>
      <c r="C12" s="116">
        <f>INPUT!J61</f>
        <v>45306</v>
      </c>
      <c r="E12" s="116">
        <f>+INPUT!L61+PAGE11!I21+PAGE11!I32</f>
        <v>1274189</v>
      </c>
      <c r="G12" s="175">
        <f>INPUT!C7</f>
        <v>0.17686</v>
      </c>
      <c r="I12" s="115">
        <f>ROUND(C12*G12,)</f>
        <v>8013</v>
      </c>
      <c r="K12" s="115">
        <f>ROUND(E12*G12,0)</f>
        <v>225353</v>
      </c>
    </row>
    <row r="13" spans="1:11" ht="15">
      <c r="A13" s="8" t="s">
        <v>1536</v>
      </c>
      <c r="C13" s="116">
        <f>INPUT!J62</f>
        <v>236393</v>
      </c>
      <c r="E13" s="116">
        <f>+INPUT!L62+PAGE11!I22+PAGE11!I33</f>
        <v>7466297</v>
      </c>
      <c r="G13" s="175">
        <f>INPUT!C8</f>
        <v>0.22638</v>
      </c>
      <c r="I13" s="115">
        <f>ROUND(C13*G13,)</f>
        <v>53515</v>
      </c>
      <c r="K13" s="115">
        <f>ROUND(E13*G13,0)</f>
        <v>1690220</v>
      </c>
    </row>
    <row r="14" spans="1:11" ht="15">
      <c r="A14" s="8" t="s">
        <v>1537</v>
      </c>
      <c r="C14" s="143">
        <f>INPUT!J63</f>
        <v>184061</v>
      </c>
      <c r="E14" s="143">
        <f>+INPUT!L63+PAGE11!I23+PAGE11!I34</f>
        <v>5326078</v>
      </c>
      <c r="G14" s="176">
        <f>INPUT!C9</f>
        <v>0.18275</v>
      </c>
      <c r="I14" s="144">
        <f>ROUND(C14*G14,)</f>
        <v>33637</v>
      </c>
      <c r="K14" s="144">
        <f>ROUND(E14*G14,0)</f>
        <v>973341</v>
      </c>
    </row>
    <row r="15" spans="1:11" ht="15">
      <c r="A15" s="8" t="s">
        <v>1642</v>
      </c>
      <c r="C15" s="116">
        <f>SUM(C10:C14)</f>
        <v>754687</v>
      </c>
      <c r="E15" s="116">
        <f>SUM(E10:E14)</f>
        <v>23617330.490000002</v>
      </c>
      <c r="G15" s="175">
        <f>SUM(G10:G14)</f>
        <v>1</v>
      </c>
      <c r="I15" s="115">
        <f>SUM(I10:I14)</f>
        <v>184365</v>
      </c>
      <c r="K15" s="115">
        <f>SUM(K10:K14)</f>
        <v>5880311</v>
      </c>
    </row>
    <row r="17" ht="16.5">
      <c r="A17" s="145" t="s">
        <v>2035</v>
      </c>
    </row>
    <row r="18" spans="5:11" ht="16.5">
      <c r="E18" s="136" t="s">
        <v>2036</v>
      </c>
      <c r="G18" s="136" t="s">
        <v>2033</v>
      </c>
      <c r="I18" s="138"/>
      <c r="J18" s="139" t="s">
        <v>1748</v>
      </c>
      <c r="K18" s="138"/>
    </row>
    <row r="19" spans="3:11" ht="16.5">
      <c r="C19" s="139" t="s">
        <v>1606</v>
      </c>
      <c r="E19" s="140" t="s">
        <v>1731</v>
      </c>
      <c r="G19" s="140" t="s">
        <v>1788</v>
      </c>
      <c r="I19" s="139" t="s">
        <v>1606</v>
      </c>
      <c r="K19" s="139" t="s">
        <v>2034</v>
      </c>
    </row>
    <row r="21" spans="1:11" ht="15">
      <c r="A21" s="8" t="s">
        <v>1532</v>
      </c>
      <c r="C21" s="116">
        <f>INPUT!M59</f>
        <v>89910</v>
      </c>
      <c r="D21" s="3"/>
      <c r="E21" s="116">
        <f>INPUT!O59</f>
        <v>5137456</v>
      </c>
      <c r="G21" s="175">
        <f>INPUT!C5</f>
        <v>0.34458</v>
      </c>
      <c r="I21" s="115">
        <f>ROUND(C21*G21,)</f>
        <v>30981</v>
      </c>
      <c r="K21" s="115">
        <f>ROUND(E21*G21,0)</f>
        <v>1770265</v>
      </c>
    </row>
    <row r="22" spans="1:11" ht="15">
      <c r="A22" s="8" t="s">
        <v>1533</v>
      </c>
      <c r="C22" s="116">
        <f>INPUT!M60</f>
        <v>3789</v>
      </c>
      <c r="D22" s="3"/>
      <c r="E22" s="116">
        <f>INPUT!O60</f>
        <v>91738</v>
      </c>
      <c r="G22" s="175">
        <f>INPUT!C6</f>
        <v>0.06943</v>
      </c>
      <c r="I22" s="115">
        <f>ROUND(C22*G22,)</f>
        <v>263</v>
      </c>
      <c r="K22" s="115">
        <f>ROUND(E22*G22,0)</f>
        <v>6369</v>
      </c>
    </row>
    <row r="23" spans="1:11" ht="15">
      <c r="A23" s="8" t="s">
        <v>1534</v>
      </c>
      <c r="C23" s="116">
        <f>INPUT!M61</f>
        <v>54837</v>
      </c>
      <c r="D23" s="3"/>
      <c r="E23" s="116">
        <f>INPUT!O61</f>
        <v>2838766</v>
      </c>
      <c r="G23" s="175">
        <f>INPUT!C7</f>
        <v>0.17686</v>
      </c>
      <c r="I23" s="115">
        <f>ROUND(C23*G23,)</f>
        <v>9698</v>
      </c>
      <c r="K23" s="115">
        <f>ROUND(E23*G23,0)</f>
        <v>502064</v>
      </c>
    </row>
    <row r="24" spans="1:11" ht="15">
      <c r="A24" s="8" t="s">
        <v>1536</v>
      </c>
      <c r="C24" s="116">
        <f>INPUT!M62</f>
        <v>266</v>
      </c>
      <c r="D24" s="3"/>
      <c r="E24" s="116">
        <f>INPUT!O62</f>
        <v>5857</v>
      </c>
      <c r="G24" s="175">
        <f>INPUT!C8</f>
        <v>0.22638</v>
      </c>
      <c r="I24" s="115">
        <f>ROUND(C24*G24,)</f>
        <v>60</v>
      </c>
      <c r="K24" s="115">
        <f>ROUND(E24*G24,0)</f>
        <v>1326</v>
      </c>
    </row>
    <row r="25" spans="1:11" ht="15">
      <c r="A25" s="8" t="s">
        <v>1537</v>
      </c>
      <c r="C25" s="143">
        <f>INPUT!M63</f>
        <v>1010</v>
      </c>
      <c r="D25" s="3"/>
      <c r="E25" s="143">
        <f>INPUT!O63</f>
        <v>36544</v>
      </c>
      <c r="G25" s="176">
        <f>INPUT!C9</f>
        <v>0.18275</v>
      </c>
      <c r="I25" s="144">
        <f>ROUND(C25*G25,)</f>
        <v>185</v>
      </c>
      <c r="K25" s="144">
        <f>ROUND(E25*G25,0)</f>
        <v>6678</v>
      </c>
    </row>
    <row r="26" spans="1:11" ht="15">
      <c r="A26" s="8" t="s">
        <v>1642</v>
      </c>
      <c r="C26" s="116">
        <f>SUM(C21:C25)</f>
        <v>149812</v>
      </c>
      <c r="D26" s="3"/>
      <c r="E26" s="116">
        <f>SUM(E21:E25)</f>
        <v>8110361</v>
      </c>
      <c r="G26" s="175">
        <f>SUM(G21:G25)</f>
        <v>1</v>
      </c>
      <c r="I26" s="115">
        <f>SUM(I21:I25)</f>
        <v>41187</v>
      </c>
      <c r="K26" s="115">
        <f>SUM(K21:K25)</f>
        <v>2286702</v>
      </c>
    </row>
    <row r="28" ht="16.5">
      <c r="A28" s="145" t="s">
        <v>2039</v>
      </c>
    </row>
    <row r="29" spans="9:11" ht="16.5">
      <c r="I29" s="138"/>
      <c r="J29" s="139" t="s">
        <v>2040</v>
      </c>
      <c r="K29" s="138"/>
    </row>
    <row r="30" spans="9:11" ht="16.5">
      <c r="I30" s="139" t="s">
        <v>1606</v>
      </c>
      <c r="K30" s="139" t="s">
        <v>2034</v>
      </c>
    </row>
    <row r="32" spans="1:11" ht="15">
      <c r="A32" s="8" t="s">
        <v>1532</v>
      </c>
      <c r="I32" s="116">
        <f>INPUT!P59-PAGE7!C21</f>
        <v>178165</v>
      </c>
      <c r="J32" s="3"/>
      <c r="K32" s="116">
        <f>INPUT!R59-PAGE7!E21</f>
        <v>8025836</v>
      </c>
    </row>
    <row r="33" spans="1:11" ht="15">
      <c r="A33" s="8" t="s">
        <v>1533</v>
      </c>
      <c r="I33" s="116">
        <f>INPUT!P60-PAGE7!C22</f>
        <v>36373</v>
      </c>
      <c r="J33" s="3"/>
      <c r="K33" s="116">
        <f>INPUT!R60-PAGE7!E22</f>
        <v>1617136</v>
      </c>
    </row>
    <row r="34" spans="1:11" ht="15">
      <c r="A34" s="8" t="s">
        <v>1534</v>
      </c>
      <c r="I34" s="116">
        <f>INPUT!P61-PAGE7!C23</f>
        <v>91977</v>
      </c>
      <c r="J34" s="3"/>
      <c r="K34" s="116">
        <f>INPUT!R61-PAGE7!E23</f>
        <v>4119361</v>
      </c>
    </row>
    <row r="35" spans="1:11" ht="15">
      <c r="A35" s="8" t="s">
        <v>1536</v>
      </c>
      <c r="I35" s="116">
        <f>INPUT!P62-PAGE7!C24</f>
        <v>117170</v>
      </c>
      <c r="J35" s="3"/>
      <c r="K35" s="116">
        <f>INPUT!R62-PAGE7!E24</f>
        <v>5272760</v>
      </c>
    </row>
    <row r="36" spans="1:11" ht="15">
      <c r="A36" s="8" t="s">
        <v>1537</v>
      </c>
      <c r="I36" s="143">
        <f>INPUT!P63-PAGE7!C25</f>
        <v>94535</v>
      </c>
      <c r="J36" s="3"/>
      <c r="K36" s="143">
        <f>INPUT!R63-PAGE7!E25</f>
        <v>4256551</v>
      </c>
    </row>
    <row r="37" spans="1:11" ht="15">
      <c r="A37" s="8" t="s">
        <v>1642</v>
      </c>
      <c r="I37" s="116">
        <f>SUM(I32:I36)</f>
        <v>518220</v>
      </c>
      <c r="J37" s="3"/>
      <c r="K37" s="116">
        <f>SUM(K32:K36)</f>
        <v>23291644</v>
      </c>
    </row>
    <row r="39" ht="16.5">
      <c r="A39" s="145" t="s">
        <v>2041</v>
      </c>
    </row>
    <row r="40" spans="1:10" ht="16.5">
      <c r="A40" s="145"/>
      <c r="J40" s="136" t="s">
        <v>2042</v>
      </c>
    </row>
    <row r="41" spans="9:11" ht="16.5">
      <c r="I41" s="138"/>
      <c r="J41" s="139" t="s">
        <v>2043</v>
      </c>
      <c r="K41" s="138"/>
    </row>
    <row r="42" spans="9:11" ht="16.5">
      <c r="I42" s="139" t="s">
        <v>1606</v>
      </c>
      <c r="K42" s="139" t="s">
        <v>2034</v>
      </c>
    </row>
    <row r="44" spans="1:11" ht="15">
      <c r="A44" s="8" t="s">
        <v>1532</v>
      </c>
      <c r="I44" s="115">
        <f>+I10+I21+I32</f>
        <v>295732</v>
      </c>
      <c r="K44" s="115">
        <f>+K10+K21+K32</f>
        <v>12711897</v>
      </c>
    </row>
    <row r="45" spans="1:11" ht="15">
      <c r="A45" s="8" t="s">
        <v>1533</v>
      </c>
      <c r="I45" s="115">
        <f>+I11+I22+I33</f>
        <v>39250</v>
      </c>
      <c r="K45" s="115">
        <f>+K11+K22+K33</f>
        <v>1699106</v>
      </c>
    </row>
    <row r="46" spans="1:11" ht="15">
      <c r="A46" s="8" t="s">
        <v>1534</v>
      </c>
      <c r="I46" s="115">
        <f>+I12+I23+I34</f>
        <v>109688</v>
      </c>
      <c r="K46" s="115">
        <f>+K12+K23+K34</f>
        <v>4846778</v>
      </c>
    </row>
    <row r="47" spans="1:11" ht="15">
      <c r="A47" s="8" t="s">
        <v>1536</v>
      </c>
      <c r="I47" s="115">
        <f>+I13+I24+I35</f>
        <v>170745</v>
      </c>
      <c r="K47" s="115">
        <f>+K13+K24+K35</f>
        <v>6964306</v>
      </c>
    </row>
    <row r="48" spans="1:11" ht="15">
      <c r="A48" s="8" t="s">
        <v>1537</v>
      </c>
      <c r="I48" s="144">
        <f>+I14+I25+I36</f>
        <v>128357</v>
      </c>
      <c r="K48" s="144">
        <f>+K14+K25+K36</f>
        <v>5236570</v>
      </c>
    </row>
    <row r="49" spans="1:11" ht="15">
      <c r="A49" s="8" t="s">
        <v>1642</v>
      </c>
      <c r="I49" s="115">
        <f>SUM(I44:I48)</f>
        <v>743772</v>
      </c>
      <c r="K49" s="115">
        <f>SUM(K44:K48)</f>
        <v>31458657</v>
      </c>
    </row>
    <row r="51" ht="16.5">
      <c r="A51" s="145" t="s">
        <v>1648</v>
      </c>
    </row>
    <row r="52" ht="15">
      <c r="A52" s="141" t="s">
        <v>2044</v>
      </c>
    </row>
    <row r="53" ht="15">
      <c r="A53" s="141" t="s">
        <v>2045</v>
      </c>
    </row>
    <row r="54" ht="15">
      <c r="A54" s="141" t="s">
        <v>2046</v>
      </c>
    </row>
    <row r="55" ht="15">
      <c r="A55" s="141" t="s">
        <v>2047</v>
      </c>
    </row>
  </sheetData>
  <printOptions horizontalCentered="1"/>
  <pageMargins left="0.5" right="0.25" top="0.25" bottom="0.25" header="0" footer="0"/>
  <pageSetup fitToHeight="1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14.28125" style="8" customWidth="1"/>
    <col min="3" max="3" width="9.140625" style="8" customWidth="1"/>
    <col min="4" max="4" width="14.140625" style="8" customWidth="1"/>
    <col min="5" max="5" width="9.140625" style="8" customWidth="1"/>
    <col min="6" max="6" width="10.8515625" style="8" bestFit="1" customWidth="1"/>
    <col min="7" max="7" width="9.140625" style="8" customWidth="1"/>
    <col min="8" max="8" width="9.28125" style="8" customWidth="1"/>
    <col min="9" max="9" width="9.140625" style="8" customWidth="1"/>
    <col min="10" max="10" width="12.00390625" style="8" customWidth="1"/>
    <col min="11" max="11" width="3.57421875" style="8" bestFit="1" customWidth="1"/>
    <col min="12" max="12" width="9.140625" style="8" customWidth="1"/>
    <col min="13" max="13" width="8.00390625" style="8" bestFit="1" customWidth="1"/>
    <col min="14" max="14" width="12.421875" style="8" bestFit="1" customWidth="1"/>
    <col min="15" max="15" width="1.7109375" style="8" customWidth="1"/>
    <col min="16" max="16" width="8.421875" style="8" bestFit="1" customWidth="1"/>
    <col min="17" max="17" width="10.140625" style="8" bestFit="1" customWidth="1"/>
    <col min="18" max="16384" width="9.140625" style="8" customWidth="1"/>
  </cols>
  <sheetData>
    <row r="1" spans="2:10" ht="16.5">
      <c r="B1" s="145" t="s">
        <v>1729</v>
      </c>
      <c r="C1" s="137" t="str">
        <f>INPUT!C1</f>
        <v>February 2009</v>
      </c>
      <c r="J1" s="136" t="s">
        <v>2048</v>
      </c>
    </row>
    <row r="3" ht="16.5">
      <c r="E3" s="136" t="s">
        <v>2049</v>
      </c>
    </row>
    <row r="4" spans="8:10" ht="16.5">
      <c r="H4" s="138"/>
      <c r="I4" s="139" t="s">
        <v>2050</v>
      </c>
      <c r="J4" s="138"/>
    </row>
    <row r="5" spans="2:10" ht="16.5">
      <c r="B5" s="136" t="s">
        <v>2051</v>
      </c>
      <c r="C5" s="136"/>
      <c r="D5" s="136" t="s">
        <v>2052</v>
      </c>
      <c r="E5" s="136"/>
      <c r="F5" s="136"/>
      <c r="G5" s="136"/>
      <c r="H5" s="136" t="s">
        <v>1529</v>
      </c>
      <c r="I5" s="136"/>
      <c r="J5" s="136" t="s">
        <v>1528</v>
      </c>
    </row>
    <row r="6" spans="2:10" ht="16.5">
      <c r="B6" s="139" t="s">
        <v>1736</v>
      </c>
      <c r="C6" s="136"/>
      <c r="D6" s="139" t="s">
        <v>1736</v>
      </c>
      <c r="E6" s="136"/>
      <c r="F6" s="139" t="s">
        <v>1606</v>
      </c>
      <c r="G6" s="136"/>
      <c r="H6" s="139" t="s">
        <v>2053</v>
      </c>
      <c r="I6" s="136"/>
      <c r="J6" s="140" t="s">
        <v>1731</v>
      </c>
    </row>
    <row r="8" spans="1:10" ht="15">
      <c r="A8" s="187" t="s">
        <v>2054</v>
      </c>
      <c r="B8" s="8" t="s">
        <v>1533</v>
      </c>
      <c r="D8" s="174" t="s">
        <v>1532</v>
      </c>
      <c r="F8" s="116">
        <f>INPUT!L68</f>
        <v>56057</v>
      </c>
      <c r="H8" s="192">
        <f>IF(F8=0,0,APPV!J31)</f>
        <v>28.381</v>
      </c>
      <c r="J8" s="116">
        <f>INPUT!M68</f>
        <v>1590954</v>
      </c>
    </row>
    <row r="9" spans="1:11" ht="15">
      <c r="A9" s="187" t="s">
        <v>2055</v>
      </c>
      <c r="B9" s="8" t="s">
        <v>1534</v>
      </c>
      <c r="D9" s="174" t="s">
        <v>1532</v>
      </c>
      <c r="F9" s="116">
        <f>INPUT!L69</f>
        <v>318158</v>
      </c>
      <c r="H9" s="192">
        <f>IF(F9=0,0,APPV!J32)</f>
        <v>21.255</v>
      </c>
      <c r="J9" s="116">
        <f>INPUT!M69</f>
        <v>6762450</v>
      </c>
      <c r="K9" s="141"/>
    </row>
    <row r="10" spans="1:10" ht="15">
      <c r="A10" s="187" t="s">
        <v>2056</v>
      </c>
      <c r="B10" s="8" t="s">
        <v>1536</v>
      </c>
      <c r="D10" s="174" t="s">
        <v>1532</v>
      </c>
      <c r="F10" s="116">
        <f>INPUT!L70</f>
        <v>701996</v>
      </c>
      <c r="H10" s="192">
        <f>IF(F10=0,0,APPV!J33)</f>
        <v>25.266</v>
      </c>
      <c r="J10" s="116">
        <f>INPUT!M70</f>
        <v>17736633</v>
      </c>
    </row>
    <row r="11" spans="1:10" ht="15">
      <c r="A11" s="187" t="s">
        <v>2057</v>
      </c>
      <c r="B11" s="8" t="s">
        <v>1537</v>
      </c>
      <c r="D11" s="174" t="s">
        <v>1532</v>
      </c>
      <c r="F11" s="143">
        <f>INPUT!L71</f>
        <v>0</v>
      </c>
      <c r="H11" s="197">
        <f>IF(F11=0,0,APPV!J34)</f>
        <v>0</v>
      </c>
      <c r="J11" s="143">
        <f>INPUT!M71</f>
        <v>0</v>
      </c>
    </row>
    <row r="12" spans="1:10" ht="15">
      <c r="A12" s="187" t="s">
        <v>2058</v>
      </c>
      <c r="B12" s="8" t="s">
        <v>1642</v>
      </c>
      <c r="D12" s="174" t="s">
        <v>1532</v>
      </c>
      <c r="F12" s="116">
        <f>SUM(F8:F11)</f>
        <v>1076211</v>
      </c>
      <c r="H12" s="192">
        <f>IF(F12=0,0,J12/F12)</f>
        <v>24.24249241087482</v>
      </c>
      <c r="J12" s="116">
        <f>SUM(J8:J11)</f>
        <v>26090037</v>
      </c>
    </row>
    <row r="13" spans="1:10" ht="15">
      <c r="A13" s="190"/>
      <c r="D13" s="174"/>
      <c r="F13" s="115"/>
      <c r="H13" s="3"/>
      <c r="J13" s="115"/>
    </row>
    <row r="14" spans="1:10" ht="15">
      <c r="A14" s="187" t="s">
        <v>2059</v>
      </c>
      <c r="B14" s="8" t="s">
        <v>1532</v>
      </c>
      <c r="D14" s="174" t="s">
        <v>1533</v>
      </c>
      <c r="F14" s="116">
        <f>INPUT!L73</f>
        <v>0</v>
      </c>
      <c r="H14" s="192">
        <f>IF(F14=0,0,APPV!J30)</f>
        <v>0</v>
      </c>
      <c r="J14" s="116">
        <f>INPUT!M73</f>
        <v>0</v>
      </c>
    </row>
    <row r="15" spans="1:11" ht="15">
      <c r="A15" s="187" t="s">
        <v>2060</v>
      </c>
      <c r="B15" s="8" t="s">
        <v>1534</v>
      </c>
      <c r="D15" s="174" t="s">
        <v>1533</v>
      </c>
      <c r="F15" s="116">
        <f>INPUT!L74</f>
        <v>2425</v>
      </c>
      <c r="H15" s="192">
        <f>IF(F15=0,0,APPV!J32)</f>
        <v>21.255</v>
      </c>
      <c r="J15" s="116">
        <f>INPUT!M74</f>
        <v>51543</v>
      </c>
      <c r="K15" s="141"/>
    </row>
    <row r="16" spans="1:10" ht="15">
      <c r="A16" s="187" t="s">
        <v>2061</v>
      </c>
      <c r="B16" s="8" t="s">
        <v>1536</v>
      </c>
      <c r="D16" s="174" t="s">
        <v>1533</v>
      </c>
      <c r="F16" s="116">
        <f>INPUT!L75</f>
        <v>5488</v>
      </c>
      <c r="H16" s="192">
        <f>IF(F16=0,0,APPV!J33)</f>
        <v>25.266</v>
      </c>
      <c r="J16" s="116">
        <f>INPUT!M75</f>
        <v>138660</v>
      </c>
    </row>
    <row r="17" spans="1:10" ht="15">
      <c r="A17" s="187" t="s">
        <v>2062</v>
      </c>
      <c r="B17" s="8" t="s">
        <v>1537</v>
      </c>
      <c r="D17" s="174" t="s">
        <v>1533</v>
      </c>
      <c r="F17" s="143">
        <f>INPUT!L76</f>
        <v>0</v>
      </c>
      <c r="H17" s="197">
        <f>IF(F17=0,0,APPV!J34)</f>
        <v>0</v>
      </c>
      <c r="J17" s="143">
        <f>INPUT!M76</f>
        <v>0</v>
      </c>
    </row>
    <row r="18" spans="1:10" ht="15">
      <c r="A18" s="187" t="s">
        <v>2063</v>
      </c>
      <c r="B18" s="8" t="s">
        <v>1642</v>
      </c>
      <c r="D18" s="174" t="s">
        <v>1533</v>
      </c>
      <c r="F18" s="116">
        <f>SUM(F14:F17)</f>
        <v>7913</v>
      </c>
      <c r="H18" s="192">
        <f>IF(F18=0,0,J18/F18)</f>
        <v>24.036774927334765</v>
      </c>
      <c r="J18" s="116">
        <f>SUM(J14:J17)</f>
        <v>190203</v>
      </c>
    </row>
    <row r="19" spans="1:10" ht="15">
      <c r="A19" s="190"/>
      <c r="D19" s="174"/>
      <c r="F19" s="116"/>
      <c r="H19" s="3"/>
      <c r="J19" s="116"/>
    </row>
    <row r="20" spans="1:10" ht="15">
      <c r="A20" s="187" t="s">
        <v>2064</v>
      </c>
      <c r="B20" s="8" t="s">
        <v>1532</v>
      </c>
      <c r="D20" s="174" t="s">
        <v>1534</v>
      </c>
      <c r="F20" s="116">
        <f>INPUT!L78</f>
        <v>0</v>
      </c>
      <c r="H20" s="192">
        <f>IF(F20=0,0,APPV!J30)</f>
        <v>0</v>
      </c>
      <c r="J20" s="116">
        <f>INPUT!M78</f>
        <v>0</v>
      </c>
    </row>
    <row r="21" spans="1:10" ht="15">
      <c r="A21" s="187" t="s">
        <v>2065</v>
      </c>
      <c r="B21" s="8" t="s">
        <v>1533</v>
      </c>
      <c r="D21" s="174" t="s">
        <v>1534</v>
      </c>
      <c r="F21" s="116">
        <f>INPUT!L79</f>
        <v>2</v>
      </c>
      <c r="H21" s="192">
        <f>IF(F21=0,0,APPV!J31)</f>
        <v>28.381</v>
      </c>
      <c r="J21" s="116">
        <f>INPUT!M79</f>
        <v>56</v>
      </c>
    </row>
    <row r="22" spans="1:10" ht="15">
      <c r="A22" s="187" t="s">
        <v>2066</v>
      </c>
      <c r="B22" s="8" t="s">
        <v>1536</v>
      </c>
      <c r="D22" s="174" t="s">
        <v>1534</v>
      </c>
      <c r="F22" s="116">
        <f>INPUT!L80</f>
        <v>32</v>
      </c>
      <c r="H22" s="192">
        <f>IF(F22=0,0,APPV!J33)</f>
        <v>25.266</v>
      </c>
      <c r="J22" s="116">
        <f>INPUT!M80</f>
        <v>808</v>
      </c>
    </row>
    <row r="23" spans="1:10" ht="15">
      <c r="A23" s="187" t="s">
        <v>2067</v>
      </c>
      <c r="B23" s="8" t="s">
        <v>1537</v>
      </c>
      <c r="D23" s="174" t="s">
        <v>1534</v>
      </c>
      <c r="F23" s="143">
        <f>INPUT!L81</f>
        <v>0</v>
      </c>
      <c r="H23" s="197">
        <f>IF(F23=0,0,APPV!J34)</f>
        <v>0</v>
      </c>
      <c r="J23" s="116">
        <f>INPUT!M81</f>
        <v>0</v>
      </c>
    </row>
    <row r="24" spans="1:10" ht="15">
      <c r="A24" s="187" t="s">
        <v>2068</v>
      </c>
      <c r="B24" s="8" t="s">
        <v>1642</v>
      </c>
      <c r="D24" s="174" t="s">
        <v>1534</v>
      </c>
      <c r="F24" s="116">
        <f>SUM(F20:F23)</f>
        <v>34</v>
      </c>
      <c r="H24" s="192">
        <f>IF(F24=0,0,J24/F24)</f>
        <v>25.41176470588235</v>
      </c>
      <c r="J24" s="116">
        <f>SUM(J20:J23)</f>
        <v>864</v>
      </c>
    </row>
    <row r="25" spans="1:10" ht="15">
      <c r="A25" s="190"/>
      <c r="D25" s="174"/>
      <c r="F25" s="115"/>
      <c r="H25" s="3"/>
      <c r="J25" s="115"/>
    </row>
    <row r="26" spans="1:10" ht="15">
      <c r="A26" s="187" t="s">
        <v>2069</v>
      </c>
      <c r="B26" s="8" t="s">
        <v>1532</v>
      </c>
      <c r="D26" s="174" t="s">
        <v>1536</v>
      </c>
      <c r="F26" s="116">
        <f>INPUT!L83</f>
        <v>0</v>
      </c>
      <c r="H26" s="192">
        <f>IF(F26=0,0,APPV!J30)</f>
        <v>0</v>
      </c>
      <c r="J26" s="116">
        <f>INPUT!M83</f>
        <v>0</v>
      </c>
    </row>
    <row r="27" spans="1:10" ht="15">
      <c r="A27" s="187" t="s">
        <v>2070</v>
      </c>
      <c r="B27" s="8" t="s">
        <v>1533</v>
      </c>
      <c r="D27" s="174" t="s">
        <v>1536</v>
      </c>
      <c r="F27" s="116">
        <f>INPUT!L84</f>
        <v>0</v>
      </c>
      <c r="H27" s="192">
        <f>IF(F27=0,0,APPV!J31)</f>
        <v>0</v>
      </c>
      <c r="J27" s="116">
        <f>INPUT!M84</f>
        <v>0</v>
      </c>
    </row>
    <row r="28" spans="1:10" ht="15">
      <c r="A28" s="187" t="s">
        <v>2071</v>
      </c>
      <c r="B28" s="8" t="s">
        <v>1534</v>
      </c>
      <c r="D28" s="174" t="s">
        <v>1536</v>
      </c>
      <c r="F28" s="116">
        <f>INPUT!L85</f>
        <v>0</v>
      </c>
      <c r="H28" s="192">
        <f>IF(F28=0,0,APPV!J32)</f>
        <v>0</v>
      </c>
      <c r="J28" s="116">
        <f>INPUT!M85</f>
        <v>0</v>
      </c>
    </row>
    <row r="29" spans="1:10" ht="15">
      <c r="A29" s="187" t="s">
        <v>2072</v>
      </c>
      <c r="B29" s="8" t="s">
        <v>1537</v>
      </c>
      <c r="D29" s="174" t="s">
        <v>1536</v>
      </c>
      <c r="F29" s="143">
        <f>INPUT!L86</f>
        <v>0</v>
      </c>
      <c r="H29" s="197">
        <f>IF(F29=0,0,APPV!J34)</f>
        <v>0</v>
      </c>
      <c r="J29" s="143">
        <f>INPUT!M86</f>
        <v>0</v>
      </c>
    </row>
    <row r="30" spans="1:10" ht="15">
      <c r="A30" s="187" t="s">
        <v>2073</v>
      </c>
      <c r="B30" s="8" t="s">
        <v>1642</v>
      </c>
      <c r="D30" s="174" t="s">
        <v>1536</v>
      </c>
      <c r="F30" s="116">
        <f>SUM(F26:F29)</f>
        <v>0</v>
      </c>
      <c r="H30" s="192">
        <f>IF(F30=0,0,J30/F30)</f>
        <v>0</v>
      </c>
      <c r="J30" s="116">
        <f>SUM(J26:J29)</f>
        <v>0</v>
      </c>
    </row>
    <row r="31" spans="1:10" ht="15">
      <c r="A31" s="190"/>
      <c r="D31" s="174"/>
      <c r="F31" s="115"/>
      <c r="H31" s="3"/>
      <c r="J31" s="115"/>
    </row>
    <row r="32" spans="1:10" ht="15">
      <c r="A32" s="187" t="s">
        <v>2074</v>
      </c>
      <c r="B32" s="8" t="s">
        <v>1532</v>
      </c>
      <c r="D32" s="174" t="s">
        <v>1537</v>
      </c>
      <c r="F32" s="116">
        <f>INPUT!L88</f>
        <v>0</v>
      </c>
      <c r="H32" s="192">
        <f>IF(F32=0,0,APPV!J30)</f>
        <v>0</v>
      </c>
      <c r="J32" s="116">
        <f>INPUT!M88</f>
        <v>0</v>
      </c>
    </row>
    <row r="33" spans="1:10" ht="15">
      <c r="A33" s="187" t="s">
        <v>2075</v>
      </c>
      <c r="B33" s="8" t="s">
        <v>1533</v>
      </c>
      <c r="D33" s="174" t="s">
        <v>1537</v>
      </c>
      <c r="F33" s="116">
        <f>INPUT!L89</f>
        <v>50518</v>
      </c>
      <c r="H33" s="192">
        <f>IF(F33=0,0,APPV!J31)</f>
        <v>28.381</v>
      </c>
      <c r="J33" s="116">
        <f>INPUT!M89</f>
        <v>1433752</v>
      </c>
    </row>
    <row r="34" spans="1:11" ht="15">
      <c r="A34" s="187" t="s">
        <v>2081</v>
      </c>
      <c r="B34" s="8" t="s">
        <v>1534</v>
      </c>
      <c r="D34" s="174" t="s">
        <v>1537</v>
      </c>
      <c r="F34" s="116">
        <f>INPUT!L90</f>
        <v>258959</v>
      </c>
      <c r="H34" s="192">
        <f>IF(F34=0,0,APPV!J32)</f>
        <v>21.255</v>
      </c>
      <c r="J34" s="116">
        <f>INPUT!M90</f>
        <v>5504175</v>
      </c>
      <c r="K34" s="141"/>
    </row>
    <row r="35" spans="1:10" ht="15">
      <c r="A35" s="187" t="s">
        <v>2082</v>
      </c>
      <c r="B35" s="8" t="s">
        <v>1536</v>
      </c>
      <c r="D35" s="174" t="s">
        <v>1537</v>
      </c>
      <c r="F35" s="143">
        <f>INPUT!L91</f>
        <v>563916</v>
      </c>
      <c r="H35" s="197">
        <f>IF(F35=0,0,APPV!J33)</f>
        <v>25.266</v>
      </c>
      <c r="J35" s="143">
        <f>INPUT!M91</f>
        <v>14247903</v>
      </c>
    </row>
    <row r="36" spans="1:10" ht="15">
      <c r="A36" s="187" t="s">
        <v>2090</v>
      </c>
      <c r="B36" s="8" t="s">
        <v>1642</v>
      </c>
      <c r="D36" s="174" t="s">
        <v>1537</v>
      </c>
      <c r="F36" s="116">
        <f>SUM(F32:F35)</f>
        <v>873393</v>
      </c>
      <c r="H36" s="192">
        <f>IF(F36=0,0,J36/F36)</f>
        <v>24.25692672141865</v>
      </c>
      <c r="J36" s="116">
        <f>SUM(J32:J35)</f>
        <v>21185830</v>
      </c>
    </row>
    <row r="37" spans="1:10" ht="15">
      <c r="A37" s="187"/>
      <c r="D37" s="174"/>
      <c r="F37" s="115"/>
      <c r="H37" s="3"/>
      <c r="J37" s="115"/>
    </row>
    <row r="38" spans="1:10" ht="16.5">
      <c r="A38" s="187" t="s">
        <v>2091</v>
      </c>
      <c r="B38" s="145" t="s">
        <v>2092</v>
      </c>
      <c r="F38" s="115">
        <f>+F12+F18+F24+F30+F36</f>
        <v>1957551</v>
      </c>
      <c r="H38" s="192">
        <f>IF(F38=0,0,J38/F38)</f>
        <v>24.248121249459146</v>
      </c>
      <c r="J38" s="115">
        <f>+J12+J18+J24+J30+J36</f>
        <v>47466934</v>
      </c>
    </row>
    <row r="39" spans="1:6" ht="15">
      <c r="A39" s="190"/>
      <c r="F39" s="115"/>
    </row>
    <row r="40" spans="1:10" ht="16.5">
      <c r="A40" s="190"/>
      <c r="B40" s="136" t="s">
        <v>1642</v>
      </c>
      <c r="F40" s="115"/>
      <c r="H40" s="138"/>
      <c r="I40" s="139" t="s">
        <v>2093</v>
      </c>
      <c r="J40" s="138"/>
    </row>
    <row r="41" spans="1:17" ht="16.5">
      <c r="A41" s="190"/>
      <c r="B41" s="136" t="s">
        <v>1553</v>
      </c>
      <c r="F41" s="115"/>
      <c r="H41" s="136" t="s">
        <v>1529</v>
      </c>
      <c r="J41" s="136" t="s">
        <v>1530</v>
      </c>
      <c r="M41" s="136" t="s">
        <v>2053</v>
      </c>
      <c r="N41" s="136" t="s">
        <v>415</v>
      </c>
      <c r="O41" s="136"/>
      <c r="P41" s="136" t="s">
        <v>2053</v>
      </c>
      <c r="Q41" s="136" t="s">
        <v>415</v>
      </c>
    </row>
    <row r="42" spans="1:17" ht="16.5">
      <c r="A42" s="190"/>
      <c r="B42" s="139" t="s">
        <v>2094</v>
      </c>
      <c r="D42" s="139" t="s">
        <v>2095</v>
      </c>
      <c r="F42" s="196" t="s">
        <v>1606</v>
      </c>
      <c r="H42" s="139" t="s">
        <v>2053</v>
      </c>
      <c r="J42" s="140" t="s">
        <v>1731</v>
      </c>
      <c r="M42" s="139" t="s">
        <v>416</v>
      </c>
      <c r="N42" s="139" t="s">
        <v>416</v>
      </c>
      <c r="O42" s="136"/>
      <c r="P42" s="139" t="s">
        <v>417</v>
      </c>
      <c r="Q42" s="139" t="s">
        <v>417</v>
      </c>
    </row>
    <row r="43" spans="1:14" ht="16.5">
      <c r="A43" s="190"/>
      <c r="F43" s="115"/>
      <c r="N43" s="136"/>
    </row>
    <row r="44" spans="1:17" ht="15">
      <c r="A44" s="187" t="s">
        <v>2096</v>
      </c>
      <c r="B44" s="8" t="s">
        <v>1532</v>
      </c>
      <c r="D44" s="174" t="s">
        <v>2097</v>
      </c>
      <c r="F44" s="115">
        <f>+F14+F20+F26+F32</f>
        <v>0</v>
      </c>
      <c r="H44" s="192">
        <f>IF(F44=0,0,APPV!J30)</f>
        <v>0</v>
      </c>
      <c r="J44" s="115">
        <f>+J14+J20+J26+J32</f>
        <v>0</v>
      </c>
      <c r="M44" s="225">
        <f>IF(F44=0,0,J44/F44)</f>
        <v>0</v>
      </c>
      <c r="N44" s="507">
        <f>F44*H44</f>
        <v>0</v>
      </c>
      <c r="P44" s="193">
        <f>H44-M44</f>
        <v>0</v>
      </c>
      <c r="Q44" s="776">
        <f>J44-N44</f>
        <v>0</v>
      </c>
    </row>
    <row r="45" spans="1:17" ht="15">
      <c r="A45" s="187" t="s">
        <v>2098</v>
      </c>
      <c r="B45" s="8" t="s">
        <v>1533</v>
      </c>
      <c r="D45" s="174" t="s">
        <v>2099</v>
      </c>
      <c r="F45" s="115">
        <f>+F8+F21+F27+F33</f>
        <v>106577</v>
      </c>
      <c r="H45" s="192">
        <f>IF(F45=0,0,APPV!J31)</f>
        <v>28.381</v>
      </c>
      <c r="J45" s="115">
        <f>+J8+J21+J27+J33</f>
        <v>3024762</v>
      </c>
      <c r="M45" s="225">
        <f>IF(F45=0,0,J45/F45)</f>
        <v>28.38100152941066</v>
      </c>
      <c r="N45" s="507">
        <f>F45*H45</f>
        <v>3024761.837</v>
      </c>
      <c r="P45" s="193">
        <f>H45-M45</f>
        <v>-1.529410660339181E-06</v>
      </c>
      <c r="Q45" s="776">
        <f>J45-N45</f>
        <v>0.16300000017508864</v>
      </c>
    </row>
    <row r="46" spans="1:17" ht="15">
      <c r="A46" s="187" t="s">
        <v>2100</v>
      </c>
      <c r="B46" s="8" t="s">
        <v>1534</v>
      </c>
      <c r="D46" s="174" t="s">
        <v>2101</v>
      </c>
      <c r="F46" s="115">
        <f>+F9+F15+F28+F34</f>
        <v>579542</v>
      </c>
      <c r="H46" s="192">
        <f>IF(F46=0,0,APPV!J32)</f>
        <v>21.255</v>
      </c>
      <c r="J46" s="115">
        <f>+J9+J15+J28+J34</f>
        <v>12318168</v>
      </c>
      <c r="M46" s="225">
        <f>IF(F46=0,0,J46/F46)</f>
        <v>21.255004814146343</v>
      </c>
      <c r="N46" s="507">
        <f>F46*H46</f>
        <v>12318165.209999999</v>
      </c>
      <c r="P46" s="193">
        <f>H46-M46</f>
        <v>-4.814146343790071E-06</v>
      </c>
      <c r="Q46" s="776">
        <f>J46-N46</f>
        <v>2.7900000009685755</v>
      </c>
    </row>
    <row r="47" spans="1:17" ht="15">
      <c r="A47" s="187" t="s">
        <v>2102</v>
      </c>
      <c r="B47" s="8" t="s">
        <v>1536</v>
      </c>
      <c r="D47" s="174" t="s">
        <v>2103</v>
      </c>
      <c r="F47" s="115">
        <f>+F10+F16+F22+F35</f>
        <v>1271432</v>
      </c>
      <c r="H47" s="192">
        <f>IF(F47=0,0,APPV!J33)</f>
        <v>25.266</v>
      </c>
      <c r="J47" s="115">
        <f>+J10+J16+J22+J35</f>
        <v>32124004</v>
      </c>
      <c r="M47" s="225">
        <f>IF(F47=0,0,J47/F47)</f>
        <v>25.266002428757496</v>
      </c>
      <c r="N47" s="507">
        <f>F47*H47</f>
        <v>32124000.911999997</v>
      </c>
      <c r="P47" s="193">
        <f>H47-M47</f>
        <v>-2.428757497341394E-06</v>
      </c>
      <c r="Q47" s="776">
        <f>J47-N47</f>
        <v>3.088000003248453</v>
      </c>
    </row>
    <row r="48" spans="1:17" ht="15">
      <c r="A48" s="187" t="s">
        <v>2104</v>
      </c>
      <c r="B48" s="8" t="s">
        <v>1537</v>
      </c>
      <c r="D48" s="174" t="s">
        <v>2105</v>
      </c>
      <c r="F48" s="144">
        <f>+F11+F17+F23+F29</f>
        <v>0</v>
      </c>
      <c r="H48" s="197">
        <f>IF(F48=0,0,APPV!J34)</f>
        <v>0</v>
      </c>
      <c r="J48" s="144">
        <f>+J11+J17+J23+J29</f>
        <v>0</v>
      </c>
      <c r="M48" s="225">
        <f>IF(F48=0,0,J48/F48)</f>
        <v>0</v>
      </c>
      <c r="N48" s="507">
        <f>F48*H48</f>
        <v>0</v>
      </c>
      <c r="P48" s="193">
        <f>H48-M48</f>
        <v>0</v>
      </c>
      <c r="Q48" s="776">
        <f>J48-N48</f>
        <v>0</v>
      </c>
    </row>
    <row r="49" spans="1:10" ht="15">
      <c r="A49" s="187"/>
      <c r="F49" s="115"/>
      <c r="J49" s="115"/>
    </row>
    <row r="50" spans="1:10" ht="16.5">
      <c r="A50" s="187" t="s">
        <v>2106</v>
      </c>
      <c r="B50" s="145" t="s">
        <v>2107</v>
      </c>
      <c r="F50" s="115">
        <f>SUM(F44:F49)</f>
        <v>1957551</v>
      </c>
      <c r="H50" s="192">
        <f>IF(F50=0,0,J50/F50)</f>
        <v>24.248121249459146</v>
      </c>
      <c r="J50" s="115">
        <f>SUM(J44:J49)</f>
        <v>47466934</v>
      </c>
    </row>
    <row r="51" spans="1:10" ht="16.5">
      <c r="A51" s="187"/>
      <c r="B51" s="145"/>
      <c r="F51" s="115"/>
      <c r="J51" s="115"/>
    </row>
    <row r="52" ht="15">
      <c r="A52" s="190"/>
    </row>
    <row r="53" ht="15">
      <c r="A53" s="8" t="s">
        <v>407</v>
      </c>
    </row>
    <row r="54" ht="15">
      <c r="A54" s="141" t="s">
        <v>418</v>
      </c>
    </row>
    <row r="55" ht="15">
      <c r="A55" s="141" t="s">
        <v>399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14.28125" style="8" customWidth="1"/>
    <col min="3" max="3" width="9.140625" style="8" customWidth="1"/>
    <col min="4" max="4" width="14.140625" style="8" customWidth="1"/>
    <col min="5" max="5" width="9.140625" style="8" customWidth="1"/>
    <col min="6" max="6" width="10.8515625" style="8" bestFit="1" customWidth="1"/>
    <col min="7" max="7" width="9.140625" style="8" customWidth="1"/>
    <col min="8" max="8" width="9.28125" style="8" customWidth="1"/>
    <col min="9" max="9" width="9.140625" style="8" customWidth="1"/>
    <col min="10" max="10" width="12.00390625" style="8" bestFit="1" customWidth="1"/>
    <col min="11" max="12" width="9.140625" style="8" customWidth="1"/>
    <col min="13" max="13" width="8.00390625" style="8" bestFit="1" customWidth="1"/>
    <col min="14" max="14" width="12.7109375" style="8" bestFit="1" customWidth="1"/>
    <col min="15" max="15" width="1.7109375" style="8" customWidth="1"/>
    <col min="16" max="16" width="8.421875" style="8" bestFit="1" customWidth="1"/>
    <col min="17" max="17" width="10.140625" style="8" bestFit="1" customWidth="1"/>
    <col min="18" max="16384" width="9.140625" style="8" customWidth="1"/>
  </cols>
  <sheetData>
    <row r="1" spans="2:10" ht="16.5">
      <c r="B1" s="145" t="s">
        <v>2108</v>
      </c>
      <c r="G1" s="145" t="s">
        <v>1729</v>
      </c>
      <c r="I1" s="137" t="str">
        <f>+INPUT!C1</f>
        <v>February 2009</v>
      </c>
      <c r="J1" s="136"/>
    </row>
    <row r="2" ht="16.5">
      <c r="B2" s="145" t="s">
        <v>2109</v>
      </c>
    </row>
    <row r="3" ht="16.5">
      <c r="E3" s="136" t="s">
        <v>1529</v>
      </c>
    </row>
    <row r="4" spans="8:10" ht="16.5">
      <c r="H4" s="138"/>
      <c r="I4" s="139" t="s">
        <v>2050</v>
      </c>
      <c r="J4" s="138"/>
    </row>
    <row r="5" spans="2:10" ht="16.5">
      <c r="B5" s="136" t="s">
        <v>2051</v>
      </c>
      <c r="C5" s="136"/>
      <c r="D5" s="136" t="s">
        <v>2052</v>
      </c>
      <c r="E5" s="136"/>
      <c r="F5" s="136"/>
      <c r="G5" s="136"/>
      <c r="H5" s="136" t="s">
        <v>1529</v>
      </c>
      <c r="I5" s="136"/>
      <c r="J5" s="136" t="s">
        <v>1528</v>
      </c>
    </row>
    <row r="6" spans="2:10" ht="16.5">
      <c r="B6" s="139" t="s">
        <v>1736</v>
      </c>
      <c r="C6" s="136"/>
      <c r="D6" s="139" t="s">
        <v>1736</v>
      </c>
      <c r="E6" s="136"/>
      <c r="F6" s="139" t="s">
        <v>1606</v>
      </c>
      <c r="G6" s="136"/>
      <c r="H6" s="139" t="s">
        <v>2053</v>
      </c>
      <c r="I6" s="136"/>
      <c r="J6" s="140" t="s">
        <v>1731</v>
      </c>
    </row>
    <row r="8" spans="1:10" ht="15">
      <c r="A8" s="187" t="s">
        <v>2054</v>
      </c>
      <c r="B8" s="8" t="s">
        <v>1533</v>
      </c>
      <c r="D8" s="174" t="s">
        <v>1532</v>
      </c>
      <c r="F8" s="116">
        <f>INPUT!L68</f>
        <v>56057</v>
      </c>
      <c r="H8" s="188">
        <f>IF(F8=0,0,J8/F8)</f>
        <v>26.932996771143657</v>
      </c>
      <c r="J8" s="116">
        <f>+INPUT!O68</f>
        <v>1509783</v>
      </c>
    </row>
    <row r="9" spans="1:10" ht="15">
      <c r="A9" s="187" t="s">
        <v>2055</v>
      </c>
      <c r="B9" s="8" t="s">
        <v>1534</v>
      </c>
      <c r="D9" s="174" t="s">
        <v>1532</v>
      </c>
      <c r="F9" s="116">
        <f>INPUT!L69</f>
        <v>318158</v>
      </c>
      <c r="H9" s="188">
        <f aca="true" t="shared" si="0" ref="H9:H26">IF(F9=0,0,J9/F9)</f>
        <v>18.21300108750998</v>
      </c>
      <c r="J9" s="116">
        <f>+INPUT!O69</f>
        <v>5794612</v>
      </c>
    </row>
    <row r="10" spans="1:10" ht="15">
      <c r="A10" s="187" t="s">
        <v>2056</v>
      </c>
      <c r="B10" s="8" t="s">
        <v>1536</v>
      </c>
      <c r="D10" s="174" t="s">
        <v>1532</v>
      </c>
      <c r="F10" s="116">
        <f>INPUT!L70</f>
        <v>701996</v>
      </c>
      <c r="H10" s="188">
        <f t="shared" si="0"/>
        <v>22.77200012535684</v>
      </c>
      <c r="J10" s="116">
        <f>+INPUT!O70</f>
        <v>15985853</v>
      </c>
    </row>
    <row r="11" spans="1:10" ht="15">
      <c r="A11" s="187" t="s">
        <v>2057</v>
      </c>
      <c r="B11" s="8" t="s">
        <v>1537</v>
      </c>
      <c r="D11" s="174" t="s">
        <v>1532</v>
      </c>
      <c r="F11" s="143">
        <f>INPUT!L71</f>
        <v>0</v>
      </c>
      <c r="H11" s="189">
        <f t="shared" si="0"/>
        <v>0</v>
      </c>
      <c r="J11" s="143">
        <f>+INPUT!O71</f>
        <v>0</v>
      </c>
    </row>
    <row r="12" spans="1:10" ht="15">
      <c r="A12" s="187" t="s">
        <v>2058</v>
      </c>
      <c r="B12" s="8" t="s">
        <v>1642</v>
      </c>
      <c r="D12" s="174" t="s">
        <v>1532</v>
      </c>
      <c r="F12" s="116">
        <f>SUM(F8:F11)</f>
        <v>1076211</v>
      </c>
      <c r="H12" s="188">
        <f t="shared" si="0"/>
        <v>21.640968174456496</v>
      </c>
      <c r="J12" s="116">
        <f>SUM(J8:J11)</f>
        <v>23290248</v>
      </c>
    </row>
    <row r="13" spans="1:10" ht="15">
      <c r="A13" s="190"/>
      <c r="D13" s="174"/>
      <c r="F13" s="115"/>
      <c r="H13" s="191"/>
      <c r="J13" s="115"/>
    </row>
    <row r="14" spans="1:10" ht="15">
      <c r="A14" s="187" t="s">
        <v>2059</v>
      </c>
      <c r="B14" s="8" t="s">
        <v>1532</v>
      </c>
      <c r="D14" s="174" t="s">
        <v>1533</v>
      </c>
      <c r="F14" s="116">
        <f>INPUT!L73</f>
        <v>0</v>
      </c>
      <c r="H14" s="188">
        <f t="shared" si="0"/>
        <v>0</v>
      </c>
      <c r="J14" s="116">
        <f>+INPUT!O73</f>
        <v>0</v>
      </c>
    </row>
    <row r="15" spans="1:10" ht="15">
      <c r="A15" s="187" t="s">
        <v>2060</v>
      </c>
      <c r="B15" s="8" t="s">
        <v>1534</v>
      </c>
      <c r="D15" s="174" t="s">
        <v>1533</v>
      </c>
      <c r="F15" s="116">
        <f>INPUT!L74</f>
        <v>2425</v>
      </c>
      <c r="H15" s="188">
        <f t="shared" si="0"/>
        <v>18.21278350515464</v>
      </c>
      <c r="J15" s="116">
        <f>+INPUT!O74</f>
        <v>44166</v>
      </c>
    </row>
    <row r="16" spans="1:10" ht="15">
      <c r="A16" s="187" t="s">
        <v>2061</v>
      </c>
      <c r="B16" s="8" t="s">
        <v>1536</v>
      </c>
      <c r="D16" s="174" t="s">
        <v>1533</v>
      </c>
      <c r="F16" s="116">
        <f>INPUT!L75</f>
        <v>5488</v>
      </c>
      <c r="H16" s="188">
        <f t="shared" si="0"/>
        <v>22.77186588921283</v>
      </c>
      <c r="J16" s="116">
        <f>+INPUT!O75</f>
        <v>124972</v>
      </c>
    </row>
    <row r="17" spans="1:10" ht="15">
      <c r="A17" s="187" t="s">
        <v>2062</v>
      </c>
      <c r="B17" s="8" t="s">
        <v>1537</v>
      </c>
      <c r="D17" s="174" t="s">
        <v>1533</v>
      </c>
      <c r="F17" s="143">
        <f>INPUT!L76</f>
        <v>0</v>
      </c>
      <c r="H17" s="189">
        <f t="shared" si="0"/>
        <v>0</v>
      </c>
      <c r="J17" s="143">
        <f>+INPUT!O76</f>
        <v>0</v>
      </c>
    </row>
    <row r="18" spans="1:10" ht="15">
      <c r="A18" s="187" t="s">
        <v>2063</v>
      </c>
      <c r="B18" s="8" t="s">
        <v>1642</v>
      </c>
      <c r="D18" s="174" t="s">
        <v>1533</v>
      </c>
      <c r="F18" s="116">
        <f>SUM(F14:F17)</f>
        <v>7913</v>
      </c>
      <c r="H18" s="188">
        <f t="shared" si="0"/>
        <v>21.374699860988247</v>
      </c>
      <c r="J18" s="116">
        <f>SUM(J14:J17)</f>
        <v>169138</v>
      </c>
    </row>
    <row r="19" spans="1:10" ht="15">
      <c r="A19" s="190"/>
      <c r="D19" s="174"/>
      <c r="F19" s="116"/>
      <c r="H19" s="192" t="s">
        <v>1529</v>
      </c>
      <c r="J19" s="116"/>
    </row>
    <row r="20" spans="1:10" ht="15">
      <c r="A20" s="187" t="s">
        <v>2064</v>
      </c>
      <c r="B20" s="8" t="s">
        <v>1532</v>
      </c>
      <c r="D20" s="174" t="s">
        <v>1534</v>
      </c>
      <c r="F20" s="116">
        <f>INPUT!L78</f>
        <v>0</v>
      </c>
      <c r="H20" s="188">
        <f t="shared" si="0"/>
        <v>0</v>
      </c>
      <c r="J20" s="116">
        <f>+INPUT!O78</f>
        <v>0</v>
      </c>
    </row>
    <row r="21" spans="1:10" ht="15">
      <c r="A21" s="187" t="s">
        <v>2065</v>
      </c>
      <c r="B21" s="8" t="s">
        <v>1533</v>
      </c>
      <c r="D21" s="174" t="s">
        <v>1534</v>
      </c>
      <c r="F21" s="116">
        <f>INPUT!L79</f>
        <v>2</v>
      </c>
      <c r="H21" s="188">
        <f t="shared" si="0"/>
        <v>26.5</v>
      </c>
      <c r="J21" s="116">
        <f>+INPUT!O79</f>
        <v>53</v>
      </c>
    </row>
    <row r="22" spans="1:10" ht="15">
      <c r="A22" s="187" t="s">
        <v>2066</v>
      </c>
      <c r="B22" s="8" t="s">
        <v>1536</v>
      </c>
      <c r="D22" s="174" t="s">
        <v>1534</v>
      </c>
      <c r="F22" s="116">
        <f>INPUT!L80</f>
        <v>32</v>
      </c>
      <c r="H22" s="188">
        <f t="shared" si="0"/>
        <v>22.75</v>
      </c>
      <c r="J22" s="116">
        <f>+INPUT!O80</f>
        <v>728</v>
      </c>
    </row>
    <row r="23" spans="1:10" ht="15">
      <c r="A23" s="187" t="s">
        <v>2067</v>
      </c>
      <c r="B23" s="8" t="s">
        <v>1537</v>
      </c>
      <c r="D23" s="174" t="s">
        <v>1534</v>
      </c>
      <c r="F23" s="143">
        <f>INPUT!L81</f>
        <v>0</v>
      </c>
      <c r="H23" s="189">
        <f t="shared" si="0"/>
        <v>0</v>
      </c>
      <c r="J23" s="143">
        <f>+INPUT!O81</f>
        <v>0</v>
      </c>
    </row>
    <row r="24" spans="1:10" ht="15">
      <c r="A24" s="187" t="s">
        <v>2068</v>
      </c>
      <c r="B24" s="8" t="s">
        <v>1642</v>
      </c>
      <c r="D24" s="174" t="s">
        <v>1534</v>
      </c>
      <c r="F24" s="116">
        <f>SUM(F20:F23)</f>
        <v>34</v>
      </c>
      <c r="H24" s="188">
        <f t="shared" si="0"/>
        <v>22.970588235294116</v>
      </c>
      <c r="J24" s="116">
        <f>SUM(J20:J23)</f>
        <v>781</v>
      </c>
    </row>
    <row r="25" spans="1:10" ht="15">
      <c r="A25" s="190"/>
      <c r="D25" s="174"/>
      <c r="F25" s="115"/>
      <c r="H25" s="192" t="s">
        <v>1529</v>
      </c>
      <c r="J25" s="115"/>
    </row>
    <row r="26" spans="1:10" ht="15">
      <c r="A26" s="187" t="s">
        <v>2069</v>
      </c>
      <c r="B26" s="8" t="s">
        <v>1532</v>
      </c>
      <c r="D26" s="174" t="s">
        <v>1536</v>
      </c>
      <c r="F26" s="116">
        <f>INPUT!L83</f>
        <v>0</v>
      </c>
      <c r="H26" s="188">
        <f t="shared" si="0"/>
        <v>0</v>
      </c>
      <c r="J26" s="116">
        <f>+INPUT!O83</f>
        <v>0</v>
      </c>
    </row>
    <row r="27" spans="1:10" ht="15">
      <c r="A27" s="187" t="s">
        <v>2070</v>
      </c>
      <c r="B27" s="8" t="s">
        <v>1533</v>
      </c>
      <c r="D27" s="174" t="s">
        <v>1536</v>
      </c>
      <c r="F27" s="116">
        <f>INPUT!L84</f>
        <v>0</v>
      </c>
      <c r="H27" s="188">
        <f aca="true" t="shared" si="1" ref="H27:H36">IF(F27=0,0,J27/F27)</f>
        <v>0</v>
      </c>
      <c r="J27" s="116">
        <f>+INPUT!O84</f>
        <v>0</v>
      </c>
    </row>
    <row r="28" spans="1:10" ht="15">
      <c r="A28" s="187" t="s">
        <v>2071</v>
      </c>
      <c r="B28" s="8" t="s">
        <v>1534</v>
      </c>
      <c r="D28" s="174" t="s">
        <v>1536</v>
      </c>
      <c r="F28" s="116">
        <f>INPUT!L85</f>
        <v>0</v>
      </c>
      <c r="H28" s="188">
        <f t="shared" si="1"/>
        <v>0</v>
      </c>
      <c r="J28" s="116">
        <f>+INPUT!O85</f>
        <v>0</v>
      </c>
    </row>
    <row r="29" spans="1:10" ht="15">
      <c r="A29" s="187" t="s">
        <v>2072</v>
      </c>
      <c r="B29" s="8" t="s">
        <v>1537</v>
      </c>
      <c r="D29" s="174" t="s">
        <v>1536</v>
      </c>
      <c r="F29" s="143">
        <f>INPUT!L86</f>
        <v>0</v>
      </c>
      <c r="H29" s="189">
        <f t="shared" si="1"/>
        <v>0</v>
      </c>
      <c r="J29" s="143">
        <f>+INPUT!O86</f>
        <v>0</v>
      </c>
    </row>
    <row r="30" spans="1:10" ht="15">
      <c r="A30" s="187" t="s">
        <v>2073</v>
      </c>
      <c r="B30" s="8" t="s">
        <v>1642</v>
      </c>
      <c r="D30" s="174" t="s">
        <v>1536</v>
      </c>
      <c r="F30" s="116">
        <f>SUM(F26:F29)</f>
        <v>0</v>
      </c>
      <c r="H30" s="188">
        <f t="shared" si="1"/>
        <v>0</v>
      </c>
      <c r="J30" s="116">
        <f>SUM(J26:J29)</f>
        <v>0</v>
      </c>
    </row>
    <row r="31" spans="1:10" ht="15">
      <c r="A31" s="190"/>
      <c r="D31" s="174"/>
      <c r="F31" s="115"/>
      <c r="H31" s="192" t="s">
        <v>1529</v>
      </c>
      <c r="J31" s="115"/>
    </row>
    <row r="32" spans="1:10" ht="15">
      <c r="A32" s="187" t="s">
        <v>2074</v>
      </c>
      <c r="B32" s="8" t="s">
        <v>1532</v>
      </c>
      <c r="D32" s="174" t="s">
        <v>1537</v>
      </c>
      <c r="F32" s="116">
        <f>INPUT!L88</f>
        <v>0</v>
      </c>
      <c r="H32" s="188">
        <f t="shared" si="1"/>
        <v>0</v>
      </c>
      <c r="J32" s="116">
        <f>+INPUT!O88</f>
        <v>0</v>
      </c>
    </row>
    <row r="33" spans="1:10" ht="15">
      <c r="A33" s="187" t="s">
        <v>2075</v>
      </c>
      <c r="B33" s="8" t="s">
        <v>1533</v>
      </c>
      <c r="D33" s="174" t="s">
        <v>1537</v>
      </c>
      <c r="F33" s="116">
        <f>INPUT!L89</f>
        <v>50518</v>
      </c>
      <c r="H33" s="188">
        <f t="shared" si="1"/>
        <v>26.932994180292173</v>
      </c>
      <c r="J33" s="116">
        <f>+INPUT!O89</f>
        <v>1360601</v>
      </c>
    </row>
    <row r="34" spans="1:10" ht="15">
      <c r="A34" s="187" t="s">
        <v>2081</v>
      </c>
      <c r="B34" s="8" t="s">
        <v>1534</v>
      </c>
      <c r="D34" s="174" t="s">
        <v>1537</v>
      </c>
      <c r="F34" s="116">
        <f>INPUT!L90</f>
        <v>258959</v>
      </c>
      <c r="H34" s="188">
        <f t="shared" si="1"/>
        <v>18.212998968948753</v>
      </c>
      <c r="J34" s="116">
        <f>+INPUT!O90</f>
        <v>4716420</v>
      </c>
    </row>
    <row r="35" spans="1:10" ht="15">
      <c r="A35" s="187" t="s">
        <v>2082</v>
      </c>
      <c r="B35" s="8" t="s">
        <v>1536</v>
      </c>
      <c r="D35" s="174" t="s">
        <v>1537</v>
      </c>
      <c r="F35" s="143">
        <f>INPUT!L91</f>
        <v>563916</v>
      </c>
      <c r="H35" s="189">
        <f t="shared" si="1"/>
        <v>22.771999730456308</v>
      </c>
      <c r="J35" s="143">
        <f>+INPUT!O91</f>
        <v>12841495</v>
      </c>
    </row>
    <row r="36" spans="1:10" ht="15">
      <c r="A36" s="187" t="s">
        <v>2090</v>
      </c>
      <c r="B36" s="8" t="s">
        <v>1642</v>
      </c>
      <c r="D36" s="174" t="s">
        <v>1537</v>
      </c>
      <c r="F36" s="116">
        <f>SUM(F32:F35)</f>
        <v>873393</v>
      </c>
      <c r="H36" s="188">
        <f t="shared" si="1"/>
        <v>21.660943011908728</v>
      </c>
      <c r="J36" s="116">
        <f>SUM(J32:J35)</f>
        <v>18918516</v>
      </c>
    </row>
    <row r="37" spans="1:10" ht="15">
      <c r="A37" s="187"/>
      <c r="D37" s="174"/>
      <c r="F37" s="115"/>
      <c r="H37" s="192" t="s">
        <v>1529</v>
      </c>
      <c r="J37" s="115"/>
    </row>
    <row r="38" spans="1:10" ht="16.5">
      <c r="A38" s="187" t="s">
        <v>2091</v>
      </c>
      <c r="B38" s="145" t="s">
        <v>2092</v>
      </c>
      <c r="F38" s="115">
        <f>+F12+F18+F24+F30+F36</f>
        <v>1957551</v>
      </c>
      <c r="H38" s="188">
        <f>IF(F38=0,0,J38/F38)</f>
        <v>21.648827029283016</v>
      </c>
      <c r="J38" s="115">
        <f>+J12+J18+J24+J30+J36</f>
        <v>42378683</v>
      </c>
    </row>
    <row r="39" spans="1:8" ht="15">
      <c r="A39" s="190"/>
      <c r="F39" s="115"/>
      <c r="H39" s="193"/>
    </row>
    <row r="40" spans="1:10" ht="16.5">
      <c r="A40" s="190"/>
      <c r="B40" s="136" t="s">
        <v>1642</v>
      </c>
      <c r="F40" s="115"/>
      <c r="H40" s="194"/>
      <c r="I40" s="139" t="s">
        <v>2093</v>
      </c>
      <c r="J40" s="138"/>
    </row>
    <row r="41" spans="1:17" ht="16.5">
      <c r="A41" s="190"/>
      <c r="B41" s="136" t="s">
        <v>1553</v>
      </c>
      <c r="F41" s="115"/>
      <c r="H41" s="195" t="s">
        <v>1529</v>
      </c>
      <c r="J41" s="136" t="s">
        <v>1530</v>
      </c>
      <c r="M41" s="136" t="s">
        <v>2053</v>
      </c>
      <c r="N41" s="136" t="s">
        <v>415</v>
      </c>
      <c r="O41" s="136"/>
      <c r="P41" s="136" t="s">
        <v>2053</v>
      </c>
      <c r="Q41" s="136" t="s">
        <v>415</v>
      </c>
    </row>
    <row r="42" spans="1:17" ht="16.5">
      <c r="A42" s="190"/>
      <c r="B42" s="139" t="s">
        <v>2094</v>
      </c>
      <c r="D42" s="139" t="s">
        <v>2095</v>
      </c>
      <c r="F42" s="196" t="s">
        <v>1606</v>
      </c>
      <c r="H42" s="139" t="s">
        <v>2053</v>
      </c>
      <c r="J42" s="140" t="s">
        <v>1731</v>
      </c>
      <c r="M42" s="139" t="s">
        <v>416</v>
      </c>
      <c r="N42" s="139" t="s">
        <v>416</v>
      </c>
      <c r="O42" s="136"/>
      <c r="P42" s="139" t="s">
        <v>417</v>
      </c>
      <c r="Q42" s="139" t="s">
        <v>417</v>
      </c>
    </row>
    <row r="43" spans="1:14" ht="16.5">
      <c r="A43" s="190"/>
      <c r="F43" s="115"/>
      <c r="H43" s="193"/>
      <c r="N43" s="136"/>
    </row>
    <row r="44" spans="1:17" ht="15">
      <c r="A44" s="187" t="s">
        <v>2096</v>
      </c>
      <c r="B44" s="8" t="s">
        <v>1532</v>
      </c>
      <c r="D44" s="174" t="s">
        <v>2097</v>
      </c>
      <c r="F44" s="115">
        <f>+F14+F20+F26+F32</f>
        <v>0</v>
      </c>
      <c r="H44" s="188">
        <f aca="true" t="shared" si="2" ref="H44:H50">IF(F44=0,0,J44/F44)</f>
        <v>0</v>
      </c>
      <c r="J44" s="115">
        <f>+J14+J20+J26+J32</f>
        <v>0</v>
      </c>
      <c r="M44" s="225">
        <f>IF(F44=0,0,J44/F44)</f>
        <v>0</v>
      </c>
      <c r="N44" s="507">
        <f>F44*H44</f>
        <v>0</v>
      </c>
      <c r="P44" s="193">
        <f>H44-M44</f>
        <v>0</v>
      </c>
      <c r="Q44" s="776">
        <f>J44-N44</f>
        <v>0</v>
      </c>
    </row>
    <row r="45" spans="1:17" ht="15">
      <c r="A45" s="187" t="s">
        <v>2098</v>
      </c>
      <c r="B45" s="8" t="s">
        <v>1533</v>
      </c>
      <c r="D45" s="174" t="s">
        <v>2099</v>
      </c>
      <c r="F45" s="115">
        <f>+F8+F21+F27+F33</f>
        <v>106577</v>
      </c>
      <c r="H45" s="188">
        <f t="shared" si="2"/>
        <v>26.932987417547878</v>
      </c>
      <c r="J45" s="115">
        <f>+J8+J21+J27+J33</f>
        <v>2870437</v>
      </c>
      <c r="M45" s="225">
        <f>IF(F45=0,0,J45/F45)</f>
        <v>26.932987417547878</v>
      </c>
      <c r="N45" s="507">
        <f>F45*H45</f>
        <v>2870437</v>
      </c>
      <c r="P45" s="193">
        <f>H45-M45</f>
        <v>0</v>
      </c>
      <c r="Q45" s="776">
        <f>J45-N45</f>
        <v>0</v>
      </c>
    </row>
    <row r="46" spans="1:17" ht="15">
      <c r="A46" s="187" t="s">
        <v>2100</v>
      </c>
      <c r="B46" s="8" t="s">
        <v>1534</v>
      </c>
      <c r="D46" s="174" t="s">
        <v>2101</v>
      </c>
      <c r="F46" s="115">
        <f>+F9+F15+F28+F34</f>
        <v>579542</v>
      </c>
      <c r="H46" s="188">
        <f t="shared" si="2"/>
        <v>18.212999230426785</v>
      </c>
      <c r="J46" s="115">
        <f>+J9+J15+J28+J34</f>
        <v>10555198</v>
      </c>
      <c r="M46" s="225">
        <f>IF(F46=0,0,J46/F46)</f>
        <v>18.212999230426785</v>
      </c>
      <c r="N46" s="507">
        <f>F46*H46</f>
        <v>10555198</v>
      </c>
      <c r="P46" s="193">
        <f>H46-M46</f>
        <v>0</v>
      </c>
      <c r="Q46" s="776">
        <f>J46-N46</f>
        <v>0</v>
      </c>
    </row>
    <row r="47" spans="1:17" ht="15">
      <c r="A47" s="187" t="s">
        <v>2102</v>
      </c>
      <c r="B47" s="8" t="s">
        <v>1536</v>
      </c>
      <c r="D47" s="174" t="s">
        <v>2103</v>
      </c>
      <c r="F47" s="115">
        <f>+F10+F16+F22+F35</f>
        <v>1271432</v>
      </c>
      <c r="H47" s="188">
        <f t="shared" si="2"/>
        <v>22.77199881708184</v>
      </c>
      <c r="J47" s="115">
        <f>+J10+J16+J22+J35</f>
        <v>28953048</v>
      </c>
      <c r="M47" s="225">
        <f>IF(F47=0,0,J47/F47)</f>
        <v>22.77199881708184</v>
      </c>
      <c r="N47" s="507">
        <f>F47*H47</f>
        <v>28953048</v>
      </c>
      <c r="P47" s="193">
        <f>H47-M47</f>
        <v>0</v>
      </c>
      <c r="Q47" s="776">
        <f>J47-N47</f>
        <v>0</v>
      </c>
    </row>
    <row r="48" spans="1:17" ht="15">
      <c r="A48" s="187" t="s">
        <v>2104</v>
      </c>
      <c r="B48" s="8" t="s">
        <v>1537</v>
      </c>
      <c r="D48" s="174" t="s">
        <v>2105</v>
      </c>
      <c r="F48" s="144">
        <f>+F11+F17+F23+F29</f>
        <v>0</v>
      </c>
      <c r="H48" s="189">
        <f t="shared" si="2"/>
        <v>0</v>
      </c>
      <c r="J48" s="144">
        <f>+J11+J17+J23+J29</f>
        <v>0</v>
      </c>
      <c r="M48" s="225">
        <f>IF(F48=0,0,J48/F48)</f>
        <v>0</v>
      </c>
      <c r="N48" s="507">
        <f>F48*H48</f>
        <v>0</v>
      </c>
      <c r="P48" s="193">
        <f>H48-M48</f>
        <v>0</v>
      </c>
      <c r="Q48" s="776">
        <f>J48-N48</f>
        <v>0</v>
      </c>
    </row>
    <row r="49" spans="1:10" ht="15">
      <c r="A49" s="187"/>
      <c r="F49" s="115"/>
      <c r="H49" s="188" t="s">
        <v>1529</v>
      </c>
      <c r="J49" s="115"/>
    </row>
    <row r="50" spans="1:10" ht="16.5">
      <c r="A50" s="187" t="s">
        <v>2106</v>
      </c>
      <c r="B50" s="145" t="s">
        <v>2107</v>
      </c>
      <c r="F50" s="115">
        <f>SUM(F44:F49)</f>
        <v>1957551</v>
      </c>
      <c r="H50" s="188">
        <f t="shared" si="2"/>
        <v>21.648827029283016</v>
      </c>
      <c r="J50" s="115">
        <f>SUM(J44:J49)</f>
        <v>42378683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14.28125" style="8" customWidth="1"/>
    <col min="3" max="3" width="9.140625" style="8" customWidth="1"/>
    <col min="4" max="4" width="14.140625" style="8" customWidth="1"/>
    <col min="5" max="5" width="9.140625" style="8" customWidth="1"/>
    <col min="6" max="6" width="9.7109375" style="8" customWidth="1"/>
    <col min="7" max="7" width="9.140625" style="8" customWidth="1"/>
    <col min="8" max="8" width="9.28125" style="8" customWidth="1"/>
    <col min="9" max="9" width="9.140625" style="8" customWidth="1"/>
    <col min="10" max="10" width="10.421875" style="8" customWidth="1"/>
    <col min="11" max="12" width="9.140625" style="8" customWidth="1"/>
    <col min="13" max="13" width="8.00390625" style="8" bestFit="1" customWidth="1"/>
    <col min="14" max="14" width="10.140625" style="8" bestFit="1" customWidth="1"/>
    <col min="15" max="15" width="1.7109375" style="8" customWidth="1"/>
    <col min="16" max="16" width="8.421875" style="8" bestFit="1" customWidth="1"/>
    <col min="17" max="17" width="10.140625" style="8" bestFit="1" customWidth="1"/>
    <col min="18" max="16384" width="9.140625" style="8" customWidth="1"/>
  </cols>
  <sheetData>
    <row r="1" spans="2:10" ht="16.5">
      <c r="B1" s="145" t="s">
        <v>1729</v>
      </c>
      <c r="C1" s="137" t="str">
        <f>INPUT!C1</f>
        <v>February 2009</v>
      </c>
      <c r="J1" s="136" t="s">
        <v>2110</v>
      </c>
    </row>
    <row r="3" ht="16.5">
      <c r="E3" s="136" t="s">
        <v>2111</v>
      </c>
    </row>
    <row r="4" spans="8:10" ht="16.5">
      <c r="H4" s="138"/>
      <c r="I4" s="139" t="s">
        <v>2050</v>
      </c>
      <c r="J4" s="138"/>
    </row>
    <row r="5" spans="2:10" ht="16.5">
      <c r="B5" s="136" t="s">
        <v>2051</v>
      </c>
      <c r="C5" s="136"/>
      <c r="D5" s="136" t="s">
        <v>2052</v>
      </c>
      <c r="E5" s="136"/>
      <c r="F5" s="136"/>
      <c r="G5" s="136"/>
      <c r="H5" s="136" t="s">
        <v>1529</v>
      </c>
      <c r="I5" s="136"/>
      <c r="J5" s="136" t="s">
        <v>1528</v>
      </c>
    </row>
    <row r="6" spans="2:10" ht="16.5">
      <c r="B6" s="139" t="s">
        <v>1736</v>
      </c>
      <c r="C6" s="136"/>
      <c r="D6" s="139" t="s">
        <v>1736</v>
      </c>
      <c r="E6" s="136"/>
      <c r="F6" s="139" t="s">
        <v>1606</v>
      </c>
      <c r="G6" s="136"/>
      <c r="H6" s="139" t="s">
        <v>2053</v>
      </c>
      <c r="I6" s="136"/>
      <c r="J6" s="140" t="s">
        <v>1731</v>
      </c>
    </row>
    <row r="8" spans="1:10" ht="15">
      <c r="A8" s="187" t="s">
        <v>2054</v>
      </c>
      <c r="B8" s="8" t="s">
        <v>1533</v>
      </c>
      <c r="D8" s="174" t="s">
        <v>1532</v>
      </c>
      <c r="F8" s="116">
        <f>INPUT!R68</f>
        <v>0</v>
      </c>
      <c r="H8" s="188">
        <f>IF(F8=0,0,J8/F8)</f>
        <v>0</v>
      </c>
      <c r="J8" s="116">
        <f>INPUT!S68</f>
        <v>0</v>
      </c>
    </row>
    <row r="9" spans="1:10" ht="15">
      <c r="A9" s="187" t="s">
        <v>2055</v>
      </c>
      <c r="B9" s="8" t="s">
        <v>1534</v>
      </c>
      <c r="D9" s="174" t="s">
        <v>1532</v>
      </c>
      <c r="F9" s="116">
        <f>INPUT!R69</f>
        <v>0</v>
      </c>
      <c r="H9" s="188">
        <f>IF(F9=0,0,J9/F9)</f>
        <v>0</v>
      </c>
      <c r="J9" s="116">
        <f>INPUT!S69</f>
        <v>0</v>
      </c>
    </row>
    <row r="10" spans="1:10" ht="15">
      <c r="A10" s="187" t="s">
        <v>2056</v>
      </c>
      <c r="B10" s="8" t="s">
        <v>1536</v>
      </c>
      <c r="D10" s="174" t="s">
        <v>1532</v>
      </c>
      <c r="F10" s="34">
        <f>INPUT!R70</f>
        <v>0</v>
      </c>
      <c r="H10" s="188">
        <f>IF(F10=0,0,J10/F10)</f>
        <v>0</v>
      </c>
      <c r="J10" s="116">
        <f>INPUT!S70</f>
        <v>0</v>
      </c>
    </row>
    <row r="11" spans="1:10" ht="15">
      <c r="A11" s="187" t="s">
        <v>2057</v>
      </c>
      <c r="B11" s="8" t="s">
        <v>1537</v>
      </c>
      <c r="D11" s="174" t="s">
        <v>1532</v>
      </c>
      <c r="F11" s="143">
        <f>INPUT!R71</f>
        <v>0</v>
      </c>
      <c r="H11" s="189">
        <f>IF(F11=0,0,J11/F11)</f>
        <v>0</v>
      </c>
      <c r="J11" s="143">
        <f>INPUT!S71</f>
        <v>0</v>
      </c>
    </row>
    <row r="12" spans="1:10" ht="15">
      <c r="A12" s="187" t="s">
        <v>2058</v>
      </c>
      <c r="B12" s="8" t="s">
        <v>1642</v>
      </c>
      <c r="D12" s="174" t="s">
        <v>1532</v>
      </c>
      <c r="F12" s="116">
        <f>SUM(F8:F11)</f>
        <v>0</v>
      </c>
      <c r="H12" s="188">
        <f>IF(F12=0,0,J12/F12)</f>
        <v>0</v>
      </c>
      <c r="J12" s="116">
        <f>SUM(J8:J11)</f>
        <v>0</v>
      </c>
    </row>
    <row r="13" spans="1:10" ht="15">
      <c r="A13" s="190"/>
      <c r="D13" s="174"/>
      <c r="F13" s="115"/>
      <c r="H13" s="198"/>
      <c r="J13" s="116"/>
    </row>
    <row r="14" spans="1:10" ht="15">
      <c r="A14" s="187" t="s">
        <v>2059</v>
      </c>
      <c r="B14" s="8" t="s">
        <v>1532</v>
      </c>
      <c r="D14" s="174" t="s">
        <v>1533</v>
      </c>
      <c r="F14" s="115">
        <v>0</v>
      </c>
      <c r="H14" s="188">
        <f>IF(F14=0,0,J14/F14)</f>
        <v>0</v>
      </c>
      <c r="J14" s="115">
        <v>0</v>
      </c>
    </row>
    <row r="15" spans="1:10" ht="15">
      <c r="A15" s="187" t="s">
        <v>2060</v>
      </c>
      <c r="B15" s="8" t="s">
        <v>1534</v>
      </c>
      <c r="D15" s="174" t="s">
        <v>1533</v>
      </c>
      <c r="F15" s="115">
        <v>0</v>
      </c>
      <c r="H15" s="188">
        <f>IF(F15=0,0,J15/F15)</f>
        <v>0</v>
      </c>
      <c r="J15" s="115">
        <v>0</v>
      </c>
    </row>
    <row r="16" spans="1:10" ht="15">
      <c r="A16" s="187" t="s">
        <v>2061</v>
      </c>
      <c r="B16" s="8" t="s">
        <v>1536</v>
      </c>
      <c r="D16" s="174" t="s">
        <v>1533</v>
      </c>
      <c r="F16" s="115">
        <v>0</v>
      </c>
      <c r="H16" s="188">
        <f>IF(F16=0,0,J16/F16)</f>
        <v>0</v>
      </c>
      <c r="J16" s="115">
        <v>0</v>
      </c>
    </row>
    <row r="17" spans="1:10" ht="15">
      <c r="A17" s="187" t="s">
        <v>2062</v>
      </c>
      <c r="B17" s="8" t="s">
        <v>1537</v>
      </c>
      <c r="D17" s="174" t="s">
        <v>1533</v>
      </c>
      <c r="F17" s="144">
        <v>0</v>
      </c>
      <c r="H17" s="189">
        <f>IF(F17=0,0,J17/F17)</f>
        <v>0</v>
      </c>
      <c r="J17" s="144">
        <v>0</v>
      </c>
    </row>
    <row r="18" spans="1:10" ht="15">
      <c r="A18" s="187" t="s">
        <v>2063</v>
      </c>
      <c r="B18" s="8" t="s">
        <v>1642</v>
      </c>
      <c r="D18" s="174" t="s">
        <v>1533</v>
      </c>
      <c r="F18" s="115">
        <f>SUM(F14:F17)</f>
        <v>0</v>
      </c>
      <c r="H18" s="188">
        <f>IF(F18=0,0,J18/F18)</f>
        <v>0</v>
      </c>
      <c r="J18" s="115">
        <f>SUM(J14:J17)</f>
        <v>0</v>
      </c>
    </row>
    <row r="19" spans="1:10" ht="15">
      <c r="A19" s="190"/>
      <c r="D19" s="174"/>
      <c r="F19" s="115"/>
      <c r="H19" s="198"/>
      <c r="J19" s="115"/>
    </row>
    <row r="20" spans="1:10" ht="15">
      <c r="A20" s="187" t="s">
        <v>2064</v>
      </c>
      <c r="B20" s="8" t="s">
        <v>1532</v>
      </c>
      <c r="D20" s="174" t="s">
        <v>1534</v>
      </c>
      <c r="F20" s="115">
        <v>0</v>
      </c>
      <c r="H20" s="188">
        <f>IF(F20=0,0,J20/F20)</f>
        <v>0</v>
      </c>
      <c r="J20" s="115">
        <v>0</v>
      </c>
    </row>
    <row r="21" spans="1:10" ht="15">
      <c r="A21" s="187" t="s">
        <v>2065</v>
      </c>
      <c r="B21" s="8" t="s">
        <v>1533</v>
      </c>
      <c r="D21" s="174" t="s">
        <v>1534</v>
      </c>
      <c r="F21" s="115">
        <v>0</v>
      </c>
      <c r="H21" s="188">
        <f>IF(F21=0,0,J21/F21)</f>
        <v>0</v>
      </c>
      <c r="J21" s="115">
        <v>0</v>
      </c>
    </row>
    <row r="22" spans="1:10" ht="15">
      <c r="A22" s="187" t="s">
        <v>2066</v>
      </c>
      <c r="B22" s="8" t="s">
        <v>1536</v>
      </c>
      <c r="D22" s="174" t="s">
        <v>1534</v>
      </c>
      <c r="F22" s="115">
        <v>0</v>
      </c>
      <c r="H22" s="188">
        <f>IF(F22=0,0,J22/F22)</f>
        <v>0</v>
      </c>
      <c r="J22" s="115">
        <v>0</v>
      </c>
    </row>
    <row r="23" spans="1:10" ht="15">
      <c r="A23" s="187" t="s">
        <v>2067</v>
      </c>
      <c r="B23" s="8" t="s">
        <v>1537</v>
      </c>
      <c r="D23" s="174" t="s">
        <v>1534</v>
      </c>
      <c r="F23" s="144">
        <v>0</v>
      </c>
      <c r="H23" s="189">
        <f>IF(F23=0,0,J23/F23)</f>
        <v>0</v>
      </c>
      <c r="J23" s="144">
        <v>0</v>
      </c>
    </row>
    <row r="24" spans="1:10" ht="15">
      <c r="A24" s="187" t="s">
        <v>2068</v>
      </c>
      <c r="B24" s="8" t="s">
        <v>1642</v>
      </c>
      <c r="D24" s="174" t="s">
        <v>1534</v>
      </c>
      <c r="F24" s="115">
        <f>SUM(F20:F23)</f>
        <v>0</v>
      </c>
      <c r="H24" s="188">
        <f>IF(F24=0,0,J24/F24)</f>
        <v>0</v>
      </c>
      <c r="J24" s="115">
        <f>SUM(J20:J23)</f>
        <v>0</v>
      </c>
    </row>
    <row r="25" spans="1:10" ht="15">
      <c r="A25" s="190"/>
      <c r="D25" s="174"/>
      <c r="F25" s="115"/>
      <c r="H25" s="198"/>
      <c r="J25" s="115"/>
    </row>
    <row r="26" spans="1:10" ht="15">
      <c r="A26" s="187" t="s">
        <v>2069</v>
      </c>
      <c r="B26" s="8" t="s">
        <v>1532</v>
      </c>
      <c r="D26" s="174" t="s">
        <v>1536</v>
      </c>
      <c r="F26" s="115">
        <v>0</v>
      </c>
      <c r="H26" s="188">
        <f>IF(F26=0,0,J26/F26)</f>
        <v>0</v>
      </c>
      <c r="J26" s="115">
        <v>0</v>
      </c>
    </row>
    <row r="27" spans="1:10" ht="15">
      <c r="A27" s="187" t="s">
        <v>2070</v>
      </c>
      <c r="B27" s="8" t="s">
        <v>1533</v>
      </c>
      <c r="D27" s="174" t="s">
        <v>1536</v>
      </c>
      <c r="F27" s="115">
        <v>0</v>
      </c>
      <c r="H27" s="188">
        <f>IF(F27=0,0,J27/F27)</f>
        <v>0</v>
      </c>
      <c r="J27" s="115">
        <v>0</v>
      </c>
    </row>
    <row r="28" spans="1:10" ht="15">
      <c r="A28" s="187" t="s">
        <v>2071</v>
      </c>
      <c r="B28" s="8" t="s">
        <v>1534</v>
      </c>
      <c r="D28" s="174" t="s">
        <v>1536</v>
      </c>
      <c r="F28" s="115">
        <v>0</v>
      </c>
      <c r="H28" s="188">
        <f>IF(F28=0,0,J28/F28)</f>
        <v>0</v>
      </c>
      <c r="J28" s="115">
        <v>0</v>
      </c>
    </row>
    <row r="29" spans="1:10" ht="15">
      <c r="A29" s="187" t="s">
        <v>2072</v>
      </c>
      <c r="B29" s="8" t="s">
        <v>1537</v>
      </c>
      <c r="D29" s="174" t="s">
        <v>1536</v>
      </c>
      <c r="F29" s="144">
        <v>0</v>
      </c>
      <c r="H29" s="189">
        <f>IF(F29=0,0,J29/F29)</f>
        <v>0</v>
      </c>
      <c r="J29" s="144">
        <v>0</v>
      </c>
    </row>
    <row r="30" spans="1:10" ht="15">
      <c r="A30" s="187" t="s">
        <v>2073</v>
      </c>
      <c r="B30" s="8" t="s">
        <v>1642</v>
      </c>
      <c r="D30" s="174" t="s">
        <v>1536</v>
      </c>
      <c r="F30" s="115">
        <f>SUM(F26:F29)</f>
        <v>0</v>
      </c>
      <c r="H30" s="188">
        <f>IF(F30=0,0,J30/F30)</f>
        <v>0</v>
      </c>
      <c r="J30" s="115">
        <f>SUM(J26:J29)</f>
        <v>0</v>
      </c>
    </row>
    <row r="31" spans="1:10" ht="15">
      <c r="A31" s="190"/>
      <c r="D31" s="174"/>
      <c r="F31" s="115"/>
      <c r="H31" s="198"/>
      <c r="J31" s="115"/>
    </row>
    <row r="32" spans="1:10" ht="15">
      <c r="A32" s="187" t="s">
        <v>2074</v>
      </c>
      <c r="B32" s="8" t="s">
        <v>1532</v>
      </c>
      <c r="D32" s="174" t="s">
        <v>1537</v>
      </c>
      <c r="F32" s="115">
        <v>0</v>
      </c>
      <c r="H32" s="188">
        <f>IF(F32=0,0,J32/F32)</f>
        <v>0</v>
      </c>
      <c r="J32" s="115">
        <v>0</v>
      </c>
    </row>
    <row r="33" spans="1:10" ht="15">
      <c r="A33" s="187" t="s">
        <v>2075</v>
      </c>
      <c r="B33" s="8" t="s">
        <v>1533</v>
      </c>
      <c r="D33" s="174" t="s">
        <v>1537</v>
      </c>
      <c r="F33" s="115">
        <v>0</v>
      </c>
      <c r="H33" s="188">
        <f>IF(F33=0,0,J33/F33)</f>
        <v>0</v>
      </c>
      <c r="J33" s="115">
        <v>0</v>
      </c>
    </row>
    <row r="34" spans="1:10" ht="15">
      <c r="A34" s="187" t="s">
        <v>2081</v>
      </c>
      <c r="B34" s="8" t="s">
        <v>1534</v>
      </c>
      <c r="D34" s="174" t="s">
        <v>1537</v>
      </c>
      <c r="F34" s="115">
        <v>0</v>
      </c>
      <c r="H34" s="188">
        <f>IF(F34=0,0,J34/F34)</f>
        <v>0</v>
      </c>
      <c r="J34" s="115">
        <v>0</v>
      </c>
    </row>
    <row r="35" spans="1:10" ht="15">
      <c r="A35" s="187" t="s">
        <v>2082</v>
      </c>
      <c r="B35" s="8" t="s">
        <v>1536</v>
      </c>
      <c r="D35" s="174" t="s">
        <v>1537</v>
      </c>
      <c r="F35" s="144">
        <v>0</v>
      </c>
      <c r="H35" s="189">
        <f>IF(F35=0,0,J35/F35)</f>
        <v>0</v>
      </c>
      <c r="J35" s="144">
        <v>0</v>
      </c>
    </row>
    <row r="36" spans="1:10" ht="15">
      <c r="A36" s="187" t="s">
        <v>2090</v>
      </c>
      <c r="B36" s="8" t="s">
        <v>1642</v>
      </c>
      <c r="D36" s="174" t="s">
        <v>1537</v>
      </c>
      <c r="F36" s="115">
        <f>SUM(F32:F35)</f>
        <v>0</v>
      </c>
      <c r="H36" s="188">
        <f>IF(F36=0,0,J36/F36)</f>
        <v>0</v>
      </c>
      <c r="J36" s="115">
        <f>SUM(J32:J35)</f>
        <v>0</v>
      </c>
    </row>
    <row r="37" spans="1:10" ht="15">
      <c r="A37" s="187"/>
      <c r="D37" s="174"/>
      <c r="F37" s="115"/>
      <c r="H37" s="198"/>
      <c r="J37" s="115"/>
    </row>
    <row r="38" spans="1:10" ht="16.5">
      <c r="A38" s="187" t="s">
        <v>2091</v>
      </c>
      <c r="B38" s="145" t="s">
        <v>2092</v>
      </c>
      <c r="F38" s="115">
        <f>+F12+F18+F24+F30+F36</f>
        <v>0</v>
      </c>
      <c r="H38" s="188">
        <f>IF(F38=0,0,J38/F38)</f>
        <v>0</v>
      </c>
      <c r="J38" s="115">
        <f>+J12+J18+J24+J30+J36</f>
        <v>0</v>
      </c>
    </row>
    <row r="39" spans="1:6" ht="15">
      <c r="A39" s="190"/>
      <c r="F39" s="115"/>
    </row>
    <row r="40" spans="1:10" ht="16.5">
      <c r="A40" s="190"/>
      <c r="B40" s="136" t="s">
        <v>1642</v>
      </c>
      <c r="F40" s="115"/>
      <c r="H40" s="138"/>
      <c r="I40" s="139" t="s">
        <v>2093</v>
      </c>
      <c r="J40" s="138"/>
    </row>
    <row r="41" spans="1:17" ht="16.5">
      <c r="A41" s="190"/>
      <c r="B41" s="136" t="s">
        <v>1553</v>
      </c>
      <c r="F41" s="115"/>
      <c r="H41" s="136" t="s">
        <v>1529</v>
      </c>
      <c r="J41" s="136" t="s">
        <v>1530</v>
      </c>
      <c r="M41" s="136" t="s">
        <v>2053</v>
      </c>
      <c r="N41" s="136" t="s">
        <v>415</v>
      </c>
      <c r="O41" s="136"/>
      <c r="P41" s="136" t="s">
        <v>2053</v>
      </c>
      <c r="Q41" s="136" t="s">
        <v>415</v>
      </c>
    </row>
    <row r="42" spans="1:17" ht="16.5">
      <c r="A42" s="190"/>
      <c r="B42" s="139" t="s">
        <v>2094</v>
      </c>
      <c r="D42" s="139" t="s">
        <v>2095</v>
      </c>
      <c r="F42" s="196" t="s">
        <v>1606</v>
      </c>
      <c r="H42" s="139" t="s">
        <v>2053</v>
      </c>
      <c r="J42" s="140" t="s">
        <v>1731</v>
      </c>
      <c r="M42" s="139" t="s">
        <v>416</v>
      </c>
      <c r="N42" s="139" t="s">
        <v>416</v>
      </c>
      <c r="O42" s="136"/>
      <c r="P42" s="139" t="s">
        <v>417</v>
      </c>
      <c r="Q42" s="139" t="s">
        <v>417</v>
      </c>
    </row>
    <row r="43" spans="1:14" ht="16.5">
      <c r="A43" s="190"/>
      <c r="F43" s="115"/>
      <c r="N43" s="136"/>
    </row>
    <row r="44" spans="1:17" ht="15">
      <c r="A44" s="187" t="s">
        <v>2096</v>
      </c>
      <c r="B44" s="8" t="s">
        <v>1532</v>
      </c>
      <c r="D44" s="174" t="s">
        <v>2097</v>
      </c>
      <c r="F44" s="115">
        <f>+F14+F20+F26+F32</f>
        <v>0</v>
      </c>
      <c r="H44" s="188">
        <f>IF(F44=0,0,J44/F44)</f>
        <v>0</v>
      </c>
      <c r="J44" s="115">
        <f>+J14+J20+J26+J32</f>
        <v>0</v>
      </c>
      <c r="M44" s="225">
        <f>IF(F44=0,0,J44/F44)</f>
        <v>0</v>
      </c>
      <c r="N44" s="507">
        <f>F44*H44</f>
        <v>0</v>
      </c>
      <c r="P44" s="193">
        <f>H44-M44</f>
        <v>0</v>
      </c>
      <c r="Q44" s="776">
        <f>J44-N44</f>
        <v>0</v>
      </c>
    </row>
    <row r="45" spans="1:17" ht="15">
      <c r="A45" s="187" t="s">
        <v>2098</v>
      </c>
      <c r="B45" s="8" t="s">
        <v>1533</v>
      </c>
      <c r="D45" s="174" t="s">
        <v>2099</v>
      </c>
      <c r="F45" s="115">
        <f>+F8+F21+F27+F33</f>
        <v>0</v>
      </c>
      <c r="H45" s="188">
        <f>IF(F45=0,0,J45/F45)</f>
        <v>0</v>
      </c>
      <c r="J45" s="115">
        <f>+J8+J21+J27+J33</f>
        <v>0</v>
      </c>
      <c r="M45" s="225">
        <f>IF(F45=0,0,J45/F45)</f>
        <v>0</v>
      </c>
      <c r="N45" s="507">
        <f>F45*H45</f>
        <v>0</v>
      </c>
      <c r="P45" s="193">
        <f>H45-M45</f>
        <v>0</v>
      </c>
      <c r="Q45" s="776">
        <f>J45-N45</f>
        <v>0</v>
      </c>
    </row>
    <row r="46" spans="1:17" ht="15">
      <c r="A46" s="187" t="s">
        <v>2100</v>
      </c>
      <c r="B46" s="8" t="s">
        <v>1534</v>
      </c>
      <c r="D46" s="174" t="s">
        <v>2101</v>
      </c>
      <c r="F46" s="115">
        <f>+F9+F15+F28+F34</f>
        <v>0</v>
      </c>
      <c r="H46" s="188">
        <f>IF(F46=0,0,J46/F46)</f>
        <v>0</v>
      </c>
      <c r="J46" s="115">
        <f>+J9+J15+J28+J34</f>
        <v>0</v>
      </c>
      <c r="M46" s="225">
        <f>IF(F46=0,0,J46/F46)</f>
        <v>0</v>
      </c>
      <c r="N46" s="507">
        <f>F46*H46</f>
        <v>0</v>
      </c>
      <c r="P46" s="193">
        <f>H46-M46</f>
        <v>0</v>
      </c>
      <c r="Q46" s="776">
        <f>J46-N46</f>
        <v>0</v>
      </c>
    </row>
    <row r="47" spans="1:17" ht="15">
      <c r="A47" s="187" t="s">
        <v>2102</v>
      </c>
      <c r="B47" s="8" t="s">
        <v>1536</v>
      </c>
      <c r="D47" s="174" t="s">
        <v>2103</v>
      </c>
      <c r="F47" s="115">
        <f>+F10+F16+F22+F35</f>
        <v>0</v>
      </c>
      <c r="H47" s="188">
        <f>IF(F47=0,0,J47/F47)</f>
        <v>0</v>
      </c>
      <c r="J47" s="115">
        <f>+J10+J16+J22+J35</f>
        <v>0</v>
      </c>
      <c r="M47" s="225">
        <f>IF(F47=0,0,J47/F47)</f>
        <v>0</v>
      </c>
      <c r="N47" s="507">
        <f>F47*H47</f>
        <v>0</v>
      </c>
      <c r="P47" s="193">
        <f>H47-M47</f>
        <v>0</v>
      </c>
      <c r="Q47" s="776">
        <f>J47-N47</f>
        <v>0</v>
      </c>
    </row>
    <row r="48" spans="1:17" ht="15">
      <c r="A48" s="187" t="s">
        <v>2104</v>
      </c>
      <c r="B48" s="8" t="s">
        <v>1537</v>
      </c>
      <c r="D48" s="174" t="s">
        <v>2105</v>
      </c>
      <c r="F48" s="144">
        <f>+F11+F17+F23+F29</f>
        <v>0</v>
      </c>
      <c r="H48" s="189">
        <f>IF(F48=0,0,J48/F48)</f>
        <v>0</v>
      </c>
      <c r="J48" s="144">
        <f>+J11+J17+J23+J29</f>
        <v>0</v>
      </c>
      <c r="M48" s="225">
        <f>IF(F48=0,0,J48/F48)</f>
        <v>0</v>
      </c>
      <c r="N48" s="507">
        <f>F48*H48</f>
        <v>0</v>
      </c>
      <c r="P48" s="193">
        <f>H48-M48</f>
        <v>0</v>
      </c>
      <c r="Q48" s="776">
        <f>J48-N48</f>
        <v>0</v>
      </c>
    </row>
    <row r="49" spans="1:10" ht="15">
      <c r="A49" s="187"/>
      <c r="F49" s="115"/>
      <c r="H49" s="188" t="s">
        <v>1529</v>
      </c>
      <c r="J49" s="115"/>
    </row>
    <row r="50" spans="1:10" ht="16.5">
      <c r="A50" s="187" t="s">
        <v>2106</v>
      </c>
      <c r="B50" s="145" t="s">
        <v>2107</v>
      </c>
      <c r="F50" s="115">
        <f>SUM(F44:F49)</f>
        <v>0</v>
      </c>
      <c r="H50" s="188">
        <f>IF(F50=0,0,J50/F50)</f>
        <v>0</v>
      </c>
      <c r="J50" s="115">
        <f>SUM(J44:J49)</f>
        <v>0</v>
      </c>
    </row>
    <row r="51" spans="1:10" ht="16.5">
      <c r="A51" s="187"/>
      <c r="B51" s="145"/>
      <c r="F51" s="115"/>
      <c r="J51" s="115"/>
    </row>
    <row r="52" ht="15">
      <c r="A52" s="190"/>
    </row>
    <row r="53" ht="15">
      <c r="A53" s="8" t="s">
        <v>397</v>
      </c>
    </row>
    <row r="54" ht="15">
      <c r="A54" s="141" t="s">
        <v>398</v>
      </c>
    </row>
    <row r="55" ht="15">
      <c r="A55" s="141" t="s">
        <v>384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14.28125" style="8" customWidth="1"/>
    <col min="3" max="3" width="9.140625" style="8" customWidth="1"/>
    <col min="4" max="4" width="14.140625" style="8" customWidth="1"/>
    <col min="5" max="5" width="9.140625" style="8" customWidth="1"/>
    <col min="6" max="6" width="9.7109375" style="8" customWidth="1"/>
    <col min="7" max="7" width="9.140625" style="8" customWidth="1"/>
    <col min="8" max="8" width="9.28125" style="8" customWidth="1"/>
    <col min="9" max="9" width="9.140625" style="8" customWidth="1"/>
    <col min="10" max="10" width="10.421875" style="8" customWidth="1"/>
    <col min="11" max="12" width="9.140625" style="8" customWidth="1"/>
    <col min="13" max="13" width="8.00390625" style="8" bestFit="1" customWidth="1"/>
    <col min="14" max="14" width="10.140625" style="8" bestFit="1" customWidth="1"/>
    <col min="15" max="15" width="1.7109375" style="8" customWidth="1"/>
    <col min="16" max="16" width="8.421875" style="8" bestFit="1" customWidth="1"/>
    <col min="17" max="17" width="10.140625" style="8" bestFit="1" customWidth="1"/>
    <col min="18" max="16384" width="9.140625" style="8" customWidth="1"/>
  </cols>
  <sheetData>
    <row r="1" spans="2:10" ht="16.5">
      <c r="B1" s="145" t="s">
        <v>2108</v>
      </c>
      <c r="G1" s="145" t="s">
        <v>1729</v>
      </c>
      <c r="H1" s="137"/>
      <c r="I1" s="137" t="str">
        <f>INPUT!C1</f>
        <v>February 2009</v>
      </c>
      <c r="J1" s="136"/>
    </row>
    <row r="2" ht="16.5">
      <c r="B2" s="145" t="s">
        <v>51</v>
      </c>
    </row>
    <row r="3" ht="16.5">
      <c r="E3" s="136"/>
    </row>
    <row r="4" spans="8:10" ht="16.5">
      <c r="H4" s="138"/>
      <c r="I4" s="139" t="s">
        <v>2050</v>
      </c>
      <c r="J4" s="138"/>
    </row>
    <row r="5" spans="2:10" ht="16.5">
      <c r="B5" s="136" t="s">
        <v>2051</v>
      </c>
      <c r="C5" s="136"/>
      <c r="D5" s="136" t="s">
        <v>2052</v>
      </c>
      <c r="E5" s="136"/>
      <c r="F5" s="136"/>
      <c r="G5" s="136"/>
      <c r="H5" s="136" t="s">
        <v>1529</v>
      </c>
      <c r="I5" s="136"/>
      <c r="J5" s="136" t="s">
        <v>1528</v>
      </c>
    </row>
    <row r="6" spans="2:10" ht="16.5">
      <c r="B6" s="139" t="s">
        <v>1736</v>
      </c>
      <c r="C6" s="136"/>
      <c r="D6" s="139" t="s">
        <v>1736</v>
      </c>
      <c r="E6" s="136"/>
      <c r="F6" s="139" t="s">
        <v>1606</v>
      </c>
      <c r="G6" s="136"/>
      <c r="H6" s="139" t="s">
        <v>2053</v>
      </c>
      <c r="I6" s="136"/>
      <c r="J6" s="140" t="s">
        <v>1731</v>
      </c>
    </row>
    <row r="8" spans="1:10" ht="15">
      <c r="A8" s="187" t="s">
        <v>2054</v>
      </c>
      <c r="B8" s="8" t="s">
        <v>1533</v>
      </c>
      <c r="D8" s="174" t="s">
        <v>1532</v>
      </c>
      <c r="F8" s="116">
        <f>INPUT!R68</f>
        <v>0</v>
      </c>
      <c r="H8" s="188">
        <f>IF(F8=0,0,J8/F8)</f>
        <v>0</v>
      </c>
      <c r="J8" s="116">
        <f>+INPUT!U68</f>
        <v>0</v>
      </c>
    </row>
    <row r="9" spans="1:10" ht="15">
      <c r="A9" s="187" t="s">
        <v>2055</v>
      </c>
      <c r="B9" s="8" t="s">
        <v>1534</v>
      </c>
      <c r="D9" s="174" t="s">
        <v>1532</v>
      </c>
      <c r="F9" s="116">
        <f>INPUT!R69</f>
        <v>0</v>
      </c>
      <c r="H9" s="188">
        <f>IF(F9=0,0,J9/F9)</f>
        <v>0</v>
      </c>
      <c r="J9" s="116">
        <f>+INPUT!U69</f>
        <v>0</v>
      </c>
    </row>
    <row r="10" spans="1:10" ht="15">
      <c r="A10" s="187" t="s">
        <v>2056</v>
      </c>
      <c r="B10" s="8" t="s">
        <v>1536</v>
      </c>
      <c r="D10" s="174" t="s">
        <v>1532</v>
      </c>
      <c r="F10" s="34">
        <f>INPUT!R70</f>
        <v>0</v>
      </c>
      <c r="H10" s="188">
        <f>IF(F10=0,0,J10/F10)</f>
        <v>0</v>
      </c>
      <c r="J10" s="116">
        <f>+INPUT!U70</f>
        <v>0</v>
      </c>
    </row>
    <row r="11" spans="1:10" ht="15">
      <c r="A11" s="187" t="s">
        <v>2057</v>
      </c>
      <c r="B11" s="8" t="s">
        <v>1537</v>
      </c>
      <c r="D11" s="174" t="s">
        <v>1532</v>
      </c>
      <c r="F11" s="143">
        <f>INPUT!R71</f>
        <v>0</v>
      </c>
      <c r="H11" s="189">
        <f>IF(F11=0,0,J11/F11)</f>
        <v>0</v>
      </c>
      <c r="J11" s="143">
        <f>+INPUT!U71</f>
        <v>0</v>
      </c>
    </row>
    <row r="12" spans="1:10" ht="15">
      <c r="A12" s="187" t="s">
        <v>2058</v>
      </c>
      <c r="B12" s="8" t="s">
        <v>1642</v>
      </c>
      <c r="D12" s="174" t="s">
        <v>1532</v>
      </c>
      <c r="F12" s="116">
        <f>SUM(F8:F11)</f>
        <v>0</v>
      </c>
      <c r="H12" s="188">
        <f>IF(F12=0,0,J12/F12)</f>
        <v>0</v>
      </c>
      <c r="J12" s="116">
        <f>SUM(J8:J11)</f>
        <v>0</v>
      </c>
    </row>
    <row r="13" spans="1:10" ht="15">
      <c r="A13" s="190"/>
      <c r="D13" s="174"/>
      <c r="F13" s="115"/>
      <c r="H13" s="198"/>
      <c r="J13" s="116"/>
    </row>
    <row r="14" spans="1:10" ht="15">
      <c r="A14" s="187" t="s">
        <v>2059</v>
      </c>
      <c r="B14" s="8" t="s">
        <v>1532</v>
      </c>
      <c r="D14" s="174" t="s">
        <v>1533</v>
      </c>
      <c r="F14" s="115">
        <v>0</v>
      </c>
      <c r="H14" s="188">
        <f>IF(F14=0,0,J14/F14)</f>
        <v>0</v>
      </c>
      <c r="J14" s="115">
        <v>0</v>
      </c>
    </row>
    <row r="15" spans="1:10" ht="15">
      <c r="A15" s="187" t="s">
        <v>2060</v>
      </c>
      <c r="B15" s="8" t="s">
        <v>1534</v>
      </c>
      <c r="D15" s="174" t="s">
        <v>1533</v>
      </c>
      <c r="F15" s="115">
        <v>0</v>
      </c>
      <c r="H15" s="188">
        <f>IF(F15=0,0,J15/F15)</f>
        <v>0</v>
      </c>
      <c r="J15" s="115">
        <v>0</v>
      </c>
    </row>
    <row r="16" spans="1:10" ht="15">
      <c r="A16" s="187" t="s">
        <v>2061</v>
      </c>
      <c r="B16" s="8" t="s">
        <v>1536</v>
      </c>
      <c r="D16" s="174" t="s">
        <v>1533</v>
      </c>
      <c r="F16" s="115">
        <v>0</v>
      </c>
      <c r="H16" s="188">
        <f>IF(F16=0,0,J16/F16)</f>
        <v>0</v>
      </c>
      <c r="J16" s="115">
        <v>0</v>
      </c>
    </row>
    <row r="17" spans="1:10" ht="15">
      <c r="A17" s="187" t="s">
        <v>2062</v>
      </c>
      <c r="B17" s="8" t="s">
        <v>1537</v>
      </c>
      <c r="D17" s="174" t="s">
        <v>1533</v>
      </c>
      <c r="F17" s="144">
        <v>0</v>
      </c>
      <c r="H17" s="189">
        <f>IF(F17=0,0,J17/F17)</f>
        <v>0</v>
      </c>
      <c r="J17" s="144">
        <v>0</v>
      </c>
    </row>
    <row r="18" spans="1:10" ht="15">
      <c r="A18" s="187" t="s">
        <v>2063</v>
      </c>
      <c r="B18" s="8" t="s">
        <v>1642</v>
      </c>
      <c r="D18" s="174" t="s">
        <v>1533</v>
      </c>
      <c r="F18" s="115">
        <f>SUM(F14:F17)</f>
        <v>0</v>
      </c>
      <c r="H18" s="188">
        <f>IF(F18=0,0,J18/F18)</f>
        <v>0</v>
      </c>
      <c r="J18" s="115">
        <f>SUM(J14:J17)</f>
        <v>0</v>
      </c>
    </row>
    <row r="19" spans="1:10" ht="15">
      <c r="A19" s="190"/>
      <c r="D19" s="174"/>
      <c r="F19" s="115"/>
      <c r="H19" s="198"/>
      <c r="J19" s="115"/>
    </row>
    <row r="20" spans="1:10" ht="15">
      <c r="A20" s="187" t="s">
        <v>2064</v>
      </c>
      <c r="B20" s="8" t="s">
        <v>1532</v>
      </c>
      <c r="D20" s="174" t="s">
        <v>1534</v>
      </c>
      <c r="F20" s="115">
        <v>0</v>
      </c>
      <c r="H20" s="188">
        <f>IF(F20=0,0,J20/F20)</f>
        <v>0</v>
      </c>
      <c r="J20" s="115">
        <v>0</v>
      </c>
    </row>
    <row r="21" spans="1:10" ht="15">
      <c r="A21" s="187" t="s">
        <v>2065</v>
      </c>
      <c r="B21" s="8" t="s">
        <v>1533</v>
      </c>
      <c r="D21" s="174" t="s">
        <v>1534</v>
      </c>
      <c r="F21" s="115">
        <v>0</v>
      </c>
      <c r="H21" s="188">
        <f>IF(F21=0,0,J21/F21)</f>
        <v>0</v>
      </c>
      <c r="J21" s="115">
        <v>0</v>
      </c>
    </row>
    <row r="22" spans="1:10" ht="15">
      <c r="A22" s="187" t="s">
        <v>2066</v>
      </c>
      <c r="B22" s="8" t="s">
        <v>1536</v>
      </c>
      <c r="D22" s="174" t="s">
        <v>1534</v>
      </c>
      <c r="F22" s="115">
        <v>0</v>
      </c>
      <c r="H22" s="188">
        <f>IF(F22=0,0,J22/F22)</f>
        <v>0</v>
      </c>
      <c r="J22" s="115">
        <v>0</v>
      </c>
    </row>
    <row r="23" spans="1:10" ht="15">
      <c r="A23" s="187" t="s">
        <v>2067</v>
      </c>
      <c r="B23" s="8" t="s">
        <v>1537</v>
      </c>
      <c r="D23" s="174" t="s">
        <v>1534</v>
      </c>
      <c r="F23" s="144">
        <v>0</v>
      </c>
      <c r="H23" s="189">
        <f>IF(F23=0,0,J23/F23)</f>
        <v>0</v>
      </c>
      <c r="J23" s="144">
        <v>0</v>
      </c>
    </row>
    <row r="24" spans="1:10" ht="15">
      <c r="A24" s="187" t="s">
        <v>2068</v>
      </c>
      <c r="B24" s="8" t="s">
        <v>1642</v>
      </c>
      <c r="D24" s="174" t="s">
        <v>1534</v>
      </c>
      <c r="F24" s="115">
        <f>SUM(F20:F23)</f>
        <v>0</v>
      </c>
      <c r="H24" s="188">
        <f>IF(F24=0,0,J24/F24)</f>
        <v>0</v>
      </c>
      <c r="J24" s="115">
        <f>SUM(J20:J23)</f>
        <v>0</v>
      </c>
    </row>
    <row r="25" spans="1:10" ht="15">
      <c r="A25" s="190"/>
      <c r="D25" s="174"/>
      <c r="F25" s="115"/>
      <c r="H25" s="198"/>
      <c r="J25" s="115"/>
    </row>
    <row r="26" spans="1:10" ht="15">
      <c r="A26" s="187" t="s">
        <v>2069</v>
      </c>
      <c r="B26" s="8" t="s">
        <v>1532</v>
      </c>
      <c r="D26" s="174" t="s">
        <v>1536</v>
      </c>
      <c r="F26" s="115">
        <v>0</v>
      </c>
      <c r="H26" s="188">
        <f>IF(F26=0,0,J26/F26)</f>
        <v>0</v>
      </c>
      <c r="J26" s="115">
        <v>0</v>
      </c>
    </row>
    <row r="27" spans="1:10" ht="15">
      <c r="A27" s="187" t="s">
        <v>2070</v>
      </c>
      <c r="B27" s="8" t="s">
        <v>1533</v>
      </c>
      <c r="D27" s="174" t="s">
        <v>1536</v>
      </c>
      <c r="F27" s="115">
        <v>0</v>
      </c>
      <c r="H27" s="188">
        <f>IF(F27=0,0,J27/F27)</f>
        <v>0</v>
      </c>
      <c r="J27" s="115">
        <v>0</v>
      </c>
    </row>
    <row r="28" spans="1:10" ht="15">
      <c r="A28" s="187" t="s">
        <v>2071</v>
      </c>
      <c r="B28" s="8" t="s">
        <v>1534</v>
      </c>
      <c r="D28" s="174" t="s">
        <v>1536</v>
      </c>
      <c r="F28" s="115">
        <v>0</v>
      </c>
      <c r="H28" s="188">
        <f>IF(F28=0,0,J28/F28)</f>
        <v>0</v>
      </c>
      <c r="J28" s="115">
        <v>0</v>
      </c>
    </row>
    <row r="29" spans="1:10" ht="15">
      <c r="A29" s="187" t="s">
        <v>2072</v>
      </c>
      <c r="B29" s="8" t="s">
        <v>1537</v>
      </c>
      <c r="D29" s="174" t="s">
        <v>1536</v>
      </c>
      <c r="F29" s="144">
        <v>0</v>
      </c>
      <c r="H29" s="189">
        <f>IF(F29=0,0,J29/F29)</f>
        <v>0</v>
      </c>
      <c r="J29" s="144">
        <v>0</v>
      </c>
    </row>
    <row r="30" spans="1:10" ht="15">
      <c r="A30" s="187" t="s">
        <v>2073</v>
      </c>
      <c r="B30" s="8" t="s">
        <v>1642</v>
      </c>
      <c r="D30" s="174" t="s">
        <v>1536</v>
      </c>
      <c r="F30" s="115">
        <f>SUM(F26:F29)</f>
        <v>0</v>
      </c>
      <c r="H30" s="188">
        <f>IF(F30=0,0,J30/F30)</f>
        <v>0</v>
      </c>
      <c r="J30" s="115">
        <f>SUM(J26:J29)</f>
        <v>0</v>
      </c>
    </row>
    <row r="31" spans="1:10" ht="15">
      <c r="A31" s="190"/>
      <c r="D31" s="174"/>
      <c r="F31" s="115"/>
      <c r="H31" s="198"/>
      <c r="J31" s="115"/>
    </row>
    <row r="32" spans="1:10" ht="15">
      <c r="A32" s="187" t="s">
        <v>2074</v>
      </c>
      <c r="B32" s="8" t="s">
        <v>1532</v>
      </c>
      <c r="D32" s="174" t="s">
        <v>1537</v>
      </c>
      <c r="F32" s="115">
        <v>0</v>
      </c>
      <c r="H32" s="188">
        <f>IF(F32=0,0,J32/F32)</f>
        <v>0</v>
      </c>
      <c r="J32" s="115">
        <v>0</v>
      </c>
    </row>
    <row r="33" spans="1:10" ht="15">
      <c r="A33" s="187" t="s">
        <v>2075</v>
      </c>
      <c r="B33" s="8" t="s">
        <v>1533</v>
      </c>
      <c r="D33" s="174" t="s">
        <v>1537</v>
      </c>
      <c r="F33" s="115">
        <v>0</v>
      </c>
      <c r="H33" s="188">
        <f>IF(F33=0,0,J33/F33)</f>
        <v>0</v>
      </c>
      <c r="J33" s="115">
        <v>0</v>
      </c>
    </row>
    <row r="34" spans="1:10" ht="15">
      <c r="A34" s="187" t="s">
        <v>2081</v>
      </c>
      <c r="B34" s="8" t="s">
        <v>1534</v>
      </c>
      <c r="D34" s="174" t="s">
        <v>1537</v>
      </c>
      <c r="F34" s="115">
        <v>0</v>
      </c>
      <c r="H34" s="188">
        <f>IF(F34=0,0,J34/F34)</f>
        <v>0</v>
      </c>
      <c r="J34" s="115">
        <v>0</v>
      </c>
    </row>
    <row r="35" spans="1:10" ht="15">
      <c r="A35" s="187" t="s">
        <v>2082</v>
      </c>
      <c r="B35" s="8" t="s">
        <v>1536</v>
      </c>
      <c r="D35" s="174" t="s">
        <v>1537</v>
      </c>
      <c r="F35" s="144">
        <v>0</v>
      </c>
      <c r="H35" s="189">
        <f>IF(F35=0,0,J35/F35)</f>
        <v>0</v>
      </c>
      <c r="J35" s="144">
        <v>0</v>
      </c>
    </row>
    <row r="36" spans="1:10" ht="15">
      <c r="A36" s="187" t="s">
        <v>2090</v>
      </c>
      <c r="B36" s="8" t="s">
        <v>1642</v>
      </c>
      <c r="D36" s="174" t="s">
        <v>1537</v>
      </c>
      <c r="F36" s="115">
        <f>SUM(F32:F35)</f>
        <v>0</v>
      </c>
      <c r="H36" s="188">
        <f>IF(F36=0,0,J36/F36)</f>
        <v>0</v>
      </c>
      <c r="J36" s="115">
        <f>SUM(J32:J35)</f>
        <v>0</v>
      </c>
    </row>
    <row r="37" spans="1:10" ht="15">
      <c r="A37" s="187"/>
      <c r="D37" s="174"/>
      <c r="F37" s="115"/>
      <c r="H37" s="198"/>
      <c r="J37" s="115"/>
    </row>
    <row r="38" spans="1:10" ht="16.5">
      <c r="A38" s="187" t="s">
        <v>2091</v>
      </c>
      <c r="B38" s="145" t="s">
        <v>2092</v>
      </c>
      <c r="F38" s="115">
        <f>+F12+F18+F24+F30+F36</f>
        <v>0</v>
      </c>
      <c r="H38" s="188">
        <f>IF(F38=0,0,J38/F38)</f>
        <v>0</v>
      </c>
      <c r="J38" s="115">
        <f>+J12+J18+J24+J30+J36</f>
        <v>0</v>
      </c>
    </row>
    <row r="39" spans="1:6" ht="15">
      <c r="A39" s="190"/>
      <c r="F39" s="115"/>
    </row>
    <row r="40" spans="1:10" ht="16.5">
      <c r="A40" s="190"/>
      <c r="B40" s="136" t="s">
        <v>1642</v>
      </c>
      <c r="F40" s="115"/>
      <c r="H40" s="138"/>
      <c r="I40" s="139" t="s">
        <v>2093</v>
      </c>
      <c r="J40" s="138"/>
    </row>
    <row r="41" spans="1:17" ht="16.5">
      <c r="A41" s="190"/>
      <c r="B41" s="136" t="s">
        <v>1553</v>
      </c>
      <c r="F41" s="115"/>
      <c r="H41" s="136" t="s">
        <v>1529</v>
      </c>
      <c r="J41" s="136" t="s">
        <v>1530</v>
      </c>
      <c r="M41" s="136" t="s">
        <v>2053</v>
      </c>
      <c r="N41" s="136" t="s">
        <v>415</v>
      </c>
      <c r="O41" s="136"/>
      <c r="P41" s="136" t="s">
        <v>2053</v>
      </c>
      <c r="Q41" s="136" t="s">
        <v>415</v>
      </c>
    </row>
    <row r="42" spans="1:17" ht="16.5">
      <c r="A42" s="190"/>
      <c r="B42" s="139" t="s">
        <v>2094</v>
      </c>
      <c r="D42" s="139" t="s">
        <v>2095</v>
      </c>
      <c r="F42" s="196" t="s">
        <v>1606</v>
      </c>
      <c r="H42" s="139" t="s">
        <v>2053</v>
      </c>
      <c r="J42" s="140" t="s">
        <v>1731</v>
      </c>
      <c r="M42" s="139" t="s">
        <v>416</v>
      </c>
      <c r="N42" s="139" t="s">
        <v>416</v>
      </c>
      <c r="O42" s="136"/>
      <c r="P42" s="139" t="s">
        <v>417</v>
      </c>
      <c r="Q42" s="139" t="s">
        <v>417</v>
      </c>
    </row>
    <row r="43" spans="1:14" ht="16.5">
      <c r="A43" s="190"/>
      <c r="F43" s="115"/>
      <c r="N43" s="136"/>
    </row>
    <row r="44" spans="1:17" ht="15">
      <c r="A44" s="187" t="s">
        <v>2096</v>
      </c>
      <c r="B44" s="8" t="s">
        <v>1532</v>
      </c>
      <c r="D44" s="174" t="s">
        <v>2097</v>
      </c>
      <c r="F44" s="115">
        <f>+F14+F20+F26+F32</f>
        <v>0</v>
      </c>
      <c r="H44" s="188">
        <f aca="true" t="shared" si="0" ref="H44:H50">IF(F44=0,0,J44/F44)</f>
        <v>0</v>
      </c>
      <c r="J44" s="115">
        <f>+J14+J20+J26+J32</f>
        <v>0</v>
      </c>
      <c r="M44" s="225">
        <f>IF(F44=0,0,J44/F44)</f>
        <v>0</v>
      </c>
      <c r="N44" s="507">
        <f>F44*H44</f>
        <v>0</v>
      </c>
      <c r="P44" s="193">
        <f>H44-M44</f>
        <v>0</v>
      </c>
      <c r="Q44" s="776">
        <f>J44-N44</f>
        <v>0</v>
      </c>
    </row>
    <row r="45" spans="1:17" ht="15">
      <c r="A45" s="187" t="s">
        <v>2098</v>
      </c>
      <c r="B45" s="8" t="s">
        <v>1533</v>
      </c>
      <c r="D45" s="174" t="s">
        <v>2099</v>
      </c>
      <c r="F45" s="115">
        <f>+F8+F21+F27+F33</f>
        <v>0</v>
      </c>
      <c r="H45" s="188">
        <f t="shared" si="0"/>
        <v>0</v>
      </c>
      <c r="J45" s="115">
        <f>+J8+J21+J27+J33</f>
        <v>0</v>
      </c>
      <c r="M45" s="225">
        <f>IF(F45=0,0,J45/F45)</f>
        <v>0</v>
      </c>
      <c r="N45" s="507">
        <f>F45*H45</f>
        <v>0</v>
      </c>
      <c r="P45" s="193">
        <f>H45-M45</f>
        <v>0</v>
      </c>
      <c r="Q45" s="776">
        <f>J45-N45</f>
        <v>0</v>
      </c>
    </row>
    <row r="46" spans="1:17" ht="15">
      <c r="A46" s="187" t="s">
        <v>2100</v>
      </c>
      <c r="B46" s="8" t="s">
        <v>1534</v>
      </c>
      <c r="D46" s="174" t="s">
        <v>2101</v>
      </c>
      <c r="F46" s="115">
        <f>+F9+F15+F28+F34</f>
        <v>0</v>
      </c>
      <c r="H46" s="188">
        <f t="shared" si="0"/>
        <v>0</v>
      </c>
      <c r="J46" s="115">
        <f>+J9+J15+J28+J34</f>
        <v>0</v>
      </c>
      <c r="M46" s="225">
        <f>IF(F46=0,0,J46/F46)</f>
        <v>0</v>
      </c>
      <c r="N46" s="507">
        <f>F46*H46</f>
        <v>0</v>
      </c>
      <c r="P46" s="193">
        <f>H46-M46</f>
        <v>0</v>
      </c>
      <c r="Q46" s="776">
        <f>J46-N46</f>
        <v>0</v>
      </c>
    </row>
    <row r="47" spans="1:17" ht="15">
      <c r="A47" s="187" t="s">
        <v>2102</v>
      </c>
      <c r="B47" s="8" t="s">
        <v>1536</v>
      </c>
      <c r="D47" s="174" t="s">
        <v>2103</v>
      </c>
      <c r="F47" s="115">
        <f>+F10+F16+F22+F35</f>
        <v>0</v>
      </c>
      <c r="H47" s="188">
        <f t="shared" si="0"/>
        <v>0</v>
      </c>
      <c r="J47" s="115">
        <f>+J10+J16+J22+J35</f>
        <v>0</v>
      </c>
      <c r="M47" s="225">
        <f>IF(F47=0,0,J47/F47)</f>
        <v>0</v>
      </c>
      <c r="N47" s="507">
        <f>F47*H47</f>
        <v>0</v>
      </c>
      <c r="P47" s="193">
        <f>H47-M47</f>
        <v>0</v>
      </c>
      <c r="Q47" s="776">
        <f>J47-N47</f>
        <v>0</v>
      </c>
    </row>
    <row r="48" spans="1:17" ht="15">
      <c r="A48" s="187" t="s">
        <v>2104</v>
      </c>
      <c r="B48" s="8" t="s">
        <v>1537</v>
      </c>
      <c r="D48" s="174" t="s">
        <v>2105</v>
      </c>
      <c r="F48" s="144">
        <f>+F11+F17+F23+F29</f>
        <v>0</v>
      </c>
      <c r="H48" s="189">
        <f t="shared" si="0"/>
        <v>0</v>
      </c>
      <c r="J48" s="144">
        <f>+J11+J17+J23+J29</f>
        <v>0</v>
      </c>
      <c r="M48" s="225">
        <f>IF(F48=0,0,J48/F48)</f>
        <v>0</v>
      </c>
      <c r="N48" s="507">
        <f>F48*H48</f>
        <v>0</v>
      </c>
      <c r="P48" s="193">
        <f>H48-M48</f>
        <v>0</v>
      </c>
      <c r="Q48" s="776">
        <f>J48-N48</f>
        <v>0</v>
      </c>
    </row>
    <row r="49" spans="1:10" ht="15">
      <c r="A49" s="187"/>
      <c r="F49" s="115"/>
      <c r="H49" s="188" t="s">
        <v>1529</v>
      </c>
      <c r="J49" s="115"/>
    </row>
    <row r="50" spans="1:10" ht="16.5">
      <c r="A50" s="187" t="s">
        <v>2106</v>
      </c>
      <c r="B50" s="145" t="s">
        <v>2107</v>
      </c>
      <c r="F50" s="115">
        <f>SUM(F44:F49)</f>
        <v>0</v>
      </c>
      <c r="H50" s="188">
        <f t="shared" si="0"/>
        <v>0</v>
      </c>
      <c r="J50" s="115">
        <f>SUM(J44:J49)</f>
        <v>0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M12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8" customWidth="1"/>
    <col min="2" max="2" width="15.8515625" style="8" customWidth="1"/>
    <col min="3" max="3" width="1.7109375" style="8" customWidth="1"/>
    <col min="4" max="4" width="16.00390625" style="8" customWidth="1"/>
    <col min="5" max="5" width="1.7109375" style="8" customWidth="1"/>
    <col min="6" max="6" width="14.8515625" style="8" customWidth="1"/>
    <col min="7" max="7" width="1.7109375" style="8" customWidth="1"/>
    <col min="8" max="8" width="12.00390625" style="8" customWidth="1"/>
    <col min="9" max="9" width="1.7109375" style="8" customWidth="1"/>
    <col min="10" max="10" width="13.421875" style="8" customWidth="1"/>
    <col min="11" max="11" width="1.7109375" style="8" customWidth="1"/>
    <col min="12" max="12" width="14.00390625" style="8" customWidth="1"/>
    <col min="13" max="13" width="1.7109375" style="8" customWidth="1"/>
    <col min="14" max="16384" width="9.140625" style="8" customWidth="1"/>
  </cols>
  <sheetData>
    <row r="1" spans="1:12" ht="15">
      <c r="A1" s="152" t="s">
        <v>1729</v>
      </c>
      <c r="B1" s="148" t="str">
        <f>+INPUT!C1</f>
        <v>February 2009</v>
      </c>
      <c r="C1" s="146"/>
      <c r="D1" s="146"/>
      <c r="E1" s="146"/>
      <c r="F1" s="146"/>
      <c r="G1" s="146"/>
      <c r="H1" s="146"/>
      <c r="I1" s="146"/>
      <c r="J1" s="146"/>
      <c r="K1" s="146"/>
      <c r="L1" s="147" t="s">
        <v>257</v>
      </c>
    </row>
    <row r="2" spans="1:12" ht="15">
      <c r="A2" s="152"/>
      <c r="B2" s="146"/>
      <c r="C2" s="146"/>
      <c r="D2" s="146"/>
      <c r="E2" s="146"/>
      <c r="G2" s="147" t="s">
        <v>100</v>
      </c>
      <c r="H2" s="146"/>
      <c r="I2" s="146"/>
      <c r="J2" s="146"/>
      <c r="K2" s="146"/>
      <c r="L2" s="146"/>
    </row>
    <row r="3" spans="1:12" ht="15">
      <c r="A3" s="152"/>
      <c r="B3" s="146"/>
      <c r="C3" s="146"/>
      <c r="D3" s="146"/>
      <c r="E3" s="146"/>
      <c r="G3" s="147" t="s">
        <v>101</v>
      </c>
      <c r="H3" s="146"/>
      <c r="I3" s="146"/>
      <c r="J3" s="146"/>
      <c r="K3" s="146"/>
      <c r="L3" s="146"/>
    </row>
    <row r="4" spans="1:12" ht="15">
      <c r="A4" s="152"/>
      <c r="B4" s="146"/>
      <c r="C4" s="146"/>
      <c r="D4" s="146"/>
      <c r="E4" s="146"/>
      <c r="G4" s="202" t="s">
        <v>102</v>
      </c>
      <c r="H4" s="146"/>
      <c r="I4" s="146"/>
      <c r="J4" s="146"/>
      <c r="K4" s="146"/>
      <c r="L4" s="146"/>
    </row>
    <row r="5" spans="1:12" ht="15">
      <c r="A5" s="146"/>
      <c r="B5" s="146"/>
      <c r="C5" s="146"/>
      <c r="D5" s="147" t="s">
        <v>1660</v>
      </c>
      <c r="E5" s="146"/>
      <c r="F5" s="146"/>
      <c r="G5" s="146"/>
      <c r="H5" s="146"/>
      <c r="I5" s="146"/>
      <c r="J5" s="146"/>
      <c r="K5" s="146"/>
      <c r="L5" s="146"/>
    </row>
    <row r="6" spans="1:12" ht="15">
      <c r="A6" s="146"/>
      <c r="B6" s="146"/>
      <c r="C6" s="146"/>
      <c r="D6" s="147" t="s">
        <v>103</v>
      </c>
      <c r="E6" s="146"/>
      <c r="F6" s="146"/>
      <c r="G6" s="146"/>
      <c r="H6" s="146"/>
      <c r="I6" s="146"/>
      <c r="J6" s="146"/>
      <c r="K6" s="146"/>
      <c r="L6" s="146"/>
    </row>
    <row r="7" spans="1:12" ht="15">
      <c r="A7" s="146"/>
      <c r="B7" s="146"/>
      <c r="C7" s="146"/>
      <c r="D7" s="147" t="s">
        <v>104</v>
      </c>
      <c r="E7" s="146"/>
      <c r="F7" s="146"/>
      <c r="G7" s="146"/>
      <c r="H7" s="147" t="s">
        <v>105</v>
      </c>
      <c r="I7" s="146"/>
      <c r="J7" s="147" t="s">
        <v>68</v>
      </c>
      <c r="K7" s="146"/>
      <c r="L7" s="147" t="s">
        <v>70</v>
      </c>
    </row>
    <row r="8" spans="1:12" ht="15">
      <c r="A8" s="146"/>
      <c r="B8" s="146"/>
      <c r="C8" s="146"/>
      <c r="D8" s="147" t="s">
        <v>107</v>
      </c>
      <c r="E8" s="146"/>
      <c r="F8" s="147" t="s">
        <v>1642</v>
      </c>
      <c r="G8" s="146"/>
      <c r="H8" s="147" t="s">
        <v>1588</v>
      </c>
      <c r="I8" s="146"/>
      <c r="J8" s="147" t="s">
        <v>106</v>
      </c>
      <c r="K8" s="146"/>
      <c r="L8" s="147" t="s">
        <v>1659</v>
      </c>
    </row>
    <row r="9" spans="1:12" ht="15">
      <c r="A9" s="146"/>
      <c r="B9" s="146"/>
      <c r="C9" s="146"/>
      <c r="D9" s="147" t="s">
        <v>553</v>
      </c>
      <c r="E9" s="146"/>
      <c r="F9" s="147" t="s">
        <v>1660</v>
      </c>
      <c r="G9" s="146"/>
      <c r="H9" s="147" t="s">
        <v>108</v>
      </c>
      <c r="I9" s="146"/>
      <c r="J9" s="147" t="s">
        <v>1659</v>
      </c>
      <c r="K9" s="146"/>
      <c r="L9" s="147" t="s">
        <v>109</v>
      </c>
    </row>
    <row r="10" spans="1:12" ht="15">
      <c r="A10" s="146"/>
      <c r="B10" s="146"/>
      <c r="C10" s="146"/>
      <c r="D10" s="153" t="s">
        <v>110</v>
      </c>
      <c r="E10" s="146"/>
      <c r="F10" s="153" t="s">
        <v>110</v>
      </c>
      <c r="G10" s="146"/>
      <c r="H10" s="151" t="s">
        <v>111</v>
      </c>
      <c r="I10" s="146"/>
      <c r="J10" s="151" t="s">
        <v>554</v>
      </c>
      <c r="K10" s="146"/>
      <c r="L10" s="151" t="s">
        <v>2012</v>
      </c>
    </row>
    <row r="11" spans="1:12" ht="15">
      <c r="A11" s="146"/>
      <c r="B11" s="146"/>
      <c r="C11" s="146"/>
      <c r="D11" s="155" t="s">
        <v>1777</v>
      </c>
      <c r="E11" s="146"/>
      <c r="F11" s="155" t="s">
        <v>1778</v>
      </c>
      <c r="G11" s="149"/>
      <c r="H11" s="155" t="s">
        <v>112</v>
      </c>
      <c r="I11" s="149"/>
      <c r="J11" s="155" t="s">
        <v>1780</v>
      </c>
      <c r="K11" s="149"/>
      <c r="L11" s="155" t="s">
        <v>82</v>
      </c>
    </row>
    <row r="12" spans="1:12" ht="1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5">
      <c r="A13" s="146" t="s">
        <v>1532</v>
      </c>
      <c r="B13" s="146" t="s">
        <v>500</v>
      </c>
      <c r="C13" s="146"/>
      <c r="D13" s="156">
        <f>+INPUT!L110</f>
        <v>22661</v>
      </c>
      <c r="E13" s="146"/>
      <c r="F13" s="156">
        <f>+INPUT!M110</f>
        <v>420770</v>
      </c>
      <c r="G13" s="146"/>
      <c r="H13" s="204">
        <f>IF(D13&lt;=0,0,D13/F13)</f>
        <v>0.05385602585735675</v>
      </c>
      <c r="I13" s="146"/>
      <c r="J13" s="156">
        <f>+INPUT!O110</f>
        <v>2521</v>
      </c>
      <c r="K13" s="203"/>
      <c r="L13" s="205">
        <f>ROUND(H13*J13,4)</f>
        <v>135.771</v>
      </c>
    </row>
    <row r="14" spans="1:12" ht="15">
      <c r="A14" s="146"/>
      <c r="B14" s="146" t="s">
        <v>501</v>
      </c>
      <c r="C14" s="146"/>
      <c r="D14" s="156">
        <f>+INPUT!L111</f>
        <v>22449</v>
      </c>
      <c r="E14" s="146"/>
      <c r="F14" s="156">
        <f>+INPUT!M111</f>
        <v>364452</v>
      </c>
      <c r="G14" s="146"/>
      <c r="H14" s="204">
        <f aca="true" t="shared" si="0" ref="H14:H36">IF(D14&lt;=0,0,D14/F14)</f>
        <v>0.061596588851206745</v>
      </c>
      <c r="I14" s="146"/>
      <c r="J14" s="156">
        <f>+INPUT!O111</f>
        <v>2217</v>
      </c>
      <c r="K14" s="146"/>
      <c r="L14" s="205">
        <f aca="true" t="shared" si="1" ref="L14:L35">ROUND(H14*J14,4)</f>
        <v>136.5596</v>
      </c>
    </row>
    <row r="15" spans="1:12" ht="15">
      <c r="A15" s="146"/>
      <c r="B15" s="146" t="s">
        <v>505</v>
      </c>
      <c r="C15" s="146"/>
      <c r="D15" s="156">
        <f>+INPUT!L112</f>
        <v>0</v>
      </c>
      <c r="E15" s="146"/>
      <c r="F15" s="158">
        <f>+INPUT!M112</f>
        <v>0</v>
      </c>
      <c r="G15" s="146"/>
      <c r="H15" s="204">
        <f t="shared" si="0"/>
        <v>0</v>
      </c>
      <c r="I15" s="146"/>
      <c r="J15" s="156">
        <f>+INPUT!O112</f>
        <v>0</v>
      </c>
      <c r="K15" s="203"/>
      <c r="L15" s="205">
        <f t="shared" si="1"/>
        <v>0</v>
      </c>
    </row>
    <row r="16" spans="1:12" ht="15">
      <c r="A16" s="146"/>
      <c r="B16" s="146" t="s">
        <v>148</v>
      </c>
      <c r="C16" s="146"/>
      <c r="D16" s="156">
        <f>+INPUT!L113</f>
        <v>275</v>
      </c>
      <c r="E16" s="146"/>
      <c r="F16" s="158">
        <f>+INPUT!M113</f>
        <v>910</v>
      </c>
      <c r="G16" s="146"/>
      <c r="H16" s="204">
        <f aca="true" t="shared" si="2" ref="H16:H21">IF(D16&lt;=0,0,D16/F16)</f>
        <v>0.3021978021978022</v>
      </c>
      <c r="I16" s="146"/>
      <c r="J16" s="156">
        <f>+INPUT!O113</f>
        <v>0</v>
      </c>
      <c r="K16" s="203"/>
      <c r="L16" s="205">
        <f aca="true" t="shared" si="3" ref="L16:L21">ROUND(H16*J16,4)</f>
        <v>0</v>
      </c>
    </row>
    <row r="17" spans="1:12" ht="15">
      <c r="A17" s="146"/>
      <c r="B17" s="146" t="s">
        <v>149</v>
      </c>
      <c r="C17" s="146"/>
      <c r="D17" s="156">
        <f>+INPUT!L114</f>
        <v>276</v>
      </c>
      <c r="E17" s="146"/>
      <c r="F17" s="158">
        <f>+INPUT!M114</f>
        <v>914</v>
      </c>
      <c r="G17" s="146"/>
      <c r="H17" s="204">
        <f t="shared" si="2"/>
        <v>0.30196936542669583</v>
      </c>
      <c r="I17" s="146"/>
      <c r="J17" s="156">
        <f>+INPUT!O114</f>
        <v>0</v>
      </c>
      <c r="K17" s="203"/>
      <c r="L17" s="205">
        <f t="shared" si="3"/>
        <v>0</v>
      </c>
    </row>
    <row r="18" spans="1:12" ht="15">
      <c r="A18" s="146"/>
      <c r="B18" s="146" t="s">
        <v>150</v>
      </c>
      <c r="C18" s="146"/>
      <c r="D18" s="156">
        <f>+INPUT!L115</f>
        <v>278</v>
      </c>
      <c r="E18" s="146"/>
      <c r="F18" s="158">
        <f>+INPUT!M115</f>
        <v>917</v>
      </c>
      <c r="G18" s="146"/>
      <c r="H18" s="204">
        <f t="shared" si="2"/>
        <v>0.3031624863685932</v>
      </c>
      <c r="I18" s="146"/>
      <c r="J18" s="156">
        <f>+INPUT!O115</f>
        <v>0</v>
      </c>
      <c r="K18" s="203"/>
      <c r="L18" s="205">
        <f t="shared" si="3"/>
        <v>0</v>
      </c>
    </row>
    <row r="19" spans="1:12" ht="15">
      <c r="A19" s="146"/>
      <c r="B19" s="146" t="s">
        <v>151</v>
      </c>
      <c r="C19" s="146"/>
      <c r="D19" s="156">
        <f>+INPUT!L116</f>
        <v>282</v>
      </c>
      <c r="E19" s="146"/>
      <c r="F19" s="158">
        <f>+INPUT!M116</f>
        <v>935</v>
      </c>
      <c r="G19" s="146"/>
      <c r="H19" s="204">
        <f t="shared" si="2"/>
        <v>0.3016042780748663</v>
      </c>
      <c r="I19" s="146"/>
      <c r="J19" s="156">
        <f>+INPUT!O116</f>
        <v>0</v>
      </c>
      <c r="K19" s="203"/>
      <c r="L19" s="205">
        <f t="shared" si="3"/>
        <v>0</v>
      </c>
    </row>
    <row r="20" spans="1:12" ht="15">
      <c r="A20" s="146"/>
      <c r="B20" s="146" t="s">
        <v>152</v>
      </c>
      <c r="C20" s="146"/>
      <c r="D20" s="156">
        <f>+INPUT!L117</f>
        <v>289</v>
      </c>
      <c r="E20" s="146"/>
      <c r="F20" s="158">
        <f>+INPUT!M117</f>
        <v>940</v>
      </c>
      <c r="G20" s="146"/>
      <c r="H20" s="204">
        <f t="shared" si="2"/>
        <v>0.3074468085106383</v>
      </c>
      <c r="I20" s="146"/>
      <c r="J20" s="156">
        <f>+INPUT!O117</f>
        <v>0</v>
      </c>
      <c r="K20" s="203"/>
      <c r="L20" s="205">
        <f t="shared" si="3"/>
        <v>0</v>
      </c>
    </row>
    <row r="21" spans="1:12" ht="15">
      <c r="A21" s="146"/>
      <c r="B21" s="146" t="s">
        <v>153</v>
      </c>
      <c r="C21" s="146"/>
      <c r="D21" s="156">
        <f>+INPUT!L118</f>
        <v>293</v>
      </c>
      <c r="E21" s="146"/>
      <c r="F21" s="158">
        <f>+INPUT!M118</f>
        <v>937</v>
      </c>
      <c r="G21" s="146"/>
      <c r="H21" s="204">
        <f t="shared" si="2"/>
        <v>0.3127001067235859</v>
      </c>
      <c r="I21" s="146"/>
      <c r="J21" s="156">
        <f>+INPUT!O118</f>
        <v>0</v>
      </c>
      <c r="K21" s="203"/>
      <c r="L21" s="205">
        <f t="shared" si="3"/>
        <v>0</v>
      </c>
    </row>
    <row r="22" spans="1:12" ht="15">
      <c r="A22" s="146"/>
      <c r="B22" s="146" t="s">
        <v>520</v>
      </c>
      <c r="C22" s="146"/>
      <c r="D22" s="156">
        <f>+INPUT!L119</f>
        <v>21955</v>
      </c>
      <c r="E22" s="146"/>
      <c r="F22" s="156">
        <f>+INPUT!M119</f>
        <v>85818</v>
      </c>
      <c r="G22" s="146"/>
      <c r="H22" s="204">
        <f t="shared" si="0"/>
        <v>0.25583210981379195</v>
      </c>
      <c r="I22" s="146"/>
      <c r="J22" s="156">
        <f>+INPUT!O119</f>
        <v>406</v>
      </c>
      <c r="K22" s="203"/>
      <c r="L22" s="205">
        <f t="shared" si="1"/>
        <v>103.8678</v>
      </c>
    </row>
    <row r="23" spans="1:12" ht="15">
      <c r="A23" s="146"/>
      <c r="B23" s="146" t="s">
        <v>521</v>
      </c>
      <c r="C23" s="146"/>
      <c r="D23" s="156">
        <f>+INPUT!L120</f>
        <v>9760</v>
      </c>
      <c r="E23" s="146"/>
      <c r="F23" s="156">
        <f>+INPUT!M120</f>
        <v>24001</v>
      </c>
      <c r="G23" s="146"/>
      <c r="H23" s="204">
        <f t="shared" si="0"/>
        <v>0.40664972292821133</v>
      </c>
      <c r="I23" s="146"/>
      <c r="J23" s="156">
        <f>+INPUT!O120</f>
        <v>114</v>
      </c>
      <c r="K23" s="146"/>
      <c r="L23" s="205">
        <f t="shared" si="1"/>
        <v>46.3581</v>
      </c>
    </row>
    <row r="24" spans="1:12" ht="15">
      <c r="A24" s="146"/>
      <c r="B24" s="146" t="s">
        <v>522</v>
      </c>
      <c r="C24" s="146"/>
      <c r="D24" s="156">
        <f>+INPUT!L121</f>
        <v>18464</v>
      </c>
      <c r="E24" s="146"/>
      <c r="F24" s="156">
        <f>+INPUT!M121</f>
        <v>77852</v>
      </c>
      <c r="G24" s="146"/>
      <c r="H24" s="204">
        <f t="shared" si="0"/>
        <v>0.23716795971844012</v>
      </c>
      <c r="I24" s="146"/>
      <c r="J24" s="156">
        <f>+INPUT!O121</f>
        <v>344</v>
      </c>
      <c r="K24" s="146"/>
      <c r="L24" s="205">
        <f t="shared" si="1"/>
        <v>81.5858</v>
      </c>
    </row>
    <row r="25" spans="1:12" ht="15">
      <c r="A25" s="146"/>
      <c r="B25" s="146" t="s">
        <v>525</v>
      </c>
      <c r="C25" s="146"/>
      <c r="D25" s="156">
        <f>+INPUT!L122</f>
        <v>900.0506329113924</v>
      </c>
      <c r="E25" s="146"/>
      <c r="F25" s="156">
        <f>+INPUT!M122</f>
        <v>3062.6835443037976</v>
      </c>
      <c r="G25" s="146"/>
      <c r="H25" s="204">
        <f t="shared" si="0"/>
        <v>0.2938764713662214</v>
      </c>
      <c r="I25" s="146"/>
      <c r="J25" s="156">
        <f>+INPUT!O122</f>
        <v>32</v>
      </c>
      <c r="K25" s="146"/>
      <c r="L25" s="205">
        <f t="shared" si="1"/>
        <v>9.404</v>
      </c>
    </row>
    <row r="26" spans="1:12" ht="15">
      <c r="A26" s="146"/>
      <c r="B26" s="146" t="s">
        <v>526</v>
      </c>
      <c r="C26" s="146"/>
      <c r="D26" s="156">
        <f>+INPUT!L123</f>
        <v>1321.9493670886075</v>
      </c>
      <c r="E26" s="146"/>
      <c r="F26" s="156">
        <f>+INPUT!M123</f>
        <v>4498.316455696202</v>
      </c>
      <c r="G26" s="146"/>
      <c r="H26" s="204">
        <f t="shared" si="0"/>
        <v>0.2938764713662214</v>
      </c>
      <c r="I26" s="146"/>
      <c r="J26" s="156">
        <f>+INPUT!O123</f>
        <v>47</v>
      </c>
      <c r="K26" s="146"/>
      <c r="L26" s="205">
        <f t="shared" si="1"/>
        <v>13.8122</v>
      </c>
    </row>
    <row r="27" spans="1:12" ht="15">
      <c r="A27" s="146"/>
      <c r="B27" s="146" t="s">
        <v>527</v>
      </c>
      <c r="C27" s="146"/>
      <c r="D27" s="156">
        <f>+INPUT!L124</f>
        <v>51706</v>
      </c>
      <c r="E27" s="146"/>
      <c r="F27" s="156">
        <f>+INPUT!M124</f>
        <v>106491</v>
      </c>
      <c r="G27" s="146"/>
      <c r="H27" s="204">
        <f t="shared" si="0"/>
        <v>0.4855433792527068</v>
      </c>
      <c r="I27" s="146"/>
      <c r="J27" s="156">
        <f>+INPUT!O124</f>
        <v>721</v>
      </c>
      <c r="K27" s="146"/>
      <c r="L27" s="205">
        <f t="shared" si="1"/>
        <v>350.0768</v>
      </c>
    </row>
    <row r="28" spans="1:12" ht="15">
      <c r="A28" s="146"/>
      <c r="B28" s="146" t="s">
        <v>523</v>
      </c>
      <c r="C28" s="146"/>
      <c r="D28" s="156">
        <f>+INPUT!L125</f>
        <v>40075</v>
      </c>
      <c r="E28" s="146"/>
      <c r="F28" s="156">
        <f>+INPUT!M125</f>
        <v>109467</v>
      </c>
      <c r="G28" s="146"/>
      <c r="H28" s="204">
        <f t="shared" si="0"/>
        <v>0.36609206427507834</v>
      </c>
      <c r="I28" s="146"/>
      <c r="J28" s="156">
        <f>+INPUT!O125</f>
        <v>724</v>
      </c>
      <c r="K28" s="203"/>
      <c r="L28" s="205">
        <f t="shared" si="1"/>
        <v>265.0507</v>
      </c>
    </row>
    <row r="29" spans="1:12" ht="15">
      <c r="A29" s="146"/>
      <c r="B29" s="146" t="s">
        <v>524</v>
      </c>
      <c r="C29" s="146"/>
      <c r="D29" s="156">
        <f>+INPUT!L126</f>
        <v>13099</v>
      </c>
      <c r="E29" s="146"/>
      <c r="F29" s="156">
        <f>+INPUT!M126</f>
        <v>57863</v>
      </c>
      <c r="G29" s="146"/>
      <c r="H29" s="204">
        <f>IF(D29&lt;=0,0,D29/F29)</f>
        <v>0.22637955169970447</v>
      </c>
      <c r="I29" s="146"/>
      <c r="J29" s="156">
        <f>+INPUT!O126</f>
        <v>365</v>
      </c>
      <c r="K29" s="203"/>
      <c r="L29" s="205">
        <f>ROUND(H29*J29,4)</f>
        <v>82.6285</v>
      </c>
    </row>
    <row r="30" spans="1:12" ht="15">
      <c r="A30" s="146"/>
      <c r="B30" s="146" t="s">
        <v>519</v>
      </c>
      <c r="C30" s="146"/>
      <c r="D30" s="156">
        <f>+INPUT!L127</f>
        <v>26565</v>
      </c>
      <c r="E30" s="146"/>
      <c r="F30" s="156">
        <f>+INPUT!M127</f>
        <v>768495</v>
      </c>
      <c r="G30" s="146"/>
      <c r="H30" s="204">
        <f>IF(D30&lt;=0,0,D30/F30)</f>
        <v>0.03456756387484629</v>
      </c>
      <c r="I30" s="146"/>
      <c r="J30" s="156">
        <f>+INPUT!O127</f>
        <v>171</v>
      </c>
      <c r="K30" s="203"/>
      <c r="L30" s="205">
        <f>ROUND(H30*J30,4)</f>
        <v>5.9111</v>
      </c>
    </row>
    <row r="31" spans="1:12" ht="15">
      <c r="A31" s="146"/>
      <c r="B31" s="146" t="s">
        <v>506</v>
      </c>
      <c r="C31" s="146"/>
      <c r="D31" s="156">
        <f>+INPUT!L128</f>
        <v>5417</v>
      </c>
      <c r="E31" s="146"/>
      <c r="F31" s="156">
        <f>+INPUT!M128</f>
        <v>18029</v>
      </c>
      <c r="G31" s="146"/>
      <c r="H31" s="204">
        <f>IF(D31&lt;=0,0,D31/F31)</f>
        <v>0.30046036940484777</v>
      </c>
      <c r="I31" s="146"/>
      <c r="J31" s="156">
        <f>+INPUT!O128</f>
        <v>129</v>
      </c>
      <c r="K31" s="203"/>
      <c r="L31" s="205">
        <f>ROUND(H31*J31,4)</f>
        <v>38.7594</v>
      </c>
    </row>
    <row r="32" spans="1:13" ht="16.5" hidden="1">
      <c r="A32" s="146"/>
      <c r="B32" s="267" t="s">
        <v>507</v>
      </c>
      <c r="C32" s="267"/>
      <c r="D32" s="268">
        <f>+INPUT!L129</f>
        <v>0</v>
      </c>
      <c r="E32" s="267"/>
      <c r="F32" s="268">
        <f>+INPUT!M129</f>
        <v>0</v>
      </c>
      <c r="G32" s="267"/>
      <c r="H32" s="269">
        <f t="shared" si="0"/>
        <v>0</v>
      </c>
      <c r="I32" s="267"/>
      <c r="J32" s="268">
        <f>+INPUT!O129</f>
        <v>0</v>
      </c>
      <c r="K32" s="270"/>
      <c r="L32" s="271">
        <f t="shared" si="1"/>
        <v>0</v>
      </c>
      <c r="M32" s="145" t="s">
        <v>603</v>
      </c>
    </row>
    <row r="33" spans="1:12" ht="15">
      <c r="A33" s="146"/>
      <c r="B33" s="146" t="s">
        <v>508</v>
      </c>
      <c r="C33" s="146"/>
      <c r="D33" s="161">
        <f>+INPUT!L130</f>
        <v>4609</v>
      </c>
      <c r="E33" s="146"/>
      <c r="F33" s="161">
        <f>+INPUT!M130</f>
        <v>62199</v>
      </c>
      <c r="G33" s="146"/>
      <c r="H33" s="206">
        <f t="shared" si="0"/>
        <v>0.07410086978890336</v>
      </c>
      <c r="I33" s="146"/>
      <c r="J33" s="161">
        <f>+INPUT!O130</f>
        <v>550</v>
      </c>
      <c r="K33" s="203"/>
      <c r="L33" s="207">
        <f t="shared" si="1"/>
        <v>40.7555</v>
      </c>
    </row>
    <row r="34" spans="1:13" ht="16.5" hidden="1">
      <c r="A34" s="146"/>
      <c r="B34" s="267" t="s">
        <v>509</v>
      </c>
      <c r="C34" s="267"/>
      <c r="D34" s="268">
        <f>+INPUT!L131</f>
        <v>0</v>
      </c>
      <c r="E34" s="267"/>
      <c r="F34" s="268">
        <f>+INPUT!M131</f>
        <v>0</v>
      </c>
      <c r="G34" s="267"/>
      <c r="H34" s="269">
        <f t="shared" si="0"/>
        <v>0</v>
      </c>
      <c r="I34" s="267"/>
      <c r="J34" s="268">
        <f>+INPUT!O131</f>
        <v>0</v>
      </c>
      <c r="K34" s="270"/>
      <c r="L34" s="271">
        <f t="shared" si="1"/>
        <v>0</v>
      </c>
      <c r="M34" s="145" t="s">
        <v>603</v>
      </c>
    </row>
    <row r="35" spans="1:13" ht="16.5" hidden="1">
      <c r="A35" s="146"/>
      <c r="B35" s="267" t="s">
        <v>510</v>
      </c>
      <c r="C35" s="267"/>
      <c r="D35" s="272">
        <f>+INPUT!L132</f>
        <v>0</v>
      </c>
      <c r="E35" s="267"/>
      <c r="F35" s="272">
        <f>+INPUT!M132</f>
        <v>0</v>
      </c>
      <c r="G35" s="267"/>
      <c r="H35" s="273">
        <f t="shared" si="0"/>
        <v>0</v>
      </c>
      <c r="I35" s="267"/>
      <c r="J35" s="272">
        <f>+INPUT!O132</f>
        <v>0</v>
      </c>
      <c r="K35" s="267"/>
      <c r="L35" s="274">
        <f t="shared" si="1"/>
        <v>0</v>
      </c>
      <c r="M35" s="145" t="s">
        <v>603</v>
      </c>
    </row>
    <row r="36" spans="1:12" ht="15">
      <c r="A36" s="146"/>
      <c r="B36" s="146" t="s">
        <v>1642</v>
      </c>
      <c r="C36" s="146"/>
      <c r="D36" s="156">
        <f>SUM(D13:D35)</f>
        <v>240675</v>
      </c>
      <c r="E36" s="146"/>
      <c r="F36" s="156">
        <f>SUM(F13:F35)</f>
        <v>2108551</v>
      </c>
      <c r="G36" s="146"/>
      <c r="H36" s="204">
        <f t="shared" si="0"/>
        <v>0.11414236601343766</v>
      </c>
      <c r="I36" s="146"/>
      <c r="J36" s="156">
        <f>SUM(J13:J35)</f>
        <v>8341</v>
      </c>
      <c r="K36" s="146"/>
      <c r="L36" s="205">
        <f>SUM(L13:L35)</f>
        <v>1310.5404999999998</v>
      </c>
    </row>
    <row r="37" spans="1:12" ht="1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1:12" ht="15">
      <c r="A38" s="146" t="s">
        <v>1533</v>
      </c>
      <c r="B38" s="146" t="s">
        <v>511</v>
      </c>
      <c r="C38" s="146"/>
      <c r="D38" s="156">
        <f>+INPUT!L133</f>
        <v>15356</v>
      </c>
      <c r="E38" s="146"/>
      <c r="F38" s="156">
        <f>+INPUT!M133</f>
        <v>95847</v>
      </c>
      <c r="G38" s="146"/>
      <c r="H38" s="204">
        <f>IF(D38&lt;=0,0,D38/F38)</f>
        <v>0.16021367387607333</v>
      </c>
      <c r="I38" s="146"/>
      <c r="J38" s="156">
        <f>+INPUT!O133</f>
        <v>567</v>
      </c>
      <c r="K38" s="146"/>
      <c r="L38" s="205">
        <f>ROUND(H38*J38,4)</f>
        <v>90.8412</v>
      </c>
    </row>
    <row r="39" spans="1:12" ht="15">
      <c r="A39" s="146"/>
      <c r="B39" s="146" t="s">
        <v>512</v>
      </c>
      <c r="C39" s="146"/>
      <c r="D39" s="156">
        <f>+INPUT!L134</f>
        <v>22291</v>
      </c>
      <c r="E39" s="146"/>
      <c r="F39" s="156">
        <f>+INPUT!M134</f>
        <v>439341</v>
      </c>
      <c r="G39" s="146"/>
      <c r="H39" s="204">
        <f>IF(D39&lt;=0,0,D39/F39)</f>
        <v>0.05073735435572824</v>
      </c>
      <c r="I39" s="146"/>
      <c r="J39" s="156">
        <f>+INPUT!O134</f>
        <v>2577</v>
      </c>
      <c r="K39" s="146"/>
      <c r="L39" s="205">
        <f>ROUND(H39*J39,4)</f>
        <v>130.7502</v>
      </c>
    </row>
    <row r="40" spans="1:12" ht="15">
      <c r="A40" s="146"/>
      <c r="B40" s="146" t="s">
        <v>246</v>
      </c>
      <c r="C40" s="146"/>
      <c r="D40" s="156">
        <f>+INPUT!L135</f>
        <v>1456</v>
      </c>
      <c r="E40" s="146"/>
      <c r="F40" s="158">
        <f>+INPUT!M135</f>
        <v>129409</v>
      </c>
      <c r="G40" s="146"/>
      <c r="H40" s="204">
        <f>IF(D40&lt;=0,0,D40/F40)</f>
        <v>0.011251149456374749</v>
      </c>
      <c r="I40" s="146"/>
      <c r="J40" s="156">
        <f>+INPUT!O135</f>
        <v>381</v>
      </c>
      <c r="K40" s="146"/>
      <c r="L40" s="205">
        <f>ROUND(H40*J40,4)</f>
        <v>4.2867</v>
      </c>
    </row>
    <row r="41" spans="1:12" ht="15">
      <c r="A41" s="146"/>
      <c r="B41" s="146" t="s">
        <v>247</v>
      </c>
      <c r="C41" s="146"/>
      <c r="D41" s="161">
        <f>+INPUT!L136</f>
        <v>2333</v>
      </c>
      <c r="E41" s="146"/>
      <c r="F41" s="159">
        <f>+INPUT!M136</f>
        <v>125461</v>
      </c>
      <c r="G41" s="146"/>
      <c r="H41" s="206">
        <f>IF(D41&lt;=0,0,D41/F41)</f>
        <v>0.01859542009070548</v>
      </c>
      <c r="I41" s="146"/>
      <c r="J41" s="161">
        <f>+INPUT!O136</f>
        <v>368</v>
      </c>
      <c r="K41" s="146"/>
      <c r="L41" s="207">
        <f>ROUND(H41*J41,4)</f>
        <v>6.8431</v>
      </c>
    </row>
    <row r="42" spans="1:12" ht="15">
      <c r="A42" s="146"/>
      <c r="B42" s="146" t="s">
        <v>1642</v>
      </c>
      <c r="C42" s="146"/>
      <c r="D42" s="156">
        <f>SUM(D38:D41)</f>
        <v>41436</v>
      </c>
      <c r="E42" s="146"/>
      <c r="F42" s="156">
        <f>SUM(F38:F41)</f>
        <v>790058</v>
      </c>
      <c r="G42" s="146"/>
      <c r="H42" s="204">
        <f>IF(D42&lt;=0,0,D42/F42)</f>
        <v>0.052446782388128464</v>
      </c>
      <c r="I42" s="146"/>
      <c r="J42" s="156">
        <f>SUM(J38:J41)</f>
        <v>3893</v>
      </c>
      <c r="K42" s="146"/>
      <c r="L42" s="232">
        <f>SUM(L38:L41)</f>
        <v>232.7212</v>
      </c>
    </row>
    <row r="43" spans="1:12" ht="15">
      <c r="A43" s="146"/>
      <c r="B43" s="146"/>
      <c r="C43" s="146"/>
      <c r="D43" s="156"/>
      <c r="E43" s="146"/>
      <c r="F43" s="156"/>
      <c r="G43" s="146"/>
      <c r="H43" s="204"/>
      <c r="I43" s="146"/>
      <c r="J43" s="156"/>
      <c r="K43" s="146"/>
      <c r="L43" s="205"/>
    </row>
    <row r="44" spans="1:12" ht="15">
      <c r="A44" s="146" t="s">
        <v>1534</v>
      </c>
      <c r="B44" s="146" t="s">
        <v>251</v>
      </c>
      <c r="C44" s="146"/>
      <c r="D44" s="156">
        <f>+INPUT!L137</f>
        <v>4854</v>
      </c>
      <c r="E44" s="146"/>
      <c r="F44" s="156">
        <f>+INPUT!M137</f>
        <v>431259</v>
      </c>
      <c r="G44" s="146"/>
      <c r="H44" s="204">
        <f aca="true" t="shared" si="4" ref="H44:H52">IF(D44&lt;=0,0,D44/F44)</f>
        <v>0.011255417278248105</v>
      </c>
      <c r="I44" s="146"/>
      <c r="J44" s="156">
        <f>+INPUT!O137</f>
        <v>1270</v>
      </c>
      <c r="K44" s="146"/>
      <c r="L44" s="205">
        <f aca="true" t="shared" si="5" ref="L44:L51">ROUND(H44*J44,4)</f>
        <v>14.2944</v>
      </c>
    </row>
    <row r="45" spans="1:12" ht="15">
      <c r="A45" s="146"/>
      <c r="B45" s="146" t="s">
        <v>246</v>
      </c>
      <c r="C45" s="146"/>
      <c r="D45" s="156">
        <f>+INPUT!L138</f>
        <v>3395</v>
      </c>
      <c r="E45" s="146"/>
      <c r="F45" s="156">
        <f>+INPUT!M138</f>
        <v>301921</v>
      </c>
      <c r="G45" s="146"/>
      <c r="H45" s="204">
        <f t="shared" si="4"/>
        <v>0.01124466333908539</v>
      </c>
      <c r="I45" s="146"/>
      <c r="J45" s="156">
        <f>+INPUT!O138</f>
        <v>889</v>
      </c>
      <c r="K45" s="146"/>
      <c r="L45" s="205">
        <f t="shared" si="5"/>
        <v>9.9965</v>
      </c>
    </row>
    <row r="46" spans="1:12" ht="15">
      <c r="A46" s="146"/>
      <c r="B46" s="146" t="s">
        <v>513</v>
      </c>
      <c r="C46" s="146"/>
      <c r="D46" s="156">
        <f>+INPUT!L139</f>
        <v>4403</v>
      </c>
      <c r="E46" s="146"/>
      <c r="F46" s="156">
        <f>+INPUT!M139</f>
        <v>247574</v>
      </c>
      <c r="G46" s="146"/>
      <c r="H46" s="204">
        <f t="shared" si="4"/>
        <v>0.017784581579648913</v>
      </c>
      <c r="I46" s="146"/>
      <c r="J46" s="156">
        <f>+INPUT!O139</f>
        <v>727</v>
      </c>
      <c r="K46" s="146"/>
      <c r="L46" s="205">
        <f t="shared" si="5"/>
        <v>12.9294</v>
      </c>
    </row>
    <row r="47" spans="1:12" ht="15">
      <c r="A47" s="146"/>
      <c r="B47" s="146" t="s">
        <v>247</v>
      </c>
      <c r="C47" s="146"/>
      <c r="D47" s="156">
        <f>+INPUT!L140</f>
        <v>5437</v>
      </c>
      <c r="E47" s="146"/>
      <c r="F47" s="156">
        <f>+INPUT!M140</f>
        <v>292765</v>
      </c>
      <c r="G47" s="146"/>
      <c r="H47" s="204">
        <f t="shared" si="4"/>
        <v>0.01857120899014568</v>
      </c>
      <c r="I47" s="146"/>
      <c r="J47" s="156">
        <f>+INPUT!O140</f>
        <v>860</v>
      </c>
      <c r="K47" s="146"/>
      <c r="L47" s="205">
        <f t="shared" si="5"/>
        <v>15.9712</v>
      </c>
    </row>
    <row r="48" spans="1:12" ht="15">
      <c r="A48" s="146"/>
      <c r="B48" s="146" t="s">
        <v>514</v>
      </c>
      <c r="C48" s="146"/>
      <c r="D48" s="156">
        <f>+INPUT!L141</f>
        <v>2747</v>
      </c>
      <c r="E48" s="146"/>
      <c r="F48" s="156">
        <f>+INPUT!M141</f>
        <v>11023</v>
      </c>
      <c r="G48" s="146"/>
      <c r="H48" s="204">
        <f t="shared" si="4"/>
        <v>0.24920620520729383</v>
      </c>
      <c r="I48" s="146"/>
      <c r="J48" s="156">
        <f>+INPUT!O141</f>
        <v>52</v>
      </c>
      <c r="K48" s="146"/>
      <c r="L48" s="205">
        <f t="shared" si="5"/>
        <v>12.9587</v>
      </c>
    </row>
    <row r="49" spans="1:12" ht="15">
      <c r="A49" s="146"/>
      <c r="B49" s="146" t="s">
        <v>515</v>
      </c>
      <c r="C49" s="146"/>
      <c r="D49" s="156">
        <f>+INPUT!L142</f>
        <v>4021</v>
      </c>
      <c r="E49" s="146"/>
      <c r="F49" s="156">
        <f>+INPUT!M142</f>
        <v>14192</v>
      </c>
      <c r="G49" s="146"/>
      <c r="H49" s="204">
        <f t="shared" si="4"/>
        <v>0.2833286358511838</v>
      </c>
      <c r="I49" s="146"/>
      <c r="J49" s="156">
        <f>+INPUT!O142</f>
        <v>70</v>
      </c>
      <c r="K49" s="146"/>
      <c r="L49" s="205">
        <f t="shared" si="5"/>
        <v>19.833</v>
      </c>
    </row>
    <row r="50" spans="1:12" ht="15">
      <c r="A50" s="146"/>
      <c r="B50" s="146" t="s">
        <v>516</v>
      </c>
      <c r="C50" s="146"/>
      <c r="D50" s="156">
        <f>+INPUT!L143</f>
        <v>11640</v>
      </c>
      <c r="E50" s="146"/>
      <c r="F50" s="156">
        <f>+INPUT!M143</f>
        <v>60723</v>
      </c>
      <c r="G50" s="146"/>
      <c r="H50" s="204">
        <f t="shared" si="4"/>
        <v>0.19169013388666567</v>
      </c>
      <c r="I50" s="146"/>
      <c r="J50" s="156">
        <f>+INPUT!O143</f>
        <v>325</v>
      </c>
      <c r="K50" s="146"/>
      <c r="L50" s="205">
        <f t="shared" si="5"/>
        <v>62.2993</v>
      </c>
    </row>
    <row r="51" spans="1:12" ht="15">
      <c r="A51" s="146"/>
      <c r="B51" s="146" t="s">
        <v>113</v>
      </c>
      <c r="C51" s="146"/>
      <c r="D51" s="161">
        <f>+INPUT!L144</f>
        <v>17641</v>
      </c>
      <c r="E51" s="146"/>
      <c r="F51" s="161">
        <f>+INPUT!M144</f>
        <v>276209</v>
      </c>
      <c r="G51" s="146"/>
      <c r="H51" s="206">
        <f t="shared" si="4"/>
        <v>0.06386830262591009</v>
      </c>
      <c r="I51" s="146"/>
      <c r="J51" s="161">
        <f>+INPUT!O144</f>
        <v>1784</v>
      </c>
      <c r="K51" s="146"/>
      <c r="L51" s="207">
        <f t="shared" si="5"/>
        <v>113.9411</v>
      </c>
    </row>
    <row r="52" spans="1:12" ht="15">
      <c r="A52" s="146"/>
      <c r="B52" s="146" t="s">
        <v>1642</v>
      </c>
      <c r="C52" s="146"/>
      <c r="D52" s="156">
        <f>SUM(D44:D51)</f>
        <v>54138</v>
      </c>
      <c r="E52" s="146"/>
      <c r="F52" s="156">
        <f>SUM(F44:F51)</f>
        <v>1635666</v>
      </c>
      <c r="G52" s="146"/>
      <c r="H52" s="204">
        <f t="shared" si="4"/>
        <v>0.033098444303421355</v>
      </c>
      <c r="I52" s="146"/>
      <c r="J52" s="156">
        <f>SUM(J44:J51)</f>
        <v>5977</v>
      </c>
      <c r="K52" s="146"/>
      <c r="L52" s="232">
        <f>SUM(L44:L51)</f>
        <v>262.22360000000003</v>
      </c>
    </row>
    <row r="53" spans="1:12" ht="15">
      <c r="A53" s="146"/>
      <c r="B53" s="146"/>
      <c r="C53" s="146"/>
      <c r="D53" s="156"/>
      <c r="E53" s="146"/>
      <c r="F53" s="156"/>
      <c r="G53" s="146"/>
      <c r="H53" s="204"/>
      <c r="I53" s="146"/>
      <c r="J53" s="156"/>
      <c r="K53" s="146"/>
      <c r="L53" s="156"/>
    </row>
    <row r="54" spans="1:12" ht="15">
      <c r="A54" s="146" t="s">
        <v>1729</v>
      </c>
      <c r="B54" s="148" t="str">
        <f>+INPUT!C1</f>
        <v>February 2009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7" t="s">
        <v>258</v>
      </c>
    </row>
    <row r="55" spans="1:12" ht="15">
      <c r="A55" s="152"/>
      <c r="B55" s="146"/>
      <c r="C55" s="146"/>
      <c r="D55" s="146"/>
      <c r="E55" s="146"/>
      <c r="G55" s="147" t="s">
        <v>100</v>
      </c>
      <c r="H55" s="146"/>
      <c r="I55" s="146"/>
      <c r="J55" s="146"/>
      <c r="K55" s="146"/>
      <c r="L55" s="146"/>
    </row>
    <row r="56" spans="1:12" ht="15">
      <c r="A56" s="152"/>
      <c r="B56" s="146"/>
      <c r="C56" s="146"/>
      <c r="D56" s="146"/>
      <c r="E56" s="146"/>
      <c r="G56" s="147" t="s">
        <v>101</v>
      </c>
      <c r="H56" s="146"/>
      <c r="I56" s="146"/>
      <c r="J56" s="146"/>
      <c r="K56" s="146"/>
      <c r="L56" s="146"/>
    </row>
    <row r="57" spans="1:12" ht="15">
      <c r="A57" s="152"/>
      <c r="B57" s="146"/>
      <c r="C57" s="146"/>
      <c r="D57" s="146"/>
      <c r="E57" s="146"/>
      <c r="G57" s="202" t="s">
        <v>102</v>
      </c>
      <c r="H57" s="146"/>
      <c r="I57" s="146"/>
      <c r="J57" s="146"/>
      <c r="K57" s="146"/>
      <c r="L57" s="146"/>
    </row>
    <row r="58" spans="1:12" ht="15">
      <c r="A58" s="146"/>
      <c r="B58" s="146"/>
      <c r="C58" s="146"/>
      <c r="D58" s="147" t="s">
        <v>1660</v>
      </c>
      <c r="E58" s="146"/>
      <c r="F58" s="146"/>
      <c r="G58" s="146"/>
      <c r="H58" s="146"/>
      <c r="I58" s="146"/>
      <c r="J58" s="146"/>
      <c r="K58" s="146"/>
      <c r="L58" s="146"/>
    </row>
    <row r="59" spans="1:12" ht="15">
      <c r="A59" s="146"/>
      <c r="B59" s="146"/>
      <c r="C59" s="146"/>
      <c r="D59" s="147" t="s">
        <v>103</v>
      </c>
      <c r="E59" s="146"/>
      <c r="F59" s="146"/>
      <c r="G59" s="146"/>
      <c r="H59" s="146"/>
      <c r="I59" s="146"/>
      <c r="J59" s="146"/>
      <c r="K59" s="146"/>
      <c r="L59" s="146"/>
    </row>
    <row r="60" spans="1:12" ht="15">
      <c r="A60" s="146"/>
      <c r="B60" s="146"/>
      <c r="C60" s="146"/>
      <c r="D60" s="147" t="s">
        <v>104</v>
      </c>
      <c r="E60" s="146"/>
      <c r="F60" s="146"/>
      <c r="G60" s="146"/>
      <c r="H60" s="147" t="s">
        <v>105</v>
      </c>
      <c r="I60" s="146"/>
      <c r="J60" s="147" t="s">
        <v>68</v>
      </c>
      <c r="K60" s="146"/>
      <c r="L60" s="147" t="s">
        <v>70</v>
      </c>
    </row>
    <row r="61" spans="1:12" ht="15">
      <c r="A61" s="146"/>
      <c r="B61" s="146"/>
      <c r="C61" s="146"/>
      <c r="D61" s="147" t="s">
        <v>107</v>
      </c>
      <c r="E61" s="146"/>
      <c r="F61" s="147" t="s">
        <v>1642</v>
      </c>
      <c r="G61" s="146"/>
      <c r="H61" s="147" t="s">
        <v>1588</v>
      </c>
      <c r="I61" s="146"/>
      <c r="J61" s="147" t="s">
        <v>106</v>
      </c>
      <c r="K61" s="146"/>
      <c r="L61" s="147" t="s">
        <v>1659</v>
      </c>
    </row>
    <row r="62" spans="1:12" ht="15">
      <c r="A62" s="146"/>
      <c r="B62" s="146"/>
      <c r="C62" s="146"/>
      <c r="D62" s="147" t="s">
        <v>553</v>
      </c>
      <c r="E62" s="146"/>
      <c r="F62" s="147" t="s">
        <v>1660</v>
      </c>
      <c r="G62" s="146"/>
      <c r="H62" s="147" t="s">
        <v>108</v>
      </c>
      <c r="I62" s="146"/>
      <c r="J62" s="147" t="s">
        <v>1659</v>
      </c>
      <c r="K62" s="146"/>
      <c r="L62" s="147" t="s">
        <v>109</v>
      </c>
    </row>
    <row r="63" spans="1:12" ht="15">
      <c r="A63" s="146"/>
      <c r="B63" s="146"/>
      <c r="C63" s="146"/>
      <c r="D63" s="153" t="s">
        <v>110</v>
      </c>
      <c r="E63" s="146"/>
      <c r="F63" s="153" t="s">
        <v>110</v>
      </c>
      <c r="G63" s="146"/>
      <c r="H63" s="151" t="s">
        <v>111</v>
      </c>
      <c r="I63" s="146"/>
      <c r="J63" s="151" t="s">
        <v>554</v>
      </c>
      <c r="K63" s="146"/>
      <c r="L63" s="151" t="s">
        <v>2012</v>
      </c>
    </row>
    <row r="64" spans="1:12" ht="15">
      <c r="A64" s="146"/>
      <c r="B64" s="146"/>
      <c r="C64" s="146"/>
      <c r="D64" s="155" t="s">
        <v>1777</v>
      </c>
      <c r="E64" s="146"/>
      <c r="F64" s="155" t="s">
        <v>1778</v>
      </c>
      <c r="G64" s="149"/>
      <c r="H64" s="155" t="s">
        <v>112</v>
      </c>
      <c r="I64" s="149"/>
      <c r="J64" s="155" t="s">
        <v>1780</v>
      </c>
      <c r="K64" s="149"/>
      <c r="L64" s="155" t="s">
        <v>82</v>
      </c>
    </row>
    <row r="65" spans="1:12" ht="1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</row>
    <row r="66" spans="1:12" ht="15">
      <c r="A66" s="146" t="s">
        <v>1536</v>
      </c>
      <c r="B66" s="146" t="s">
        <v>505</v>
      </c>
      <c r="C66" s="146"/>
      <c r="D66" s="156">
        <f>+INPUT!L145</f>
        <v>0</v>
      </c>
      <c r="E66" s="146"/>
      <c r="F66" s="156">
        <f>+INPUT!M145</f>
        <v>0</v>
      </c>
      <c r="G66" s="146"/>
      <c r="H66" s="204">
        <f>IF(D66&lt;=0,0,D66/F66)</f>
        <v>0</v>
      </c>
      <c r="I66" s="146"/>
      <c r="J66" s="156">
        <f>+INPUT!O145</f>
        <v>0</v>
      </c>
      <c r="K66" s="203"/>
      <c r="L66" s="205">
        <f>ROUND(H66*J66,4)</f>
        <v>0</v>
      </c>
    </row>
    <row r="67" spans="1:12" ht="15">
      <c r="A67" s="146"/>
      <c r="B67" s="146" t="s">
        <v>114</v>
      </c>
      <c r="C67" s="146"/>
      <c r="D67" s="156">
        <f>+INPUT!L146</f>
        <v>3120</v>
      </c>
      <c r="E67" s="146"/>
      <c r="F67" s="156">
        <f>+INPUT!M146</f>
        <v>361035</v>
      </c>
      <c r="G67" s="146"/>
      <c r="H67" s="204">
        <f aca="true" t="shared" si="6" ref="H67:H89">IF(D67&lt;=0,0,D67/F67)</f>
        <v>0.008641821430055258</v>
      </c>
      <c r="I67" s="146"/>
      <c r="J67" s="156">
        <f>+INPUT!O146</f>
        <v>264</v>
      </c>
      <c r="K67" s="203"/>
      <c r="L67" s="205">
        <f aca="true" t="shared" si="7" ref="L67:L89">ROUND(H67*J67,4)</f>
        <v>2.2814</v>
      </c>
    </row>
    <row r="68" spans="1:12" ht="15">
      <c r="A68" s="146"/>
      <c r="B68" s="146" t="s">
        <v>115</v>
      </c>
      <c r="C68" s="146"/>
      <c r="D68" s="156">
        <f>+INPUT!L147</f>
        <v>14757</v>
      </c>
      <c r="E68" s="146"/>
      <c r="F68" s="156">
        <f>+INPUT!M147</f>
        <v>14757</v>
      </c>
      <c r="G68" s="146"/>
      <c r="H68" s="204">
        <f t="shared" si="6"/>
        <v>1</v>
      </c>
      <c r="I68" s="146"/>
      <c r="J68" s="156">
        <f>+INPUT!O147</f>
        <v>130.61968267480077</v>
      </c>
      <c r="K68" s="146"/>
      <c r="L68" s="205">
        <f t="shared" si="7"/>
        <v>130.6197</v>
      </c>
    </row>
    <row r="69" spans="1:12" ht="15">
      <c r="A69" s="146"/>
      <c r="B69" s="146" t="s">
        <v>559</v>
      </c>
      <c r="C69" s="146"/>
      <c r="D69" s="156">
        <f>+INPUT!L148</f>
        <v>16756</v>
      </c>
      <c r="E69" s="146"/>
      <c r="F69" s="156">
        <f>+INPUT!M148</f>
        <v>16756</v>
      </c>
      <c r="G69" s="146"/>
      <c r="H69" s="204">
        <f>IF(D69&lt;=0,0,D69/F69)</f>
        <v>1</v>
      </c>
      <c r="I69" s="146"/>
      <c r="J69" s="156">
        <f>+INPUT!O148</f>
        <v>107.64034633242333</v>
      </c>
      <c r="K69" s="146"/>
      <c r="L69" s="205">
        <f>ROUND(H69*J69,4)</f>
        <v>107.6403</v>
      </c>
    </row>
    <row r="70" spans="1:12" ht="15">
      <c r="A70" s="146"/>
      <c r="B70" s="146" t="s">
        <v>116</v>
      </c>
      <c r="C70" s="146"/>
      <c r="D70" s="156">
        <f>+INPUT!L149</f>
        <v>18145</v>
      </c>
      <c r="E70" s="146"/>
      <c r="F70" s="156">
        <f>+INPUT!M149</f>
        <v>857311</v>
      </c>
      <c r="G70" s="146"/>
      <c r="H70" s="204">
        <f t="shared" si="6"/>
        <v>0.021165014796264134</v>
      </c>
      <c r="I70" s="146"/>
      <c r="J70" s="156">
        <f>+INPUT!O149</f>
        <v>1222</v>
      </c>
      <c r="K70" s="203"/>
      <c r="L70" s="205">
        <f t="shared" si="7"/>
        <v>25.8636</v>
      </c>
    </row>
    <row r="71" spans="1:12" ht="15">
      <c r="A71" s="146"/>
      <c r="B71" s="146" t="s">
        <v>117</v>
      </c>
      <c r="C71" s="146"/>
      <c r="D71" s="156">
        <f>+INPUT!L150</f>
        <v>16394</v>
      </c>
      <c r="E71" s="146"/>
      <c r="F71" s="156">
        <f>+INPUT!M150</f>
        <v>859775</v>
      </c>
      <c r="G71" s="146"/>
      <c r="H71" s="204">
        <f t="shared" si="6"/>
        <v>0.0190677793608793</v>
      </c>
      <c r="I71" s="146"/>
      <c r="J71" s="156">
        <f>+INPUT!O150</f>
        <v>958</v>
      </c>
      <c r="K71" s="203"/>
      <c r="L71" s="205">
        <f t="shared" si="7"/>
        <v>18.2669</v>
      </c>
    </row>
    <row r="72" spans="1:12" ht="15">
      <c r="A72" s="146"/>
      <c r="B72" s="146" t="s">
        <v>118</v>
      </c>
      <c r="C72" s="146"/>
      <c r="D72" s="156">
        <f>+INPUT!L151</f>
        <v>704</v>
      </c>
      <c r="E72" s="146"/>
      <c r="F72" s="156">
        <f>+INPUT!M151</f>
        <v>2975</v>
      </c>
      <c r="G72" s="146"/>
      <c r="H72" s="204">
        <f t="shared" si="6"/>
        <v>0.23663865546218488</v>
      </c>
      <c r="I72" s="146"/>
      <c r="J72" s="156">
        <f>+INPUT!O151</f>
        <v>31</v>
      </c>
      <c r="K72" s="146"/>
      <c r="L72" s="205">
        <f t="shared" si="7"/>
        <v>7.3358</v>
      </c>
    </row>
    <row r="73" spans="1:12" ht="15">
      <c r="A73" s="146"/>
      <c r="B73" s="146" t="s">
        <v>119</v>
      </c>
      <c r="C73" s="146"/>
      <c r="D73" s="156">
        <f>+INPUT!L152</f>
        <v>56803</v>
      </c>
      <c r="E73" s="146"/>
      <c r="F73" s="156">
        <f>+INPUT!M152</f>
        <v>98491</v>
      </c>
      <c r="G73" s="146"/>
      <c r="H73" s="204">
        <f t="shared" si="6"/>
        <v>0.5767328994527419</v>
      </c>
      <c r="I73" s="146"/>
      <c r="J73" s="156">
        <f>+INPUT!O152</f>
        <v>897</v>
      </c>
      <c r="K73" s="146"/>
      <c r="L73" s="205">
        <f t="shared" si="7"/>
        <v>517.3294</v>
      </c>
    </row>
    <row r="74" spans="1:12" ht="15">
      <c r="A74" s="146"/>
      <c r="B74" s="146" t="s">
        <v>120</v>
      </c>
      <c r="C74" s="146"/>
      <c r="D74" s="156">
        <f>+INPUT!L153</f>
        <v>6567</v>
      </c>
      <c r="E74" s="146"/>
      <c r="F74" s="156">
        <f>+INPUT!M153</f>
        <v>13671</v>
      </c>
      <c r="G74" s="146"/>
      <c r="H74" s="204">
        <f t="shared" si="6"/>
        <v>0.4803598858898398</v>
      </c>
      <c r="I74" s="146"/>
      <c r="J74" s="156">
        <f>+INPUT!O153</f>
        <v>128</v>
      </c>
      <c r="K74" s="146"/>
      <c r="L74" s="205">
        <f t="shared" si="7"/>
        <v>61.4861</v>
      </c>
    </row>
    <row r="75" spans="1:12" ht="15">
      <c r="A75" s="146"/>
      <c r="B75" s="146" t="s">
        <v>121</v>
      </c>
      <c r="C75" s="146"/>
      <c r="D75" s="156">
        <f>+INPUT!L154</f>
        <v>6192</v>
      </c>
      <c r="E75" s="146"/>
      <c r="F75" s="156">
        <f>+INPUT!M154</f>
        <v>424866</v>
      </c>
      <c r="G75" s="146"/>
      <c r="H75" s="204">
        <f t="shared" si="6"/>
        <v>0.014574006863340441</v>
      </c>
      <c r="I75" s="146"/>
      <c r="J75" s="156">
        <f>+INPUT!O154</f>
        <v>165</v>
      </c>
      <c r="K75" s="146"/>
      <c r="L75" s="205">
        <f t="shared" si="7"/>
        <v>2.4047</v>
      </c>
    </row>
    <row r="76" spans="1:12" ht="15">
      <c r="A76" s="146"/>
      <c r="B76" s="146" t="s">
        <v>122</v>
      </c>
      <c r="C76" s="146"/>
      <c r="D76" s="156">
        <f>+INPUT!L155</f>
        <v>1841</v>
      </c>
      <c r="E76" s="146"/>
      <c r="F76" s="156">
        <f>+INPUT!M155</f>
        <v>457217</v>
      </c>
      <c r="G76" s="146"/>
      <c r="H76" s="204">
        <f t="shared" si="6"/>
        <v>0.004026534446444467</v>
      </c>
      <c r="I76" s="146"/>
      <c r="J76" s="156">
        <f>+INPUT!O155</f>
        <v>110</v>
      </c>
      <c r="K76" s="146"/>
      <c r="L76" s="205">
        <f t="shared" si="7"/>
        <v>0.4429</v>
      </c>
    </row>
    <row r="77" spans="1:12" ht="15">
      <c r="A77" s="146"/>
      <c r="B77" s="146" t="s">
        <v>123</v>
      </c>
      <c r="C77" s="146"/>
      <c r="D77" s="156">
        <f>+INPUT!L156</f>
        <v>12649</v>
      </c>
      <c r="E77" s="146"/>
      <c r="F77" s="156">
        <f>+INPUT!M156</f>
        <v>45890</v>
      </c>
      <c r="G77" s="146"/>
      <c r="H77" s="204">
        <f t="shared" si="6"/>
        <v>0.2756373937677054</v>
      </c>
      <c r="I77" s="146"/>
      <c r="J77" s="156">
        <f>+INPUT!O156</f>
        <v>947</v>
      </c>
      <c r="K77" s="203"/>
      <c r="L77" s="205">
        <f t="shared" si="7"/>
        <v>261.0286</v>
      </c>
    </row>
    <row r="78" spans="1:12" ht="15">
      <c r="A78" s="146"/>
      <c r="B78" s="146" t="s">
        <v>124</v>
      </c>
      <c r="C78" s="146"/>
      <c r="D78" s="156">
        <f>+INPUT!L157</f>
        <v>16536</v>
      </c>
      <c r="E78" s="146"/>
      <c r="F78" s="156">
        <f>+INPUT!M157</f>
        <v>57566</v>
      </c>
      <c r="G78" s="146"/>
      <c r="H78" s="204">
        <f t="shared" si="6"/>
        <v>0.28725289233227946</v>
      </c>
      <c r="I78" s="146"/>
      <c r="J78" s="156">
        <f>+INPUT!O157</f>
        <v>1206</v>
      </c>
      <c r="K78" s="203"/>
      <c r="L78" s="205">
        <f t="shared" si="7"/>
        <v>346.427</v>
      </c>
    </row>
    <row r="79" spans="1:12" ht="15">
      <c r="A79" s="146"/>
      <c r="B79" s="146" t="s">
        <v>125</v>
      </c>
      <c r="C79" s="146"/>
      <c r="D79" s="156">
        <f>+INPUT!L158</f>
        <v>16874</v>
      </c>
      <c r="E79" s="146"/>
      <c r="F79" s="156">
        <f>+INPUT!M158</f>
        <v>114015</v>
      </c>
      <c r="G79" s="146"/>
      <c r="H79" s="204">
        <f t="shared" si="6"/>
        <v>0.14799807042932947</v>
      </c>
      <c r="I79" s="146"/>
      <c r="J79" s="156">
        <f>+INPUT!O158</f>
        <v>2274</v>
      </c>
      <c r="K79" s="203"/>
      <c r="L79" s="205">
        <f t="shared" si="7"/>
        <v>336.5476</v>
      </c>
    </row>
    <row r="80" spans="1:12" ht="15">
      <c r="A80" s="146"/>
      <c r="B80" s="146" t="s">
        <v>126</v>
      </c>
      <c r="C80" s="146"/>
      <c r="D80" s="156">
        <f>+INPUT!L159</f>
        <v>17282</v>
      </c>
      <c r="E80" s="146"/>
      <c r="F80" s="156">
        <f>+INPUT!M159</f>
        <v>97343</v>
      </c>
      <c r="G80" s="146"/>
      <c r="H80" s="204">
        <f t="shared" si="6"/>
        <v>0.17753716240510362</v>
      </c>
      <c r="I80" s="146"/>
      <c r="J80" s="156">
        <f>+INPUT!O159</f>
        <v>1926</v>
      </c>
      <c r="K80" s="203"/>
      <c r="L80" s="205">
        <f t="shared" si="7"/>
        <v>341.9366</v>
      </c>
    </row>
    <row r="81" spans="1:12" ht="15">
      <c r="A81" s="146"/>
      <c r="B81" s="146" t="s">
        <v>127</v>
      </c>
      <c r="C81" s="146"/>
      <c r="D81" s="156">
        <f>+INPUT!L160</f>
        <v>15402</v>
      </c>
      <c r="E81" s="162"/>
      <c r="F81" s="156">
        <f>+INPUT!M160</f>
        <v>326549</v>
      </c>
      <c r="G81" s="162"/>
      <c r="H81" s="259">
        <f t="shared" si="6"/>
        <v>0.04716596896637258</v>
      </c>
      <c r="I81" s="162"/>
      <c r="J81" s="156">
        <f>+INPUT!O160</f>
        <v>1981</v>
      </c>
      <c r="K81" s="162"/>
      <c r="L81" s="260">
        <f t="shared" si="7"/>
        <v>93.4358</v>
      </c>
    </row>
    <row r="82" spans="1:13" ht="16.5" hidden="1">
      <c r="A82" s="146"/>
      <c r="B82" s="168" t="s">
        <v>506</v>
      </c>
      <c r="C82" s="168"/>
      <c r="D82" s="158">
        <f>+INPUT!L161</f>
        <v>0</v>
      </c>
      <c r="E82" s="168"/>
      <c r="F82" s="158">
        <f>+INPUT!M161</f>
        <v>0</v>
      </c>
      <c r="G82" s="168"/>
      <c r="H82" s="310">
        <f>IF(D82&lt;=0,0,D82/F82)</f>
        <v>0</v>
      </c>
      <c r="I82" s="168"/>
      <c r="J82" s="158">
        <f>+INPUT!O161</f>
        <v>0</v>
      </c>
      <c r="K82" s="311"/>
      <c r="L82" s="312">
        <f>ROUND(H82*J82,4)</f>
        <v>0</v>
      </c>
      <c r="M82" s="145" t="s">
        <v>603</v>
      </c>
    </row>
    <row r="83" spans="1:12" ht="15">
      <c r="A83" s="146"/>
      <c r="B83" s="168" t="s">
        <v>507</v>
      </c>
      <c r="C83" s="168"/>
      <c r="D83" s="158">
        <f>+INPUT!L162</f>
        <v>4553</v>
      </c>
      <c r="E83" s="168"/>
      <c r="F83" s="158">
        <f>+INPUT!M162</f>
        <v>17082</v>
      </c>
      <c r="G83" s="168"/>
      <c r="H83" s="310">
        <f>IF(D83&lt;=0,0,D83/F83)</f>
        <v>0.2665378761269172</v>
      </c>
      <c r="I83" s="168"/>
      <c r="J83" s="158">
        <f>+INPUT!O162</f>
        <v>115</v>
      </c>
      <c r="K83" s="311"/>
      <c r="L83" s="312">
        <f>ROUND(H83*J83,4)</f>
        <v>30.6519</v>
      </c>
    </row>
    <row r="84" spans="1:13" ht="16.5" hidden="1">
      <c r="A84" s="146"/>
      <c r="B84" s="168" t="s">
        <v>508</v>
      </c>
      <c r="C84" s="168"/>
      <c r="D84" s="158">
        <f>+INPUT!L163</f>
        <v>0</v>
      </c>
      <c r="E84" s="168"/>
      <c r="F84" s="158">
        <f>+INPUT!M163</f>
        <v>0</v>
      </c>
      <c r="G84" s="168"/>
      <c r="H84" s="310">
        <f>IF(D84&lt;=0,0,D84/F84)</f>
        <v>0</v>
      </c>
      <c r="I84" s="168"/>
      <c r="J84" s="158">
        <f>+INPUT!O163</f>
        <v>0</v>
      </c>
      <c r="K84" s="311"/>
      <c r="L84" s="312">
        <f>ROUND(H84*J84,4)</f>
        <v>0</v>
      </c>
      <c r="M84" s="145" t="s">
        <v>603</v>
      </c>
    </row>
    <row r="85" spans="1:12" ht="15">
      <c r="A85" s="146"/>
      <c r="B85" s="146" t="s">
        <v>509</v>
      </c>
      <c r="C85" s="146"/>
      <c r="D85" s="156">
        <f>+INPUT!L164</f>
        <v>4192</v>
      </c>
      <c r="E85" s="146"/>
      <c r="F85" s="156">
        <f>+INPUT!M164</f>
        <v>15317</v>
      </c>
      <c r="G85" s="146"/>
      <c r="H85" s="204">
        <f>IF(D85&lt;=0,0,D85/F85)</f>
        <v>0.2736828360645035</v>
      </c>
      <c r="I85" s="146"/>
      <c r="J85" s="156">
        <f>+INPUT!O164</f>
        <v>100</v>
      </c>
      <c r="K85" s="203"/>
      <c r="L85" s="205">
        <f>ROUND(H85*J85,4)</f>
        <v>27.3683</v>
      </c>
    </row>
    <row r="86" spans="1:12" ht="15">
      <c r="A86" s="146"/>
      <c r="B86" s="146" t="s">
        <v>510</v>
      </c>
      <c r="C86" s="146"/>
      <c r="D86" s="161">
        <f>+INPUT!L165</f>
        <v>7626</v>
      </c>
      <c r="E86" s="146"/>
      <c r="F86" s="161">
        <f>+INPUT!M165</f>
        <v>55380</v>
      </c>
      <c r="G86" s="146"/>
      <c r="H86" s="206">
        <f>IF(D86&lt;=0,0,D86/F86)</f>
        <v>0.13770314192849403</v>
      </c>
      <c r="I86" s="146"/>
      <c r="J86" s="161">
        <f>+INPUT!O165</f>
        <v>381</v>
      </c>
      <c r="K86" s="146"/>
      <c r="L86" s="207">
        <f>ROUND(H86*J86,4)</f>
        <v>52.4649</v>
      </c>
    </row>
    <row r="87" spans="1:12" ht="15">
      <c r="A87" s="146"/>
      <c r="B87" s="146" t="s">
        <v>1642</v>
      </c>
      <c r="C87" s="146"/>
      <c r="D87" s="156">
        <f>SUM(D66:D86)</f>
        <v>236393</v>
      </c>
      <c r="E87" s="146"/>
      <c r="F87" s="156">
        <f>SUM(F66:F86)</f>
        <v>3835996</v>
      </c>
      <c r="G87" s="146"/>
      <c r="H87" s="204">
        <f t="shared" si="6"/>
        <v>0.06162493391546811</v>
      </c>
      <c r="I87" s="146"/>
      <c r="J87" s="156">
        <f>SUM(J66:J86)</f>
        <v>12943.260029007224</v>
      </c>
      <c r="K87" s="146"/>
      <c r="L87" s="232">
        <f>SUM(L66:L86)</f>
        <v>2363.5315</v>
      </c>
    </row>
    <row r="88" spans="1:12" ht="1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</row>
    <row r="89" spans="1:12" ht="15">
      <c r="A89" s="146" t="s">
        <v>1537</v>
      </c>
      <c r="B89" s="146" t="s">
        <v>128</v>
      </c>
      <c r="C89" s="146"/>
      <c r="D89" s="156">
        <f>+INPUT!L166</f>
        <v>2906</v>
      </c>
      <c r="E89" s="146"/>
      <c r="F89" s="156">
        <f>+INPUT!M166</f>
        <v>23851</v>
      </c>
      <c r="G89" s="146"/>
      <c r="H89" s="204">
        <f t="shared" si="6"/>
        <v>0.12183975514653474</v>
      </c>
      <c r="I89" s="146"/>
      <c r="J89" s="156">
        <f>+INPUT!O166</f>
        <v>285</v>
      </c>
      <c r="K89" s="146"/>
      <c r="L89" s="205">
        <f t="shared" si="7"/>
        <v>34.7243</v>
      </c>
    </row>
    <row r="90" spans="1:12" ht="15">
      <c r="A90" s="146"/>
      <c r="B90" s="146" t="s">
        <v>129</v>
      </c>
      <c r="C90" s="146"/>
      <c r="D90" s="156">
        <f>+INPUT!L167</f>
        <v>0</v>
      </c>
      <c r="E90" s="146"/>
      <c r="F90" s="156">
        <f>+INPUT!M167</f>
        <v>0</v>
      </c>
      <c r="G90" s="146"/>
      <c r="H90" s="204">
        <f aca="true" t="shared" si="8" ref="H90:H108">IF(D90&lt;=0,0,D90/F90)</f>
        <v>0</v>
      </c>
      <c r="I90" s="146"/>
      <c r="J90" s="156">
        <f>+INPUT!O167</f>
        <v>0</v>
      </c>
      <c r="K90" s="203"/>
      <c r="L90" s="205">
        <f aca="true" t="shared" si="9" ref="L90:L108">ROUND(H90*J90,4)</f>
        <v>0</v>
      </c>
    </row>
    <row r="91" spans="1:12" ht="15">
      <c r="A91" s="146"/>
      <c r="B91" s="146" t="s">
        <v>130</v>
      </c>
      <c r="C91" s="146"/>
      <c r="D91" s="156">
        <f>+INPUT!L168</f>
        <v>0</v>
      </c>
      <c r="E91" s="146"/>
      <c r="F91" s="156">
        <f>+INPUT!M168</f>
        <v>0</v>
      </c>
      <c r="G91" s="146"/>
      <c r="H91" s="204">
        <f t="shared" si="8"/>
        <v>0</v>
      </c>
      <c r="I91" s="146"/>
      <c r="J91" s="156">
        <f>+INPUT!O168</f>
        <v>0</v>
      </c>
      <c r="K91" s="146"/>
      <c r="L91" s="205">
        <f t="shared" si="9"/>
        <v>0</v>
      </c>
    </row>
    <row r="92" spans="1:12" ht="15">
      <c r="A92" s="146"/>
      <c r="B92" s="146" t="s">
        <v>131</v>
      </c>
      <c r="C92" s="146"/>
      <c r="D92" s="156">
        <f>+INPUT!L169</f>
        <v>13213</v>
      </c>
      <c r="E92" s="146"/>
      <c r="F92" s="156">
        <f>+INPUT!M169</f>
        <v>50840</v>
      </c>
      <c r="G92" s="146"/>
      <c r="H92" s="204">
        <f t="shared" si="8"/>
        <v>0.2598937844217152</v>
      </c>
      <c r="I92" s="146"/>
      <c r="J92" s="156">
        <f>+INPUT!O169</f>
        <v>1139</v>
      </c>
      <c r="K92" s="203"/>
      <c r="L92" s="205">
        <f t="shared" si="9"/>
        <v>296.019</v>
      </c>
    </row>
    <row r="93" spans="1:12" ht="15">
      <c r="A93" s="146"/>
      <c r="B93" s="146" t="s">
        <v>132</v>
      </c>
      <c r="C93" s="146"/>
      <c r="D93" s="156">
        <f>+INPUT!L170</f>
        <v>13846</v>
      </c>
      <c r="E93" s="146"/>
      <c r="F93" s="156">
        <f>+INPUT!M170</f>
        <v>91890</v>
      </c>
      <c r="G93" s="146"/>
      <c r="H93" s="204">
        <f t="shared" si="8"/>
        <v>0.15068016106213952</v>
      </c>
      <c r="I93" s="146"/>
      <c r="J93" s="156">
        <f>+INPUT!O170</f>
        <v>1823</v>
      </c>
      <c r="K93" s="146"/>
      <c r="L93" s="205">
        <f t="shared" si="9"/>
        <v>274.6899</v>
      </c>
    </row>
    <row r="94" spans="1:12" ht="15">
      <c r="A94" s="146"/>
      <c r="B94" s="146" t="s">
        <v>517</v>
      </c>
      <c r="C94" s="146"/>
      <c r="D94" s="156">
        <f>+INPUT!L171</f>
        <v>44227</v>
      </c>
      <c r="E94" s="146"/>
      <c r="F94" s="156">
        <f>+INPUT!M171</f>
        <v>199412</v>
      </c>
      <c r="G94" s="146"/>
      <c r="H94" s="204">
        <f>IF(D94&lt;=0,0,D94/F94)</f>
        <v>0.22178705393857942</v>
      </c>
      <c r="I94" s="146"/>
      <c r="J94" s="156">
        <f>+INPUT!O171</f>
        <v>235</v>
      </c>
      <c r="K94" s="203"/>
      <c r="L94" s="205">
        <f>ROUND(H94*J94,4)</f>
        <v>52.12</v>
      </c>
    </row>
    <row r="95" spans="1:12" ht="15">
      <c r="A95" s="146"/>
      <c r="B95" s="146" t="s">
        <v>518</v>
      </c>
      <c r="C95" s="146"/>
      <c r="D95" s="156">
        <f>+INPUT!L172</f>
        <v>38246</v>
      </c>
      <c r="E95" s="146"/>
      <c r="F95" s="156">
        <f>+INPUT!M172</f>
        <v>184143</v>
      </c>
      <c r="G95" s="146"/>
      <c r="H95" s="204">
        <f>IF(D95&lt;=0,0,D95/F95)</f>
        <v>0.20769727874532293</v>
      </c>
      <c r="I95" s="146"/>
      <c r="J95" s="156">
        <f>+INPUT!O172</f>
        <v>212</v>
      </c>
      <c r="K95" s="146"/>
      <c r="L95" s="205">
        <f>ROUND(H95*J95,4)</f>
        <v>44.0318</v>
      </c>
    </row>
    <row r="96" spans="1:12" ht="15">
      <c r="A96" s="146"/>
      <c r="B96" s="146" t="s">
        <v>1915</v>
      </c>
      <c r="C96" s="146"/>
      <c r="D96" s="156">
        <f>+INPUT!L173</f>
        <v>0</v>
      </c>
      <c r="E96" s="146"/>
      <c r="F96" s="156">
        <f>+INPUT!M173</f>
        <v>0</v>
      </c>
      <c r="G96" s="146"/>
      <c r="H96" s="204">
        <f aca="true" t="shared" si="10" ref="H96:H101">IF(D96&lt;=0,0,D96/F96)</f>
        <v>0</v>
      </c>
      <c r="I96" s="146"/>
      <c r="J96" s="156">
        <f>+INPUT!O173</f>
        <v>0</v>
      </c>
      <c r="K96" s="146"/>
      <c r="L96" s="205">
        <f aca="true" t="shared" si="11" ref="L96:L101">ROUND(H96*J96,4)</f>
        <v>0</v>
      </c>
    </row>
    <row r="97" spans="1:12" ht="15">
      <c r="A97" s="146"/>
      <c r="B97" s="146" t="s">
        <v>1916</v>
      </c>
      <c r="C97" s="146"/>
      <c r="D97" s="156">
        <f>+INPUT!L174</f>
        <v>0</v>
      </c>
      <c r="E97" s="146"/>
      <c r="F97" s="156">
        <f>+INPUT!M174</f>
        <v>0</v>
      </c>
      <c r="G97" s="146"/>
      <c r="H97" s="204">
        <f t="shared" si="10"/>
        <v>0</v>
      </c>
      <c r="I97" s="146"/>
      <c r="J97" s="156">
        <f>+INPUT!O174</f>
        <v>0</v>
      </c>
      <c r="K97" s="146"/>
      <c r="L97" s="205">
        <f t="shared" si="11"/>
        <v>0</v>
      </c>
    </row>
    <row r="98" spans="1:12" ht="15">
      <c r="A98" s="146"/>
      <c r="B98" s="146" t="s">
        <v>1917</v>
      </c>
      <c r="C98" s="146"/>
      <c r="D98" s="156">
        <f>+INPUT!L175</f>
        <v>0</v>
      </c>
      <c r="E98" s="146"/>
      <c r="F98" s="156">
        <f>+INPUT!M175</f>
        <v>0</v>
      </c>
      <c r="G98" s="146"/>
      <c r="H98" s="204">
        <f t="shared" si="10"/>
        <v>0</v>
      </c>
      <c r="I98" s="146"/>
      <c r="J98" s="156">
        <f>+INPUT!O175</f>
        <v>0</v>
      </c>
      <c r="K98" s="146"/>
      <c r="L98" s="205">
        <f t="shared" si="11"/>
        <v>0</v>
      </c>
    </row>
    <row r="99" spans="1:12" ht="15">
      <c r="A99" s="146"/>
      <c r="B99" s="146" t="s">
        <v>1918</v>
      </c>
      <c r="C99" s="146"/>
      <c r="D99" s="156">
        <f>+INPUT!L176</f>
        <v>0</v>
      </c>
      <c r="E99" s="146"/>
      <c r="F99" s="156">
        <f>+INPUT!M176</f>
        <v>0</v>
      </c>
      <c r="G99" s="146"/>
      <c r="H99" s="204">
        <f t="shared" si="10"/>
        <v>0</v>
      </c>
      <c r="I99" s="146"/>
      <c r="J99" s="156">
        <f>+INPUT!O176</f>
        <v>0</v>
      </c>
      <c r="K99" s="146"/>
      <c r="L99" s="205">
        <f t="shared" si="11"/>
        <v>0</v>
      </c>
    </row>
    <row r="100" spans="1:12" ht="15">
      <c r="A100" s="146"/>
      <c r="B100" s="146" t="s">
        <v>1919</v>
      </c>
      <c r="C100" s="146"/>
      <c r="D100" s="156">
        <f>+INPUT!L177</f>
        <v>0</v>
      </c>
      <c r="E100" s="146"/>
      <c r="F100" s="156">
        <f>+INPUT!M177</f>
        <v>0</v>
      </c>
      <c r="G100" s="146"/>
      <c r="H100" s="204">
        <f t="shared" si="10"/>
        <v>0</v>
      </c>
      <c r="I100" s="146"/>
      <c r="J100" s="156">
        <f>+INPUT!O177</f>
        <v>0</v>
      </c>
      <c r="K100" s="146"/>
      <c r="L100" s="205">
        <f t="shared" si="11"/>
        <v>0</v>
      </c>
    </row>
    <row r="101" spans="1:12" ht="15">
      <c r="A101" s="146"/>
      <c r="B101" s="146" t="s">
        <v>1920</v>
      </c>
      <c r="C101" s="146"/>
      <c r="D101" s="156">
        <f>+INPUT!L178</f>
        <v>0</v>
      </c>
      <c r="E101" s="146"/>
      <c r="F101" s="156">
        <f>+INPUT!M178</f>
        <v>0</v>
      </c>
      <c r="G101" s="146"/>
      <c r="H101" s="204">
        <f t="shared" si="10"/>
        <v>0</v>
      </c>
      <c r="I101" s="146"/>
      <c r="J101" s="156">
        <f>+INPUT!O178</f>
        <v>0</v>
      </c>
      <c r="K101" s="146"/>
      <c r="L101" s="205">
        <f t="shared" si="11"/>
        <v>0</v>
      </c>
    </row>
    <row r="102" spans="1:12" ht="15">
      <c r="A102" s="146"/>
      <c r="B102" s="146" t="s">
        <v>61</v>
      </c>
      <c r="C102" s="146"/>
      <c r="D102" s="156">
        <f>+INPUT!L179</f>
        <v>330</v>
      </c>
      <c r="E102" s="146"/>
      <c r="F102" s="156">
        <f>+INPUT!M179</f>
        <v>12992</v>
      </c>
      <c r="G102" s="146"/>
      <c r="H102" s="204">
        <f>IF(D102&lt;=0,0,D102/F102)</f>
        <v>0.02540024630541872</v>
      </c>
      <c r="I102" s="146"/>
      <c r="J102" s="156">
        <f>+INPUT!O179</f>
        <v>0</v>
      </c>
      <c r="K102" s="146"/>
      <c r="L102" s="205">
        <f>ROUND(H102*J102,4)</f>
        <v>0</v>
      </c>
    </row>
    <row r="103" spans="1:12" ht="15">
      <c r="A103" s="146"/>
      <c r="B103" s="146" t="s">
        <v>62</v>
      </c>
      <c r="C103" s="146"/>
      <c r="D103" s="156">
        <f>+INPUT!L180</f>
        <v>568</v>
      </c>
      <c r="E103" s="146"/>
      <c r="F103" s="156">
        <f>+INPUT!M180</f>
        <v>11912</v>
      </c>
      <c r="G103" s="146"/>
      <c r="H103" s="204">
        <f>IF(D103&lt;=0,0,D103/F103)</f>
        <v>0.04768300873069174</v>
      </c>
      <c r="I103" s="146"/>
      <c r="J103" s="156">
        <f>+INPUT!O180</f>
        <v>0</v>
      </c>
      <c r="K103" s="146"/>
      <c r="L103" s="205">
        <f>ROUND(H103*J103,4)</f>
        <v>0</v>
      </c>
    </row>
    <row r="104" spans="1:12" ht="15">
      <c r="A104" s="146"/>
      <c r="B104" s="146" t="s">
        <v>133</v>
      </c>
      <c r="C104" s="146"/>
      <c r="D104" s="156">
        <f>+INPUT!L181</f>
        <v>2150</v>
      </c>
      <c r="E104" s="146"/>
      <c r="F104" s="156">
        <f>+INPUT!M181</f>
        <v>4807</v>
      </c>
      <c r="G104" s="146"/>
      <c r="H104" s="204">
        <f t="shared" si="8"/>
        <v>0.4472644060744747</v>
      </c>
      <c r="I104" s="146"/>
      <c r="J104" s="156">
        <f>+INPUT!O181</f>
        <v>79</v>
      </c>
      <c r="K104" s="203"/>
      <c r="L104" s="205">
        <f t="shared" si="9"/>
        <v>35.3339</v>
      </c>
    </row>
    <row r="105" spans="1:12" ht="15">
      <c r="A105" s="146"/>
      <c r="B105" s="146" t="s">
        <v>134</v>
      </c>
      <c r="C105" s="146"/>
      <c r="D105" s="156">
        <f>+INPUT!L182</f>
        <v>13309</v>
      </c>
      <c r="E105" s="146"/>
      <c r="F105" s="156">
        <f>+INPUT!M182</f>
        <v>73291</v>
      </c>
      <c r="G105" s="146"/>
      <c r="H105" s="204">
        <f t="shared" si="8"/>
        <v>0.18159119127860174</v>
      </c>
      <c r="I105" s="146"/>
      <c r="J105" s="156">
        <f>+INPUT!O182</f>
        <v>409</v>
      </c>
      <c r="K105" s="146"/>
      <c r="L105" s="205">
        <f t="shared" si="9"/>
        <v>74.2708</v>
      </c>
    </row>
    <row r="106" spans="1:12" ht="15">
      <c r="A106" s="146"/>
      <c r="B106" s="146" t="s">
        <v>135</v>
      </c>
      <c r="C106" s="146"/>
      <c r="D106" s="156">
        <f>+INPUT!L183</f>
        <v>6922</v>
      </c>
      <c r="E106" s="146"/>
      <c r="F106" s="156">
        <f>+INPUT!M183</f>
        <v>78925</v>
      </c>
      <c r="G106" s="146"/>
      <c r="H106" s="204">
        <f t="shared" si="8"/>
        <v>0.08770351599619892</v>
      </c>
      <c r="I106" s="146"/>
      <c r="J106" s="156">
        <f>+INPUT!O183</f>
        <v>225</v>
      </c>
      <c r="K106" s="146"/>
      <c r="L106" s="205">
        <f t="shared" si="9"/>
        <v>19.7333</v>
      </c>
    </row>
    <row r="107" spans="1:12" ht="15">
      <c r="A107" s="146"/>
      <c r="B107" s="146" t="s">
        <v>136</v>
      </c>
      <c r="C107" s="146"/>
      <c r="D107" s="156">
        <f>+INPUT!L184</f>
        <v>7518</v>
      </c>
      <c r="E107" s="146"/>
      <c r="F107" s="156">
        <f>+INPUT!M184</f>
        <v>90479</v>
      </c>
      <c r="G107" s="146"/>
      <c r="H107" s="204">
        <f t="shared" si="8"/>
        <v>0.0830911040130859</v>
      </c>
      <c r="I107" s="146"/>
      <c r="J107" s="156">
        <f>+INPUT!O184</f>
        <v>290</v>
      </c>
      <c r="K107" s="146"/>
      <c r="L107" s="205">
        <f t="shared" si="9"/>
        <v>24.0964</v>
      </c>
    </row>
    <row r="108" spans="1:12" ht="15">
      <c r="A108" s="146"/>
      <c r="B108" s="146" t="s">
        <v>137</v>
      </c>
      <c r="C108" s="146"/>
      <c r="D108" s="156">
        <f>+INPUT!L185</f>
        <v>6529</v>
      </c>
      <c r="E108" s="162"/>
      <c r="F108" s="156">
        <f>+INPUT!M185</f>
        <v>66625</v>
      </c>
      <c r="G108" s="162"/>
      <c r="H108" s="259">
        <f t="shared" si="8"/>
        <v>0.09799624765478424</v>
      </c>
      <c r="I108" s="162"/>
      <c r="J108" s="156">
        <f>+INPUT!O185</f>
        <v>475</v>
      </c>
      <c r="K108" s="162"/>
      <c r="L108" s="260">
        <f t="shared" si="9"/>
        <v>46.5482</v>
      </c>
    </row>
    <row r="109" spans="1:12" ht="15">
      <c r="A109" s="146"/>
      <c r="B109" s="146" t="s">
        <v>966</v>
      </c>
      <c r="C109" s="146"/>
      <c r="D109" s="156">
        <f>+INPUT!L186</f>
        <v>4119</v>
      </c>
      <c r="E109" s="162"/>
      <c r="F109" s="156">
        <f>+INPUT!M186</f>
        <v>28867</v>
      </c>
      <c r="G109" s="162"/>
      <c r="H109" s="259">
        <f>IF(D109&lt;=0,0,D109/F109)</f>
        <v>0.14268888350019052</v>
      </c>
      <c r="I109" s="162"/>
      <c r="J109" s="156">
        <f>+INPUT!O186</f>
        <v>0</v>
      </c>
      <c r="K109" s="162"/>
      <c r="L109" s="260">
        <f>ROUND(H109*J109,4)</f>
        <v>0</v>
      </c>
    </row>
    <row r="110" spans="1:12" ht="15">
      <c r="A110" s="146"/>
      <c r="B110" s="146" t="s">
        <v>556</v>
      </c>
      <c r="C110" s="146"/>
      <c r="D110" s="161">
        <f>+INPUT!L187</f>
        <v>31076</v>
      </c>
      <c r="E110" s="146"/>
      <c r="F110" s="161">
        <f>+INPUT!M187</f>
        <v>92899</v>
      </c>
      <c r="G110" s="146"/>
      <c r="H110" s="206">
        <f>IF(D110&lt;=0,0,D110/F110)</f>
        <v>0.33451382684420716</v>
      </c>
      <c r="I110" s="146"/>
      <c r="J110" s="161">
        <f>+INPUT!O187</f>
        <v>357</v>
      </c>
      <c r="K110" s="146"/>
      <c r="L110" s="207">
        <f>ROUND(H110*J110,4)</f>
        <v>119.4214</v>
      </c>
    </row>
    <row r="111" spans="1:12" ht="15">
      <c r="A111" s="146"/>
      <c r="B111" s="146" t="s">
        <v>1642</v>
      </c>
      <c r="C111" s="146"/>
      <c r="D111" s="156">
        <f>SUM(D89:D110)</f>
        <v>184959</v>
      </c>
      <c r="E111" s="146"/>
      <c r="F111" s="156">
        <f>SUM(F89:F110)</f>
        <v>1010933</v>
      </c>
      <c r="G111" s="146"/>
      <c r="H111" s="204">
        <f>IF(D111&lt;=0,0,D111/F111)</f>
        <v>0.18295871239735967</v>
      </c>
      <c r="I111" s="146"/>
      <c r="J111" s="156">
        <f>SUM(J89:J110)</f>
        <v>5529</v>
      </c>
      <c r="K111" s="146"/>
      <c r="L111" s="205">
        <f>SUM(L89:L110)</f>
        <v>1020.9889999999998</v>
      </c>
    </row>
    <row r="112" spans="1:12" ht="15">
      <c r="A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1:12" ht="15">
      <c r="A113" s="8" t="s">
        <v>1648</v>
      </c>
      <c r="B113" s="8" t="s">
        <v>138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 ht="15">
      <c r="B114" s="8" t="s">
        <v>641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 ht="15">
      <c r="B115" s="141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</row>
    <row r="121" spans="4:6" ht="15">
      <c r="D121" s="115"/>
      <c r="F121" s="115"/>
    </row>
  </sheetData>
  <printOptions horizontalCentered="1" verticalCentered="1"/>
  <pageMargins left="0.25" right="0.25" top="0.24" bottom="0.25" header="0.18" footer="0.25"/>
  <pageSetup fitToHeight="2" horizontalDpi="600" verticalDpi="600" orientation="portrait" scale="88" r:id="rId1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1:F13"/>
  <sheetViews>
    <sheetView workbookViewId="0" topLeftCell="A1">
      <selection activeCell="B23" sqref="B23"/>
    </sheetView>
  </sheetViews>
  <sheetFormatPr defaultColWidth="9.140625" defaultRowHeight="12.75"/>
  <cols>
    <col min="1" max="1" width="9.140625" style="289" customWidth="1"/>
    <col min="2" max="2" width="9.28125" style="289" customWidth="1"/>
    <col min="3" max="3" width="59.28125" style="0" customWidth="1"/>
    <col min="4" max="5" width="9.140625" style="289" customWidth="1"/>
    <col min="6" max="6" width="14.8515625" style="289" bestFit="1" customWidth="1"/>
  </cols>
  <sheetData>
    <row r="1" spans="1:6" ht="18">
      <c r="A1" s="698" t="s">
        <v>287</v>
      </c>
      <c r="E1" s="878" t="s">
        <v>48</v>
      </c>
      <c r="F1" s="878"/>
    </row>
    <row r="4" spans="2:6" ht="12.75">
      <c r="B4" s="294" t="s">
        <v>288</v>
      </c>
      <c r="C4" s="294"/>
      <c r="D4" s="294" t="s">
        <v>289</v>
      </c>
      <c r="E4" s="294" t="s">
        <v>289</v>
      </c>
      <c r="F4" s="294" t="s">
        <v>290</v>
      </c>
    </row>
    <row r="5" spans="1:6" ht="12.75">
      <c r="A5" s="287" t="s">
        <v>291</v>
      </c>
      <c r="B5" s="287" t="s">
        <v>289</v>
      </c>
      <c r="C5" s="287" t="s">
        <v>292</v>
      </c>
      <c r="D5" s="287" t="s">
        <v>293</v>
      </c>
      <c r="E5" s="287" t="s">
        <v>294</v>
      </c>
      <c r="F5" s="287" t="s">
        <v>295</v>
      </c>
    </row>
    <row r="7" spans="1:6" ht="12.75">
      <c r="A7" s="289">
        <v>1</v>
      </c>
      <c r="B7" s="697">
        <v>39097</v>
      </c>
      <c r="C7" s="879" t="s">
        <v>1431</v>
      </c>
      <c r="D7" s="289" t="s">
        <v>1432</v>
      </c>
      <c r="E7" s="289" t="s">
        <v>374</v>
      </c>
      <c r="F7" s="697">
        <v>39113</v>
      </c>
    </row>
    <row r="8" ht="12.75">
      <c r="C8" s="879"/>
    </row>
    <row r="9" ht="12.75">
      <c r="B9" s="294"/>
    </row>
    <row r="10" spans="1:6" ht="12.75">
      <c r="A10" s="289">
        <v>2</v>
      </c>
      <c r="B10" s="697">
        <v>39108</v>
      </c>
      <c r="C10" s="879" t="s">
        <v>789</v>
      </c>
      <c r="D10" s="289" t="s">
        <v>1432</v>
      </c>
      <c r="E10" s="289" t="s">
        <v>374</v>
      </c>
      <c r="F10" s="697">
        <v>39113</v>
      </c>
    </row>
    <row r="11" spans="2:3" ht="12.75">
      <c r="B11" s="294"/>
      <c r="C11" s="879"/>
    </row>
    <row r="13" ht="12.75">
      <c r="B13" s="294"/>
    </row>
  </sheetData>
  <mergeCells count="3">
    <mergeCell ref="E1:F1"/>
    <mergeCell ref="C7:C8"/>
    <mergeCell ref="C10:C1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8" customWidth="1"/>
    <col min="2" max="3" width="9.140625" style="8" customWidth="1"/>
    <col min="4" max="4" width="10.7109375" style="8" customWidth="1"/>
    <col min="5" max="5" width="16.00390625" style="8" bestFit="1" customWidth="1"/>
    <col min="6" max="6" width="2.7109375" style="8" customWidth="1"/>
    <col min="7" max="7" width="14.57421875" style="8" bestFit="1" customWidth="1"/>
    <col min="8" max="8" width="9.140625" style="8" customWidth="1"/>
    <col min="9" max="9" width="22.140625" style="8" bestFit="1" customWidth="1"/>
    <col min="10" max="10" width="10.421875" style="8" bestFit="1" customWidth="1"/>
    <col min="11" max="11" width="9.140625" style="8" customWidth="1"/>
    <col min="12" max="13" width="12.421875" style="8" bestFit="1" customWidth="1"/>
    <col min="14" max="16384" width="9.140625" style="8" customWidth="1"/>
  </cols>
  <sheetData>
    <row r="1" spans="1:10" ht="16.5">
      <c r="A1" s="145" t="s">
        <v>1729</v>
      </c>
      <c r="B1" s="137" t="str">
        <f>INPUT!C1</f>
        <v>February 2009</v>
      </c>
      <c r="J1" s="145" t="s">
        <v>56</v>
      </c>
    </row>
    <row r="4" ht="16.5">
      <c r="F4" s="136" t="s">
        <v>1764</v>
      </c>
    </row>
    <row r="5" ht="16.5">
      <c r="F5" s="136" t="s">
        <v>1877</v>
      </c>
    </row>
    <row r="6" ht="16.5">
      <c r="F6" s="136" t="s">
        <v>139</v>
      </c>
    </row>
    <row r="7" ht="16.5">
      <c r="F7" s="136" t="s">
        <v>155</v>
      </c>
    </row>
    <row r="8" ht="16.5">
      <c r="F8" s="170" t="s">
        <v>156</v>
      </c>
    </row>
    <row r="13" spans="5:9" ht="16.5">
      <c r="E13" s="138"/>
      <c r="F13" s="139" t="s">
        <v>1691</v>
      </c>
      <c r="G13" s="138"/>
      <c r="I13" s="139" t="s">
        <v>157</v>
      </c>
    </row>
    <row r="14" spans="5:9" ht="16.5">
      <c r="E14" s="201"/>
      <c r="F14" s="181"/>
      <c r="G14" s="201"/>
      <c r="I14" s="181"/>
    </row>
    <row r="15" spans="1:9" ht="16.5">
      <c r="A15" s="145" t="s">
        <v>158</v>
      </c>
      <c r="E15" s="136" t="s">
        <v>72</v>
      </c>
      <c r="G15" s="136" t="s">
        <v>72</v>
      </c>
      <c r="I15" s="136" t="s">
        <v>1575</v>
      </c>
    </row>
    <row r="16" spans="5:9" ht="16.5">
      <c r="E16" s="208" t="s">
        <v>1556</v>
      </c>
      <c r="G16" s="208" t="s">
        <v>159</v>
      </c>
      <c r="I16" s="170" t="s">
        <v>73</v>
      </c>
    </row>
    <row r="17" spans="5:9" ht="15">
      <c r="E17" s="173" t="s">
        <v>1777</v>
      </c>
      <c r="G17" s="173" t="s">
        <v>1778</v>
      </c>
      <c r="I17" s="173" t="s">
        <v>160</v>
      </c>
    </row>
    <row r="19" spans="3:9" ht="15">
      <c r="C19" s="8" t="s">
        <v>1532</v>
      </c>
      <c r="E19" s="115">
        <f>+INPUT!J199</f>
        <v>175737</v>
      </c>
      <c r="F19" s="115"/>
      <c r="G19" s="115">
        <f>ROUND(INPUT!C16*PAGE10!L36,0)</f>
        <v>37049</v>
      </c>
      <c r="H19" s="115"/>
      <c r="I19" s="115">
        <f>+G19-E19</f>
        <v>-138688</v>
      </c>
    </row>
    <row r="20" spans="3:9" ht="15">
      <c r="C20" s="8" t="s">
        <v>1533</v>
      </c>
      <c r="E20" s="115">
        <f>+INPUT!J200</f>
        <v>32797</v>
      </c>
      <c r="F20" s="115"/>
      <c r="G20" s="115">
        <f>ROUND(INPUT!C17*PAGE10!L42,0)</f>
        <v>6046</v>
      </c>
      <c r="H20" s="115"/>
      <c r="I20" s="115">
        <f>+G20-E20</f>
        <v>-26751</v>
      </c>
    </row>
    <row r="21" spans="3:9" ht="15">
      <c r="C21" s="8" t="s">
        <v>1534</v>
      </c>
      <c r="E21" s="115">
        <f>+INPUT!J201</f>
        <v>34901</v>
      </c>
      <c r="F21" s="115"/>
      <c r="G21" s="115">
        <f>ROUND(INPUT!C18*PAGE10!L52,0)</f>
        <v>9718</v>
      </c>
      <c r="H21" s="115"/>
      <c r="I21" s="115">
        <f>+G21-E21</f>
        <v>-25183</v>
      </c>
    </row>
    <row r="22" spans="3:9" ht="15">
      <c r="C22" s="8" t="s">
        <v>1536</v>
      </c>
      <c r="E22" s="115">
        <f>+INPUT!J202</f>
        <v>313623</v>
      </c>
      <c r="F22" s="115"/>
      <c r="G22" s="115">
        <f>ROUND(INPUT!C19*PAGE10!L87,0)</f>
        <v>73104</v>
      </c>
      <c r="H22" s="115"/>
      <c r="I22" s="115">
        <f>+G22-E22</f>
        <v>-240519</v>
      </c>
    </row>
    <row r="23" spans="3:13" ht="15">
      <c r="C23" s="8" t="s">
        <v>1537</v>
      </c>
      <c r="E23" s="144">
        <f>+INPUT!J203</f>
        <v>132330</v>
      </c>
      <c r="F23" s="115"/>
      <c r="G23" s="144">
        <f>ROUND(INPUT!C20*PAGE10!L111,0)</f>
        <v>117822</v>
      </c>
      <c r="H23" s="115"/>
      <c r="I23" s="144">
        <f>+G23-E23</f>
        <v>-14508</v>
      </c>
      <c r="L23" s="3"/>
      <c r="M23" s="3"/>
    </row>
    <row r="24" spans="3:13" ht="15">
      <c r="C24" s="8" t="s">
        <v>1887</v>
      </c>
      <c r="E24" s="115">
        <f>SUM(E19:E23)</f>
        <v>689388</v>
      </c>
      <c r="F24" s="115"/>
      <c r="G24" s="115">
        <f>SUM(G19:G23)</f>
        <v>243739</v>
      </c>
      <c r="H24" s="115"/>
      <c r="I24" s="115">
        <f>SUM(I19:I23)</f>
        <v>-445649</v>
      </c>
      <c r="L24" s="3"/>
      <c r="M24" s="3"/>
    </row>
    <row r="25" spans="12:13" ht="15">
      <c r="L25" s="3"/>
      <c r="M25" s="3"/>
    </row>
    <row r="26" spans="1:9" ht="16.5">
      <c r="A26" s="145"/>
      <c r="E26" s="136" t="s">
        <v>75</v>
      </c>
      <c r="G26" s="136" t="s">
        <v>75</v>
      </c>
      <c r="I26" s="136" t="s">
        <v>1575</v>
      </c>
    </row>
    <row r="27" spans="5:9" ht="16.5">
      <c r="E27" s="208" t="s">
        <v>1556</v>
      </c>
      <c r="G27" s="208" t="s">
        <v>159</v>
      </c>
      <c r="I27" s="170" t="s">
        <v>76</v>
      </c>
    </row>
    <row r="28" spans="5:9" ht="15">
      <c r="E28" s="173" t="s">
        <v>1780</v>
      </c>
      <c r="G28" s="173" t="s">
        <v>1782</v>
      </c>
      <c r="I28" s="173" t="s">
        <v>79</v>
      </c>
    </row>
    <row r="30" spans="3:9" ht="15">
      <c r="C30" s="8" t="s">
        <v>1532</v>
      </c>
      <c r="E30" s="115">
        <f>INPUT!L199</f>
        <v>697297.51</v>
      </c>
      <c r="F30" s="115"/>
      <c r="G30" s="115">
        <f>INPUT!O199</f>
        <v>0</v>
      </c>
      <c r="H30" s="115"/>
      <c r="I30" s="115">
        <f>+G30-E30</f>
        <v>-697297.51</v>
      </c>
    </row>
    <row r="31" spans="3:9" ht="15">
      <c r="C31" s="8" t="s">
        <v>1533</v>
      </c>
      <c r="E31" s="115">
        <f>INPUT!L200</f>
        <v>91855</v>
      </c>
      <c r="F31" s="115"/>
      <c r="G31" s="115">
        <f>INPUT!O200</f>
        <v>0</v>
      </c>
      <c r="H31" s="115"/>
      <c r="I31" s="115">
        <f>+G31-E31</f>
        <v>-91855</v>
      </c>
    </row>
    <row r="32" spans="3:9" ht="15">
      <c r="C32" s="8" t="s">
        <v>1534</v>
      </c>
      <c r="E32" s="115">
        <f>INPUT!L201</f>
        <v>168478</v>
      </c>
      <c r="F32" s="115"/>
      <c r="G32" s="115">
        <f>INPUT!O201</f>
        <v>19106</v>
      </c>
      <c r="H32" s="115"/>
      <c r="I32" s="115">
        <f>+G32-E32</f>
        <v>-149372</v>
      </c>
    </row>
    <row r="33" spans="3:9" ht="15">
      <c r="C33" s="8" t="s">
        <v>1536</v>
      </c>
      <c r="E33" s="115">
        <f>INPUT!L202</f>
        <v>701810</v>
      </c>
      <c r="F33" s="115"/>
      <c r="G33" s="115">
        <f>INPUT!O202</f>
        <v>0</v>
      </c>
      <c r="H33" s="115"/>
      <c r="I33" s="115">
        <f>+G33-E33</f>
        <v>-701810</v>
      </c>
    </row>
    <row r="34" spans="3:13" ht="15">
      <c r="C34" s="8" t="s">
        <v>1537</v>
      </c>
      <c r="E34" s="144">
        <f>INPUT!L203</f>
        <v>1086511</v>
      </c>
      <c r="F34" s="115"/>
      <c r="G34" s="144">
        <f>INPUT!O203</f>
        <v>0</v>
      </c>
      <c r="H34" s="115"/>
      <c r="I34" s="144">
        <f>+G34-E34</f>
        <v>-1086511</v>
      </c>
      <c r="L34" s="3"/>
      <c r="M34" s="3"/>
    </row>
    <row r="35" spans="3:13" ht="15">
      <c r="C35" s="8" t="s">
        <v>1887</v>
      </c>
      <c r="E35" s="115">
        <f>SUM(E30:E34)</f>
        <v>2745951.51</v>
      </c>
      <c r="F35" s="115"/>
      <c r="G35" s="115">
        <f>SUM(G30:G34)</f>
        <v>19106</v>
      </c>
      <c r="H35" s="115"/>
      <c r="I35" s="115">
        <f>SUM(I30:I34)</f>
        <v>-2726845.51</v>
      </c>
      <c r="L35" s="3"/>
      <c r="M35" s="3"/>
    </row>
    <row r="36" spans="12:13" ht="15">
      <c r="L36" s="3"/>
      <c r="M36" s="3"/>
    </row>
    <row r="37" spans="12:13" ht="15">
      <c r="L37" s="3"/>
      <c r="M37" s="116"/>
    </row>
    <row r="38" spans="5:9" ht="16.5">
      <c r="E38" s="136" t="s">
        <v>161</v>
      </c>
      <c r="G38" s="136"/>
      <c r="I38" s="136" t="s">
        <v>161</v>
      </c>
    </row>
    <row r="39" spans="5:9" ht="16.5">
      <c r="E39" s="136" t="s">
        <v>108</v>
      </c>
      <c r="G39" s="136"/>
      <c r="I39" s="136" t="s">
        <v>108</v>
      </c>
    </row>
    <row r="40" spans="5:9" ht="16.5">
      <c r="E40" s="208" t="s">
        <v>162</v>
      </c>
      <c r="G40" s="170"/>
      <c r="I40" s="208" t="s">
        <v>159</v>
      </c>
    </row>
    <row r="41" spans="5:9" ht="15">
      <c r="E41" s="173" t="s">
        <v>1783</v>
      </c>
      <c r="G41" s="173"/>
      <c r="I41" s="173" t="s">
        <v>80</v>
      </c>
    </row>
    <row r="43" spans="3:9" ht="15">
      <c r="C43" s="8" t="s">
        <v>1532</v>
      </c>
      <c r="E43" s="115">
        <f>+INPUT!M199</f>
        <v>22461161</v>
      </c>
      <c r="G43" s="115"/>
      <c r="I43" s="115">
        <f>+E43+I19+I30</f>
        <v>21625175.49</v>
      </c>
    </row>
    <row r="44" spans="3:9" ht="15">
      <c r="C44" s="8" t="s">
        <v>1533</v>
      </c>
      <c r="E44" s="115">
        <f>+INPUT!M200</f>
        <v>2916363</v>
      </c>
      <c r="G44" s="115"/>
      <c r="I44" s="115">
        <f>+E44+I20+I31</f>
        <v>2797757</v>
      </c>
    </row>
    <row r="45" spans="3:9" ht="15">
      <c r="C45" s="8" t="s">
        <v>1534</v>
      </c>
      <c r="E45" s="115">
        <f>+INPUT!M201</f>
        <v>8406871</v>
      </c>
      <c r="G45" s="115"/>
      <c r="I45" s="115">
        <f>+E45+I21+I32</f>
        <v>8232316</v>
      </c>
    </row>
    <row r="46" spans="3:9" ht="15">
      <c r="C46" s="8" t="s">
        <v>1536</v>
      </c>
      <c r="E46" s="115">
        <f>+INPUT!M202</f>
        <v>13687243</v>
      </c>
      <c r="G46" s="115"/>
      <c r="I46" s="115">
        <f>+E46+I22+I33</f>
        <v>12744914</v>
      </c>
    </row>
    <row r="47" spans="3:9" ht="15">
      <c r="C47" s="8" t="s">
        <v>1537</v>
      </c>
      <c r="E47" s="144">
        <f>+INPUT!M203</f>
        <v>10720192</v>
      </c>
      <c r="G47" s="177"/>
      <c r="I47" s="144">
        <f>+E47+I23+I34</f>
        <v>9619173</v>
      </c>
    </row>
    <row r="48" spans="3:9" ht="15">
      <c r="C48" s="8" t="s">
        <v>1887</v>
      </c>
      <c r="E48" s="115">
        <f>SUM(E43:E47)</f>
        <v>58191830</v>
      </c>
      <c r="G48" s="115"/>
      <c r="I48" s="115">
        <f>SUM(I43:I47)</f>
        <v>55019335.489999995</v>
      </c>
    </row>
    <row r="51" ht="15">
      <c r="I51" s="115"/>
    </row>
    <row r="52" spans="5:9" ht="15">
      <c r="E52" s="492" t="s">
        <v>68</v>
      </c>
      <c r="G52" s="492" t="s">
        <v>67</v>
      </c>
      <c r="I52" s="115"/>
    </row>
    <row r="53" spans="1:9" ht="15">
      <c r="A53" s="8" t="s">
        <v>1648</v>
      </c>
      <c r="B53" s="141" t="s">
        <v>164</v>
      </c>
      <c r="E53" s="209">
        <f>+INPUT!C12</f>
        <v>147.96</v>
      </c>
      <c r="G53" s="209">
        <f>INPUT!C13</f>
        <v>2841.9</v>
      </c>
      <c r="I53" s="115"/>
    </row>
    <row r="54" spans="2:9" ht="15">
      <c r="B54" s="141" t="s">
        <v>454</v>
      </c>
      <c r="E54" s="209">
        <f>+INPUT!C16</f>
        <v>28.27</v>
      </c>
      <c r="G54" s="209">
        <f>INPUT!D16</f>
        <v>0</v>
      </c>
      <c r="I54" s="115"/>
    </row>
    <row r="55" spans="2:9" ht="15">
      <c r="B55" s="8" t="s">
        <v>452</v>
      </c>
      <c r="E55" s="209">
        <f>+INPUT!C17</f>
        <v>25.98</v>
      </c>
      <c r="G55" s="209">
        <f>INPUT!D17</f>
        <v>0</v>
      </c>
      <c r="I55" s="115"/>
    </row>
    <row r="56" spans="2:7" ht="15">
      <c r="B56" s="8" t="s">
        <v>453</v>
      </c>
      <c r="E56" s="209">
        <f>+INPUT!C18</f>
        <v>37.06</v>
      </c>
      <c r="G56" s="209">
        <f>INPUT!D18</f>
        <v>333.87</v>
      </c>
    </row>
    <row r="57" spans="2:7" ht="15">
      <c r="B57" s="8" t="s">
        <v>165</v>
      </c>
      <c r="E57" s="209">
        <f>+INPUT!C19</f>
        <v>30.93</v>
      </c>
      <c r="G57" s="209">
        <f>INPUT!D19</f>
        <v>0</v>
      </c>
    </row>
    <row r="58" spans="2:7" ht="15">
      <c r="B58" s="8" t="s">
        <v>166</v>
      </c>
      <c r="E58" s="209">
        <f>+INPUT!C20</f>
        <v>115.4</v>
      </c>
      <c r="G58" s="209">
        <f>INPUT!D20</f>
        <v>0</v>
      </c>
    </row>
    <row r="59" spans="5:7" ht="15">
      <c r="E59" s="209"/>
      <c r="G59" s="209"/>
    </row>
    <row r="60" ht="15">
      <c r="B60" s="141" t="s">
        <v>74</v>
      </c>
    </row>
  </sheetData>
  <printOptions/>
  <pageMargins left="0.25" right="0.25" top="0.25" bottom="0.25" header="0" footer="0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spans="1:2" ht="19.5">
      <c r="A1" s="786" t="s">
        <v>7</v>
      </c>
      <c r="B1" s="794"/>
    </row>
    <row r="2" spans="1:2" ht="19.5">
      <c r="A2" s="795"/>
      <c r="B2" s="794"/>
    </row>
    <row r="3" spans="1:2" ht="19.5">
      <c r="A3" s="786" t="s">
        <v>8</v>
      </c>
      <c r="B3" s="794"/>
    </row>
    <row r="4" spans="1:2" ht="19.5">
      <c r="A4" s="795" t="s">
        <v>9</v>
      </c>
      <c r="B4" s="794"/>
    </row>
    <row r="5" spans="1:2" ht="19.5">
      <c r="A5" s="786" t="s">
        <v>10</v>
      </c>
      <c r="B5" s="794"/>
    </row>
    <row r="6" spans="1:2" ht="19.5">
      <c r="A6" s="795"/>
      <c r="B6" s="794"/>
    </row>
    <row r="7" spans="1:2" ht="19.5">
      <c r="A7" s="796" t="s">
        <v>32</v>
      </c>
      <c r="B7" s="795" t="s">
        <v>33</v>
      </c>
    </row>
    <row r="8" spans="1:2" ht="19.5">
      <c r="A8" s="797" t="s">
        <v>11</v>
      </c>
      <c r="B8" s="795"/>
    </row>
    <row r="9" spans="1:2" ht="19.5">
      <c r="A9" s="797" t="s">
        <v>12</v>
      </c>
      <c r="B9" s="795"/>
    </row>
    <row r="10" spans="1:2" ht="19.5">
      <c r="A10" s="797" t="s">
        <v>13</v>
      </c>
      <c r="B10" s="795"/>
    </row>
    <row r="11" spans="1:2" ht="19.5">
      <c r="A11" s="797"/>
      <c r="B11" s="795"/>
    </row>
    <row r="12" spans="1:2" ht="19.5">
      <c r="A12" s="796" t="s">
        <v>34</v>
      </c>
      <c r="B12" s="795" t="s">
        <v>35</v>
      </c>
    </row>
    <row r="13" spans="1:2" ht="19.5">
      <c r="A13" s="797" t="s">
        <v>14</v>
      </c>
      <c r="B13" s="795"/>
    </row>
    <row r="14" spans="1:2" ht="19.5">
      <c r="A14" s="797"/>
      <c r="B14" s="795"/>
    </row>
    <row r="15" spans="1:2" ht="19.5">
      <c r="A15" s="796" t="s">
        <v>15</v>
      </c>
      <c r="B15" s="795"/>
    </row>
    <row r="16" spans="1:2" ht="19.5">
      <c r="A16" s="796" t="s">
        <v>36</v>
      </c>
      <c r="B16" s="795" t="s">
        <v>37</v>
      </c>
    </row>
    <row r="17" spans="1:2" ht="19.5">
      <c r="A17" s="797" t="s">
        <v>16</v>
      </c>
      <c r="B17" s="795"/>
    </row>
    <row r="18" spans="1:2" ht="19.5">
      <c r="A18" s="797" t="s">
        <v>17</v>
      </c>
      <c r="B18" s="795"/>
    </row>
    <row r="19" spans="1:2" ht="19.5">
      <c r="A19" s="797" t="s">
        <v>18</v>
      </c>
      <c r="B19" s="795"/>
    </row>
    <row r="20" spans="1:2" ht="19.5">
      <c r="A20" s="797" t="s">
        <v>19</v>
      </c>
      <c r="B20" s="795"/>
    </row>
    <row r="21" spans="1:2" ht="19.5">
      <c r="A21" s="797"/>
      <c r="B21" s="795"/>
    </row>
    <row r="22" spans="1:2" ht="19.5">
      <c r="A22" s="796" t="s">
        <v>38</v>
      </c>
      <c r="B22" s="795" t="s">
        <v>39</v>
      </c>
    </row>
    <row r="23" spans="1:2" ht="19.5">
      <c r="A23" s="797" t="s">
        <v>20</v>
      </c>
      <c r="B23" s="795"/>
    </row>
    <row r="24" spans="1:2" ht="19.5">
      <c r="A24" s="797" t="s">
        <v>21</v>
      </c>
      <c r="B24" s="795"/>
    </row>
    <row r="25" spans="1:2" ht="19.5">
      <c r="A25" s="797" t="s">
        <v>22</v>
      </c>
      <c r="B25" s="795"/>
    </row>
    <row r="26" spans="1:2" ht="19.5">
      <c r="A26" s="797" t="s">
        <v>23</v>
      </c>
      <c r="B26" s="795"/>
    </row>
    <row r="27" spans="1:2" ht="19.5">
      <c r="A27" s="797"/>
      <c r="B27" s="795"/>
    </row>
    <row r="28" spans="1:2" ht="19.5">
      <c r="A28" s="796" t="s">
        <v>24</v>
      </c>
      <c r="B28" s="795" t="s">
        <v>25</v>
      </c>
    </row>
    <row r="29" spans="1:2" ht="19.5">
      <c r="A29" s="796" t="s">
        <v>1639</v>
      </c>
      <c r="B29" s="795"/>
    </row>
    <row r="30" spans="1:2" ht="19.5">
      <c r="A30" s="797" t="s">
        <v>26</v>
      </c>
      <c r="B30" s="795"/>
    </row>
    <row r="31" spans="1:2" ht="19.5">
      <c r="A31" s="797" t="s">
        <v>27</v>
      </c>
      <c r="B31" s="795"/>
    </row>
    <row r="32" spans="1:2" ht="19.5">
      <c r="A32" s="797"/>
      <c r="B32" s="795"/>
    </row>
    <row r="33" spans="1:2" ht="19.5" customHeight="1">
      <c r="A33" s="796" t="s">
        <v>43</v>
      </c>
      <c r="B33" s="795"/>
    </row>
    <row r="34" spans="1:2" ht="19.5" customHeight="1">
      <c r="A34" s="796" t="s">
        <v>44</v>
      </c>
      <c r="B34" s="795" t="s">
        <v>40</v>
      </c>
    </row>
    <row r="35" spans="1:2" ht="19.5" customHeight="1">
      <c r="A35" s="796"/>
      <c r="B35" s="795"/>
    </row>
    <row r="36" spans="1:2" ht="19.5">
      <c r="A36" s="796" t="s">
        <v>45</v>
      </c>
      <c r="B36" s="795"/>
    </row>
    <row r="37" spans="1:9" ht="19.5">
      <c r="A37" s="796" t="s">
        <v>46</v>
      </c>
      <c r="B37" s="795" t="s">
        <v>42</v>
      </c>
      <c r="I37" s="9" t="s">
        <v>41</v>
      </c>
    </row>
    <row r="38" spans="1:2" ht="19.5">
      <c r="A38" s="797"/>
      <c r="B38" s="795"/>
    </row>
    <row r="39" spans="1:2" ht="19.5">
      <c r="A39" s="796" t="s">
        <v>28</v>
      </c>
      <c r="B39" s="795" t="s">
        <v>29</v>
      </c>
    </row>
    <row r="40" spans="1:2" ht="19.5">
      <c r="A40" s="796"/>
      <c r="B40" s="795"/>
    </row>
    <row r="41" spans="1:2" ht="19.5">
      <c r="A41" s="796" t="s">
        <v>30</v>
      </c>
      <c r="B41" s="795" t="s">
        <v>31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4:V7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6.7109375" style="8" customWidth="1"/>
    <col min="3" max="3" width="8.7109375" style="8" customWidth="1"/>
    <col min="4" max="4" width="6.7109375" style="8" customWidth="1"/>
    <col min="5" max="5" width="10.00390625" style="8" customWidth="1"/>
    <col min="6" max="7" width="6.7109375" style="8" customWidth="1"/>
    <col min="8" max="8" width="9.00390625" style="8" customWidth="1"/>
    <col min="9" max="9" width="6.7109375" style="8" customWidth="1"/>
    <col min="10" max="10" width="8.57421875" style="8" customWidth="1"/>
    <col min="11" max="11" width="9.00390625" style="8" customWidth="1"/>
    <col min="12" max="13" width="6.7109375" style="8" customWidth="1"/>
    <col min="14" max="14" width="10.421875" style="8" customWidth="1"/>
    <col min="15" max="16" width="6.7109375" style="8" customWidth="1"/>
    <col min="17" max="17" width="10.140625" style="8" customWidth="1"/>
    <col min="18" max="18" width="6.7109375" style="8" customWidth="1"/>
    <col min="19" max="19" width="12.7109375" style="8" customWidth="1"/>
    <col min="20" max="20" width="14.00390625" style="8" hidden="1" customWidth="1"/>
    <col min="21" max="21" width="10.00390625" style="8" customWidth="1"/>
    <col min="22" max="16384" width="9.140625" style="8" customWidth="1"/>
  </cols>
  <sheetData>
    <row r="4" ht="16.5">
      <c r="Q4" s="136" t="s">
        <v>1692</v>
      </c>
    </row>
    <row r="6" ht="16.5">
      <c r="J6" s="136" t="s">
        <v>1693</v>
      </c>
    </row>
    <row r="7" ht="16.5">
      <c r="J7" s="136" t="s">
        <v>1694</v>
      </c>
    </row>
    <row r="8" ht="16.5">
      <c r="J8" s="145"/>
    </row>
    <row r="9" ht="16.5">
      <c r="J9" s="136" t="s">
        <v>1183</v>
      </c>
    </row>
    <row r="10" ht="16.5">
      <c r="J10" s="145"/>
    </row>
    <row r="11" ht="16.5">
      <c r="J11" s="136" t="s">
        <v>363</v>
      </c>
    </row>
    <row r="12" ht="16.5">
      <c r="J12" s="429" t="s">
        <v>1182</v>
      </c>
    </row>
    <row r="13" ht="16.5">
      <c r="J13" s="429"/>
    </row>
    <row r="15" spans="3:19" ht="16.5">
      <c r="C15" s="198"/>
      <c r="D15" s="170"/>
      <c r="E15" s="170" t="s">
        <v>1695</v>
      </c>
      <c r="F15" s="170"/>
      <c r="H15" s="170" t="s">
        <v>1696</v>
      </c>
      <c r="J15" s="170"/>
      <c r="K15" s="170" t="s">
        <v>1697</v>
      </c>
      <c r="N15" s="170" t="s">
        <v>1698</v>
      </c>
      <c r="Q15" s="170" t="s">
        <v>1699</v>
      </c>
      <c r="S15" s="114"/>
    </row>
    <row r="16" ht="15">
      <c r="S16" s="114"/>
    </row>
    <row r="17" spans="4:20" ht="15">
      <c r="D17" s="175"/>
      <c r="E17" s="175">
        <v>0.34458</v>
      </c>
      <c r="F17" s="175"/>
      <c r="H17" s="175">
        <v>0.06943</v>
      </c>
      <c r="J17" s="175"/>
      <c r="K17" s="175">
        <v>0.17686</v>
      </c>
      <c r="N17" s="175">
        <v>0.22638</v>
      </c>
      <c r="Q17" s="175">
        <v>0.18275</v>
      </c>
      <c r="S17" s="692"/>
      <c r="T17" s="692">
        <f>E17+H17+K17+N17+Q17</f>
        <v>1</v>
      </c>
    </row>
    <row r="18" spans="4:19" ht="15">
      <c r="D18" s="175"/>
      <c r="E18" s="175"/>
      <c r="F18" s="175"/>
      <c r="H18" s="175"/>
      <c r="J18" s="175"/>
      <c r="K18" s="175"/>
      <c r="N18" s="175"/>
      <c r="Q18" s="175"/>
      <c r="S18" s="114"/>
    </row>
    <row r="19" ht="15">
      <c r="S19" s="114"/>
    </row>
    <row r="20" spans="10:19" ht="16.5">
      <c r="J20" s="136" t="s">
        <v>364</v>
      </c>
      <c r="S20" s="114" t="s">
        <v>1529</v>
      </c>
    </row>
    <row r="21" spans="10:19" ht="16.5">
      <c r="J21" s="136" t="s">
        <v>1700</v>
      </c>
      <c r="S21" s="114"/>
    </row>
    <row r="22" spans="10:19" ht="16.5">
      <c r="J22" s="136" t="s">
        <v>1701</v>
      </c>
      <c r="S22" s="114"/>
    </row>
    <row r="23" ht="15">
      <c r="S23" s="114"/>
    </row>
    <row r="24" ht="15">
      <c r="S24" s="114"/>
    </row>
    <row r="25" spans="2:19" ht="16.5">
      <c r="B25" s="852"/>
      <c r="C25" s="853"/>
      <c r="D25" s="430"/>
      <c r="E25" s="430" t="s">
        <v>1695</v>
      </c>
      <c r="F25" s="430"/>
      <c r="G25" s="430"/>
      <c r="H25" s="430" t="s">
        <v>1696</v>
      </c>
      <c r="I25" s="430"/>
      <c r="J25" s="430"/>
      <c r="K25" s="430" t="s">
        <v>1697</v>
      </c>
      <c r="L25" s="430"/>
      <c r="M25" s="852" t="s">
        <v>1698</v>
      </c>
      <c r="N25" s="854"/>
      <c r="O25" s="853"/>
      <c r="P25" s="430"/>
      <c r="Q25" s="430" t="s">
        <v>1699</v>
      </c>
      <c r="R25" s="430"/>
      <c r="S25" s="114"/>
    </row>
    <row r="26" spans="2:21" ht="16.5">
      <c r="B26" s="430" t="s">
        <v>403</v>
      </c>
      <c r="C26" s="430" t="s">
        <v>1642</v>
      </c>
      <c r="D26" s="430" t="s">
        <v>1702</v>
      </c>
      <c r="E26" s="430" t="s">
        <v>1703</v>
      </c>
      <c r="F26" s="430" t="s">
        <v>1704</v>
      </c>
      <c r="G26" s="430" t="s">
        <v>1702</v>
      </c>
      <c r="H26" s="430" t="s">
        <v>1703</v>
      </c>
      <c r="I26" s="430" t="s">
        <v>1704</v>
      </c>
      <c r="J26" s="430" t="s">
        <v>1702</v>
      </c>
      <c r="K26" s="430" t="s">
        <v>1703</v>
      </c>
      <c r="L26" s="430" t="s">
        <v>1704</v>
      </c>
      <c r="M26" s="430" t="s">
        <v>1702</v>
      </c>
      <c r="N26" s="430" t="s">
        <v>1703</v>
      </c>
      <c r="O26" s="430" t="s">
        <v>1704</v>
      </c>
      <c r="P26" s="430" t="s">
        <v>1702</v>
      </c>
      <c r="Q26" s="430" t="s">
        <v>1703</v>
      </c>
      <c r="R26" s="430" t="s">
        <v>1704</v>
      </c>
      <c r="S26" s="692" t="s">
        <v>1529</v>
      </c>
      <c r="T26" s="692"/>
      <c r="U26" s="692"/>
    </row>
    <row r="27" spans="1:21" s="190" customFormat="1" ht="15">
      <c r="A27" s="8"/>
      <c r="B27" s="431" t="s">
        <v>1184</v>
      </c>
      <c r="C27" s="432">
        <v>22616</v>
      </c>
      <c r="D27" s="431" t="s">
        <v>895</v>
      </c>
      <c r="E27" s="431" t="s">
        <v>1707</v>
      </c>
      <c r="F27" s="432">
        <v>8308</v>
      </c>
      <c r="G27" s="431" t="s">
        <v>895</v>
      </c>
      <c r="H27" s="431" t="s">
        <v>1706</v>
      </c>
      <c r="I27" s="432">
        <v>1674</v>
      </c>
      <c r="J27" s="431" t="s">
        <v>896</v>
      </c>
      <c r="K27" s="431" t="s">
        <v>227</v>
      </c>
      <c r="L27" s="432">
        <v>3728</v>
      </c>
      <c r="M27" s="431" t="s">
        <v>686</v>
      </c>
      <c r="N27" s="431" t="s">
        <v>588</v>
      </c>
      <c r="O27" s="432">
        <v>4972</v>
      </c>
      <c r="P27" s="431" t="s">
        <v>896</v>
      </c>
      <c r="Q27" s="431" t="s">
        <v>686</v>
      </c>
      <c r="R27" s="432">
        <v>3934</v>
      </c>
      <c r="S27" s="692"/>
      <c r="T27" s="692"/>
      <c r="U27" s="692"/>
    </row>
    <row r="28" spans="2:21" s="190" customFormat="1" ht="15">
      <c r="B28" s="431" t="s">
        <v>1794</v>
      </c>
      <c r="C28" s="432">
        <v>20929</v>
      </c>
      <c r="D28" s="431" t="s">
        <v>571</v>
      </c>
      <c r="E28" s="431" t="s">
        <v>1706</v>
      </c>
      <c r="F28" s="432">
        <v>7423</v>
      </c>
      <c r="G28" s="431" t="s">
        <v>571</v>
      </c>
      <c r="H28" s="431" t="s">
        <v>1706</v>
      </c>
      <c r="I28" s="432">
        <v>1527</v>
      </c>
      <c r="J28" s="431" t="s">
        <v>566</v>
      </c>
      <c r="K28" s="431" t="s">
        <v>227</v>
      </c>
      <c r="L28" s="432">
        <v>3608</v>
      </c>
      <c r="M28" s="431" t="s">
        <v>571</v>
      </c>
      <c r="N28" s="431" t="s">
        <v>427</v>
      </c>
      <c r="O28" s="432">
        <v>4691</v>
      </c>
      <c r="P28" s="431" t="s">
        <v>571</v>
      </c>
      <c r="Q28" s="431" t="s">
        <v>227</v>
      </c>
      <c r="R28" s="432">
        <v>3680</v>
      </c>
      <c r="S28" s="692" t="s">
        <v>1529</v>
      </c>
      <c r="T28" s="692"/>
      <c r="U28" s="692"/>
    </row>
    <row r="29" spans="1:21" ht="15">
      <c r="A29" s="190"/>
      <c r="B29" s="431" t="s">
        <v>1863</v>
      </c>
      <c r="C29" s="432">
        <v>19327</v>
      </c>
      <c r="D29" s="431" t="s">
        <v>227</v>
      </c>
      <c r="E29" s="431" t="s">
        <v>1707</v>
      </c>
      <c r="F29" s="432">
        <v>6939</v>
      </c>
      <c r="G29" s="431" t="s">
        <v>571</v>
      </c>
      <c r="H29" s="431" t="s">
        <v>1706</v>
      </c>
      <c r="I29" s="432">
        <v>1392</v>
      </c>
      <c r="J29" s="431" t="s">
        <v>362</v>
      </c>
      <c r="K29" s="431" t="s">
        <v>227</v>
      </c>
      <c r="L29" s="432">
        <v>3272</v>
      </c>
      <c r="M29" s="431" t="s">
        <v>227</v>
      </c>
      <c r="N29" s="431" t="s">
        <v>686</v>
      </c>
      <c r="O29" s="432">
        <v>4431</v>
      </c>
      <c r="P29" s="431" t="s">
        <v>227</v>
      </c>
      <c r="Q29" s="431" t="s">
        <v>227</v>
      </c>
      <c r="R29" s="432">
        <v>3293</v>
      </c>
      <c r="S29" s="692" t="s">
        <v>1529</v>
      </c>
      <c r="T29" s="692"/>
      <c r="U29" s="692"/>
    </row>
    <row r="30" spans="2:22" ht="15">
      <c r="B30" s="431" t="s">
        <v>1682</v>
      </c>
      <c r="C30" s="432">
        <v>17869</v>
      </c>
      <c r="D30" s="431" t="s">
        <v>685</v>
      </c>
      <c r="E30" s="431" t="s">
        <v>1707</v>
      </c>
      <c r="F30" s="432">
        <v>6020</v>
      </c>
      <c r="G30" s="431" t="s">
        <v>685</v>
      </c>
      <c r="H30" s="431" t="s">
        <v>1707</v>
      </c>
      <c r="I30" s="432">
        <v>1212</v>
      </c>
      <c r="J30" s="431" t="s">
        <v>685</v>
      </c>
      <c r="K30" s="431" t="s">
        <v>657</v>
      </c>
      <c r="L30" s="432">
        <v>3230</v>
      </c>
      <c r="M30" s="431" t="s">
        <v>685</v>
      </c>
      <c r="N30" s="431" t="s">
        <v>657</v>
      </c>
      <c r="O30" s="431">
        <v>4307</v>
      </c>
      <c r="P30" s="431" t="s">
        <v>896</v>
      </c>
      <c r="Q30" s="431" t="s">
        <v>227</v>
      </c>
      <c r="R30" s="432">
        <v>3100</v>
      </c>
      <c r="S30" s="692" t="s">
        <v>1529</v>
      </c>
      <c r="T30" s="692"/>
      <c r="U30" s="692"/>
      <c r="V30" s="8" t="s">
        <v>1529</v>
      </c>
    </row>
    <row r="31" spans="2:21" ht="15">
      <c r="B31" s="431" t="s">
        <v>1257</v>
      </c>
      <c r="C31" s="432">
        <v>21010</v>
      </c>
      <c r="D31" s="431" t="s">
        <v>662</v>
      </c>
      <c r="E31" s="431" t="s">
        <v>895</v>
      </c>
      <c r="F31" s="432">
        <v>6126</v>
      </c>
      <c r="G31" s="431" t="s">
        <v>659</v>
      </c>
      <c r="H31" s="431" t="s">
        <v>895</v>
      </c>
      <c r="I31" s="432">
        <v>1204</v>
      </c>
      <c r="J31" s="431" t="s">
        <v>659</v>
      </c>
      <c r="K31" s="431" t="s">
        <v>180</v>
      </c>
      <c r="L31" s="432">
        <v>4227</v>
      </c>
      <c r="M31" s="431" t="s">
        <v>1258</v>
      </c>
      <c r="N31" s="431" t="s">
        <v>362</v>
      </c>
      <c r="O31" s="431">
        <v>5050</v>
      </c>
      <c r="P31" s="431" t="s">
        <v>1258</v>
      </c>
      <c r="Q31" s="431" t="s">
        <v>895</v>
      </c>
      <c r="R31" s="432">
        <v>4403</v>
      </c>
      <c r="S31" s="692" t="s">
        <v>1529</v>
      </c>
      <c r="T31" s="692"/>
      <c r="U31" s="692"/>
    </row>
    <row r="32" spans="2:21" ht="15">
      <c r="B32" s="431" t="s">
        <v>569</v>
      </c>
      <c r="C32" s="432">
        <v>20833</v>
      </c>
      <c r="D32" s="431" t="s">
        <v>570</v>
      </c>
      <c r="E32" s="431" t="s">
        <v>895</v>
      </c>
      <c r="F32" s="432">
        <v>6095</v>
      </c>
      <c r="G32" s="431" t="s">
        <v>566</v>
      </c>
      <c r="H32" s="431" t="s">
        <v>896</v>
      </c>
      <c r="I32" s="432">
        <v>1170</v>
      </c>
      <c r="J32" s="431" t="s">
        <v>570</v>
      </c>
      <c r="K32" s="431" t="s">
        <v>896</v>
      </c>
      <c r="L32" s="432">
        <v>4217</v>
      </c>
      <c r="M32" s="431" t="s">
        <v>1705</v>
      </c>
      <c r="N32" s="431" t="s">
        <v>896</v>
      </c>
      <c r="O32" s="431">
        <v>5074</v>
      </c>
      <c r="P32" s="431" t="s">
        <v>571</v>
      </c>
      <c r="Q32" s="431" t="s">
        <v>895</v>
      </c>
      <c r="R32" s="432">
        <v>4277</v>
      </c>
      <c r="S32" s="692" t="s">
        <v>1529</v>
      </c>
      <c r="T32" s="692"/>
      <c r="U32" s="692"/>
    </row>
    <row r="33" spans="2:21" ht="15">
      <c r="B33" s="431" t="s">
        <v>565</v>
      </c>
      <c r="C33" s="432">
        <v>21682</v>
      </c>
      <c r="D33" s="431" t="s">
        <v>566</v>
      </c>
      <c r="E33" s="431" t="s">
        <v>896</v>
      </c>
      <c r="F33" s="432">
        <v>6493</v>
      </c>
      <c r="G33" s="431" t="s">
        <v>566</v>
      </c>
      <c r="H33" s="431" t="s">
        <v>895</v>
      </c>
      <c r="I33" s="432">
        <v>1247</v>
      </c>
      <c r="J33" s="431" t="s">
        <v>684</v>
      </c>
      <c r="K33" s="431" t="s">
        <v>897</v>
      </c>
      <c r="L33" s="432">
        <v>4264</v>
      </c>
      <c r="M33" s="431" t="s">
        <v>362</v>
      </c>
      <c r="N33" s="431" t="s">
        <v>896</v>
      </c>
      <c r="O33" s="431">
        <v>5298</v>
      </c>
      <c r="P33" s="431" t="s">
        <v>566</v>
      </c>
      <c r="Q33" s="431" t="s">
        <v>895</v>
      </c>
      <c r="R33" s="432">
        <v>4380</v>
      </c>
      <c r="S33" s="692" t="s">
        <v>1529</v>
      </c>
      <c r="T33" s="692"/>
      <c r="U33" s="692"/>
    </row>
    <row r="34" spans="2:21" ht="15">
      <c r="B34" s="431" t="s">
        <v>71</v>
      </c>
      <c r="C34" s="432">
        <v>21789</v>
      </c>
      <c r="D34" s="431" t="s">
        <v>1706</v>
      </c>
      <c r="E34" s="431" t="s">
        <v>895</v>
      </c>
      <c r="F34" s="432">
        <v>6542</v>
      </c>
      <c r="G34" s="431" t="s">
        <v>1706</v>
      </c>
      <c r="H34" s="431" t="s">
        <v>897</v>
      </c>
      <c r="I34" s="432">
        <v>1249</v>
      </c>
      <c r="J34" s="431" t="s">
        <v>1706</v>
      </c>
      <c r="K34" s="431" t="s">
        <v>898</v>
      </c>
      <c r="L34" s="432">
        <v>4134</v>
      </c>
      <c r="M34" s="431" t="s">
        <v>1706</v>
      </c>
      <c r="N34" s="431" t="s">
        <v>2080</v>
      </c>
      <c r="O34" s="431">
        <v>5458</v>
      </c>
      <c r="P34" s="431" t="s">
        <v>1706</v>
      </c>
      <c r="Q34" s="431" t="s">
        <v>895</v>
      </c>
      <c r="R34" s="432">
        <v>4406</v>
      </c>
      <c r="S34" s="692" t="s">
        <v>1529</v>
      </c>
      <c r="T34" s="692"/>
      <c r="U34" s="692"/>
    </row>
    <row r="35" spans="2:21" ht="15">
      <c r="B35" s="431" t="s">
        <v>952</v>
      </c>
      <c r="C35" s="432">
        <v>16442</v>
      </c>
      <c r="D35" s="431" t="s">
        <v>685</v>
      </c>
      <c r="E35" s="431" t="s">
        <v>895</v>
      </c>
      <c r="F35" s="432">
        <v>5108</v>
      </c>
      <c r="G35" s="431" t="s">
        <v>684</v>
      </c>
      <c r="H35" s="431" t="s">
        <v>362</v>
      </c>
      <c r="I35" s="432">
        <v>986</v>
      </c>
      <c r="J35" s="431" t="s">
        <v>685</v>
      </c>
      <c r="K35" s="431" t="s">
        <v>898</v>
      </c>
      <c r="L35" s="432">
        <v>3166</v>
      </c>
      <c r="M35" s="431" t="s">
        <v>953</v>
      </c>
      <c r="N35" s="431" t="s">
        <v>588</v>
      </c>
      <c r="O35" s="431">
        <v>4095</v>
      </c>
      <c r="P35" s="431" t="s">
        <v>685</v>
      </c>
      <c r="Q35" s="431" t="s">
        <v>895</v>
      </c>
      <c r="R35" s="432">
        <v>3087</v>
      </c>
      <c r="S35" s="692" t="s">
        <v>1529</v>
      </c>
      <c r="T35" s="692"/>
      <c r="U35" s="692"/>
    </row>
    <row r="36" spans="2:21" ht="15">
      <c r="B36" s="431" t="s">
        <v>402</v>
      </c>
      <c r="C36" s="432">
        <v>17081</v>
      </c>
      <c r="D36" s="431" t="s">
        <v>896</v>
      </c>
      <c r="E36" s="431" t="s">
        <v>657</v>
      </c>
      <c r="F36" s="432">
        <v>5643</v>
      </c>
      <c r="G36" s="431" t="s">
        <v>896</v>
      </c>
      <c r="H36" s="431" t="s">
        <v>657</v>
      </c>
      <c r="I36" s="432">
        <v>1100</v>
      </c>
      <c r="J36" s="431" t="s">
        <v>897</v>
      </c>
      <c r="K36" s="431" t="s">
        <v>657</v>
      </c>
      <c r="L36" s="432">
        <v>3288</v>
      </c>
      <c r="M36" s="431" t="s">
        <v>896</v>
      </c>
      <c r="N36" s="431" t="s">
        <v>657</v>
      </c>
      <c r="O36" s="431">
        <v>4142</v>
      </c>
      <c r="P36" s="431" t="s">
        <v>1134</v>
      </c>
      <c r="Q36" s="431" t="s">
        <v>897</v>
      </c>
      <c r="R36" s="432">
        <v>2908</v>
      </c>
      <c r="S36" s="692" t="s">
        <v>1529</v>
      </c>
      <c r="T36" s="692"/>
      <c r="U36" s="692"/>
    </row>
    <row r="37" spans="2:21" ht="15">
      <c r="B37" s="431" t="s">
        <v>404</v>
      </c>
      <c r="C37" s="432">
        <v>19052</v>
      </c>
      <c r="D37" s="431" t="s">
        <v>588</v>
      </c>
      <c r="E37" s="431" t="s">
        <v>657</v>
      </c>
      <c r="F37" s="432">
        <v>6272</v>
      </c>
      <c r="G37" s="431" t="s">
        <v>1706</v>
      </c>
      <c r="H37" s="431" t="s">
        <v>1707</v>
      </c>
      <c r="I37" s="432">
        <v>1304</v>
      </c>
      <c r="J37" s="431" t="s">
        <v>662</v>
      </c>
      <c r="K37" s="431" t="s">
        <v>686</v>
      </c>
      <c r="L37" s="432">
        <v>3579</v>
      </c>
      <c r="M37" s="431" t="s">
        <v>657</v>
      </c>
      <c r="N37" s="431" t="s">
        <v>2080</v>
      </c>
      <c r="O37" s="431">
        <v>4575</v>
      </c>
      <c r="P37" s="431" t="s">
        <v>657</v>
      </c>
      <c r="Q37" s="431" t="s">
        <v>686</v>
      </c>
      <c r="R37" s="432">
        <v>3322</v>
      </c>
      <c r="S37" s="692" t="s">
        <v>1529</v>
      </c>
      <c r="T37" s="692"/>
      <c r="U37" s="692"/>
    </row>
    <row r="38" spans="2:21" ht="15">
      <c r="B38" s="431" t="s">
        <v>405</v>
      </c>
      <c r="C38" s="432">
        <v>20824</v>
      </c>
      <c r="D38" s="431" t="s">
        <v>409</v>
      </c>
      <c r="E38" s="431" t="s">
        <v>1707</v>
      </c>
      <c r="F38" s="432">
        <v>6961</v>
      </c>
      <c r="G38" s="431" t="s">
        <v>427</v>
      </c>
      <c r="H38" s="431" t="s">
        <v>1707</v>
      </c>
      <c r="I38" s="432">
        <v>1437</v>
      </c>
      <c r="J38" s="431" t="s">
        <v>427</v>
      </c>
      <c r="K38" s="431" t="s">
        <v>427</v>
      </c>
      <c r="L38" s="432">
        <v>3842</v>
      </c>
      <c r="M38" s="431" t="s">
        <v>2080</v>
      </c>
      <c r="N38" s="431" t="s">
        <v>588</v>
      </c>
      <c r="O38" s="431">
        <v>4950</v>
      </c>
      <c r="P38" s="431" t="s">
        <v>427</v>
      </c>
      <c r="Q38" s="431" t="s">
        <v>1707</v>
      </c>
      <c r="R38" s="432">
        <v>3634</v>
      </c>
      <c r="S38" s="692" t="s">
        <v>1529</v>
      </c>
      <c r="T38" s="692"/>
      <c r="U38" s="692"/>
    </row>
    <row r="39" spans="19:21" ht="15">
      <c r="S39" s="114" t="s">
        <v>1529</v>
      </c>
      <c r="U39" s="692"/>
    </row>
    <row r="40" ht="15">
      <c r="S40" s="114" t="s">
        <v>1529</v>
      </c>
    </row>
    <row r="41" spans="10:19" ht="16.5">
      <c r="J41" s="136" t="s">
        <v>365</v>
      </c>
      <c r="R41" s="8" t="s">
        <v>1529</v>
      </c>
      <c r="S41" s="114"/>
    </row>
    <row r="42" spans="10:19" ht="16.5">
      <c r="J42" s="136" t="s">
        <v>1723</v>
      </c>
      <c r="S42" s="114"/>
    </row>
    <row r="43" spans="10:19" ht="16.5">
      <c r="J43" s="136" t="s">
        <v>1724</v>
      </c>
      <c r="S43" s="114"/>
    </row>
    <row r="44" spans="10:19" ht="16.5">
      <c r="J44" s="136" t="s">
        <v>1701</v>
      </c>
      <c r="S44" s="114"/>
    </row>
    <row r="45" ht="15">
      <c r="S45" s="114" t="s">
        <v>1529</v>
      </c>
    </row>
    <row r="46" ht="15">
      <c r="S46" s="114"/>
    </row>
    <row r="47" spans="3:19" ht="16.5">
      <c r="C47" s="170" t="s">
        <v>1642</v>
      </c>
      <c r="E47" s="170" t="s">
        <v>1695</v>
      </c>
      <c r="F47" s="170"/>
      <c r="H47" s="170" t="s">
        <v>1696</v>
      </c>
      <c r="J47" s="170"/>
      <c r="K47" s="170" t="s">
        <v>1697</v>
      </c>
      <c r="N47" s="170" t="s">
        <v>1698</v>
      </c>
      <c r="Q47" s="170" t="s">
        <v>1699</v>
      </c>
      <c r="S47" s="114"/>
    </row>
    <row r="48" spans="19:21" ht="15">
      <c r="S48" s="114"/>
      <c r="U48" s="8" t="s">
        <v>1529</v>
      </c>
    </row>
    <row r="49" spans="3:21" s="174" customFormat="1" ht="15">
      <c r="C49" s="174">
        <v>24110</v>
      </c>
      <c r="E49" s="174">
        <v>8308</v>
      </c>
      <c r="H49" s="174">
        <v>1674</v>
      </c>
      <c r="K49" s="174">
        <v>4264</v>
      </c>
      <c r="N49" s="174">
        <v>5458</v>
      </c>
      <c r="Q49" s="174">
        <v>4406</v>
      </c>
      <c r="S49" s="114" t="s">
        <v>1529</v>
      </c>
      <c r="T49" s="693"/>
      <c r="U49" s="8"/>
    </row>
    <row r="50" ht="15">
      <c r="S50" s="114"/>
    </row>
    <row r="52" spans="2:19" ht="16.5">
      <c r="B52" s="199" t="s">
        <v>1725</v>
      </c>
      <c r="E52" s="173" t="s">
        <v>1185</v>
      </c>
      <c r="F52" s="174"/>
      <c r="G52" s="174"/>
      <c r="H52" s="173" t="s">
        <v>1186</v>
      </c>
      <c r="I52" s="174"/>
      <c r="J52" s="174"/>
      <c r="K52" s="173" t="s">
        <v>572</v>
      </c>
      <c r="L52" s="174"/>
      <c r="M52" s="174"/>
      <c r="N52" s="173" t="s">
        <v>573</v>
      </c>
      <c r="O52" s="174"/>
      <c r="P52" s="174"/>
      <c r="Q52" s="173" t="s">
        <v>574</v>
      </c>
      <c r="S52" s="8" t="s">
        <v>1529</v>
      </c>
    </row>
    <row r="55" ht="16.5">
      <c r="B55" s="145" t="s">
        <v>58</v>
      </c>
    </row>
    <row r="57" ht="16.5">
      <c r="B57" s="145" t="s">
        <v>406</v>
      </c>
    </row>
    <row r="58" ht="16.5">
      <c r="C58" s="145"/>
    </row>
    <row r="59" ht="16.5">
      <c r="B59" s="145" t="s">
        <v>575</v>
      </c>
    </row>
    <row r="60" ht="16.5">
      <c r="B60" s="145"/>
    </row>
    <row r="61" ht="16.5">
      <c r="B61" s="145" t="s">
        <v>1187</v>
      </c>
    </row>
    <row r="62" ht="16.5">
      <c r="B62" s="145"/>
    </row>
    <row r="63" ht="16.5">
      <c r="B63" s="145"/>
    </row>
    <row r="64" ht="16.5">
      <c r="B64" s="145"/>
    </row>
    <row r="65" ht="16.5">
      <c r="B65" s="145"/>
    </row>
    <row r="66" ht="16.5">
      <c r="B66" s="145"/>
    </row>
    <row r="67" ht="16.5">
      <c r="B67" s="145"/>
    </row>
    <row r="68" ht="16.5">
      <c r="B68" s="145"/>
    </row>
    <row r="70" ht="16.5">
      <c r="B70" s="145"/>
    </row>
  </sheetData>
  <mergeCells count="2">
    <mergeCell ref="B25:C25"/>
    <mergeCell ref="M25:O2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72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8" customWidth="1"/>
    <col min="2" max="7" width="9.140625" style="8" customWidth="1"/>
    <col min="8" max="8" width="18.7109375" style="8" customWidth="1"/>
    <col min="9" max="9" width="14.421875" style="8" customWidth="1"/>
    <col min="10" max="16384" width="9.140625" style="8" customWidth="1"/>
  </cols>
  <sheetData>
    <row r="1" spans="1:9" ht="16.5">
      <c r="A1" s="145" t="s">
        <v>1729</v>
      </c>
      <c r="B1" s="137" t="str">
        <f>INPUT!C1</f>
        <v>February 2009</v>
      </c>
      <c r="I1" s="145" t="s">
        <v>167</v>
      </c>
    </row>
    <row r="2" ht="16.5">
      <c r="E2" s="136" t="s">
        <v>171</v>
      </c>
    </row>
    <row r="3" spans="5:9" ht="16.5">
      <c r="E3" s="170"/>
      <c r="I3" s="136" t="s">
        <v>1785</v>
      </c>
    </row>
    <row r="4" spans="1:9" ht="16.5">
      <c r="A4" s="138"/>
      <c r="B4" s="138"/>
      <c r="C4" s="139" t="s">
        <v>172</v>
      </c>
      <c r="D4" s="138"/>
      <c r="E4" s="210"/>
      <c r="I4" s="139" t="s">
        <v>1786</v>
      </c>
    </row>
    <row r="6" ht="16.5">
      <c r="A6" s="145" t="s">
        <v>173</v>
      </c>
    </row>
    <row r="7" spans="1:9" ht="15">
      <c r="A7" s="713" t="s">
        <v>219</v>
      </c>
      <c r="I7" s="116">
        <v>2032000</v>
      </c>
    </row>
    <row r="8" spans="1:9" ht="15">
      <c r="A8" s="713" t="s">
        <v>1933</v>
      </c>
      <c r="I8" s="116">
        <v>482000</v>
      </c>
    </row>
    <row r="9" spans="1:9" ht="15">
      <c r="A9" s="713" t="s">
        <v>1934</v>
      </c>
      <c r="I9" s="116">
        <v>700000</v>
      </c>
    </row>
    <row r="10" spans="1:9" ht="15">
      <c r="A10" s="713" t="s">
        <v>1935</v>
      </c>
      <c r="I10" s="116">
        <v>332000</v>
      </c>
    </row>
    <row r="11" spans="1:9" ht="15">
      <c r="A11" s="713" t="s">
        <v>1936</v>
      </c>
      <c r="I11" s="116">
        <v>400000</v>
      </c>
    </row>
    <row r="12" spans="1:9" ht="15">
      <c r="A12" s="713" t="s">
        <v>1937</v>
      </c>
      <c r="I12" s="116">
        <v>1318000</v>
      </c>
    </row>
    <row r="13" spans="1:9" ht="15">
      <c r="A13" s="713" t="s">
        <v>225</v>
      </c>
      <c r="I13" s="143">
        <v>295000</v>
      </c>
    </row>
    <row r="14" spans="1:9" ht="15">
      <c r="A14" s="8" t="s">
        <v>174</v>
      </c>
      <c r="I14" s="115">
        <f>SUM(I7:I13)</f>
        <v>5559000</v>
      </c>
    </row>
    <row r="15" spans="1:9" ht="15">
      <c r="A15" s="713" t="s">
        <v>1938</v>
      </c>
      <c r="I15" s="116">
        <v>586000</v>
      </c>
    </row>
    <row r="16" spans="1:9" ht="15">
      <c r="A16" s="713" t="s">
        <v>1939</v>
      </c>
      <c r="I16" s="116">
        <v>4000</v>
      </c>
    </row>
    <row r="17" spans="1:9" ht="15">
      <c r="A17" s="713" t="s">
        <v>1940</v>
      </c>
      <c r="I17" s="34">
        <v>83000</v>
      </c>
    </row>
    <row r="18" spans="1:9" ht="15">
      <c r="A18" s="713" t="s">
        <v>1941</v>
      </c>
      <c r="I18" s="34">
        <v>28000</v>
      </c>
    </row>
    <row r="19" spans="1:9" ht="15">
      <c r="A19" s="713" t="s">
        <v>1836</v>
      </c>
      <c r="I19" s="34">
        <v>27000</v>
      </c>
    </row>
    <row r="20" spans="1:9" ht="15">
      <c r="A20" s="713" t="s">
        <v>1535</v>
      </c>
      <c r="I20" s="143">
        <v>2000</v>
      </c>
    </row>
    <row r="21" spans="1:9" ht="15">
      <c r="A21" s="8" t="s">
        <v>176</v>
      </c>
      <c r="I21" s="115">
        <f>SUM(I14:I20)</f>
        <v>6289000</v>
      </c>
    </row>
    <row r="22" ht="15">
      <c r="I22" s="115"/>
    </row>
    <row r="23" spans="1:9" ht="16.5">
      <c r="A23" s="145" t="s">
        <v>177</v>
      </c>
      <c r="I23" s="115"/>
    </row>
    <row r="24" spans="1:9" ht="15">
      <c r="A24" s="713" t="s">
        <v>437</v>
      </c>
      <c r="I24" s="116">
        <v>1060000</v>
      </c>
    </row>
    <row r="25" spans="1:9" ht="15">
      <c r="A25" s="713" t="s">
        <v>1929</v>
      </c>
      <c r="I25" s="116">
        <v>198000</v>
      </c>
    </row>
    <row r="26" spans="1:9" ht="15">
      <c r="A26" s="713" t="s">
        <v>1931</v>
      </c>
      <c r="I26" s="143">
        <v>195000</v>
      </c>
    </row>
    <row r="27" spans="1:9" ht="15">
      <c r="A27" s="8" t="s">
        <v>174</v>
      </c>
      <c r="I27" s="115">
        <f>SUM(I24:I26)</f>
        <v>1453000</v>
      </c>
    </row>
    <row r="28" spans="1:9" ht="15">
      <c r="A28" s="8" t="s">
        <v>176</v>
      </c>
      <c r="I28" s="115">
        <f>+I27</f>
        <v>1453000</v>
      </c>
    </row>
    <row r="29" ht="15">
      <c r="I29" s="115"/>
    </row>
    <row r="30" spans="1:9" ht="16.5">
      <c r="A30" s="145" t="s">
        <v>178</v>
      </c>
      <c r="I30" s="115"/>
    </row>
    <row r="31" spans="1:9" ht="15">
      <c r="A31" s="713" t="s">
        <v>213</v>
      </c>
      <c r="I31" s="116">
        <v>2149000</v>
      </c>
    </row>
    <row r="32" spans="1:9" ht="15">
      <c r="A32" s="713" t="s">
        <v>1928</v>
      </c>
      <c r="I32" s="116">
        <v>659000</v>
      </c>
    </row>
    <row r="33" spans="1:9" ht="15">
      <c r="A33" s="713" t="s">
        <v>1929</v>
      </c>
      <c r="I33" s="116">
        <v>461000</v>
      </c>
    </row>
    <row r="34" spans="1:9" ht="15">
      <c r="A34" s="713" t="s">
        <v>1930</v>
      </c>
      <c r="I34" s="116">
        <v>391000</v>
      </c>
    </row>
    <row r="35" spans="1:9" ht="15">
      <c r="A35" s="713" t="s">
        <v>1931</v>
      </c>
      <c r="I35" s="116">
        <v>455000</v>
      </c>
    </row>
    <row r="36" spans="1:9" ht="15">
      <c r="A36" s="713" t="s">
        <v>218</v>
      </c>
      <c r="I36" s="143">
        <v>992000</v>
      </c>
    </row>
    <row r="37" spans="1:9" ht="15">
      <c r="A37" s="8" t="s">
        <v>174</v>
      </c>
      <c r="I37" s="115">
        <f>SUM(I31:I36)</f>
        <v>5107000</v>
      </c>
    </row>
    <row r="38" spans="1:9" ht="15">
      <c r="A38" s="713" t="s">
        <v>482</v>
      </c>
      <c r="I38" s="34">
        <v>34000</v>
      </c>
    </row>
    <row r="39" spans="1:9" ht="15">
      <c r="A39" s="713" t="s">
        <v>1932</v>
      </c>
      <c r="I39" s="143">
        <v>14000</v>
      </c>
    </row>
    <row r="40" spans="1:9" ht="15">
      <c r="A40" s="8" t="s">
        <v>176</v>
      </c>
      <c r="I40" s="115">
        <f>SUM(I37:I39)</f>
        <v>5155000</v>
      </c>
    </row>
    <row r="41" ht="15">
      <c r="I41" s="115"/>
    </row>
    <row r="42" spans="1:9" ht="16.5">
      <c r="A42" s="145" t="s">
        <v>182</v>
      </c>
      <c r="I42" s="115"/>
    </row>
    <row r="43" spans="1:9" ht="15">
      <c r="A43" s="713" t="s">
        <v>219</v>
      </c>
      <c r="I43" s="116">
        <v>865000</v>
      </c>
    </row>
    <row r="44" spans="1:9" ht="15">
      <c r="A44" s="713" t="s">
        <v>220</v>
      </c>
      <c r="I44" s="116">
        <v>580000</v>
      </c>
    </row>
    <row r="45" spans="1:9" ht="15">
      <c r="A45" s="713" t="s">
        <v>221</v>
      </c>
      <c r="I45" s="116">
        <v>2638000</v>
      </c>
    </row>
    <row r="46" spans="1:9" ht="15">
      <c r="A46" s="713" t="s">
        <v>222</v>
      </c>
      <c r="I46" s="116">
        <v>620000</v>
      </c>
    </row>
    <row r="47" spans="1:9" ht="15">
      <c r="A47" s="713" t="s">
        <v>223</v>
      </c>
      <c r="I47" s="116">
        <v>1556000</v>
      </c>
    </row>
    <row r="48" spans="1:9" ht="15">
      <c r="A48" s="713" t="s">
        <v>224</v>
      </c>
      <c r="I48" s="116">
        <v>1424000</v>
      </c>
    </row>
    <row r="49" spans="1:9" ht="15">
      <c r="A49" s="713" t="s">
        <v>225</v>
      </c>
      <c r="I49" s="143">
        <v>742000</v>
      </c>
    </row>
    <row r="50" spans="1:9" ht="15">
      <c r="A50" s="8" t="s">
        <v>174</v>
      </c>
      <c r="I50" s="115">
        <f>SUM(I43:I49)</f>
        <v>8425000</v>
      </c>
    </row>
    <row r="51" spans="1:9" ht="15">
      <c r="A51" s="713" t="s">
        <v>1927</v>
      </c>
      <c r="I51" s="143">
        <v>25000</v>
      </c>
    </row>
    <row r="52" spans="1:9" ht="15">
      <c r="A52" s="8" t="s">
        <v>176</v>
      </c>
      <c r="I52" s="115">
        <f>SUM(I50:I51)</f>
        <v>8450000</v>
      </c>
    </row>
    <row r="53" ht="15">
      <c r="I53" s="115"/>
    </row>
    <row r="54" spans="1:9" ht="16.5">
      <c r="A54" s="145" t="s">
        <v>183</v>
      </c>
      <c r="I54" s="115"/>
    </row>
    <row r="55" spans="1:9" ht="15">
      <c r="A55" s="713" t="s">
        <v>1921</v>
      </c>
      <c r="I55" s="116">
        <v>52000</v>
      </c>
    </row>
    <row r="56" spans="1:9" ht="15">
      <c r="A56" s="713" t="s">
        <v>1922</v>
      </c>
      <c r="I56" s="116">
        <v>1292000</v>
      </c>
    </row>
    <row r="57" spans="1:9" ht="15">
      <c r="A57" s="713" t="s">
        <v>1449</v>
      </c>
      <c r="I57" s="116">
        <v>473000</v>
      </c>
    </row>
    <row r="58" spans="1:9" ht="15">
      <c r="A58" s="713" t="s">
        <v>899</v>
      </c>
      <c r="I58" s="116">
        <v>1155000</v>
      </c>
    </row>
    <row r="59" spans="1:9" ht="15">
      <c r="A59" s="713" t="s">
        <v>1923</v>
      </c>
      <c r="I59" s="116">
        <v>98000</v>
      </c>
    </row>
    <row r="60" spans="1:9" ht="15">
      <c r="A60" s="713" t="s">
        <v>1924</v>
      </c>
      <c r="I60" s="116">
        <v>608000</v>
      </c>
    </row>
    <row r="61" spans="1:9" ht="15">
      <c r="A61" s="713" t="s">
        <v>1925</v>
      </c>
      <c r="I61" s="116">
        <v>833000</v>
      </c>
    </row>
    <row r="62" spans="1:9" ht="15">
      <c r="A62" s="713" t="s">
        <v>1926</v>
      </c>
      <c r="I62" s="143">
        <v>330000</v>
      </c>
    </row>
    <row r="63" spans="1:9" ht="15">
      <c r="A63" s="8" t="s">
        <v>174</v>
      </c>
      <c r="I63" s="116">
        <f>SUM(I55:I62)</f>
        <v>4841000</v>
      </c>
    </row>
    <row r="64" spans="1:9" ht="15">
      <c r="A64" s="8" t="s">
        <v>1831</v>
      </c>
      <c r="I64" s="143">
        <v>0</v>
      </c>
    </row>
    <row r="65" ht="15">
      <c r="I65" s="115">
        <f>+I63+I64</f>
        <v>4841000</v>
      </c>
    </row>
    <row r="66" ht="15">
      <c r="I66" s="115"/>
    </row>
    <row r="67" spans="1:9" ht="15">
      <c r="A67" s="8" t="s">
        <v>184</v>
      </c>
      <c r="I67" s="115">
        <f>+I21+I28+I40+I52+I65</f>
        <v>26188000</v>
      </c>
    </row>
    <row r="68" ht="15">
      <c r="I68" s="115"/>
    </row>
    <row r="69" ht="15">
      <c r="A69" s="8" t="s">
        <v>185</v>
      </c>
    </row>
    <row r="71" spans="1:9" ht="15">
      <c r="A71" s="855" t="s">
        <v>483</v>
      </c>
      <c r="B71" s="855"/>
      <c r="C71" s="855"/>
      <c r="D71" s="855"/>
      <c r="E71" s="855"/>
      <c r="F71" s="855"/>
      <c r="G71" s="855"/>
      <c r="H71" s="855"/>
      <c r="I71" s="855"/>
    </row>
    <row r="72" spans="1:9" ht="15">
      <c r="A72" s="855"/>
      <c r="B72" s="855"/>
      <c r="C72" s="855"/>
      <c r="D72" s="855"/>
      <c r="E72" s="855"/>
      <c r="F72" s="855"/>
      <c r="G72" s="855"/>
      <c r="H72" s="855"/>
      <c r="I72" s="855"/>
    </row>
  </sheetData>
  <mergeCells count="1">
    <mergeCell ref="A71:I72"/>
  </mergeCells>
  <printOptions horizontalCentered="1" verticalCentered="1"/>
  <pageMargins left="0.25" right="0.25" top="0.25" bottom="0" header="0" footer="0"/>
  <pageSetup fitToHeight="1" fitToWidth="1"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3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8" customWidth="1"/>
    <col min="2" max="3" width="9.140625" style="8" customWidth="1"/>
    <col min="4" max="4" width="12.140625" style="8" customWidth="1"/>
    <col min="5" max="5" width="3.7109375" style="8" customWidth="1"/>
    <col min="6" max="6" width="15.140625" style="8" bestFit="1" customWidth="1"/>
    <col min="7" max="7" width="3.7109375" style="8" customWidth="1"/>
    <col min="8" max="8" width="10.8515625" style="8" bestFit="1" customWidth="1"/>
    <col min="9" max="9" width="3.7109375" style="8" customWidth="1"/>
    <col min="10" max="10" width="14.57421875" style="8" customWidth="1"/>
    <col min="11" max="11" width="9.140625" style="8" customWidth="1"/>
    <col min="12" max="12" width="10.8515625" style="8" bestFit="1" customWidth="1"/>
    <col min="13" max="16384" width="9.140625" style="8" customWidth="1"/>
  </cols>
  <sheetData>
    <row r="1" spans="1:10" ht="16.5">
      <c r="A1" s="145" t="s">
        <v>1729</v>
      </c>
      <c r="J1" s="199" t="s">
        <v>186</v>
      </c>
    </row>
    <row r="2" spans="1:10" ht="16.5">
      <c r="A2" s="137" t="str">
        <f>INPUT!C1</f>
        <v>February 2009</v>
      </c>
      <c r="B2" s="137"/>
      <c r="J2" s="199"/>
    </row>
    <row r="4" ht="16.5">
      <c r="E4" s="136" t="s">
        <v>190</v>
      </c>
    </row>
    <row r="5" ht="16.5">
      <c r="E5" s="170" t="s">
        <v>191</v>
      </c>
    </row>
    <row r="6" ht="16.5">
      <c r="E6" s="136" t="s">
        <v>1120</v>
      </c>
    </row>
    <row r="7" ht="15">
      <c r="E7" s="174"/>
    </row>
    <row r="9" ht="16.5">
      <c r="F9" s="136" t="s">
        <v>1575</v>
      </c>
    </row>
    <row r="10" spans="4:10" ht="16.5">
      <c r="D10" s="174"/>
      <c r="E10" s="174"/>
      <c r="F10" s="136" t="s">
        <v>192</v>
      </c>
      <c r="G10" s="174"/>
      <c r="H10" s="136" t="s">
        <v>193</v>
      </c>
      <c r="I10" s="174"/>
      <c r="J10" s="136" t="s">
        <v>193</v>
      </c>
    </row>
    <row r="11" spans="4:10" ht="16.5">
      <c r="D11" s="174"/>
      <c r="E11" s="174"/>
      <c r="F11" s="136" t="s">
        <v>194</v>
      </c>
      <c r="G11" s="174"/>
      <c r="H11" s="136" t="s">
        <v>195</v>
      </c>
      <c r="I11" s="174"/>
      <c r="J11" s="136" t="s">
        <v>196</v>
      </c>
    </row>
    <row r="12" spans="1:10" ht="16.5">
      <c r="A12" s="136" t="s">
        <v>197</v>
      </c>
      <c r="D12" s="136" t="s">
        <v>1775</v>
      </c>
      <c r="E12" s="174"/>
      <c r="F12" s="136" t="s">
        <v>200</v>
      </c>
      <c r="G12" s="174"/>
      <c r="H12" s="136" t="s">
        <v>201</v>
      </c>
      <c r="I12" s="174"/>
      <c r="J12" s="136" t="s">
        <v>202</v>
      </c>
    </row>
    <row r="13" spans="1:10" ht="16.5">
      <c r="A13" s="136" t="s">
        <v>203</v>
      </c>
      <c r="D13" s="136" t="s">
        <v>2088</v>
      </c>
      <c r="E13" s="174"/>
      <c r="F13" s="136" t="s">
        <v>204</v>
      </c>
      <c r="G13" s="174"/>
      <c r="H13" s="136" t="s">
        <v>205</v>
      </c>
      <c r="I13" s="174"/>
      <c r="J13" s="136" t="s">
        <v>206</v>
      </c>
    </row>
    <row r="14" spans="1:10" ht="16.5">
      <c r="A14" s="136" t="s">
        <v>207</v>
      </c>
      <c r="D14" s="136" t="s">
        <v>208</v>
      </c>
      <c r="E14" s="174"/>
      <c r="F14" s="136" t="s">
        <v>208</v>
      </c>
      <c r="G14" s="174"/>
      <c r="H14" s="136" t="s">
        <v>209</v>
      </c>
      <c r="I14" s="174"/>
      <c r="J14" s="136" t="s">
        <v>795</v>
      </c>
    </row>
    <row r="15" spans="1:10" ht="16.5">
      <c r="A15" s="170" t="s">
        <v>210</v>
      </c>
      <c r="D15" s="256" t="s">
        <v>1121</v>
      </c>
      <c r="E15" s="174"/>
      <c r="F15" s="256" t="s">
        <v>1121</v>
      </c>
      <c r="G15" s="174"/>
      <c r="H15" s="170" t="s">
        <v>1776</v>
      </c>
      <c r="I15" s="174"/>
      <c r="J15" s="170" t="s">
        <v>211</v>
      </c>
    </row>
    <row r="16" spans="4:10" ht="15">
      <c r="D16" s="173" t="s">
        <v>1777</v>
      </c>
      <c r="E16" s="174"/>
      <c r="F16" s="173" t="s">
        <v>1778</v>
      </c>
      <c r="G16" s="174"/>
      <c r="H16" s="173" t="s">
        <v>88</v>
      </c>
      <c r="I16" s="174"/>
      <c r="J16" s="173" t="s">
        <v>89</v>
      </c>
    </row>
    <row r="17" spans="4:10" ht="15">
      <c r="D17" s="173"/>
      <c r="E17" s="174"/>
      <c r="F17" s="173"/>
      <c r="G17" s="174"/>
      <c r="H17" s="173"/>
      <c r="I17" s="174"/>
      <c r="J17" s="173"/>
    </row>
    <row r="18" ht="16.5">
      <c r="A18" s="145" t="s">
        <v>173</v>
      </c>
    </row>
    <row r="20" spans="1:6" ht="15">
      <c r="A20" s="8" t="s">
        <v>219</v>
      </c>
      <c r="D20" s="115">
        <v>2032000</v>
      </c>
      <c r="E20" s="115"/>
      <c r="F20" s="576">
        <v>1022028763</v>
      </c>
    </row>
    <row r="21" spans="1:6" ht="15">
      <c r="A21" s="8" t="s">
        <v>1933</v>
      </c>
      <c r="D21" s="115">
        <v>482000</v>
      </c>
      <c r="E21" s="115"/>
      <c r="F21" s="576">
        <v>203328373</v>
      </c>
    </row>
    <row r="22" spans="1:6" ht="15">
      <c r="A22" s="8" t="s">
        <v>1934</v>
      </c>
      <c r="D22" s="115">
        <v>700000</v>
      </c>
      <c r="E22" s="115"/>
      <c r="F22" s="576">
        <v>318511376</v>
      </c>
    </row>
    <row r="23" spans="1:6" ht="15">
      <c r="A23" s="8" t="s">
        <v>1935</v>
      </c>
      <c r="D23" s="115">
        <v>332000</v>
      </c>
      <c r="E23" s="115"/>
      <c r="F23" s="576">
        <v>146527360</v>
      </c>
    </row>
    <row r="24" spans="1:6" ht="15">
      <c r="A24" s="8" t="s">
        <v>1936</v>
      </c>
      <c r="D24" s="115">
        <v>400000</v>
      </c>
      <c r="E24" s="115"/>
      <c r="F24" s="576">
        <v>181898294</v>
      </c>
    </row>
    <row r="25" spans="1:6" ht="15">
      <c r="A25" s="8" t="s">
        <v>1937</v>
      </c>
      <c r="D25" s="115">
        <v>1318000</v>
      </c>
      <c r="E25" s="115"/>
      <c r="F25" s="116">
        <v>1432800325</v>
      </c>
    </row>
    <row r="26" spans="1:6" ht="15">
      <c r="A26" s="8" t="s">
        <v>225</v>
      </c>
      <c r="D26" s="144">
        <v>295000</v>
      </c>
      <c r="E26" s="115"/>
      <c r="F26" s="143">
        <v>143187812</v>
      </c>
    </row>
    <row r="27" spans="1:10" ht="16.5">
      <c r="A27" s="145" t="s">
        <v>408</v>
      </c>
      <c r="D27" s="115">
        <f>SUM(D20:D26)</f>
        <v>5559000</v>
      </c>
      <c r="E27" s="115"/>
      <c r="F27" s="257">
        <f>SUM(F20:F26)</f>
        <v>3448282303</v>
      </c>
      <c r="H27" s="212">
        <f>ROUND(F27/D27,2)</f>
        <v>620.31</v>
      </c>
      <c r="I27" s="211"/>
      <c r="J27" s="212">
        <f>ROUND(H27*0.0137,2)</f>
        <v>8.5</v>
      </c>
    </row>
    <row r="28" spans="4:10" ht="15">
      <c r="D28" s="173"/>
      <c r="E28" s="174"/>
      <c r="F28" s="173"/>
      <c r="G28" s="174"/>
      <c r="H28" s="173"/>
      <c r="I28" s="174"/>
      <c r="J28" s="173"/>
    </row>
    <row r="29" ht="16.5">
      <c r="A29" s="145" t="s">
        <v>177</v>
      </c>
    </row>
    <row r="31" spans="1:6" ht="15">
      <c r="A31" s="8" t="s">
        <v>437</v>
      </c>
      <c r="D31" s="115">
        <v>1060000</v>
      </c>
      <c r="E31" s="115"/>
      <c r="F31" s="576" t="s">
        <v>1119</v>
      </c>
    </row>
    <row r="32" spans="1:6" ht="15">
      <c r="A32" s="8" t="s">
        <v>438</v>
      </c>
      <c r="D32" s="115">
        <v>198000</v>
      </c>
      <c r="E32" s="115"/>
      <c r="F32" s="116">
        <v>190346598</v>
      </c>
    </row>
    <row r="33" spans="1:6" ht="15">
      <c r="A33" s="8" t="s">
        <v>212</v>
      </c>
      <c r="D33" s="144">
        <v>195000</v>
      </c>
      <c r="E33" s="115"/>
      <c r="F33" s="143">
        <v>22196344</v>
      </c>
    </row>
    <row r="34" spans="1:10" ht="16.5">
      <c r="A34" s="145" t="s">
        <v>439</v>
      </c>
      <c r="D34" s="115">
        <f>SUM(D31:D33)</f>
        <v>1453000</v>
      </c>
      <c r="E34" s="115"/>
      <c r="F34" s="257">
        <f>SUM(F31:F33)</f>
        <v>212542942</v>
      </c>
      <c r="H34" s="212">
        <f>ROUND(F34/D34,2)</f>
        <v>146.28</v>
      </c>
      <c r="I34" s="211"/>
      <c r="J34" s="212">
        <f>ROUND(H34*0.0137,2)</f>
        <v>2</v>
      </c>
    </row>
    <row r="36" spans="1:10" ht="16.5">
      <c r="A36" s="145" t="s">
        <v>178</v>
      </c>
      <c r="H36" s="211"/>
      <c r="I36" s="211"/>
      <c r="J36" s="211"/>
    </row>
    <row r="37" spans="8:10" ht="15">
      <c r="H37" s="211"/>
      <c r="I37" s="211"/>
      <c r="J37" s="211"/>
    </row>
    <row r="38" spans="1:10" ht="15">
      <c r="A38" s="8" t="s">
        <v>213</v>
      </c>
      <c r="D38" s="115">
        <v>2149000</v>
      </c>
      <c r="F38" s="116">
        <v>2207236674</v>
      </c>
      <c r="H38" s="211"/>
      <c r="I38" s="211"/>
      <c r="J38" s="211"/>
    </row>
    <row r="39" spans="1:10" ht="15">
      <c r="A39" s="8" t="s">
        <v>216</v>
      </c>
      <c r="D39" s="115">
        <v>659000</v>
      </c>
      <c r="F39" s="116">
        <v>625542311</v>
      </c>
      <c r="H39" s="211"/>
      <c r="I39" s="211"/>
      <c r="J39" s="211"/>
    </row>
    <row r="40" spans="1:10" ht="15">
      <c r="A40" s="8" t="s">
        <v>438</v>
      </c>
      <c r="D40" s="115">
        <v>461000</v>
      </c>
      <c r="F40" s="116">
        <v>444142061</v>
      </c>
      <c r="H40" s="211"/>
      <c r="I40" s="211"/>
      <c r="J40" s="211"/>
    </row>
    <row r="41" spans="1:10" ht="15">
      <c r="A41" s="8" t="s">
        <v>217</v>
      </c>
      <c r="D41" s="115">
        <v>391000</v>
      </c>
      <c r="F41" s="116">
        <v>46773497</v>
      </c>
      <c r="H41" s="211"/>
      <c r="I41" s="211"/>
      <c r="J41" s="211"/>
    </row>
    <row r="42" spans="1:10" ht="15">
      <c r="A42" s="8" t="s">
        <v>212</v>
      </c>
      <c r="D42" s="115">
        <v>455000</v>
      </c>
      <c r="F42" s="116">
        <v>51791470</v>
      </c>
      <c r="H42" s="211"/>
      <c r="I42" s="211"/>
      <c r="J42" s="211"/>
    </row>
    <row r="43" spans="1:10" ht="15">
      <c r="A43" s="8" t="s">
        <v>218</v>
      </c>
      <c r="D43" s="144">
        <v>992000</v>
      </c>
      <c r="F43" s="143">
        <v>552359851</v>
      </c>
      <c r="H43" s="211"/>
      <c r="I43" s="211"/>
      <c r="J43" s="211"/>
    </row>
    <row r="44" spans="1:10" ht="16.5">
      <c r="A44" s="8" t="s">
        <v>368</v>
      </c>
      <c r="D44" s="115">
        <f>SUM(D38:D43)</f>
        <v>5107000</v>
      </c>
      <c r="F44" s="115">
        <f>SUM(F38:F43)</f>
        <v>3927845864</v>
      </c>
      <c r="H44" s="212">
        <f>ROUND(F44/D44,2)</f>
        <v>769.11</v>
      </c>
      <c r="I44" s="211"/>
      <c r="J44" s="212">
        <f>ROUND(H44*0.0137,2)</f>
        <v>10.54</v>
      </c>
    </row>
    <row r="46" ht="16.5">
      <c r="A46" s="145" t="s">
        <v>182</v>
      </c>
    </row>
    <row r="48" spans="1:6" ht="15">
      <c r="A48" s="8" t="s">
        <v>219</v>
      </c>
      <c r="D48" s="115">
        <v>865000</v>
      </c>
      <c r="E48" s="115"/>
      <c r="F48" s="116">
        <v>369549761</v>
      </c>
    </row>
    <row r="49" spans="1:6" ht="15">
      <c r="A49" s="8" t="s">
        <v>220</v>
      </c>
      <c r="D49" s="115">
        <v>580000</v>
      </c>
      <c r="E49" s="115"/>
      <c r="F49" s="116">
        <v>689598787</v>
      </c>
    </row>
    <row r="50" spans="1:6" ht="15">
      <c r="A50" s="8" t="s">
        <v>221</v>
      </c>
      <c r="D50" s="115">
        <v>2638000</v>
      </c>
      <c r="E50" s="115"/>
      <c r="F50" s="116">
        <v>1161631292</v>
      </c>
    </row>
    <row r="51" spans="1:6" ht="15">
      <c r="A51" s="8" t="s">
        <v>222</v>
      </c>
      <c r="D51" s="115">
        <v>620000</v>
      </c>
      <c r="E51" s="115"/>
      <c r="F51" s="116">
        <v>295787018</v>
      </c>
    </row>
    <row r="52" spans="1:6" ht="15">
      <c r="A52" s="8" t="s">
        <v>223</v>
      </c>
      <c r="D52" s="115">
        <v>1556000</v>
      </c>
      <c r="E52" s="115"/>
      <c r="F52" s="116">
        <v>1632680920</v>
      </c>
    </row>
    <row r="53" spans="1:6" ht="15">
      <c r="A53" s="8" t="s">
        <v>224</v>
      </c>
      <c r="D53" s="115">
        <v>1424000</v>
      </c>
      <c r="E53" s="115"/>
      <c r="F53" s="34">
        <v>665302741</v>
      </c>
    </row>
    <row r="54" spans="1:6" ht="15">
      <c r="A54" s="8" t="s">
        <v>225</v>
      </c>
      <c r="D54" s="144">
        <v>742000</v>
      </c>
      <c r="E54" s="115"/>
      <c r="F54" s="143">
        <v>367204259</v>
      </c>
    </row>
    <row r="55" spans="1:10" ht="16.5">
      <c r="A55" s="145" t="s">
        <v>226</v>
      </c>
      <c r="D55" s="115">
        <f>SUM(D48:D54)</f>
        <v>8425000</v>
      </c>
      <c r="E55" s="115"/>
      <c r="F55" s="115">
        <f>SUM(F48:F54)</f>
        <v>5181754778</v>
      </c>
      <c r="H55" s="212">
        <f>ROUND(F55/D55,2)</f>
        <v>615.05</v>
      </c>
      <c r="I55" s="211"/>
      <c r="J55" s="212">
        <f>ROUND(H55*0.0137,2)</f>
        <v>8.43</v>
      </c>
    </row>
    <row r="56" spans="1:10" ht="16.5">
      <c r="A56" s="145"/>
      <c r="D56" s="115"/>
      <c r="E56" s="115"/>
      <c r="F56" s="115"/>
      <c r="H56" s="212"/>
      <c r="I56" s="211"/>
      <c r="J56" s="212"/>
    </row>
    <row r="57" ht="16.5">
      <c r="A57" s="145" t="s">
        <v>900</v>
      </c>
    </row>
    <row r="59" spans="1:6" ht="15">
      <c r="A59" s="8" t="s">
        <v>1921</v>
      </c>
      <c r="D59" s="507">
        <v>52000</v>
      </c>
      <c r="E59" s="507"/>
      <c r="F59" s="507">
        <v>18173459</v>
      </c>
    </row>
    <row r="60" spans="1:6" ht="15">
      <c r="A60" s="8" t="s">
        <v>1922</v>
      </c>
      <c r="D60" s="507">
        <v>1292000</v>
      </c>
      <c r="E60" s="507"/>
      <c r="F60" s="507">
        <v>702015502</v>
      </c>
    </row>
    <row r="61" spans="1:6" ht="15">
      <c r="A61" s="8" t="s">
        <v>1449</v>
      </c>
      <c r="D61" s="507">
        <v>473000</v>
      </c>
      <c r="E61" s="507"/>
      <c r="F61" s="507">
        <v>192025315</v>
      </c>
    </row>
    <row r="62" spans="1:6" ht="15">
      <c r="A62" s="8" t="s">
        <v>460</v>
      </c>
      <c r="D62" s="507">
        <v>1155000</v>
      </c>
      <c r="E62" s="507"/>
      <c r="F62" s="507">
        <v>696863072</v>
      </c>
    </row>
    <row r="63" spans="1:6" ht="15">
      <c r="A63" s="8" t="s">
        <v>1923</v>
      </c>
      <c r="D63" s="507">
        <v>98000</v>
      </c>
      <c r="E63" s="507"/>
      <c r="F63" s="507">
        <v>43257252</v>
      </c>
    </row>
    <row r="64" spans="1:6" ht="15">
      <c r="A64" s="8" t="s">
        <v>1924</v>
      </c>
      <c r="D64" s="507">
        <v>608000</v>
      </c>
      <c r="E64" s="507"/>
      <c r="F64" s="507">
        <v>478056596</v>
      </c>
    </row>
    <row r="65" spans="1:6" ht="15">
      <c r="A65" s="8" t="s">
        <v>1925</v>
      </c>
      <c r="D65" s="507">
        <v>833000</v>
      </c>
      <c r="E65" s="507"/>
      <c r="F65" s="507">
        <v>209546549</v>
      </c>
    </row>
    <row r="66" spans="1:6" ht="15">
      <c r="A66" s="8" t="s">
        <v>1926</v>
      </c>
      <c r="D66" s="508">
        <v>330000</v>
      </c>
      <c r="E66" s="507"/>
      <c r="F66" s="508">
        <v>763432701</v>
      </c>
    </row>
    <row r="67" spans="1:10" ht="16.5">
      <c r="A67" s="715" t="s">
        <v>901</v>
      </c>
      <c r="D67" s="507">
        <f>SUM(D59:D66)</f>
        <v>4841000</v>
      </c>
      <c r="E67" s="507"/>
      <c r="F67" s="507">
        <f>SUM(F59:F66)</f>
        <v>3103370446</v>
      </c>
      <c r="H67" s="212">
        <f>ROUND(F67/D67,2)</f>
        <v>641.06</v>
      </c>
      <c r="J67" s="212">
        <f>ROUND(H67*0.0137,2)</f>
        <v>8.78</v>
      </c>
    </row>
    <row r="69" ht="15">
      <c r="A69" s="141" t="s">
        <v>568</v>
      </c>
    </row>
    <row r="70" ht="15">
      <c r="A70" s="8" t="s">
        <v>1122</v>
      </c>
    </row>
    <row r="71" ht="15">
      <c r="A71" s="8" t="s">
        <v>796</v>
      </c>
    </row>
    <row r="72" ht="15">
      <c r="A72" s="8" t="s">
        <v>797</v>
      </c>
    </row>
    <row r="73" ht="15">
      <c r="A73" s="8" t="s">
        <v>2089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O7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46" customWidth="1"/>
    <col min="2" max="2" width="24.8515625" style="146" customWidth="1"/>
    <col min="3" max="3" width="2.7109375" style="146" customWidth="1"/>
    <col min="4" max="4" width="10.140625" style="146" customWidth="1"/>
    <col min="5" max="5" width="2.7109375" style="146" customWidth="1"/>
    <col min="6" max="6" width="11.140625" style="146" customWidth="1"/>
    <col min="7" max="7" width="2.7109375" style="146" customWidth="1"/>
    <col min="8" max="8" width="11.140625" style="146" customWidth="1"/>
    <col min="9" max="9" width="2.7109375" style="146" customWidth="1"/>
    <col min="10" max="10" width="10.421875" style="146" customWidth="1"/>
    <col min="11" max="11" width="2.7109375" style="146" customWidth="1"/>
    <col min="12" max="12" width="11.421875" style="146" bestFit="1" customWidth="1"/>
    <col min="13" max="13" width="2.7109375" style="146" customWidth="1"/>
    <col min="14" max="14" width="10.140625" style="146" bestFit="1" customWidth="1"/>
    <col min="15" max="15" width="2.7109375" style="146" customWidth="1"/>
    <col min="16" max="16384" width="9.140625" style="146" customWidth="1"/>
  </cols>
  <sheetData>
    <row r="1" spans="2:13" ht="14.25">
      <c r="B1" s="152" t="s">
        <v>1729</v>
      </c>
      <c r="M1" s="213" t="s">
        <v>228</v>
      </c>
    </row>
    <row r="2" spans="2:13" ht="14.25">
      <c r="B2" s="148" t="str">
        <f>INPUT!C1</f>
        <v>February 2009</v>
      </c>
      <c r="C2" s="148"/>
      <c r="I2" s="152"/>
      <c r="M2" s="214"/>
    </row>
    <row r="3" ht="14.25">
      <c r="G3" s="147" t="s">
        <v>229</v>
      </c>
    </row>
    <row r="4" ht="14.25">
      <c r="G4" s="202" t="s">
        <v>230</v>
      </c>
    </row>
    <row r="6" spans="6:8" ht="14.25">
      <c r="F6" s="147" t="s">
        <v>90</v>
      </c>
      <c r="H6" s="147" t="s">
        <v>1529</v>
      </c>
    </row>
    <row r="7" spans="4:14" ht="14.25">
      <c r="D7" s="147" t="s">
        <v>231</v>
      </c>
      <c r="F7" s="147" t="s">
        <v>1558</v>
      </c>
      <c r="H7" s="147" t="s">
        <v>91</v>
      </c>
      <c r="J7" s="147" t="s">
        <v>1562</v>
      </c>
      <c r="K7" s="147"/>
      <c r="L7" s="147" t="s">
        <v>91</v>
      </c>
      <c r="M7" s="147"/>
      <c r="N7" s="147" t="s">
        <v>91</v>
      </c>
    </row>
    <row r="8" spans="4:14" ht="14.25">
      <c r="D8" s="147" t="s">
        <v>1660</v>
      </c>
      <c r="F8" s="147" t="s">
        <v>232</v>
      </c>
      <c r="H8" s="147" t="s">
        <v>93</v>
      </c>
      <c r="J8" s="147" t="s">
        <v>1477</v>
      </c>
      <c r="K8" s="147"/>
      <c r="L8" s="147" t="s">
        <v>233</v>
      </c>
      <c r="M8" s="147"/>
      <c r="N8" s="147" t="s">
        <v>234</v>
      </c>
    </row>
    <row r="9" spans="4:14" ht="14.25">
      <c r="D9" s="202" t="s">
        <v>1606</v>
      </c>
      <c r="F9" s="215" t="s">
        <v>1731</v>
      </c>
      <c r="H9" s="215" t="s">
        <v>1731</v>
      </c>
      <c r="J9" s="215" t="s">
        <v>1731</v>
      </c>
      <c r="K9" s="215"/>
      <c r="L9" s="215" t="s">
        <v>1731</v>
      </c>
      <c r="M9" s="215"/>
      <c r="N9" s="215" t="s">
        <v>1731</v>
      </c>
    </row>
    <row r="10" ht="14.25">
      <c r="B10" s="216" t="s">
        <v>173</v>
      </c>
    </row>
    <row r="11" spans="2:14" ht="12.75">
      <c r="B11" s="146" t="s">
        <v>235</v>
      </c>
      <c r="D11" s="217">
        <f>+INPUT!B24</f>
        <v>114052</v>
      </c>
      <c r="E11" s="217"/>
      <c r="F11" s="217">
        <f>+INPUT!C24</f>
        <v>5760514</v>
      </c>
      <c r="G11" s="217"/>
      <c r="H11" s="217">
        <f>+INPUT!D24</f>
        <v>4782252</v>
      </c>
      <c r="I11" s="217"/>
      <c r="J11" s="217">
        <f>+INPUT!E24</f>
        <v>448750</v>
      </c>
      <c r="K11" s="217"/>
      <c r="L11" s="217">
        <f>+INPUT!F24</f>
        <v>4529280</v>
      </c>
      <c r="M11" s="217"/>
      <c r="N11" s="217">
        <f aca="true" t="shared" si="0" ref="N11:N16">+H11-L11</f>
        <v>252972</v>
      </c>
    </row>
    <row r="12" spans="2:14" ht="12.75">
      <c r="B12" s="146" t="s">
        <v>561</v>
      </c>
      <c r="D12" s="217">
        <f>+INPUT!B25</f>
        <v>80228</v>
      </c>
      <c r="E12" s="217"/>
      <c r="F12" s="217">
        <f>+INPUT!C25</f>
        <v>4046457</v>
      </c>
      <c r="G12" s="217"/>
      <c r="H12" s="217">
        <f>+INPUT!D25</f>
        <v>3114817</v>
      </c>
      <c r="I12" s="217"/>
      <c r="J12" s="217">
        <f>+INPUT!E25</f>
        <v>446197</v>
      </c>
      <c r="K12" s="217"/>
      <c r="L12" s="217">
        <f>+INPUT!F25</f>
        <v>3001190</v>
      </c>
      <c r="M12" s="217"/>
      <c r="N12" s="217">
        <f t="shared" si="0"/>
        <v>113627</v>
      </c>
    </row>
    <row r="13" spans="2:14" ht="12.75">
      <c r="B13" s="146" t="s">
        <v>236</v>
      </c>
      <c r="D13" s="217">
        <f>+INPUT!B26</f>
        <v>167330</v>
      </c>
      <c r="E13" s="217"/>
      <c r="F13" s="217">
        <f>+INPUT!C26</f>
        <v>6536803</v>
      </c>
      <c r="G13" s="217"/>
      <c r="H13" s="217">
        <f>+INPUT!D26</f>
        <v>5130690</v>
      </c>
      <c r="I13" s="217"/>
      <c r="J13" s="217">
        <f>+INPUT!E26</f>
        <v>877704</v>
      </c>
      <c r="K13" s="217"/>
      <c r="L13" s="217">
        <f>+INPUT!F26</f>
        <v>4872143</v>
      </c>
      <c r="M13" s="217"/>
      <c r="N13" s="217">
        <f t="shared" si="0"/>
        <v>258547</v>
      </c>
    </row>
    <row r="14" spans="2:14" ht="12.75">
      <c r="B14" s="146" t="s">
        <v>237</v>
      </c>
      <c r="D14" s="217">
        <f>+INPUT!B27</f>
        <v>187671</v>
      </c>
      <c r="E14" s="217"/>
      <c r="F14" s="217">
        <f>+INPUT!C27</f>
        <v>8294423</v>
      </c>
      <c r="G14" s="217"/>
      <c r="H14" s="217">
        <f>+INPUT!D27</f>
        <v>6712129</v>
      </c>
      <c r="I14" s="217"/>
      <c r="J14" s="217">
        <f>+INPUT!E27</f>
        <v>653328</v>
      </c>
      <c r="K14" s="217"/>
      <c r="L14" s="217">
        <f>+INPUT!F27</f>
        <v>6296351</v>
      </c>
      <c r="M14" s="217"/>
      <c r="N14" s="217">
        <f t="shared" si="0"/>
        <v>415778</v>
      </c>
    </row>
    <row r="15" spans="2:14" ht="12.75">
      <c r="B15" s="146" t="s">
        <v>240</v>
      </c>
      <c r="D15" s="217">
        <f>+INPUT!B28</f>
        <v>785222</v>
      </c>
      <c r="E15" s="217"/>
      <c r="F15" s="217">
        <f>+INPUT!C28</f>
        <v>24170653</v>
      </c>
      <c r="G15" s="217"/>
      <c r="H15" s="217">
        <f>+INPUT!D28</f>
        <v>18777815</v>
      </c>
      <c r="I15" s="217"/>
      <c r="J15" s="217">
        <f>+INPUT!E28</f>
        <v>2607587</v>
      </c>
      <c r="K15" s="217"/>
      <c r="L15" s="217">
        <f>+INPUT!F28</f>
        <v>17954321</v>
      </c>
      <c r="M15" s="218"/>
      <c r="N15" s="217">
        <f t="shared" si="0"/>
        <v>823494</v>
      </c>
    </row>
    <row r="16" spans="2:15" ht="12.75">
      <c r="B16" s="146" t="s">
        <v>241</v>
      </c>
      <c r="D16" s="218">
        <f>+INPUT!B29</f>
        <v>768495</v>
      </c>
      <c r="E16" s="218"/>
      <c r="F16" s="218">
        <f>+INPUT!C29</f>
        <v>27326479</v>
      </c>
      <c r="G16" s="218"/>
      <c r="H16" s="218">
        <f>+INPUT!D29</f>
        <v>23677730</v>
      </c>
      <c r="I16" s="218"/>
      <c r="J16" s="218">
        <f>+INPUT!E29</f>
        <v>1527990</v>
      </c>
      <c r="K16" s="218"/>
      <c r="L16" s="218">
        <f>+INPUT!F29</f>
        <v>22690686</v>
      </c>
      <c r="M16" s="218"/>
      <c r="N16" s="218">
        <f t="shared" si="0"/>
        <v>987044</v>
      </c>
      <c r="O16" s="203"/>
    </row>
    <row r="17" spans="2:15" ht="12.75">
      <c r="B17" s="146" t="s">
        <v>615</v>
      </c>
      <c r="D17" s="219">
        <f>+INPUT!B30</f>
        <v>5553</v>
      </c>
      <c r="E17" s="218"/>
      <c r="F17" s="219">
        <f>+INPUT!C30</f>
        <v>739543</v>
      </c>
      <c r="G17" s="218"/>
      <c r="H17" s="219">
        <f>+INPUT!D30</f>
        <v>407062</v>
      </c>
      <c r="I17" s="218"/>
      <c r="J17" s="219">
        <f>+INPUT!E30</f>
        <v>91643</v>
      </c>
      <c r="K17" s="218"/>
      <c r="L17" s="219">
        <f>+INPUT!F30</f>
        <v>392510</v>
      </c>
      <c r="M17" s="218"/>
      <c r="N17" s="219">
        <f>+H17-L17</f>
        <v>14552</v>
      </c>
      <c r="O17" s="203"/>
    </row>
    <row r="18" spans="2:15" ht="14.25">
      <c r="B18" s="152" t="s">
        <v>242</v>
      </c>
      <c r="D18" s="217">
        <f>SUM(D11:D17)</f>
        <v>2108551</v>
      </c>
      <c r="E18" s="217"/>
      <c r="F18" s="217">
        <f>SUM(F11:F17)</f>
        <v>76874872</v>
      </c>
      <c r="G18" s="217"/>
      <c r="H18" s="217">
        <f>SUM(H11:H17)</f>
        <v>62602495</v>
      </c>
      <c r="I18" s="217"/>
      <c r="J18" s="217">
        <f>SUM(J11:J17)</f>
        <v>6653199</v>
      </c>
      <c r="K18" s="217"/>
      <c r="L18" s="217">
        <f>SUM(L11:L17)</f>
        <v>59736481</v>
      </c>
      <c r="M18" s="217"/>
      <c r="N18" s="217">
        <f>SUM(N11:N17)</f>
        <v>2866014</v>
      </c>
      <c r="O18" s="203"/>
    </row>
    <row r="19" spans="2:15" ht="12.75" hidden="1">
      <c r="B19" s="146" t="s">
        <v>243</v>
      </c>
      <c r="D19" s="219">
        <v>0</v>
      </c>
      <c r="E19" s="217"/>
      <c r="F19" s="219">
        <v>0</v>
      </c>
      <c r="G19" s="217"/>
      <c r="H19" s="219">
        <f>+F19</f>
        <v>0</v>
      </c>
      <c r="I19" s="217"/>
      <c r="J19" s="219">
        <v>0</v>
      </c>
      <c r="K19" s="217"/>
      <c r="L19" s="219">
        <f>+F19</f>
        <v>0</v>
      </c>
      <c r="M19" s="217"/>
      <c r="N19" s="219">
        <v>0</v>
      </c>
      <c r="O19" s="203"/>
    </row>
    <row r="20" spans="2:14" ht="14.25" hidden="1">
      <c r="B20" s="152" t="s">
        <v>1642</v>
      </c>
      <c r="D20" s="217">
        <f>+D18+D19</f>
        <v>2108551</v>
      </c>
      <c r="E20" s="220"/>
      <c r="F20" s="217">
        <f>+F18+F19</f>
        <v>76874872</v>
      </c>
      <c r="G20" s="220"/>
      <c r="H20" s="217">
        <f>+H18+H19</f>
        <v>62602495</v>
      </c>
      <c r="I20" s="220"/>
      <c r="J20" s="217">
        <f>+J18+J19</f>
        <v>6653199</v>
      </c>
      <c r="K20" s="220"/>
      <c r="L20" s="217">
        <f>+L18+L19</f>
        <v>59736481</v>
      </c>
      <c r="M20" s="220"/>
      <c r="N20" s="217">
        <f>+N18+N19</f>
        <v>2866014</v>
      </c>
    </row>
    <row r="21" spans="2:14" ht="14.25">
      <c r="B21" s="146" t="s">
        <v>244</v>
      </c>
      <c r="D21" s="221"/>
      <c r="E21" s="217"/>
      <c r="F21" s="222">
        <f>+J21+L21+N21</f>
        <v>31.268</v>
      </c>
      <c r="G21" s="222"/>
      <c r="H21" s="222">
        <f>+L21+N21</f>
        <v>29.689999999999998</v>
      </c>
      <c r="I21" s="222"/>
      <c r="J21" s="222">
        <f>INT(J18/2/D18*1000+0.5)/1000</f>
        <v>1.578</v>
      </c>
      <c r="K21" s="222"/>
      <c r="L21" s="222">
        <f>INT(L20/D20*1000+0.5)/1000</f>
        <v>28.331</v>
      </c>
      <c r="M21" s="222"/>
      <c r="N21" s="222">
        <f>INT(N18/D18*1000+0.5)/1000</f>
        <v>1.359</v>
      </c>
    </row>
    <row r="22" spans="4:14" ht="14.25">
      <c r="D22" s="221"/>
      <c r="E22" s="217"/>
      <c r="F22" s="221"/>
      <c r="G22" s="217"/>
      <c r="H22" s="221"/>
      <c r="I22" s="217"/>
      <c r="J22" s="217"/>
      <c r="K22" s="217"/>
      <c r="L22" s="217"/>
      <c r="M22" s="217"/>
      <c r="N22" s="217"/>
    </row>
    <row r="23" spans="2:14" ht="14.25">
      <c r="B23" s="216" t="s">
        <v>177</v>
      </c>
      <c r="D23" s="221"/>
      <c r="E23" s="217"/>
      <c r="F23" s="221"/>
      <c r="G23" s="217"/>
      <c r="H23" s="221"/>
      <c r="I23" s="217"/>
      <c r="J23" s="217"/>
      <c r="K23" s="217"/>
      <c r="L23" s="217"/>
      <c r="M23" s="217"/>
      <c r="N23" s="217"/>
    </row>
    <row r="24" spans="2:14" ht="12.75">
      <c r="B24" s="146" t="s">
        <v>245</v>
      </c>
      <c r="D24" s="217">
        <f>+INPUT!B33</f>
        <v>535188</v>
      </c>
      <c r="E24" s="217"/>
      <c r="F24" s="217">
        <f>+INPUT!C33</f>
        <v>18398596</v>
      </c>
      <c r="G24" s="217"/>
      <c r="H24" s="217">
        <f>+INPUT!D33</f>
        <v>16015259</v>
      </c>
      <c r="I24" s="217"/>
      <c r="J24" s="217">
        <f>+INPUT!E33</f>
        <v>1221863</v>
      </c>
      <c r="K24" s="217"/>
      <c r="L24" s="217">
        <f>+INPUT!F33</f>
        <v>15760763</v>
      </c>
      <c r="M24" s="217"/>
      <c r="N24" s="217">
        <f>+H24-L24</f>
        <v>254496</v>
      </c>
    </row>
    <row r="25" spans="2:14" ht="12.75">
      <c r="B25" s="146" t="s">
        <v>246</v>
      </c>
      <c r="D25" s="217">
        <f>+INPUT!B34</f>
        <v>129409</v>
      </c>
      <c r="E25" s="217"/>
      <c r="F25" s="217">
        <f>+INPUT!C34</f>
        <v>3131979</v>
      </c>
      <c r="G25" s="217"/>
      <c r="H25" s="217">
        <f>+INPUT!D34</f>
        <v>2887163</v>
      </c>
      <c r="I25" s="217"/>
      <c r="J25" s="217">
        <f>+INPUT!E34</f>
        <v>127886</v>
      </c>
      <c r="K25" s="217"/>
      <c r="L25" s="217">
        <f>+INPUT!F34</f>
        <v>2804875</v>
      </c>
      <c r="M25" s="217"/>
      <c r="N25" s="217">
        <f>+H25-L25</f>
        <v>82288</v>
      </c>
    </row>
    <row r="26" spans="2:14" ht="12.75">
      <c r="B26" s="146" t="s">
        <v>247</v>
      </c>
      <c r="D26" s="219">
        <f>+INPUT!B35</f>
        <v>125461</v>
      </c>
      <c r="E26" s="217"/>
      <c r="F26" s="219">
        <f>+INPUT!C35</f>
        <v>4241033</v>
      </c>
      <c r="G26" s="217"/>
      <c r="H26" s="219">
        <f>+INPUT!D35</f>
        <v>2792580</v>
      </c>
      <c r="I26" s="217"/>
      <c r="J26" s="219">
        <f>+INPUT!E35</f>
        <v>106231</v>
      </c>
      <c r="K26" s="217"/>
      <c r="L26" s="219">
        <f>+INPUT!F35</f>
        <v>2712916</v>
      </c>
      <c r="M26" s="217"/>
      <c r="N26" s="219">
        <f>+H26-L26</f>
        <v>79664</v>
      </c>
    </row>
    <row r="27" spans="2:14" ht="14.25" hidden="1">
      <c r="B27" s="152" t="s">
        <v>242</v>
      </c>
      <c r="D27" s="217">
        <f>SUM(D24:D26)</f>
        <v>790058</v>
      </c>
      <c r="E27" s="217"/>
      <c r="F27" s="217">
        <f>SUM(F24:F26)</f>
        <v>25771608</v>
      </c>
      <c r="G27" s="217"/>
      <c r="H27" s="217">
        <f>SUM(H24:H26)</f>
        <v>21695002</v>
      </c>
      <c r="I27" s="217"/>
      <c r="J27" s="217">
        <f>SUM(J24:J26)</f>
        <v>1455980</v>
      </c>
      <c r="K27" s="217"/>
      <c r="L27" s="217">
        <f>SUM(L24:L26)</f>
        <v>21278554</v>
      </c>
      <c r="M27" s="217"/>
      <c r="N27" s="217">
        <f>SUM(N24:N26)</f>
        <v>416448</v>
      </c>
    </row>
    <row r="28" spans="2:14" ht="12.75" hidden="1">
      <c r="B28" s="146" t="s">
        <v>248</v>
      </c>
      <c r="D28" s="219">
        <v>0</v>
      </c>
      <c r="E28" s="217"/>
      <c r="F28" s="219"/>
      <c r="G28" s="217"/>
      <c r="H28" s="219">
        <v>0</v>
      </c>
      <c r="I28" s="217"/>
      <c r="J28" s="219">
        <f>+F28</f>
        <v>0</v>
      </c>
      <c r="K28" s="217"/>
      <c r="L28" s="219">
        <v>0</v>
      </c>
      <c r="M28" s="217"/>
      <c r="N28" s="219">
        <v>0</v>
      </c>
    </row>
    <row r="29" spans="2:14" ht="14.25" hidden="1">
      <c r="B29" s="152" t="s">
        <v>1642</v>
      </c>
      <c r="D29" s="217">
        <f>+D27+D28</f>
        <v>790058</v>
      </c>
      <c r="E29" s="217"/>
      <c r="F29" s="217">
        <f>+F27+F28</f>
        <v>25771608</v>
      </c>
      <c r="G29" s="217"/>
      <c r="H29" s="217">
        <f>+H27+H28</f>
        <v>21695002</v>
      </c>
      <c r="I29" s="217"/>
      <c r="J29" s="217">
        <f>+J27+J28</f>
        <v>1455980</v>
      </c>
      <c r="K29" s="217"/>
      <c r="L29" s="217">
        <f>+L27+L28</f>
        <v>21278554</v>
      </c>
      <c r="M29" s="217"/>
      <c r="N29" s="217">
        <f>+N27+N28</f>
        <v>416448</v>
      </c>
    </row>
    <row r="30" spans="2:14" ht="12.75" hidden="1">
      <c r="B30" s="146" t="s">
        <v>243</v>
      </c>
      <c r="D30" s="219">
        <v>0</v>
      </c>
      <c r="E30" s="217"/>
      <c r="F30" s="219">
        <v>0</v>
      </c>
      <c r="G30" s="217"/>
      <c r="H30" s="219">
        <f>+F30</f>
        <v>0</v>
      </c>
      <c r="I30" s="217"/>
      <c r="J30" s="219">
        <v>0</v>
      </c>
      <c r="K30" s="217"/>
      <c r="L30" s="219">
        <f>+F30</f>
        <v>0</v>
      </c>
      <c r="M30" s="217"/>
      <c r="N30" s="219">
        <v>0</v>
      </c>
    </row>
    <row r="31" spans="2:14" ht="14.25">
      <c r="B31" s="152" t="s">
        <v>1642</v>
      </c>
      <c r="D31" s="217">
        <f>+D29+D30</f>
        <v>790058</v>
      </c>
      <c r="E31" s="220"/>
      <c r="F31" s="217">
        <f>+F29+F30</f>
        <v>25771608</v>
      </c>
      <c r="G31" s="220"/>
      <c r="H31" s="217">
        <f>+H29+H30</f>
        <v>21695002</v>
      </c>
      <c r="I31" s="220"/>
      <c r="J31" s="217">
        <f>+J29+J30</f>
        <v>1455980</v>
      </c>
      <c r="K31" s="220"/>
      <c r="L31" s="217">
        <f>+L29+L30</f>
        <v>21278554</v>
      </c>
      <c r="M31" s="220"/>
      <c r="N31" s="217">
        <f>+N29+N30</f>
        <v>416448</v>
      </c>
    </row>
    <row r="32" spans="2:14" ht="12.75">
      <c r="B32" s="146" t="s">
        <v>244</v>
      </c>
      <c r="F32" s="222">
        <f>+J32+L32+N32</f>
        <v>28.381</v>
      </c>
      <c r="G32" s="222"/>
      <c r="H32" s="222">
        <f>+L32+N32</f>
        <v>27.46</v>
      </c>
      <c r="I32" s="222"/>
      <c r="J32" s="222">
        <f>INT(J29/2/D29*1000+0.5)/1000</f>
        <v>0.921</v>
      </c>
      <c r="K32" s="222"/>
      <c r="L32" s="222">
        <f>INT(L31/D31*1000+0.5)/1000</f>
        <v>26.933</v>
      </c>
      <c r="M32" s="222"/>
      <c r="N32" s="222">
        <f>INT(N29/D29*1000+0.5)/1000</f>
        <v>0.527</v>
      </c>
    </row>
    <row r="34" ht="14.25">
      <c r="B34" s="216" t="s">
        <v>178</v>
      </c>
    </row>
    <row r="35" spans="2:14" ht="12.75">
      <c r="B35" s="146" t="s">
        <v>249</v>
      </c>
      <c r="D35" s="156">
        <f>+INPUT!B38</f>
        <v>85938</v>
      </c>
      <c r="H35" s="156">
        <f>+INPUT!D38</f>
        <v>3312704</v>
      </c>
      <c r="L35" s="156">
        <f>+INPUT!F38</f>
        <v>3131155</v>
      </c>
      <c r="N35" s="217">
        <f aca="true" t="shared" si="1" ref="N35:N41">+H35-L35</f>
        <v>181549</v>
      </c>
    </row>
    <row r="36" spans="2:14" ht="12.75">
      <c r="B36" s="146" t="s">
        <v>113</v>
      </c>
      <c r="D36" s="161">
        <f>+INPUT!B39</f>
        <v>276209</v>
      </c>
      <c r="H36" s="161">
        <f>+INPUT!D39</f>
        <v>7770367</v>
      </c>
      <c r="L36" s="161">
        <f>+INPUT!F39</f>
        <v>7154992</v>
      </c>
      <c r="N36" s="217">
        <f t="shared" si="1"/>
        <v>615375</v>
      </c>
    </row>
    <row r="37" spans="2:14" ht="14.25">
      <c r="B37" s="152" t="s">
        <v>250</v>
      </c>
      <c r="D37" s="156">
        <f>SUM(D35:D36)</f>
        <v>362147</v>
      </c>
      <c r="F37" s="156">
        <f>+INPUT!C40</f>
        <v>13930875</v>
      </c>
      <c r="H37" s="156">
        <f>SUM(H35:H36)</f>
        <v>11083071</v>
      </c>
      <c r="J37" s="156">
        <f>+INPUT!E40</f>
        <v>1681302</v>
      </c>
      <c r="L37" s="156">
        <f>SUM(L35:L36)</f>
        <v>10286147</v>
      </c>
      <c r="N37" s="217">
        <f t="shared" si="1"/>
        <v>796924</v>
      </c>
    </row>
    <row r="38" spans="2:14" ht="12.75">
      <c r="B38" s="146" t="s">
        <v>590</v>
      </c>
      <c r="D38" s="156">
        <f>+INPUT!B41</f>
        <v>431259</v>
      </c>
      <c r="F38" s="156">
        <f>+INPUT!C41</f>
        <v>10475874</v>
      </c>
      <c r="H38" s="156">
        <f>+INPUT!D41</f>
        <v>9623368</v>
      </c>
      <c r="J38" s="156">
        <f>+INPUT!E41</f>
        <v>432222</v>
      </c>
      <c r="L38" s="156">
        <f>+INPUT!F41</f>
        <v>9348863</v>
      </c>
      <c r="N38" s="217">
        <f t="shared" si="1"/>
        <v>274505</v>
      </c>
    </row>
    <row r="39" spans="2:14" ht="12.75">
      <c r="B39" s="146" t="s">
        <v>246</v>
      </c>
      <c r="D39" s="156">
        <f>+INPUT!B42</f>
        <v>301921</v>
      </c>
      <c r="E39" s="203"/>
      <c r="F39" s="156">
        <f>+INPUT!C42</f>
        <v>7307951</v>
      </c>
      <c r="G39" s="203"/>
      <c r="H39" s="156">
        <f>+INPUT!D42</f>
        <v>6735969</v>
      </c>
      <c r="I39" s="203"/>
      <c r="J39" s="156">
        <f>+INPUT!E42</f>
        <v>298401</v>
      </c>
      <c r="K39" s="203"/>
      <c r="L39" s="156">
        <f>+INPUT!F42</f>
        <v>6543988</v>
      </c>
      <c r="M39" s="203"/>
      <c r="N39" s="217">
        <f>+H39-L39</f>
        <v>191981</v>
      </c>
    </row>
    <row r="40" spans="2:14" ht="12.75">
      <c r="B40" s="146" t="s">
        <v>247</v>
      </c>
      <c r="D40" s="156">
        <f>+INPUT!B43</f>
        <v>292765</v>
      </c>
      <c r="F40" s="156">
        <f>+INPUT!C43</f>
        <v>9895743</v>
      </c>
      <c r="H40" s="156">
        <f>+INPUT!D43</f>
        <v>6516524</v>
      </c>
      <c r="J40" s="156">
        <f>+INPUT!E43</f>
        <v>247873</v>
      </c>
      <c r="L40" s="156">
        <f>+INPUT!F43</f>
        <v>6330629</v>
      </c>
      <c r="N40" s="217">
        <f t="shared" si="1"/>
        <v>185895</v>
      </c>
    </row>
    <row r="41" spans="2:14" ht="12.75">
      <c r="B41" s="146" t="s">
        <v>252</v>
      </c>
      <c r="D41" s="156">
        <f>+INPUT!B44</f>
        <v>247574</v>
      </c>
      <c r="F41" s="156">
        <f>+INPUT!C44</f>
        <v>8854792</v>
      </c>
      <c r="G41" s="203"/>
      <c r="H41" s="156">
        <f>+INPUT!D44</f>
        <v>5505479</v>
      </c>
      <c r="J41" s="156">
        <f>+INPUT!E44</f>
        <v>214800</v>
      </c>
      <c r="K41" s="203"/>
      <c r="L41" s="156">
        <f>+INPUT!F44</f>
        <v>5348291</v>
      </c>
      <c r="N41" s="217">
        <f t="shared" si="1"/>
        <v>157188</v>
      </c>
    </row>
    <row r="42" spans="2:14" ht="12.75">
      <c r="B42" s="146" t="s">
        <v>1594</v>
      </c>
      <c r="D42" s="161">
        <f>+INPUT!B45</f>
        <v>744726</v>
      </c>
      <c r="E42" s="162"/>
      <c r="F42" s="161">
        <f>+INPUT!C45</f>
        <v>16758082</v>
      </c>
      <c r="G42" s="162"/>
      <c r="H42" s="161">
        <f>+INPUT!D45</f>
        <v>5497239</v>
      </c>
      <c r="I42" s="162"/>
      <c r="J42" s="161">
        <f>+INPUT!E45</f>
        <v>8392281</v>
      </c>
      <c r="K42" s="162"/>
      <c r="L42" s="161">
        <f>+INPUT!F45</f>
        <v>5497239</v>
      </c>
      <c r="M42" s="162"/>
      <c r="N42" s="161">
        <v>0</v>
      </c>
    </row>
    <row r="43" spans="2:14" ht="14.25" hidden="1">
      <c r="B43" s="152" t="s">
        <v>242</v>
      </c>
      <c r="D43" s="156">
        <f>SUM(D37:D42)</f>
        <v>2380392</v>
      </c>
      <c r="F43" s="156">
        <f>SUM(F37:F42)</f>
        <v>67223317</v>
      </c>
      <c r="H43" s="156">
        <f>SUM(H37:H42)</f>
        <v>44961650</v>
      </c>
      <c r="J43" s="156">
        <f>SUM(J37:J42)</f>
        <v>11266879</v>
      </c>
      <c r="L43" s="156">
        <f>SUM(L37:L42)</f>
        <v>43355157</v>
      </c>
      <c r="N43" s="217">
        <f>+H43-L43</f>
        <v>1606493</v>
      </c>
    </row>
    <row r="44" spans="2:14" ht="12.75" hidden="1">
      <c r="B44" s="146" t="s">
        <v>243</v>
      </c>
      <c r="D44" s="161">
        <v>0</v>
      </c>
      <c r="F44" s="161">
        <v>0</v>
      </c>
      <c r="H44" s="161">
        <f>+F44</f>
        <v>0</v>
      </c>
      <c r="J44" s="161">
        <v>0</v>
      </c>
      <c r="L44" s="161">
        <f>+F44</f>
        <v>0</v>
      </c>
      <c r="N44" s="161">
        <v>0</v>
      </c>
    </row>
    <row r="45" spans="2:14" ht="14.25">
      <c r="B45" s="152" t="s">
        <v>1642</v>
      </c>
      <c r="D45" s="156">
        <f>SUM(D43+D44)</f>
        <v>2380392</v>
      </c>
      <c r="E45" s="220"/>
      <c r="F45" s="156">
        <f>+F43+F44</f>
        <v>67223317</v>
      </c>
      <c r="G45" s="220"/>
      <c r="H45" s="156">
        <f>+H43+H44</f>
        <v>44961650</v>
      </c>
      <c r="I45" s="220"/>
      <c r="J45" s="156">
        <f>+J43+J44</f>
        <v>11266879</v>
      </c>
      <c r="K45" s="220"/>
      <c r="L45" s="156">
        <f>+L43+L44</f>
        <v>43355157</v>
      </c>
      <c r="M45" s="220"/>
      <c r="N45" s="156">
        <f>+N43+N44</f>
        <v>1606493</v>
      </c>
    </row>
    <row r="46" spans="2:14" ht="12.75">
      <c r="B46" s="146" t="s">
        <v>244</v>
      </c>
      <c r="F46" s="474">
        <f>+J46+L46+N46</f>
        <v>21.255000000000003</v>
      </c>
      <c r="G46" s="474"/>
      <c r="H46" s="474">
        <f>+L46+N46</f>
        <v>18.888</v>
      </c>
      <c r="I46" s="474"/>
      <c r="J46" s="474">
        <f>INT(J43/2/D43*1000+0.5)/1000</f>
        <v>2.367</v>
      </c>
      <c r="K46" s="474"/>
      <c r="L46" s="474">
        <f>INT(L45/D45*1000+0.5)/1000</f>
        <v>18.213</v>
      </c>
      <c r="M46" s="474"/>
      <c r="N46" s="474">
        <f>INT(N43/D43*1000+0.5)/1000</f>
        <v>0.675</v>
      </c>
    </row>
    <row r="48" ht="14.25">
      <c r="B48" s="216" t="s">
        <v>182</v>
      </c>
    </row>
    <row r="49" spans="2:14" ht="12.75">
      <c r="B49" s="146" t="s">
        <v>253</v>
      </c>
      <c r="D49" s="156">
        <f>+INPUT!B48</f>
        <v>87779</v>
      </c>
      <c r="F49" s="156">
        <f>+INPUT!C48</f>
        <v>4807413</v>
      </c>
      <c r="H49" s="156">
        <f>+INPUT!D48</f>
        <v>3256789</v>
      </c>
      <c r="J49" s="156">
        <f>+INPUT!E48</f>
        <v>913817</v>
      </c>
      <c r="L49" s="156">
        <f>+INPUT!F48</f>
        <v>3107947</v>
      </c>
      <c r="N49" s="217">
        <f aca="true" t="shared" si="2" ref="N49:N56">+H49-L49</f>
        <v>148842</v>
      </c>
    </row>
    <row r="50" spans="2:14" ht="12.75">
      <c r="B50" s="146" t="s">
        <v>254</v>
      </c>
      <c r="D50" s="156">
        <f>+INPUT!B49</f>
        <v>641363</v>
      </c>
      <c r="F50" s="156">
        <f>+INPUT!C49</f>
        <v>20312754</v>
      </c>
      <c r="H50" s="156">
        <f>+INPUT!D49</f>
        <v>17115442</v>
      </c>
      <c r="J50" s="156">
        <f>+INPUT!E49</f>
        <v>1538707</v>
      </c>
      <c r="L50" s="156">
        <f>+INPUT!F49</f>
        <v>16791008</v>
      </c>
      <c r="N50" s="217">
        <f t="shared" si="2"/>
        <v>324434</v>
      </c>
    </row>
    <row r="51" spans="2:14" ht="12.75">
      <c r="B51" s="146" t="s">
        <v>256</v>
      </c>
      <c r="D51" s="156">
        <f>+INPUT!B50</f>
        <v>115137</v>
      </c>
      <c r="F51" s="156">
        <f>+INPUT!C50</f>
        <v>7292490</v>
      </c>
      <c r="H51" s="156">
        <f>+INPUT!D50</f>
        <v>5533508</v>
      </c>
      <c r="J51" s="156">
        <f>+INPUT!E50</f>
        <v>1244377</v>
      </c>
      <c r="L51" s="156">
        <f>+INPUT!F50</f>
        <v>5373085</v>
      </c>
      <c r="N51" s="217">
        <f t="shared" si="2"/>
        <v>160423</v>
      </c>
    </row>
    <row r="52" spans="2:14" ht="12.75">
      <c r="B52" s="146" t="s">
        <v>262</v>
      </c>
      <c r="D52" s="156">
        <f>+INPUT!B51</f>
        <v>442567</v>
      </c>
      <c r="F52" s="156">
        <f>+INPUT!C51</f>
        <v>14451493</v>
      </c>
      <c r="H52" s="156">
        <f>+INPUT!D51</f>
        <v>10259956</v>
      </c>
      <c r="J52" s="156">
        <f>+INPUT!E51</f>
        <v>2730977</v>
      </c>
      <c r="L52" s="156">
        <f>+INPUT!F51</f>
        <v>9726333</v>
      </c>
      <c r="N52" s="217">
        <f t="shared" si="2"/>
        <v>533623</v>
      </c>
    </row>
    <row r="53" spans="2:14" ht="12.75">
      <c r="B53" s="146" t="s">
        <v>267</v>
      </c>
      <c r="D53" s="156">
        <f>+INPUT!B52</f>
        <v>882083</v>
      </c>
      <c r="F53" s="156">
        <f>+INPUT!C52</f>
        <v>24525411</v>
      </c>
      <c r="H53" s="156">
        <f>+INPUT!D52</f>
        <v>20300696</v>
      </c>
      <c r="J53" s="156">
        <f>+INPUT!E52</f>
        <v>1436414</v>
      </c>
      <c r="L53" s="156">
        <f>+INPUT!F52</f>
        <v>19689239</v>
      </c>
      <c r="N53" s="217">
        <f t="shared" si="2"/>
        <v>611457</v>
      </c>
    </row>
    <row r="54" spans="2:14" ht="12.75">
      <c r="B54" s="146" t="s">
        <v>268</v>
      </c>
      <c r="D54" s="156">
        <f>+INPUT!B53</f>
        <v>0</v>
      </c>
      <c r="F54" s="156">
        <f>+INPUT!C53</f>
        <v>25036</v>
      </c>
      <c r="H54" s="156">
        <f>+INPUT!D53</f>
        <v>-191634</v>
      </c>
      <c r="I54" s="223"/>
      <c r="J54" s="156">
        <f>+INPUT!E53</f>
        <v>1188248</v>
      </c>
      <c r="L54" s="156">
        <f>+INPUT!F53</f>
        <v>-214394</v>
      </c>
      <c r="N54" s="217">
        <f t="shared" si="2"/>
        <v>22760</v>
      </c>
    </row>
    <row r="55" spans="2:14" ht="12.75">
      <c r="B55" s="146" t="s">
        <v>269</v>
      </c>
      <c r="D55" s="161">
        <f>+INPUT!B54</f>
        <v>1717086</v>
      </c>
      <c r="F55" s="161">
        <f>+INPUT!C54</f>
        <v>50772460</v>
      </c>
      <c r="H55" s="161">
        <f>+INPUT!D54</f>
        <v>35904232</v>
      </c>
      <c r="J55" s="161">
        <f>+INPUT!E54</f>
        <v>2958203</v>
      </c>
      <c r="L55" s="161">
        <f>+INPUT!F54</f>
        <v>34018982</v>
      </c>
      <c r="N55" s="219">
        <f t="shared" si="2"/>
        <v>1885250</v>
      </c>
    </row>
    <row r="56" spans="2:14" ht="14.25" hidden="1">
      <c r="B56" s="152" t="s">
        <v>242</v>
      </c>
      <c r="D56" s="156">
        <f>SUM(D49:D55)</f>
        <v>3886015</v>
      </c>
      <c r="F56" s="156">
        <f>SUM(F49:F55)</f>
        <v>122187057</v>
      </c>
      <c r="H56" s="156">
        <f>SUM(H49:H55)</f>
        <v>92178989</v>
      </c>
      <c r="J56" s="156">
        <f>SUM(J49:J55)</f>
        <v>12010743</v>
      </c>
      <c r="L56" s="156">
        <f>SUM(L49:L55)</f>
        <v>88492200</v>
      </c>
      <c r="N56" s="217">
        <f t="shared" si="2"/>
        <v>3686789</v>
      </c>
    </row>
    <row r="57" spans="2:14" ht="12.75" hidden="1">
      <c r="B57" s="146" t="s">
        <v>243</v>
      </c>
      <c r="D57" s="161">
        <v>0</v>
      </c>
      <c r="F57" s="161">
        <v>0</v>
      </c>
      <c r="H57" s="161">
        <f>+F57</f>
        <v>0</v>
      </c>
      <c r="J57" s="161">
        <v>0</v>
      </c>
      <c r="L57" s="161">
        <f>+F57</f>
        <v>0</v>
      </c>
      <c r="N57" s="161">
        <v>0</v>
      </c>
    </row>
    <row r="58" spans="2:14" ht="14.25">
      <c r="B58" s="152" t="s">
        <v>1642</v>
      </c>
      <c r="D58" s="156">
        <f>+D56+D57</f>
        <v>3886015</v>
      </c>
      <c r="E58" s="220"/>
      <c r="F58" s="156">
        <f>+F56+F57</f>
        <v>122187057</v>
      </c>
      <c r="G58" s="220"/>
      <c r="H58" s="156">
        <f>+H56+H57</f>
        <v>92178989</v>
      </c>
      <c r="I58" s="220"/>
      <c r="J58" s="156">
        <f>+J56+J57</f>
        <v>12010743</v>
      </c>
      <c r="K58" s="220"/>
      <c r="L58" s="156">
        <f>+L56+L57</f>
        <v>88492200</v>
      </c>
      <c r="M58" s="220"/>
      <c r="N58" s="156">
        <f>+N56+N57</f>
        <v>3686789</v>
      </c>
    </row>
    <row r="59" spans="2:14" ht="12.75">
      <c r="B59" s="146" t="s">
        <v>244</v>
      </c>
      <c r="F59" s="222">
        <f>+J59+L59+N59</f>
        <v>25.266000000000002</v>
      </c>
      <c r="G59" s="222"/>
      <c r="H59" s="222">
        <f>+L59+N59</f>
        <v>23.721</v>
      </c>
      <c r="I59" s="222"/>
      <c r="J59" s="222">
        <f>INT(J56/2/D56*1000+0.5)/1000</f>
        <v>1.545</v>
      </c>
      <c r="K59" s="222"/>
      <c r="L59" s="222">
        <f>INT(L58/D58*1000+0.5)/1000</f>
        <v>22.772</v>
      </c>
      <c r="M59" s="222"/>
      <c r="N59" s="222">
        <f>INT(N56/D56*1000+0.5)/1000</f>
        <v>0.949</v>
      </c>
    </row>
    <row r="61" ht="14.25">
      <c r="B61" s="216" t="s">
        <v>183</v>
      </c>
    </row>
    <row r="62" spans="2:14" ht="12.75">
      <c r="B62" s="146" t="s">
        <v>270</v>
      </c>
      <c r="D62" s="156">
        <f>+INPUT!B57</f>
        <v>526285</v>
      </c>
      <c r="F62" s="156">
        <f>+INPUT!C57</f>
        <v>18209848</v>
      </c>
      <c r="H62" s="156">
        <f>+INPUT!D57</f>
        <v>13319787</v>
      </c>
      <c r="J62" s="156">
        <f>+INPUT!E57</f>
        <v>2306463</v>
      </c>
      <c r="L62" s="156">
        <f>+INPUT!F57</f>
        <v>12457486</v>
      </c>
      <c r="N62" s="217">
        <f aca="true" t="shared" si="3" ref="N62:N69">+H62-L62</f>
        <v>862301</v>
      </c>
    </row>
    <row r="63" spans="2:14" ht="12.75">
      <c r="B63" s="146" t="s">
        <v>271</v>
      </c>
      <c r="D63" s="156">
        <f>+INPUT!B58</f>
        <v>4807</v>
      </c>
      <c r="F63" s="156">
        <f>+INPUT!C58</f>
        <v>494671</v>
      </c>
      <c r="H63" s="156">
        <f>+INPUT!D58</f>
        <v>145517</v>
      </c>
      <c r="J63" s="156">
        <f>+INPUT!E58</f>
        <v>79794</v>
      </c>
      <c r="L63" s="156">
        <f>+INPUT!F58</f>
        <v>141970</v>
      </c>
      <c r="N63" s="217">
        <f t="shared" si="3"/>
        <v>3547</v>
      </c>
    </row>
    <row r="64" spans="2:14" ht="12.75">
      <c r="B64" s="146" t="s">
        <v>272</v>
      </c>
      <c r="D64" s="156">
        <f>+INPUT!B59</f>
        <v>23851</v>
      </c>
      <c r="F64" s="156">
        <f>+INPUT!C59</f>
        <v>446159</v>
      </c>
      <c r="H64" s="156">
        <f>+INPUT!D59</f>
        <v>369971</v>
      </c>
      <c r="J64" s="156">
        <f>+INPUT!E59</f>
        <v>40500</v>
      </c>
      <c r="L64" s="156">
        <f>+INPUT!F59</f>
        <v>341542</v>
      </c>
      <c r="N64" s="217">
        <f t="shared" si="3"/>
        <v>28429</v>
      </c>
    </row>
    <row r="65" spans="2:14" ht="12.75">
      <c r="B65" s="146" t="s">
        <v>273</v>
      </c>
      <c r="D65" s="156">
        <f>+INPUT!B60</f>
        <v>309320</v>
      </c>
      <c r="F65" s="156">
        <f>+INPUT!C60</f>
        <v>6513500</v>
      </c>
      <c r="H65" s="156">
        <f>+INPUT!D60</f>
        <v>8294896</v>
      </c>
      <c r="J65" s="156">
        <f>+INPUT!E60</f>
        <v>-910797</v>
      </c>
      <c r="L65" s="156">
        <f>+INPUT!F60</f>
        <v>8011354</v>
      </c>
      <c r="N65" s="217">
        <f t="shared" si="3"/>
        <v>283542</v>
      </c>
    </row>
    <row r="66" spans="2:14" ht="12.75">
      <c r="B66" s="146" t="s">
        <v>274</v>
      </c>
      <c r="D66" s="231">
        <f>+INPUT!B61</f>
        <v>92899</v>
      </c>
      <c r="E66" s="162"/>
      <c r="F66" s="231">
        <f>+INPUT!C61</f>
        <v>3753821</v>
      </c>
      <c r="G66" s="162"/>
      <c r="H66" s="231">
        <f>+INPUT!D61</f>
        <v>2232664</v>
      </c>
      <c r="I66" s="162"/>
      <c r="J66" s="231">
        <f>+INPUT!E61</f>
        <v>664566</v>
      </c>
      <c r="K66" s="162"/>
      <c r="L66" s="231">
        <f>+INPUT!F61</f>
        <v>2097602</v>
      </c>
      <c r="M66" s="162"/>
      <c r="N66" s="218">
        <f t="shared" si="3"/>
        <v>135062</v>
      </c>
    </row>
    <row r="67" spans="2:14" ht="12.75">
      <c r="B67" s="146" t="s">
        <v>966</v>
      </c>
      <c r="D67" s="231">
        <f>+INPUT!B62</f>
        <v>29494</v>
      </c>
      <c r="F67" s="231">
        <f>+INPUT!C62</f>
        <v>1871580</v>
      </c>
      <c r="H67" s="231">
        <f>+INPUT!D62</f>
        <v>1335890</v>
      </c>
      <c r="J67" s="231">
        <f>+INPUT!E62</f>
        <v>125652</v>
      </c>
      <c r="L67" s="231">
        <f>+INPUT!F62</f>
        <v>1326002</v>
      </c>
      <c r="N67" s="218">
        <f t="shared" si="3"/>
        <v>9888</v>
      </c>
    </row>
    <row r="68" spans="2:15" ht="12.75">
      <c r="B68" s="146" t="s">
        <v>1908</v>
      </c>
      <c r="D68" s="231">
        <f>+INPUT!B63</f>
        <v>0</v>
      </c>
      <c r="F68" s="231">
        <f>+INPUT!C63</f>
        <v>-131864</v>
      </c>
      <c r="H68" s="231">
        <f>+INPUT!D63</f>
        <v>12134</v>
      </c>
      <c r="J68" s="231">
        <f>+INPUT!E63</f>
        <v>87704</v>
      </c>
      <c r="L68" s="231">
        <f>+INPUT!F63</f>
        <v>928</v>
      </c>
      <c r="N68" s="218">
        <f t="shared" si="3"/>
        <v>11206</v>
      </c>
      <c r="O68" s="231"/>
    </row>
    <row r="69" spans="2:14" ht="12.75">
      <c r="B69" s="146" t="s">
        <v>1905</v>
      </c>
      <c r="D69" s="161">
        <f>+INPUT!B64</f>
        <v>24904</v>
      </c>
      <c r="F69" s="161">
        <f>+INPUT!C64</f>
        <v>2152204</v>
      </c>
      <c r="H69" s="161">
        <f>+INPUT!D64</f>
        <v>980909</v>
      </c>
      <c r="J69" s="161">
        <f>+INPUT!E64</f>
        <v>350193</v>
      </c>
      <c r="L69" s="161">
        <f>+INPUT!F64</f>
        <v>973773</v>
      </c>
      <c r="M69" s="231"/>
      <c r="N69" s="219">
        <f t="shared" si="3"/>
        <v>7136</v>
      </c>
    </row>
    <row r="70" spans="2:14" ht="14.25" hidden="1">
      <c r="B70" s="152" t="s">
        <v>242</v>
      </c>
      <c r="D70" s="156">
        <f>SUM(D62:D69)</f>
        <v>1011560</v>
      </c>
      <c r="F70" s="156">
        <f>SUM(F62:F69)</f>
        <v>33309919</v>
      </c>
      <c r="H70" s="156">
        <f>SUM(H62:H69)</f>
        <v>26691768</v>
      </c>
      <c r="J70" s="156">
        <f>SUM(J62:J69)</f>
        <v>2744075</v>
      </c>
      <c r="L70" s="156">
        <f>SUM(L62:L69)</f>
        <v>25350657</v>
      </c>
      <c r="N70" s="156">
        <f>SUM(N62:N69)</f>
        <v>1341111</v>
      </c>
    </row>
    <row r="71" spans="2:14" ht="12.75" hidden="1">
      <c r="B71" s="146" t="s">
        <v>243</v>
      </c>
      <c r="D71" s="161">
        <v>0</v>
      </c>
      <c r="F71" s="161">
        <v>0</v>
      </c>
      <c r="H71" s="161">
        <f>+F71</f>
        <v>0</v>
      </c>
      <c r="J71" s="161">
        <v>0</v>
      </c>
      <c r="L71" s="161">
        <f>+F71</f>
        <v>0</v>
      </c>
      <c r="N71" s="161">
        <v>0</v>
      </c>
    </row>
    <row r="72" spans="2:14" ht="14.25">
      <c r="B72" s="152" t="s">
        <v>1642</v>
      </c>
      <c r="D72" s="156">
        <f>+D70+D71</f>
        <v>1011560</v>
      </c>
      <c r="E72" s="220"/>
      <c r="F72" s="156">
        <f>+F70+F71</f>
        <v>33309919</v>
      </c>
      <c r="G72" s="220"/>
      <c r="H72" s="156">
        <f>+H70+H71</f>
        <v>26691768</v>
      </c>
      <c r="I72" s="220"/>
      <c r="J72" s="156">
        <f>+J70+J71</f>
        <v>2744075</v>
      </c>
      <c r="K72" s="220"/>
      <c r="L72" s="156">
        <f>+L70+L71</f>
        <v>25350657</v>
      </c>
      <c r="M72" s="220"/>
      <c r="N72" s="156">
        <f>+N70+N71</f>
        <v>1341111</v>
      </c>
    </row>
    <row r="73" spans="2:14" ht="12.75">
      <c r="B73" s="146" t="s">
        <v>244</v>
      </c>
      <c r="F73" s="222">
        <f>+J73+L73+N73</f>
        <v>27.743000000000002</v>
      </c>
      <c r="G73" s="222"/>
      <c r="H73" s="222">
        <f>+L73+N73</f>
        <v>26.387</v>
      </c>
      <c r="I73" s="222"/>
      <c r="J73" s="222">
        <f>INT(J70/2/D70*1000+0.5)/1000</f>
        <v>1.356</v>
      </c>
      <c r="K73" s="222"/>
      <c r="L73" s="222">
        <f>INT(L72/D72*1000+0.5)/1000</f>
        <v>25.061</v>
      </c>
      <c r="M73" s="222"/>
      <c r="N73" s="222">
        <f>INT(N70/D70*1000+0.5)/1000</f>
        <v>1.326</v>
      </c>
    </row>
    <row r="75" spans="2:14" ht="12.75" hidden="1">
      <c r="B75" s="146" t="s">
        <v>275</v>
      </c>
      <c r="D75" s="156">
        <f>+D18+D27+D43+D56+D70</f>
        <v>10176576</v>
      </c>
      <c r="F75" s="156">
        <f>+F18+F29+F43+F56+F70</f>
        <v>325366773</v>
      </c>
      <c r="H75" s="156">
        <f>+H18+H27+H43+H56+H70</f>
        <v>248129904</v>
      </c>
      <c r="J75" s="156">
        <f>+J18+J29+J43+J56+J70</f>
        <v>34130876</v>
      </c>
      <c r="L75" s="156">
        <f>+L18+L27+L43+L56+L70</f>
        <v>238213049</v>
      </c>
      <c r="N75" s="156">
        <f>+N18+N27+N43+N56+N70</f>
        <v>9916855</v>
      </c>
    </row>
    <row r="76" spans="2:14" ht="12.75">
      <c r="B76" s="146" t="s">
        <v>275</v>
      </c>
      <c r="D76" s="156">
        <f>+D20+D31+D45+D58+D72</f>
        <v>10176576</v>
      </c>
      <c r="E76" s="220"/>
      <c r="F76" s="156">
        <f>+F20+F31+F45+F58+F72</f>
        <v>325366773</v>
      </c>
      <c r="G76" s="220"/>
      <c r="H76" s="156">
        <f>+H20+H31+H45+H58+H72</f>
        <v>248129904</v>
      </c>
      <c r="I76" s="220"/>
      <c r="J76" s="156">
        <f>+J20+J31+J45+J58+J72</f>
        <v>34130876</v>
      </c>
      <c r="K76" s="220"/>
      <c r="L76" s="156">
        <f>+L20+L31+L45+L58+L72</f>
        <v>238213049</v>
      </c>
      <c r="M76" s="220"/>
      <c r="N76" s="156">
        <f>+N20+N31+N45+N58+N72</f>
        <v>9916855</v>
      </c>
    </row>
  </sheetData>
  <printOptions horizontalCentered="1"/>
  <pageMargins left="0" right="0" top="0" bottom="0" header="0" footer="0"/>
  <pageSetup fitToHeight="1" fitToWidth="1"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N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8" customWidth="1"/>
    <col min="2" max="2" width="12.140625" style="8" customWidth="1"/>
    <col min="3" max="3" width="1.7109375" style="8" customWidth="1"/>
    <col min="4" max="4" width="13.7109375" style="8" customWidth="1"/>
    <col min="5" max="5" width="1.7109375" style="8" customWidth="1"/>
    <col min="6" max="6" width="17.7109375" style="8" customWidth="1"/>
    <col min="7" max="7" width="2.7109375" style="8" customWidth="1"/>
    <col min="8" max="8" width="17.7109375" style="8" customWidth="1"/>
    <col min="9" max="9" width="1.7109375" style="8" customWidth="1"/>
    <col min="10" max="10" width="15.8515625" style="8" customWidth="1"/>
    <col min="11" max="11" width="3.421875" style="8" customWidth="1"/>
    <col min="12" max="12" width="15.8515625" style="8" customWidth="1"/>
    <col min="13" max="16384" width="9.140625" style="8" customWidth="1"/>
  </cols>
  <sheetData>
    <row r="1" spans="2:12" ht="16.5">
      <c r="B1" s="145" t="s">
        <v>1729</v>
      </c>
      <c r="C1" s="137" t="str">
        <f>INPUT!C1</f>
        <v>February 2009</v>
      </c>
      <c r="L1" s="136" t="s">
        <v>276</v>
      </c>
    </row>
    <row r="2" ht="16.5">
      <c r="G2" s="136" t="s">
        <v>277</v>
      </c>
    </row>
    <row r="3" ht="16.5">
      <c r="G3" s="170" t="s">
        <v>278</v>
      </c>
    </row>
    <row r="4" ht="15">
      <c r="F4" s="174"/>
    </row>
    <row r="5" spans="2:6" ht="16.5">
      <c r="B5" s="145" t="s">
        <v>279</v>
      </c>
      <c r="F5" s="174"/>
    </row>
    <row r="7" spans="4:12" ht="16.5">
      <c r="D7" s="142" t="s">
        <v>1731</v>
      </c>
      <c r="F7" s="142" t="s">
        <v>1731</v>
      </c>
      <c r="H7" s="142" t="s">
        <v>1731</v>
      </c>
      <c r="L7" s="142" t="s">
        <v>1731</v>
      </c>
    </row>
    <row r="8" spans="4:12" ht="16.5">
      <c r="D8" s="136" t="s">
        <v>90</v>
      </c>
      <c r="F8" s="136" t="s">
        <v>91</v>
      </c>
      <c r="H8" s="136" t="s">
        <v>91</v>
      </c>
      <c r="J8" s="136" t="s">
        <v>1529</v>
      </c>
      <c r="L8" s="136" t="s">
        <v>92</v>
      </c>
    </row>
    <row r="9" spans="4:12" ht="16.5">
      <c r="D9" s="136" t="s">
        <v>1558</v>
      </c>
      <c r="F9" s="136" t="s">
        <v>53</v>
      </c>
      <c r="H9" s="136" t="s">
        <v>53</v>
      </c>
      <c r="J9" s="136" t="s">
        <v>1562</v>
      </c>
      <c r="L9" s="136" t="s">
        <v>1562</v>
      </c>
    </row>
    <row r="10" spans="2:12" ht="16.5">
      <c r="B10" s="139" t="s">
        <v>280</v>
      </c>
      <c r="D10" s="139" t="s">
        <v>281</v>
      </c>
      <c r="F10" s="139" t="s">
        <v>282</v>
      </c>
      <c r="H10" s="139" t="s">
        <v>234</v>
      </c>
      <c r="J10" s="139" t="s">
        <v>53</v>
      </c>
      <c r="L10" s="139" t="s">
        <v>53</v>
      </c>
    </row>
    <row r="11" spans="4:12" ht="15">
      <c r="D11" s="173" t="s">
        <v>1777</v>
      </c>
      <c r="F11" s="173" t="s">
        <v>1778</v>
      </c>
      <c r="H11" s="173" t="s">
        <v>1779</v>
      </c>
      <c r="J11" s="173" t="s">
        <v>1780</v>
      </c>
      <c r="L11" s="173" t="s">
        <v>1782</v>
      </c>
    </row>
    <row r="13" spans="2:12" ht="15">
      <c r="B13" s="8" t="s">
        <v>1532</v>
      </c>
      <c r="D13" s="115">
        <f>+APPIV!F20</f>
        <v>76874872</v>
      </c>
      <c r="E13" s="193"/>
      <c r="F13" s="115">
        <f>+APPIV!L20</f>
        <v>59736481</v>
      </c>
      <c r="G13" s="193"/>
      <c r="H13" s="115">
        <f>+APPIV!N20</f>
        <v>2866014</v>
      </c>
      <c r="I13" s="115"/>
      <c r="J13" s="115">
        <f>+APPIV!J20</f>
        <v>6653199</v>
      </c>
      <c r="L13" s="115">
        <f>ROUND(J13/2,0)</f>
        <v>3326600</v>
      </c>
    </row>
    <row r="14" spans="2:12" ht="15">
      <c r="B14" s="8" t="s">
        <v>1533</v>
      </c>
      <c r="D14" s="115">
        <f>+APPIV!F31</f>
        <v>25771608</v>
      </c>
      <c r="E14" s="193"/>
      <c r="F14" s="115">
        <f>+APPIV!L31</f>
        <v>21278554</v>
      </c>
      <c r="G14" s="193"/>
      <c r="H14" s="115">
        <f>+APPIV!N31</f>
        <v>416448</v>
      </c>
      <c r="I14" s="115"/>
      <c r="J14" s="115">
        <f>+APPIV!J31</f>
        <v>1455980</v>
      </c>
      <c r="L14" s="115">
        <f>ROUND(J14/2,0)</f>
        <v>727990</v>
      </c>
    </row>
    <row r="15" spans="2:12" ht="15">
      <c r="B15" s="8" t="s">
        <v>1534</v>
      </c>
      <c r="D15" s="115">
        <f>+APPIV!F45</f>
        <v>67223317</v>
      </c>
      <c r="E15" s="193"/>
      <c r="F15" s="115">
        <f>+APPIV!L45</f>
        <v>43355157</v>
      </c>
      <c r="G15" s="193"/>
      <c r="H15" s="115">
        <f>+APPIV!N45</f>
        <v>1606493</v>
      </c>
      <c r="I15" s="115"/>
      <c r="J15" s="115">
        <f>+APPIV!J45</f>
        <v>11266879</v>
      </c>
      <c r="L15" s="115">
        <f>ROUND(J15/2,0)</f>
        <v>5633440</v>
      </c>
    </row>
    <row r="16" spans="2:12" ht="15">
      <c r="B16" s="8" t="s">
        <v>1536</v>
      </c>
      <c r="D16" s="115">
        <f>+APPIV!F58</f>
        <v>122187057</v>
      </c>
      <c r="E16" s="193"/>
      <c r="F16" s="115">
        <f>+APPIV!L58</f>
        <v>88492200</v>
      </c>
      <c r="G16" s="193"/>
      <c r="H16" s="115">
        <f>+APPIV!N58</f>
        <v>3686789</v>
      </c>
      <c r="I16" s="115"/>
      <c r="J16" s="115">
        <f>+APPIV!J58</f>
        <v>12010743</v>
      </c>
      <c r="L16" s="115">
        <f>ROUND(J16/2,0)</f>
        <v>6005372</v>
      </c>
    </row>
    <row r="17" spans="2:12" ht="15">
      <c r="B17" s="8" t="s">
        <v>1537</v>
      </c>
      <c r="D17" s="144">
        <f>+APPIV!F72</f>
        <v>33309919</v>
      </c>
      <c r="E17" s="193"/>
      <c r="F17" s="144">
        <f>+APPIV!L72</f>
        <v>25350657</v>
      </c>
      <c r="G17" s="193"/>
      <c r="H17" s="144">
        <f>+APPIV!N72</f>
        <v>1341111</v>
      </c>
      <c r="I17" s="115"/>
      <c r="J17" s="144">
        <f>+APPIV!J72</f>
        <v>2744075</v>
      </c>
      <c r="L17" s="144">
        <f>ROUND(J17/2,0)</f>
        <v>1372038</v>
      </c>
    </row>
    <row r="18" spans="2:12" ht="16.5">
      <c r="B18" s="145" t="s">
        <v>1642</v>
      </c>
      <c r="D18" s="115">
        <f>SUM(D13:D17)</f>
        <v>325366773</v>
      </c>
      <c r="E18" s="193"/>
      <c r="F18" s="115">
        <f>SUM(F13:F17)</f>
        <v>238213049</v>
      </c>
      <c r="G18" s="193"/>
      <c r="H18" s="115">
        <f>SUM(H13:H17)</f>
        <v>9916855</v>
      </c>
      <c r="I18" s="115"/>
      <c r="J18" s="115">
        <f>SUM(J13:J17)</f>
        <v>34130876</v>
      </c>
      <c r="K18" s="8" t="s">
        <v>1529</v>
      </c>
      <c r="L18" s="177">
        <f>SUM(L13:L17)</f>
        <v>17065440</v>
      </c>
    </row>
    <row r="19" ht="15">
      <c r="K19" s="141"/>
    </row>
    <row r="20" spans="2:11" ht="16.5">
      <c r="B20" s="145" t="s">
        <v>283</v>
      </c>
      <c r="K20" s="141"/>
    </row>
    <row r="22" spans="4:8" ht="16.5">
      <c r="D22" s="142" t="s">
        <v>1731</v>
      </c>
      <c r="F22" s="136" t="s">
        <v>1728</v>
      </c>
      <c r="H22" s="136" t="s">
        <v>81</v>
      </c>
    </row>
    <row r="23" spans="4:8" ht="16.5">
      <c r="D23" s="136" t="s">
        <v>1728</v>
      </c>
      <c r="F23" s="136" t="s">
        <v>231</v>
      </c>
      <c r="H23" s="136" t="s">
        <v>231</v>
      </c>
    </row>
    <row r="24" spans="4:10" ht="16.5">
      <c r="D24" s="136" t="s">
        <v>284</v>
      </c>
      <c r="F24" s="136" t="s">
        <v>1660</v>
      </c>
      <c r="H24" s="136" t="s">
        <v>285</v>
      </c>
      <c r="J24" s="136" t="s">
        <v>1785</v>
      </c>
    </row>
    <row r="25" spans="4:10" ht="16.5">
      <c r="D25" s="136" t="s">
        <v>1558</v>
      </c>
      <c r="F25" s="136" t="s">
        <v>1606</v>
      </c>
      <c r="H25" s="136" t="s">
        <v>1606</v>
      </c>
      <c r="J25" s="136" t="s">
        <v>286</v>
      </c>
    </row>
    <row r="26" spans="2:10" ht="16.5">
      <c r="B26" s="139" t="s">
        <v>280</v>
      </c>
      <c r="D26" s="139" t="s">
        <v>53</v>
      </c>
      <c r="F26" s="140" t="s">
        <v>298</v>
      </c>
      <c r="H26" s="140" t="s">
        <v>298</v>
      </c>
      <c r="J26" s="139" t="s">
        <v>299</v>
      </c>
    </row>
    <row r="27" spans="4:10" ht="15">
      <c r="D27" s="173" t="s">
        <v>300</v>
      </c>
      <c r="F27" s="173" t="s">
        <v>1783</v>
      </c>
      <c r="H27" s="173" t="s">
        <v>1784</v>
      </c>
      <c r="J27" s="173" t="s">
        <v>301</v>
      </c>
    </row>
    <row r="28" spans="4:10" ht="15">
      <c r="D28" s="173"/>
      <c r="F28" s="173"/>
      <c r="H28" s="173"/>
      <c r="J28" s="173" t="s">
        <v>370</v>
      </c>
    </row>
    <row r="30" spans="2:10" ht="15">
      <c r="B30" s="8" t="s">
        <v>1532</v>
      </c>
      <c r="D30" s="115">
        <f>+H13+L13</f>
        <v>6192614</v>
      </c>
      <c r="F30" s="115">
        <f>+APPIV!D18</f>
        <v>2108551</v>
      </c>
      <c r="H30" s="224">
        <f>+APPIV!D20</f>
        <v>2108551</v>
      </c>
      <c r="J30" s="225">
        <f>ROUND(L13/F30+F13/H30+H13/F30,3)</f>
        <v>31.267</v>
      </c>
    </row>
    <row r="31" spans="2:10" ht="15">
      <c r="B31" s="8" t="s">
        <v>1533</v>
      </c>
      <c r="D31" s="115">
        <f>+H14+L14</f>
        <v>1144438</v>
      </c>
      <c r="F31" s="115">
        <f>+APPIV!D29</f>
        <v>790058</v>
      </c>
      <c r="H31" s="224">
        <f>+APPIV!D31</f>
        <v>790058</v>
      </c>
      <c r="J31" s="225">
        <f>ROUND(L14/F31+F14/H31+H14/F31,3)</f>
        <v>28.381</v>
      </c>
    </row>
    <row r="32" spans="2:10" ht="15">
      <c r="B32" s="8" t="s">
        <v>1534</v>
      </c>
      <c r="D32" s="115">
        <f>+H15+L15</f>
        <v>7239933</v>
      </c>
      <c r="F32" s="115">
        <f>+APPIV!D43</f>
        <v>2380392</v>
      </c>
      <c r="H32" s="224">
        <f>+APPIV!D45</f>
        <v>2380392</v>
      </c>
      <c r="J32" s="225">
        <f>ROUND(L15/F32+F15/H32+H15/F32,3)</f>
        <v>21.255</v>
      </c>
    </row>
    <row r="33" spans="2:10" ht="15">
      <c r="B33" s="8" t="s">
        <v>1536</v>
      </c>
      <c r="D33" s="115">
        <f>+H16+L16</f>
        <v>9692161</v>
      </c>
      <c r="F33" s="115">
        <f>+APPIV!D56</f>
        <v>3886015</v>
      </c>
      <c r="H33" s="224">
        <f>+APPIV!D58</f>
        <v>3886015</v>
      </c>
      <c r="J33" s="225">
        <f>ROUND(L16/F33+F16/H33+H16/F33,3)</f>
        <v>25.266</v>
      </c>
    </row>
    <row r="34" spans="2:10" ht="15">
      <c r="B34" s="8" t="s">
        <v>1537</v>
      </c>
      <c r="D34" s="144">
        <f>+H17+L17</f>
        <v>2713149</v>
      </c>
      <c r="F34" s="144">
        <f>+APPIV!D70</f>
        <v>1011560</v>
      </c>
      <c r="H34" s="226">
        <f>+APPIV!D72</f>
        <v>1011560</v>
      </c>
      <c r="J34" s="227">
        <f>ROUND(L17/F34+F17/H34+H17/F34,3)</f>
        <v>27.743</v>
      </c>
    </row>
    <row r="35" spans="2:11" ht="16.5">
      <c r="B35" s="145" t="s">
        <v>1642</v>
      </c>
      <c r="D35" s="115">
        <f>SUM(D30:D34)</f>
        <v>26982295</v>
      </c>
      <c r="F35" s="115">
        <f>SUM(F30:F34)</f>
        <v>10176576</v>
      </c>
      <c r="H35" s="224">
        <f>SUM(H30:H34)</f>
        <v>10176576</v>
      </c>
      <c r="J35" s="225">
        <f>ROUND(L18/F35,3)+ROUND(F18/H35,3)+ROUND(H18/F35,3)</f>
        <v>26.059</v>
      </c>
      <c r="K35" s="141"/>
    </row>
    <row r="37" ht="16.5">
      <c r="B37" s="145" t="s">
        <v>302</v>
      </c>
    </row>
    <row r="39" ht="16.5">
      <c r="F39" s="136" t="s">
        <v>94</v>
      </c>
    </row>
    <row r="40" spans="4:8" ht="16.5">
      <c r="D40" s="142" t="s">
        <v>1731</v>
      </c>
      <c r="F40" s="136" t="s">
        <v>303</v>
      </c>
      <c r="H40" s="142" t="s">
        <v>304</v>
      </c>
    </row>
    <row r="41" spans="4:8" ht="16.5">
      <c r="D41" s="136" t="s">
        <v>95</v>
      </c>
      <c r="F41" s="136" t="s">
        <v>66</v>
      </c>
      <c r="H41" s="136" t="s">
        <v>66</v>
      </c>
    </row>
    <row r="42" spans="4:8" ht="16.5">
      <c r="D42" s="136" t="s">
        <v>96</v>
      </c>
      <c r="F42" s="136" t="s">
        <v>97</v>
      </c>
      <c r="H42" s="136" t="s">
        <v>98</v>
      </c>
    </row>
    <row r="43" spans="2:8" ht="16.5">
      <c r="B43" s="139" t="s">
        <v>280</v>
      </c>
      <c r="D43" s="139" t="s">
        <v>53</v>
      </c>
      <c r="F43" s="140" t="s">
        <v>1548</v>
      </c>
      <c r="H43" s="139" t="s">
        <v>99</v>
      </c>
    </row>
    <row r="44" spans="4:8" ht="15">
      <c r="D44" s="173" t="s">
        <v>305</v>
      </c>
      <c r="F44" s="173" t="s">
        <v>306</v>
      </c>
      <c r="H44" s="173" t="s">
        <v>307</v>
      </c>
    </row>
    <row r="45" spans="4:14" ht="15">
      <c r="D45" s="173"/>
      <c r="F45" s="475"/>
      <c r="G45" s="3"/>
      <c r="H45" s="475"/>
      <c r="I45" s="3"/>
      <c r="J45" s="3"/>
      <c r="K45" s="3"/>
      <c r="L45" s="3"/>
      <c r="M45" s="3"/>
      <c r="N45" s="3"/>
    </row>
    <row r="46" spans="2:8" ht="15">
      <c r="B46" s="8" t="s">
        <v>1532</v>
      </c>
      <c r="D46" s="115">
        <f>+D13-F13-D30</f>
        <v>10945777</v>
      </c>
      <c r="F46" s="115">
        <f>+APPII!I14</f>
        <v>5559000</v>
      </c>
      <c r="H46" s="228">
        <f aca="true" t="shared" si="0" ref="H46:H51">ROUND(D46/F46,2)</f>
        <v>1.97</v>
      </c>
    </row>
    <row r="47" spans="2:8" ht="15">
      <c r="B47" s="8" t="s">
        <v>1533</v>
      </c>
      <c r="D47" s="115">
        <f>+D14-F14-D31</f>
        <v>3348616</v>
      </c>
      <c r="F47" s="115">
        <f>+APPII!I27</f>
        <v>1453000</v>
      </c>
      <c r="H47" s="228">
        <f t="shared" si="0"/>
        <v>2.3</v>
      </c>
    </row>
    <row r="48" spans="2:8" ht="15">
      <c r="B48" s="8" t="s">
        <v>1534</v>
      </c>
      <c r="D48" s="115">
        <f>+D15-F15-D32</f>
        <v>16628227</v>
      </c>
      <c r="F48" s="115">
        <f>+APPII!I37</f>
        <v>5107000</v>
      </c>
      <c r="H48" s="228">
        <f t="shared" si="0"/>
        <v>3.26</v>
      </c>
    </row>
    <row r="49" spans="2:8" ht="15">
      <c r="B49" s="8" t="s">
        <v>1536</v>
      </c>
      <c r="D49" s="115">
        <f>+D16-F16-D33</f>
        <v>24002696</v>
      </c>
      <c r="F49" s="115">
        <f>+APPII!I50</f>
        <v>8425000</v>
      </c>
      <c r="H49" s="228">
        <f t="shared" si="0"/>
        <v>2.85</v>
      </c>
    </row>
    <row r="50" spans="2:8" ht="15">
      <c r="B50" s="8" t="s">
        <v>1537</v>
      </c>
      <c r="D50" s="144">
        <f>+D17-F17-D34</f>
        <v>5246113</v>
      </c>
      <c r="F50" s="144">
        <f>+APPII!I63</f>
        <v>4841000</v>
      </c>
      <c r="H50" s="229">
        <f t="shared" si="0"/>
        <v>1.08</v>
      </c>
    </row>
    <row r="51" spans="2:8" ht="16.5">
      <c r="B51" s="145" t="s">
        <v>1642</v>
      </c>
      <c r="D51" s="115">
        <f>SUM(D46:D50)</f>
        <v>60171429</v>
      </c>
      <c r="F51" s="115">
        <f>SUM(F46:F50)</f>
        <v>25385000</v>
      </c>
      <c r="H51" s="228">
        <f t="shared" si="0"/>
        <v>2.37</v>
      </c>
    </row>
    <row r="53" spans="2:3" ht="15">
      <c r="B53" s="8" t="s">
        <v>308</v>
      </c>
      <c r="C53" s="8" t="s">
        <v>309</v>
      </c>
    </row>
    <row r="54" ht="15">
      <c r="I54" s="193"/>
    </row>
    <row r="55" ht="15">
      <c r="H55" s="240"/>
    </row>
  </sheetData>
  <printOptions horizontalCentered="1"/>
  <pageMargins left="0.5" right="0.25" top="0.25" bottom="0.25" header="0" footer="0"/>
  <pageSetup fitToHeight="1" fitToWidth="1"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I76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8" customWidth="1"/>
    <col min="2" max="2" width="5.7109375" style="8" customWidth="1"/>
    <col min="3" max="3" width="0.85546875" style="8" customWidth="1"/>
    <col min="4" max="4" width="15.140625" style="8" bestFit="1" customWidth="1"/>
    <col min="5" max="5" width="12.57421875" style="8" customWidth="1"/>
    <col min="6" max="6" width="0.85546875" style="8" customWidth="1"/>
    <col min="7" max="7" width="12.57421875" style="8" customWidth="1"/>
    <col min="8" max="8" width="0.85546875" style="8" customWidth="1"/>
    <col min="9" max="9" width="12.57421875" style="8" customWidth="1"/>
    <col min="10" max="10" width="0.85546875" style="8" customWidth="1"/>
    <col min="11" max="11" width="12.57421875" style="8" customWidth="1"/>
    <col min="12" max="12" width="0.85546875" style="8" customWidth="1"/>
    <col min="13" max="13" width="12.57421875" style="8" customWidth="1"/>
    <col min="14" max="14" width="0.85546875" style="8" customWidth="1"/>
    <col min="15" max="15" width="12.57421875" style="8" customWidth="1"/>
    <col min="16" max="16" width="9.140625" style="8" customWidth="1"/>
    <col min="17" max="18" width="11.421875" style="8" bestFit="1" customWidth="1"/>
    <col min="19" max="19" width="14.00390625" style="8" bestFit="1" customWidth="1"/>
    <col min="20" max="16384" width="9.140625" style="8" customWidth="1"/>
  </cols>
  <sheetData>
    <row r="1" spans="1:17" ht="15">
      <c r="A1" s="323" t="s">
        <v>1729</v>
      </c>
      <c r="B1" s="239" t="str">
        <f>INPUT!C1</f>
        <v>February 2009</v>
      </c>
      <c r="C1" s="146"/>
      <c r="D1" s="146"/>
      <c r="E1" s="146"/>
      <c r="F1" s="146"/>
      <c r="G1" s="146"/>
      <c r="H1" s="146"/>
      <c r="I1" s="146"/>
      <c r="J1" s="146"/>
      <c r="L1" s="152"/>
      <c r="M1" s="146"/>
      <c r="O1" s="147" t="s">
        <v>310</v>
      </c>
      <c r="P1" s="146"/>
      <c r="Q1" s="146"/>
    </row>
    <row r="2" spans="1:17" ht="15">
      <c r="A2" s="146"/>
      <c r="B2" s="146"/>
      <c r="C2" s="146"/>
      <c r="D2" s="146"/>
      <c r="E2" s="146"/>
      <c r="F2" s="146"/>
      <c r="G2" s="146"/>
      <c r="H2" s="146"/>
      <c r="I2" s="146"/>
      <c r="J2" s="146"/>
      <c r="L2" s="152"/>
      <c r="M2" s="146"/>
      <c r="O2" s="147" t="s">
        <v>1520</v>
      </c>
      <c r="P2" s="146"/>
      <c r="Q2" s="146"/>
    </row>
    <row r="3" spans="1:17" ht="1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52"/>
      <c r="L3" s="152"/>
      <c r="M3" s="146"/>
      <c r="N3" s="146"/>
      <c r="O3" s="146"/>
      <c r="P3" s="146"/>
      <c r="Q3" s="146"/>
    </row>
    <row r="4" spans="1:17" ht="1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17" ht="15">
      <c r="A5" s="146"/>
      <c r="B5" s="146"/>
      <c r="C5" s="146"/>
      <c r="D5" s="146"/>
      <c r="E5" s="146"/>
      <c r="G5" s="146"/>
      <c r="H5" s="147" t="s">
        <v>311</v>
      </c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5">
      <c r="A6" s="146"/>
      <c r="B6" s="146"/>
      <c r="C6" s="146"/>
      <c r="D6" s="146"/>
      <c r="E6" s="146"/>
      <c r="G6" s="146"/>
      <c r="H6" s="202" t="s">
        <v>312</v>
      </c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5">
      <c r="A7" s="146"/>
      <c r="B7" s="146"/>
      <c r="C7" s="146"/>
      <c r="D7" s="146"/>
      <c r="E7" s="146"/>
      <c r="F7" s="149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>
      <c r="A8" s="146"/>
      <c r="B8" s="146"/>
      <c r="C8" s="146"/>
      <c r="D8" s="146"/>
      <c r="E8" s="146"/>
      <c r="F8" s="149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35" ht="15">
      <c r="A10" s="146"/>
      <c r="B10" s="146"/>
      <c r="C10" s="146"/>
      <c r="D10" s="146"/>
      <c r="E10" s="150"/>
      <c r="F10" s="151" t="s">
        <v>313</v>
      </c>
      <c r="G10" s="150"/>
      <c r="H10" s="152"/>
      <c r="I10" s="150"/>
      <c r="J10" s="151" t="s">
        <v>1644</v>
      </c>
      <c r="K10" s="150"/>
      <c r="L10" s="230"/>
      <c r="M10" s="150"/>
      <c r="N10" s="151" t="s">
        <v>314</v>
      </c>
      <c r="O10" s="150"/>
      <c r="P10" s="146"/>
      <c r="Q10" s="146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">
      <c r="A11" s="146"/>
      <c r="B11" s="146"/>
      <c r="C11" s="146"/>
      <c r="D11" s="146"/>
      <c r="E11" s="147" t="s">
        <v>1737</v>
      </c>
      <c r="F11" s="147"/>
      <c r="G11" s="147" t="s">
        <v>1737</v>
      </c>
      <c r="H11" s="147"/>
      <c r="I11" s="147" t="s">
        <v>1737</v>
      </c>
      <c r="J11" s="147"/>
      <c r="K11" s="147" t="s">
        <v>1737</v>
      </c>
      <c r="L11" s="147"/>
      <c r="M11" s="147" t="s">
        <v>1737</v>
      </c>
      <c r="N11" s="147"/>
      <c r="O11" s="147" t="s">
        <v>1737</v>
      </c>
      <c r="P11" s="146"/>
      <c r="Q11" s="146"/>
      <c r="W11" s="18"/>
      <c r="X11" s="18"/>
      <c r="Y11" s="18"/>
      <c r="Z11" s="856"/>
      <c r="AA11" s="856"/>
      <c r="AB11" s="856"/>
      <c r="AC11" s="856"/>
      <c r="AD11" s="18"/>
      <c r="AE11" s="18"/>
      <c r="AF11" s="18"/>
      <c r="AG11" s="18"/>
      <c r="AH11" s="18"/>
      <c r="AI11" s="18"/>
    </row>
    <row r="12" spans="1:35" ht="15">
      <c r="A12" s="146"/>
      <c r="B12" s="146"/>
      <c r="C12" s="146"/>
      <c r="D12" s="146"/>
      <c r="E12" s="147" t="s">
        <v>1738</v>
      </c>
      <c r="F12" s="147"/>
      <c r="G12" s="147" t="s">
        <v>1739</v>
      </c>
      <c r="H12" s="147"/>
      <c r="I12" s="147" t="s">
        <v>315</v>
      </c>
      <c r="J12" s="147"/>
      <c r="K12" s="147" t="s">
        <v>1739</v>
      </c>
      <c r="L12" s="147"/>
      <c r="M12" s="147" t="s">
        <v>315</v>
      </c>
      <c r="N12" s="147"/>
      <c r="O12" s="147" t="s">
        <v>1739</v>
      </c>
      <c r="P12" s="146"/>
      <c r="Q12" s="146"/>
      <c r="W12" s="18"/>
      <c r="X12" s="856"/>
      <c r="Y12" s="856"/>
      <c r="Z12" s="856"/>
      <c r="AA12" s="856"/>
      <c r="AB12" s="856"/>
      <c r="AC12" s="856"/>
      <c r="AD12" s="18"/>
      <c r="AE12" s="18"/>
      <c r="AF12" s="18"/>
      <c r="AG12" s="18"/>
      <c r="AH12" s="18"/>
      <c r="AI12" s="18"/>
    </row>
    <row r="13" spans="1:35" ht="15">
      <c r="A13" s="146"/>
      <c r="B13" s="146"/>
      <c r="C13" s="146"/>
      <c r="D13" s="146"/>
      <c r="E13" s="202" t="s">
        <v>54</v>
      </c>
      <c r="F13" s="147"/>
      <c r="G13" s="202" t="s">
        <v>55</v>
      </c>
      <c r="H13" s="147"/>
      <c r="I13" s="202" t="s">
        <v>54</v>
      </c>
      <c r="J13" s="147"/>
      <c r="K13" s="202" t="s">
        <v>55</v>
      </c>
      <c r="L13" s="202"/>
      <c r="M13" s="202" t="s">
        <v>54</v>
      </c>
      <c r="N13" s="147"/>
      <c r="O13" s="202" t="s">
        <v>55</v>
      </c>
      <c r="P13" s="146"/>
      <c r="Q13" s="146"/>
      <c r="W13" s="18"/>
      <c r="X13" s="856"/>
      <c r="Y13" s="856"/>
      <c r="Z13" s="856"/>
      <c r="AA13" s="856"/>
      <c r="AB13" s="856"/>
      <c r="AC13" s="856"/>
      <c r="AD13" s="856"/>
      <c r="AE13" s="856"/>
      <c r="AF13" s="856"/>
      <c r="AG13" s="856"/>
      <c r="AH13" s="18"/>
      <c r="AI13" s="18"/>
    </row>
    <row r="14" spans="1:35" ht="1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9"/>
      <c r="N14" s="146"/>
      <c r="O14" s="149"/>
      <c r="P14" s="146"/>
      <c r="Q14" s="146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15">
      <c r="A15" s="146" t="s">
        <v>321</v>
      </c>
      <c r="B15" s="146"/>
      <c r="C15" s="146"/>
      <c r="D15" s="146" t="s">
        <v>1532</v>
      </c>
      <c r="E15" s="156">
        <f>IF('APPVI PG 2'!M$8&lt;=0,'APPVI PG 2'!M$8*-1,0)+IF('APPVI PG 2'!M$89&lt;=0,'APPVI PG 2'!M$89*-1,0)</f>
        <v>214656</v>
      </c>
      <c r="F15" s="146"/>
      <c r="G15" s="156">
        <f>IF('APPVI PG 2'!M$8&gt;0,'APPVI PG 2'!M$8,0)+IF('APPVI PG 2'!M$89&gt;0,'APPVI PG 2'!M$89,0)</f>
        <v>35269</v>
      </c>
      <c r="H15" s="146"/>
      <c r="I15" s="156">
        <f>+INPUT!D78</f>
        <v>218857</v>
      </c>
      <c r="J15" s="146"/>
      <c r="K15" s="156">
        <f>+INPUT!E78</f>
        <v>35280</v>
      </c>
      <c r="L15" s="156"/>
      <c r="M15" s="156">
        <f>IF(E67+K67&lt;=0,0,E67+K67)</f>
        <v>0</v>
      </c>
      <c r="N15" s="146"/>
      <c r="O15" s="156">
        <f>IF(G67+I67&lt;=0,0,G67+I67)</f>
        <v>4190</v>
      </c>
      <c r="P15" s="146"/>
      <c r="Q15" s="146"/>
      <c r="T15" s="169"/>
      <c r="U15" s="169"/>
      <c r="W15" s="376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ht="15">
      <c r="A16" s="146" t="s">
        <v>627</v>
      </c>
      <c r="B16" s="146"/>
      <c r="C16" s="146"/>
      <c r="D16" s="146" t="s">
        <v>1533</v>
      </c>
      <c r="E16" s="156">
        <f>IF('APPVI PG 2'!N$8&lt;=0,'APPVI PG 2'!N$8*-1,0)+IF('APPVI PG 2'!N$89&lt;=0,'APPVI PG 2'!N$89*-1,0)</f>
        <v>43252</v>
      </c>
      <c r="F16" s="146"/>
      <c r="G16" s="156">
        <f>IF('APPVI PG 2'!N$8&gt;0,'APPVI PG 2'!N$8,0)+IF('APPVI PG 2'!N$89&gt;0,'APPVI PG 2'!N$89,0)</f>
        <v>7106</v>
      </c>
      <c r="H16" s="146"/>
      <c r="I16" s="156">
        <f>+INPUT!D79</f>
        <v>44098</v>
      </c>
      <c r="J16" s="146"/>
      <c r="K16" s="156">
        <f>+INPUT!E79</f>
        <v>7108</v>
      </c>
      <c r="L16" s="156"/>
      <c r="M16" s="156">
        <f>IF(E68+K68&lt;=0,0,E68+K68)</f>
        <v>0</v>
      </c>
      <c r="N16" s="146"/>
      <c r="O16" s="156">
        <f>IF(G68+I68&lt;=0,0,G68+I68)</f>
        <v>844</v>
      </c>
      <c r="P16" s="146"/>
      <c r="Q16" s="146"/>
      <c r="T16" s="169"/>
      <c r="U16" s="169"/>
      <c r="W16" s="376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ht="15">
      <c r="A17" s="146" t="s">
        <v>629</v>
      </c>
      <c r="B17" s="146"/>
      <c r="C17" s="146"/>
      <c r="D17" s="146" t="s">
        <v>1534</v>
      </c>
      <c r="E17" s="156">
        <f>IF('APPVI PG 2'!O$8&lt;=0,'APPVI PG 2'!O$8*-1,0)+IF('APPVI PG 2'!O$89&lt;=0,'APPVI PG 2'!O$89*-1,0)</f>
        <v>110176</v>
      </c>
      <c r="F17" s="146"/>
      <c r="G17" s="156">
        <f>IF('APPVI PG 2'!O$8&gt;0,'APPVI PG 2'!O$8,0)+IF('APPVI PG 2'!O$89&gt;0,'APPVI PG 2'!O$89,0)</f>
        <v>18102</v>
      </c>
      <c r="H17" s="146"/>
      <c r="I17" s="156">
        <f>+INPUT!D80</f>
        <v>112331</v>
      </c>
      <c r="J17" s="146"/>
      <c r="K17" s="156">
        <f>+INPUT!E80</f>
        <v>18108</v>
      </c>
      <c r="L17" s="156"/>
      <c r="M17" s="156">
        <f>IF(E69+K69&lt;=0,0,E69+K69)</f>
        <v>0</v>
      </c>
      <c r="N17" s="146"/>
      <c r="O17" s="156">
        <f>IF(G69+I69&lt;=0,0,G69+I69)</f>
        <v>2149</v>
      </c>
      <c r="P17" s="146"/>
      <c r="Q17" s="146"/>
      <c r="T17" s="169"/>
      <c r="U17" s="169"/>
      <c r="W17" s="376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ht="15">
      <c r="A18" s="146"/>
      <c r="B18" s="146"/>
      <c r="C18" s="146"/>
      <c r="D18" s="146" t="s">
        <v>1536</v>
      </c>
      <c r="E18" s="156">
        <f>IF('APPVI PG 2'!P$8&lt;=0,'APPVI PG 2'!P$8*-1,0)+IF('APPVI PG 2'!P$89&lt;=0,'APPVI PG 2'!P$89*-1,0)</f>
        <v>79182</v>
      </c>
      <c r="F18" s="146"/>
      <c r="G18" s="156">
        <f>IF('APPVI PG 2'!P$8&gt;0,'APPVI PG 2'!P$8,0)+IF('APPVI PG 2'!P$89&gt;0,'APPVI PG 2'!P$89,0)</f>
        <v>481927</v>
      </c>
      <c r="H18" s="146"/>
      <c r="I18" s="156">
        <f>+INPUT!D81</f>
        <v>79207</v>
      </c>
      <c r="J18" s="146"/>
      <c r="K18" s="156">
        <f>+INPUT!E81</f>
        <v>491358</v>
      </c>
      <c r="L18" s="156"/>
      <c r="M18" s="156">
        <f>IF(E70+K70&lt;=0,0,E70+K70)</f>
        <v>9406</v>
      </c>
      <c r="N18" s="146"/>
      <c r="O18" s="156">
        <f>IF(G70+I70&lt;=0,0,G70+I70)</f>
        <v>0</v>
      </c>
      <c r="P18" s="146"/>
      <c r="Q18" s="146"/>
      <c r="T18" s="169"/>
      <c r="U18" s="169"/>
      <c r="W18" s="37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ht="15">
      <c r="A19" s="146"/>
      <c r="B19" s="146"/>
      <c r="C19" s="146"/>
      <c r="D19" s="146" t="s">
        <v>1537</v>
      </c>
      <c r="E19" s="161">
        <f>IF('APPVI PG 2'!Q$8&lt;=0,'APPVI PG 2'!Q$8*-1,0)+IF('APPVI PG 2'!Q$89&lt;=0,'APPVI PG 2'!Q$89*-1,0)</f>
        <v>113843</v>
      </c>
      <c r="F19" s="146"/>
      <c r="G19" s="161">
        <f>IF('APPVI PG 2'!Q$8&gt;0,'APPVI PG 2'!Q$8,0)+IF('APPVI PG 2'!Q$89&gt;0,'APPVI PG 2'!Q$89,0)</f>
        <v>18705</v>
      </c>
      <c r="H19" s="162"/>
      <c r="I19" s="161">
        <f>+INPUT!D82</f>
        <v>116072</v>
      </c>
      <c r="J19" s="162"/>
      <c r="K19" s="161">
        <f>+INPUT!E82</f>
        <v>18711</v>
      </c>
      <c r="L19" s="231"/>
      <c r="M19" s="161">
        <f>IF(E71+K71&lt;=0,0,E71+K71)</f>
        <v>0</v>
      </c>
      <c r="N19" s="162"/>
      <c r="O19" s="161">
        <f>IF(G71+I71&lt;=0,0,G71+I71)</f>
        <v>2223</v>
      </c>
      <c r="P19" s="146"/>
      <c r="Q19" s="146"/>
      <c r="T19" s="169"/>
      <c r="U19" s="169"/>
      <c r="W19" s="376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ht="15">
      <c r="A20" s="146"/>
      <c r="B20" s="146"/>
      <c r="C20" s="146"/>
      <c r="D20" s="152" t="s">
        <v>1642</v>
      </c>
      <c r="E20" s="156">
        <f>SUM(E15:E19)</f>
        <v>561109</v>
      </c>
      <c r="F20" s="146"/>
      <c r="G20" s="156">
        <f>SUM(G15:G19)</f>
        <v>561109</v>
      </c>
      <c r="H20" s="146"/>
      <c r="I20" s="156">
        <f>SUM(I15:I19)</f>
        <v>570565</v>
      </c>
      <c r="J20" s="146"/>
      <c r="K20" s="156">
        <f>SUM(K15:K19)</f>
        <v>570565</v>
      </c>
      <c r="L20" s="156"/>
      <c r="M20" s="156">
        <f>SUM(M15:M19)</f>
        <v>9406</v>
      </c>
      <c r="N20" s="146"/>
      <c r="O20" s="156">
        <f>SUM(O15:O19)</f>
        <v>9406</v>
      </c>
      <c r="P20" s="146"/>
      <c r="Q20" s="146"/>
      <c r="W20" s="399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15.75" thickBot="1">
      <c r="A21" s="304"/>
      <c r="B21" s="304"/>
      <c r="C21" s="304"/>
      <c r="D21" s="305"/>
      <c r="E21" s="306"/>
      <c r="F21" s="304"/>
      <c r="G21" s="306"/>
      <c r="H21" s="304"/>
      <c r="I21" s="306"/>
      <c r="J21" s="304"/>
      <c r="K21" s="306"/>
      <c r="L21" s="306"/>
      <c r="M21" s="304"/>
      <c r="N21" s="304"/>
      <c r="O21" s="304"/>
      <c r="P21" s="146"/>
      <c r="Q21" s="146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ht="1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17" ht="15">
      <c r="A23" s="146" t="s">
        <v>316</v>
      </c>
      <c r="B23" s="146"/>
      <c r="C23" s="146"/>
      <c r="D23" s="146" t="s">
        <v>1532</v>
      </c>
      <c r="E23" s="156">
        <f>+INPUT!B70</f>
        <v>0</v>
      </c>
      <c r="F23" s="146"/>
      <c r="G23" s="156">
        <f>+INPUT!C70</f>
        <v>13492563</v>
      </c>
      <c r="H23" s="146"/>
      <c r="I23" s="156">
        <f>+INPUT!D70</f>
        <v>0</v>
      </c>
      <c r="J23" s="146"/>
      <c r="K23" s="156">
        <f>+INPUT!E70</f>
        <v>13327893</v>
      </c>
      <c r="L23" s="156"/>
      <c r="M23" s="156">
        <f aca="true" t="shared" si="0" ref="M23:M28">MAX(E60,K60)</f>
        <v>0</v>
      </c>
      <c r="N23" s="146"/>
      <c r="O23" s="156">
        <f aca="true" t="shared" si="1" ref="O23:O28">MAX(G60,I60)</f>
        <v>164670</v>
      </c>
      <c r="P23" s="146"/>
      <c r="Q23" s="146"/>
    </row>
    <row r="24" spans="1:17" ht="15">
      <c r="A24" s="146" t="s">
        <v>317</v>
      </c>
      <c r="B24" s="146"/>
      <c r="C24" s="146"/>
      <c r="D24" s="146" t="s">
        <v>1533</v>
      </c>
      <c r="E24" s="156">
        <f>+INPUT!B71</f>
        <v>0</v>
      </c>
      <c r="F24" s="146"/>
      <c r="G24" s="156">
        <f>+INPUT!C71</f>
        <v>2718647</v>
      </c>
      <c r="H24" s="146"/>
      <c r="I24" s="156">
        <f>+INPUT!D71</f>
        <v>0</v>
      </c>
      <c r="J24" s="146"/>
      <c r="K24" s="156">
        <f>+INPUT!E71</f>
        <v>2685467</v>
      </c>
      <c r="L24" s="156"/>
      <c r="M24" s="156">
        <f t="shared" si="0"/>
        <v>0</v>
      </c>
      <c r="N24" s="146"/>
      <c r="O24" s="156">
        <f t="shared" si="1"/>
        <v>33180</v>
      </c>
      <c r="P24" s="146"/>
      <c r="Q24" s="146"/>
    </row>
    <row r="25" spans="1:17" ht="15">
      <c r="A25" s="146" t="s">
        <v>318</v>
      </c>
      <c r="B25" s="146"/>
      <c r="C25" s="146"/>
      <c r="D25" s="146" t="s">
        <v>1534</v>
      </c>
      <c r="E25" s="156">
        <f>+INPUT!B72</f>
        <v>0</v>
      </c>
      <c r="F25" s="146"/>
      <c r="G25" s="156">
        <f>+INPUT!C72</f>
        <v>6925226</v>
      </c>
      <c r="H25" s="146"/>
      <c r="I25" s="156">
        <f>+INPUT!D72</f>
        <v>0</v>
      </c>
      <c r="J25" s="146"/>
      <c r="K25" s="156">
        <f>+INPUT!E72</f>
        <v>6840707</v>
      </c>
      <c r="L25" s="156"/>
      <c r="M25" s="156">
        <f t="shared" si="0"/>
        <v>0</v>
      </c>
      <c r="N25" s="146"/>
      <c r="O25" s="156">
        <f t="shared" si="1"/>
        <v>84519</v>
      </c>
      <c r="P25" s="146"/>
      <c r="Q25" s="146"/>
    </row>
    <row r="26" spans="1:17" ht="15">
      <c r="A26" s="146" t="s">
        <v>319</v>
      </c>
      <c r="B26" s="146"/>
      <c r="C26" s="146"/>
      <c r="D26" s="146" t="s">
        <v>1536</v>
      </c>
      <c r="E26" s="156">
        <f>+INPUT!B73</f>
        <v>0</v>
      </c>
      <c r="F26" s="146"/>
      <c r="G26" s="156">
        <f>+INPUT!C73</f>
        <v>8864250</v>
      </c>
      <c r="H26" s="146"/>
      <c r="I26" s="156">
        <f>+INPUT!D73</f>
        <v>0</v>
      </c>
      <c r="J26" s="146"/>
      <c r="K26" s="156">
        <f>+INPUT!E73</f>
        <v>8756067</v>
      </c>
      <c r="L26" s="156"/>
      <c r="M26" s="156">
        <f>MAX(E63,K63)</f>
        <v>0</v>
      </c>
      <c r="N26" s="146"/>
      <c r="O26" s="156">
        <f t="shared" si="1"/>
        <v>108183</v>
      </c>
      <c r="P26" s="146"/>
      <c r="Q26" s="146"/>
    </row>
    <row r="27" spans="1:17" ht="15">
      <c r="A27" s="146" t="s">
        <v>320</v>
      </c>
      <c r="B27" s="146"/>
      <c r="C27" s="146"/>
      <c r="D27" s="146" t="s">
        <v>1537</v>
      </c>
      <c r="E27" s="160">
        <f>+INPUT!B74</f>
        <v>0</v>
      </c>
      <c r="F27" s="162"/>
      <c r="G27" s="231">
        <f>+INPUT!C74</f>
        <v>7155850</v>
      </c>
      <c r="H27" s="162"/>
      <c r="I27" s="231">
        <f>+INPUT!D74</f>
        <v>0</v>
      </c>
      <c r="J27" s="162"/>
      <c r="K27" s="231">
        <f>+INPUT!E74</f>
        <v>7068516</v>
      </c>
      <c r="L27" s="231"/>
      <c r="M27" s="231">
        <f t="shared" si="0"/>
        <v>0</v>
      </c>
      <c r="N27" s="162"/>
      <c r="O27" s="231">
        <f t="shared" si="1"/>
        <v>87334</v>
      </c>
      <c r="P27" s="146"/>
      <c r="Q27" s="146"/>
    </row>
    <row r="28" spans="1:17" ht="15">
      <c r="A28" s="146"/>
      <c r="B28" s="146"/>
      <c r="C28" s="146"/>
      <c r="D28" s="146" t="s">
        <v>163</v>
      </c>
      <c r="E28" s="161">
        <f>+INPUT!B75</f>
        <v>39156536</v>
      </c>
      <c r="F28" s="162"/>
      <c r="G28" s="161">
        <f>+INPUT!C75</f>
        <v>0</v>
      </c>
      <c r="H28" s="162"/>
      <c r="I28" s="161">
        <f>+INPUT!D75</f>
        <v>38678650.41</v>
      </c>
      <c r="J28" s="162"/>
      <c r="K28" s="161">
        <f>+INPUT!E75</f>
        <v>0</v>
      </c>
      <c r="L28" s="231"/>
      <c r="M28" s="161">
        <f t="shared" si="0"/>
        <v>477885.5900000036</v>
      </c>
      <c r="N28" s="162"/>
      <c r="O28" s="161">
        <f t="shared" si="1"/>
        <v>0</v>
      </c>
      <c r="P28" s="146"/>
      <c r="Q28" s="146"/>
    </row>
    <row r="29" spans="2:17" ht="15">
      <c r="B29" s="146"/>
      <c r="C29" s="146"/>
      <c r="D29" s="152" t="s">
        <v>1642</v>
      </c>
      <c r="E29" s="156">
        <f>SUM(E23:E28)</f>
        <v>39156536</v>
      </c>
      <c r="F29" s="146"/>
      <c r="G29" s="156">
        <f>SUM(G23:G28)</f>
        <v>39156536</v>
      </c>
      <c r="H29" s="146"/>
      <c r="I29" s="156">
        <f>SUM(I23:I28)</f>
        <v>38678650.41</v>
      </c>
      <c r="J29" s="146"/>
      <c r="K29" s="156">
        <f>SUM(K23:K28)</f>
        <v>38678650</v>
      </c>
      <c r="L29" s="156"/>
      <c r="M29" s="156">
        <f>SUM(M23:M28)</f>
        <v>477885.5900000036</v>
      </c>
      <c r="N29" s="146"/>
      <c r="O29" s="156">
        <f>SUM(O23:O28)</f>
        <v>477886</v>
      </c>
      <c r="P29" s="146"/>
      <c r="Q29" s="146"/>
    </row>
    <row r="30" spans="1:17" ht="15">
      <c r="A30" s="146"/>
      <c r="B30" s="146"/>
      <c r="C30" s="146"/>
      <c r="D30" s="152"/>
      <c r="E30" s="156"/>
      <c r="F30" s="146"/>
      <c r="G30" s="156"/>
      <c r="H30" s="146"/>
      <c r="I30" s="156"/>
      <c r="J30" s="146"/>
      <c r="K30" s="156"/>
      <c r="L30" s="156"/>
      <c r="M30" s="146"/>
      <c r="N30" s="146"/>
      <c r="O30" s="146"/>
      <c r="P30" s="146"/>
      <c r="Q30" s="146"/>
    </row>
    <row r="31" spans="1:17" ht="15">
      <c r="A31" s="146" t="s">
        <v>1585</v>
      </c>
      <c r="B31" s="146"/>
      <c r="C31" s="146"/>
      <c r="D31" s="146" t="s">
        <v>1532</v>
      </c>
      <c r="E31" s="156">
        <f>+'APPVII PG4'!C60</f>
        <v>3430614</v>
      </c>
      <c r="F31" s="146"/>
      <c r="G31" s="156">
        <f>+'APPVII PG4'!E60</f>
        <v>6609481</v>
      </c>
      <c r="H31" s="146"/>
      <c r="I31" s="158">
        <f>+'APPVII PG4'!G60</f>
        <v>3424630</v>
      </c>
      <c r="J31" s="168"/>
      <c r="K31" s="158">
        <f>+'APPVII PG4'!I60</f>
        <v>6553473</v>
      </c>
      <c r="L31" s="156"/>
      <c r="M31" s="156">
        <f>+'APPVII PG4'!K60</f>
        <v>15393</v>
      </c>
      <c r="N31" s="146"/>
      <c r="O31" s="156">
        <f>+'APPVII PG4'!M60</f>
        <v>49909</v>
      </c>
      <c r="P31" s="146"/>
      <c r="Q31" s="146"/>
    </row>
    <row r="32" spans="1:17" ht="15">
      <c r="A32" s="146" t="s">
        <v>626</v>
      </c>
      <c r="B32" s="146"/>
      <c r="C32" s="146"/>
      <c r="D32" s="146" t="s">
        <v>1533</v>
      </c>
      <c r="E32" s="156">
        <f>+'APPVII PG4'!C61</f>
        <v>691232</v>
      </c>
      <c r="F32" s="146"/>
      <c r="G32" s="156">
        <f>+'APPVII PG4'!E61</f>
        <v>1331620</v>
      </c>
      <c r="H32" s="146"/>
      <c r="I32" s="158">
        <f>+'APPVII PG4'!G61</f>
        <v>690031</v>
      </c>
      <c r="J32" s="168"/>
      <c r="K32" s="158">
        <f>+'APPVII PG4'!I61</f>
        <v>1320336</v>
      </c>
      <c r="L32" s="156"/>
      <c r="M32" s="156">
        <f>+'APPVII PG4'!K61</f>
        <v>3097</v>
      </c>
      <c r="N32" s="146"/>
      <c r="O32" s="156">
        <f>+'APPVII PG4'!M61</f>
        <v>10055</v>
      </c>
      <c r="P32" s="146"/>
      <c r="Q32" s="146"/>
    </row>
    <row r="33" spans="1:17" ht="15">
      <c r="A33" s="146"/>
      <c r="B33" s="146"/>
      <c r="C33" s="146"/>
      <c r="D33" s="146" t="s">
        <v>1534</v>
      </c>
      <c r="E33" s="156">
        <f>+'APPVII PG4'!C62</f>
        <v>1760800</v>
      </c>
      <c r="F33" s="146"/>
      <c r="G33" s="156">
        <f>+'APPVII PG4'!E62</f>
        <v>3391702</v>
      </c>
      <c r="H33" s="146"/>
      <c r="I33" s="158">
        <f>+'APPVII PG4'!G62</f>
        <v>1757738</v>
      </c>
      <c r="J33" s="168"/>
      <c r="K33" s="158">
        <f>+'APPVII PG4'!I62</f>
        <v>3362957</v>
      </c>
      <c r="L33" s="156"/>
      <c r="M33" s="156">
        <f>+'APPVII PG4'!K62</f>
        <v>7890</v>
      </c>
      <c r="N33" s="146"/>
      <c r="O33" s="156">
        <f>+'APPVII PG4'!M62</f>
        <v>25615</v>
      </c>
      <c r="P33" s="146"/>
      <c r="Q33" s="146"/>
    </row>
    <row r="34" spans="1:17" ht="15">
      <c r="A34" s="146"/>
      <c r="B34" s="146"/>
      <c r="C34" s="146"/>
      <c r="D34" s="146" t="s">
        <v>1536</v>
      </c>
      <c r="E34" s="156">
        <f>+'APPVII PG4'!C63</f>
        <v>2253811</v>
      </c>
      <c r="F34" s="146"/>
      <c r="G34" s="156">
        <f>+'APPVII PG4'!E63</f>
        <v>4341793</v>
      </c>
      <c r="H34" s="146"/>
      <c r="I34" s="158">
        <f>+'APPVII PG4'!G63</f>
        <v>2249899</v>
      </c>
      <c r="J34" s="168"/>
      <c r="K34" s="158">
        <f>+'APPVII PG4'!I63</f>
        <v>4304994</v>
      </c>
      <c r="L34" s="156"/>
      <c r="M34" s="156">
        <f>+'APPVII PG4'!K63</f>
        <v>10091</v>
      </c>
      <c r="N34" s="146"/>
      <c r="O34" s="156">
        <f>+'APPVII PG4'!M63</f>
        <v>32789</v>
      </c>
      <c r="P34" s="146"/>
      <c r="Q34" s="146"/>
    </row>
    <row r="35" spans="1:17" ht="15">
      <c r="A35" s="146"/>
      <c r="B35" s="146"/>
      <c r="C35" s="146"/>
      <c r="D35" s="146" t="s">
        <v>1537</v>
      </c>
      <c r="E35" s="231">
        <f>+'APPVII PG4'!C64</f>
        <v>1819439</v>
      </c>
      <c r="F35" s="162"/>
      <c r="G35" s="231">
        <f>+'APPVII PG4'!E64</f>
        <v>3504614</v>
      </c>
      <c r="H35" s="162"/>
      <c r="I35" s="160">
        <f>+'APPVII PG4'!G64</f>
        <v>1816273</v>
      </c>
      <c r="J35" s="376"/>
      <c r="K35" s="160">
        <f>+'APPVII PG4'!I64</f>
        <v>3474907</v>
      </c>
      <c r="L35" s="231"/>
      <c r="M35" s="231">
        <f>+'APPVII PG4'!K64</f>
        <v>8154</v>
      </c>
      <c r="N35" s="162"/>
      <c r="O35" s="231">
        <f>+'APPVII PG4'!M64</f>
        <v>26470</v>
      </c>
      <c r="P35" s="146"/>
      <c r="Q35" s="146"/>
    </row>
    <row r="36" spans="1:17" ht="15">
      <c r="A36" s="146"/>
      <c r="B36" s="146"/>
      <c r="C36" s="146"/>
      <c r="D36" s="146" t="s">
        <v>163</v>
      </c>
      <c r="E36" s="161">
        <f>+'APPVII PG4'!C65</f>
        <v>19179210</v>
      </c>
      <c r="F36" s="146"/>
      <c r="G36" s="161">
        <f>+'APPVII PG4'!E65</f>
        <v>9955896</v>
      </c>
      <c r="H36" s="146"/>
      <c r="I36" s="159">
        <f>+'APPVII PG4'!G65</f>
        <v>19016667</v>
      </c>
      <c r="J36" s="168"/>
      <c r="K36" s="159">
        <f>+'APPVII PG4'!I65</f>
        <v>9938571</v>
      </c>
      <c r="L36" s="156"/>
      <c r="M36" s="161">
        <f>+'APPVII PG4'!K65</f>
        <v>144838</v>
      </c>
      <c r="N36" s="146"/>
      <c r="O36" s="161">
        <f>+'APPVII PG4'!M65</f>
        <v>44625</v>
      </c>
      <c r="P36" s="146"/>
      <c r="Q36" s="146"/>
    </row>
    <row r="37" spans="1:17" ht="15">
      <c r="A37" s="146"/>
      <c r="B37" s="146"/>
      <c r="C37" s="146"/>
      <c r="D37" s="152" t="s">
        <v>1642</v>
      </c>
      <c r="E37" s="156">
        <f>SUM(E31:E36)</f>
        <v>29135106</v>
      </c>
      <c r="F37" s="146"/>
      <c r="G37" s="156">
        <f>SUM(G31:G36)</f>
        <v>29135106</v>
      </c>
      <c r="H37" s="146"/>
      <c r="I37" s="158">
        <f>SUM(I31:I36)</f>
        <v>28955238</v>
      </c>
      <c r="J37" s="168"/>
      <c r="K37" s="158">
        <f>SUM(K31:K36)</f>
        <v>28955238</v>
      </c>
      <c r="L37" s="156"/>
      <c r="M37" s="156">
        <f>SUM(M31:M36)</f>
        <v>189463</v>
      </c>
      <c r="N37" s="146"/>
      <c r="O37" s="156">
        <f>SUM(O31:O36)</f>
        <v>189463</v>
      </c>
      <c r="P37" s="146"/>
      <c r="Q37" s="146"/>
    </row>
    <row r="38" spans="1:17" ht="15">
      <c r="A38" s="146"/>
      <c r="B38" s="146"/>
      <c r="C38" s="146"/>
      <c r="D38" s="146"/>
      <c r="E38" s="146"/>
      <c r="F38" s="146"/>
      <c r="G38" s="146"/>
      <c r="H38" s="146"/>
      <c r="I38" s="168"/>
      <c r="J38" s="168"/>
      <c r="K38" s="168"/>
      <c r="L38" s="146"/>
      <c r="M38" s="146"/>
      <c r="N38" s="146"/>
      <c r="O38" s="146"/>
      <c r="P38" s="146"/>
      <c r="Q38" s="146"/>
    </row>
    <row r="39" spans="1:17" ht="15">
      <c r="A39" s="146" t="s">
        <v>322</v>
      </c>
      <c r="B39" s="146"/>
      <c r="C39" s="146"/>
      <c r="D39" s="146" t="s">
        <v>1532</v>
      </c>
      <c r="E39" s="156">
        <f aca="true" t="shared" si="2" ref="E39:E44">+E23+E31</f>
        <v>3430614</v>
      </c>
      <c r="F39" s="146"/>
      <c r="G39" s="156">
        <f aca="true" t="shared" si="3" ref="G39:G44">+G23+G31</f>
        <v>20102044</v>
      </c>
      <c r="H39" s="146"/>
      <c r="I39" s="158">
        <f aca="true" t="shared" si="4" ref="I39:I44">+I23+I31</f>
        <v>3424630</v>
      </c>
      <c r="J39" s="168"/>
      <c r="K39" s="158">
        <f aca="true" t="shared" si="5" ref="K39:K44">+K23+K31</f>
        <v>19881366</v>
      </c>
      <c r="L39" s="156"/>
      <c r="M39" s="156">
        <f aca="true" t="shared" si="6" ref="M39:M44">+M23+M31</f>
        <v>15393</v>
      </c>
      <c r="N39" s="146"/>
      <c r="O39" s="156">
        <f aca="true" t="shared" si="7" ref="O39:O44">+O23+O31</f>
        <v>214579</v>
      </c>
      <c r="P39" s="146"/>
      <c r="Q39" s="146"/>
    </row>
    <row r="40" spans="1:17" ht="15">
      <c r="A40" s="405"/>
      <c r="B40" s="168"/>
      <c r="C40" s="146"/>
      <c r="D40" s="146" t="s">
        <v>1533</v>
      </c>
      <c r="E40" s="156">
        <f t="shared" si="2"/>
        <v>691232</v>
      </c>
      <c r="F40" s="146"/>
      <c r="G40" s="156">
        <f t="shared" si="3"/>
        <v>4050267</v>
      </c>
      <c r="H40" s="146"/>
      <c r="I40" s="158">
        <f t="shared" si="4"/>
        <v>690031</v>
      </c>
      <c r="J40" s="168"/>
      <c r="K40" s="158">
        <f t="shared" si="5"/>
        <v>4005803</v>
      </c>
      <c r="L40" s="156"/>
      <c r="M40" s="156">
        <f t="shared" si="6"/>
        <v>3097</v>
      </c>
      <c r="N40" s="146"/>
      <c r="O40" s="156">
        <f t="shared" si="7"/>
        <v>43235</v>
      </c>
      <c r="P40" s="146"/>
      <c r="Q40" s="146"/>
    </row>
    <row r="41" spans="1:17" ht="15">
      <c r="A41" s="168"/>
      <c r="B41" s="168"/>
      <c r="C41" s="146"/>
      <c r="D41" s="146" t="s">
        <v>1534</v>
      </c>
      <c r="E41" s="156">
        <f t="shared" si="2"/>
        <v>1760800</v>
      </c>
      <c r="F41" s="146"/>
      <c r="G41" s="156">
        <f t="shared" si="3"/>
        <v>10316928</v>
      </c>
      <c r="H41" s="146"/>
      <c r="I41" s="158">
        <f t="shared" si="4"/>
        <v>1757738</v>
      </c>
      <c r="J41" s="168"/>
      <c r="K41" s="158">
        <f t="shared" si="5"/>
        <v>10203664</v>
      </c>
      <c r="L41" s="156"/>
      <c r="M41" s="156">
        <f t="shared" si="6"/>
        <v>7890</v>
      </c>
      <c r="N41" s="146"/>
      <c r="O41" s="156">
        <f t="shared" si="7"/>
        <v>110134</v>
      </c>
      <c r="P41" s="146"/>
      <c r="Q41" s="146"/>
    </row>
    <row r="42" spans="1:17" ht="15">
      <c r="A42" s="146"/>
      <c r="B42" s="146"/>
      <c r="C42" s="146"/>
      <c r="D42" s="146" t="s">
        <v>1536</v>
      </c>
      <c r="E42" s="156">
        <f t="shared" si="2"/>
        <v>2253811</v>
      </c>
      <c r="F42" s="146"/>
      <c r="G42" s="156">
        <f t="shared" si="3"/>
        <v>13206043</v>
      </c>
      <c r="H42" s="146"/>
      <c r="I42" s="158">
        <f t="shared" si="4"/>
        <v>2249899</v>
      </c>
      <c r="J42" s="168"/>
      <c r="K42" s="158">
        <f t="shared" si="5"/>
        <v>13061061</v>
      </c>
      <c r="L42" s="156"/>
      <c r="M42" s="156">
        <f t="shared" si="6"/>
        <v>10091</v>
      </c>
      <c r="N42" s="146"/>
      <c r="O42" s="156">
        <f t="shared" si="7"/>
        <v>140972</v>
      </c>
      <c r="P42" s="146"/>
      <c r="Q42" s="146"/>
    </row>
    <row r="43" spans="1:17" ht="15">
      <c r="A43" s="146"/>
      <c r="B43" s="146"/>
      <c r="C43" s="146"/>
      <c r="D43" s="146" t="s">
        <v>1537</v>
      </c>
      <c r="E43" s="156">
        <f t="shared" si="2"/>
        <v>1819439</v>
      </c>
      <c r="F43" s="162"/>
      <c r="G43" s="156">
        <f t="shared" si="3"/>
        <v>10660464</v>
      </c>
      <c r="H43" s="162"/>
      <c r="I43" s="158">
        <f t="shared" si="4"/>
        <v>1816273</v>
      </c>
      <c r="J43" s="168"/>
      <c r="K43" s="158">
        <f t="shared" si="5"/>
        <v>10543423</v>
      </c>
      <c r="L43" s="231"/>
      <c r="M43" s="156">
        <f t="shared" si="6"/>
        <v>8154</v>
      </c>
      <c r="N43" s="162"/>
      <c r="O43" s="156">
        <f t="shared" si="7"/>
        <v>113804</v>
      </c>
      <c r="P43" s="146"/>
      <c r="Q43" s="146"/>
    </row>
    <row r="44" spans="1:17" ht="15">
      <c r="A44" s="146"/>
      <c r="B44" s="146"/>
      <c r="C44" s="146"/>
      <c r="D44" s="146" t="s">
        <v>163</v>
      </c>
      <c r="E44" s="161">
        <f t="shared" si="2"/>
        <v>58335746</v>
      </c>
      <c r="F44" s="162"/>
      <c r="G44" s="161">
        <f t="shared" si="3"/>
        <v>9955896</v>
      </c>
      <c r="H44" s="162"/>
      <c r="I44" s="159">
        <f t="shared" si="4"/>
        <v>57695317.41</v>
      </c>
      <c r="J44" s="416"/>
      <c r="K44" s="159">
        <f t="shared" si="5"/>
        <v>9938571</v>
      </c>
      <c r="L44" s="231"/>
      <c r="M44" s="161">
        <f t="shared" si="6"/>
        <v>622723.5900000036</v>
      </c>
      <c r="N44" s="162"/>
      <c r="O44" s="161">
        <f t="shared" si="7"/>
        <v>44625</v>
      </c>
      <c r="P44" s="146"/>
      <c r="Q44" s="146"/>
    </row>
    <row r="45" spans="1:17" ht="15">
      <c r="A45" s="146"/>
      <c r="B45" s="146"/>
      <c r="C45" s="146"/>
      <c r="D45" s="152" t="s">
        <v>1642</v>
      </c>
      <c r="E45" s="156">
        <f>SUM(E39:E44)</f>
        <v>68291642</v>
      </c>
      <c r="F45" s="146"/>
      <c r="G45" s="156">
        <f>SUM(G39:G44)</f>
        <v>68291642</v>
      </c>
      <c r="H45" s="146"/>
      <c r="I45" s="158">
        <f>SUM(I39:I44)</f>
        <v>67633888.41</v>
      </c>
      <c r="J45" s="168"/>
      <c r="K45" s="158">
        <f>SUM(K39:K44)</f>
        <v>67633888</v>
      </c>
      <c r="L45" s="156"/>
      <c r="M45" s="156">
        <f>SUM(M39:M44)</f>
        <v>667348.5900000036</v>
      </c>
      <c r="N45" s="146"/>
      <c r="O45" s="156">
        <f>SUM(O39:O44)</f>
        <v>667349</v>
      </c>
      <c r="P45" s="146"/>
      <c r="Q45" s="146"/>
    </row>
    <row r="46" spans="1:17" ht="15">
      <c r="A46" s="146"/>
      <c r="B46" s="146"/>
      <c r="C46" s="146"/>
      <c r="D46" s="152"/>
      <c r="E46" s="156"/>
      <c r="F46" s="146"/>
      <c r="G46" s="156"/>
      <c r="H46" s="146"/>
      <c r="I46" s="158"/>
      <c r="J46" s="168"/>
      <c r="K46" s="158"/>
      <c r="L46" s="156"/>
      <c r="M46" s="146"/>
      <c r="N46" s="146"/>
      <c r="O46" s="146"/>
      <c r="P46" s="146"/>
      <c r="Q46" s="146"/>
    </row>
    <row r="47" spans="1:18" ht="15">
      <c r="A47" s="146"/>
      <c r="B47" s="146"/>
      <c r="C47" s="146"/>
      <c r="D47" s="146"/>
      <c r="E47" s="146"/>
      <c r="F47" s="146"/>
      <c r="G47" s="146"/>
      <c r="H47" s="146"/>
      <c r="I47" s="168"/>
      <c r="J47" s="168"/>
      <c r="K47" s="168"/>
      <c r="L47" s="146"/>
      <c r="M47" s="146"/>
      <c r="N47" s="146"/>
      <c r="O47" s="146"/>
      <c r="P47" s="146"/>
      <c r="Q47" s="857" t="s">
        <v>639</v>
      </c>
      <c r="R47" s="857"/>
    </row>
    <row r="48" spans="1:18" ht="15">
      <c r="A48" s="146" t="s">
        <v>323</v>
      </c>
      <c r="B48" s="146"/>
      <c r="C48" s="146"/>
      <c r="D48" s="146" t="s">
        <v>1532</v>
      </c>
      <c r="E48" s="156">
        <f aca="true" t="shared" si="8" ref="E48:E53">IF(E39-G39&lt;=0,0,E39-G39)</f>
        <v>0</v>
      </c>
      <c r="F48" s="156"/>
      <c r="G48" s="156">
        <f aca="true" t="shared" si="9" ref="G48:G53">IF(G39-E39&lt;=0,0,G39-E39)</f>
        <v>16671430</v>
      </c>
      <c r="H48" s="156"/>
      <c r="I48" s="158">
        <f aca="true" t="shared" si="10" ref="I48:I53">IF(I39-K39&lt;=0,0,I39-K39)</f>
        <v>0</v>
      </c>
      <c r="J48" s="158"/>
      <c r="K48" s="158">
        <f aca="true" t="shared" si="11" ref="K48:K53">IF(K39-I39&lt;=0,0,K39-I39)</f>
        <v>16456736</v>
      </c>
      <c r="L48" s="156"/>
      <c r="M48" s="156">
        <f aca="true" t="shared" si="12" ref="M48:M53">IF(M39-O39&lt;=0,0,M39-O39)</f>
        <v>0</v>
      </c>
      <c r="N48" s="146"/>
      <c r="O48" s="156">
        <f aca="true" t="shared" si="13" ref="O48:O53">IF(O39-M39&lt;=0,0,O39-M39)</f>
        <v>199186</v>
      </c>
      <c r="P48" s="146"/>
      <c r="Q48" s="156">
        <f aca="true" t="shared" si="14" ref="Q48:Q53">E48-I48</f>
        <v>0</v>
      </c>
      <c r="R48" s="156">
        <f aca="true" t="shared" si="15" ref="R48:R53">G48-K48</f>
        <v>214694</v>
      </c>
    </row>
    <row r="49" spans="1:18" ht="15">
      <c r="A49" s="203"/>
      <c r="B49" s="146"/>
      <c r="C49" s="146"/>
      <c r="D49" s="146" t="s">
        <v>1533</v>
      </c>
      <c r="E49" s="156">
        <f t="shared" si="8"/>
        <v>0</v>
      </c>
      <c r="F49" s="156"/>
      <c r="G49" s="156">
        <f t="shared" si="9"/>
        <v>3359035</v>
      </c>
      <c r="H49" s="156"/>
      <c r="I49" s="158">
        <f t="shared" si="10"/>
        <v>0</v>
      </c>
      <c r="J49" s="158"/>
      <c r="K49" s="158">
        <f t="shared" si="11"/>
        <v>3315772</v>
      </c>
      <c r="L49" s="156"/>
      <c r="M49" s="156">
        <f t="shared" si="12"/>
        <v>0</v>
      </c>
      <c r="N49" s="146"/>
      <c r="O49" s="156">
        <f t="shared" si="13"/>
        <v>40138</v>
      </c>
      <c r="P49" s="146"/>
      <c r="Q49" s="156">
        <f t="shared" si="14"/>
        <v>0</v>
      </c>
      <c r="R49" s="156">
        <f t="shared" si="15"/>
        <v>43263</v>
      </c>
    </row>
    <row r="50" spans="1:18" ht="15">
      <c r="A50" s="146"/>
      <c r="B50" s="146"/>
      <c r="C50" s="146"/>
      <c r="D50" s="146" t="s">
        <v>1534</v>
      </c>
      <c r="E50" s="156">
        <f t="shared" si="8"/>
        <v>0</v>
      </c>
      <c r="F50" s="156"/>
      <c r="G50" s="156">
        <f t="shared" si="9"/>
        <v>8556128</v>
      </c>
      <c r="H50" s="156"/>
      <c r="I50" s="158">
        <f t="shared" si="10"/>
        <v>0</v>
      </c>
      <c r="J50" s="158"/>
      <c r="K50" s="158">
        <f t="shared" si="11"/>
        <v>8445926</v>
      </c>
      <c r="L50" s="156"/>
      <c r="M50" s="156">
        <f t="shared" si="12"/>
        <v>0</v>
      </c>
      <c r="N50" s="146"/>
      <c r="O50" s="156">
        <f t="shared" si="13"/>
        <v>102244</v>
      </c>
      <c r="P50" s="146"/>
      <c r="Q50" s="156">
        <f t="shared" si="14"/>
        <v>0</v>
      </c>
      <c r="R50" s="156">
        <f t="shared" si="15"/>
        <v>110202</v>
      </c>
    </row>
    <row r="51" spans="1:18" ht="15">
      <c r="A51" s="146"/>
      <c r="B51" s="146"/>
      <c r="C51" s="146"/>
      <c r="D51" s="146" t="s">
        <v>1536</v>
      </c>
      <c r="E51" s="156">
        <f t="shared" si="8"/>
        <v>0</v>
      </c>
      <c r="F51" s="156"/>
      <c r="G51" s="156">
        <f t="shared" si="9"/>
        <v>10952232</v>
      </c>
      <c r="H51" s="156"/>
      <c r="I51" s="158">
        <f t="shared" si="10"/>
        <v>0</v>
      </c>
      <c r="J51" s="158"/>
      <c r="K51" s="158">
        <f t="shared" si="11"/>
        <v>10811162</v>
      </c>
      <c r="L51" s="156"/>
      <c r="M51" s="156">
        <f>IF(M42-O42&lt;=0,0,M42-O42)</f>
        <v>0</v>
      </c>
      <c r="N51" s="146"/>
      <c r="O51" s="156">
        <f t="shared" si="13"/>
        <v>130881</v>
      </c>
      <c r="P51" s="146"/>
      <c r="Q51" s="156">
        <f t="shared" si="14"/>
        <v>0</v>
      </c>
      <c r="R51" s="156">
        <f t="shared" si="15"/>
        <v>141070</v>
      </c>
    </row>
    <row r="52" spans="1:18" ht="15">
      <c r="A52" s="146"/>
      <c r="B52" s="146"/>
      <c r="C52" s="146"/>
      <c r="D52" s="146" t="s">
        <v>1537</v>
      </c>
      <c r="E52" s="231">
        <f t="shared" si="8"/>
        <v>0</v>
      </c>
      <c r="F52" s="231"/>
      <c r="G52" s="231">
        <f t="shared" si="9"/>
        <v>8841025</v>
      </c>
      <c r="H52" s="231"/>
      <c r="I52" s="160">
        <f t="shared" si="10"/>
        <v>0</v>
      </c>
      <c r="J52" s="160"/>
      <c r="K52" s="160">
        <f t="shared" si="11"/>
        <v>8727150</v>
      </c>
      <c r="L52" s="231"/>
      <c r="M52" s="231">
        <f t="shared" si="12"/>
        <v>0</v>
      </c>
      <c r="N52" s="162"/>
      <c r="O52" s="231">
        <f t="shared" si="13"/>
        <v>105650</v>
      </c>
      <c r="P52" s="146"/>
      <c r="Q52" s="156">
        <f t="shared" si="14"/>
        <v>0</v>
      </c>
      <c r="R52" s="156">
        <f t="shared" si="15"/>
        <v>113875</v>
      </c>
    </row>
    <row r="53" spans="1:18" ht="15">
      <c r="A53" s="146"/>
      <c r="B53" s="146"/>
      <c r="C53" s="146"/>
      <c r="D53" s="146" t="s">
        <v>163</v>
      </c>
      <c r="E53" s="161">
        <f t="shared" si="8"/>
        <v>48379850</v>
      </c>
      <c r="F53" s="156"/>
      <c r="G53" s="161">
        <f t="shared" si="9"/>
        <v>0</v>
      </c>
      <c r="H53" s="156"/>
      <c r="I53" s="159">
        <f t="shared" si="10"/>
        <v>47756746.41</v>
      </c>
      <c r="J53" s="160"/>
      <c r="K53" s="159">
        <f t="shared" si="11"/>
        <v>0</v>
      </c>
      <c r="L53" s="231"/>
      <c r="M53" s="161">
        <f t="shared" si="12"/>
        <v>578098.5900000036</v>
      </c>
      <c r="N53" s="162"/>
      <c r="O53" s="161">
        <f t="shared" si="13"/>
        <v>0</v>
      </c>
      <c r="P53" s="146"/>
      <c r="Q53" s="161">
        <f t="shared" si="14"/>
        <v>623103.5900000036</v>
      </c>
      <c r="R53" s="161">
        <f t="shared" si="15"/>
        <v>0</v>
      </c>
    </row>
    <row r="54" spans="1:19" ht="15">
      <c r="A54" s="146"/>
      <c r="B54" s="146"/>
      <c r="C54" s="146"/>
      <c r="D54" s="152" t="s">
        <v>1642</v>
      </c>
      <c r="E54" s="156">
        <f>SUM(E48:E53)</f>
        <v>48379850</v>
      </c>
      <c r="F54" s="156"/>
      <c r="G54" s="156">
        <f>SUM(G48:G53)</f>
        <v>48379850</v>
      </c>
      <c r="H54" s="156"/>
      <c r="I54" s="158">
        <f>SUM(I48:I53)</f>
        <v>47756746.41</v>
      </c>
      <c r="J54" s="158"/>
      <c r="K54" s="158">
        <f>SUM(K48:K53)</f>
        <v>47756746</v>
      </c>
      <c r="L54" s="156"/>
      <c r="M54" s="156">
        <f>SUM(M48:M53)</f>
        <v>578098.5900000036</v>
      </c>
      <c r="N54" s="146"/>
      <c r="O54" s="156">
        <f>SUM(O48:O53)</f>
        <v>578099</v>
      </c>
      <c r="P54" s="146"/>
      <c r="Q54" s="156">
        <f>SUM(Q48:Q53)</f>
        <v>623103.5900000036</v>
      </c>
      <c r="R54" s="156">
        <f>SUM(R48:R53)</f>
        <v>623104</v>
      </c>
      <c r="S54" s="115">
        <f>Q54-R54</f>
        <v>-0.4099999964237213</v>
      </c>
    </row>
    <row r="55" spans="1:17" ht="15">
      <c r="A55" s="146"/>
      <c r="B55" s="146"/>
      <c r="C55" s="146"/>
      <c r="D55" s="152"/>
      <c r="E55" s="156"/>
      <c r="F55" s="156"/>
      <c r="G55" s="156"/>
      <c r="H55" s="156"/>
      <c r="I55" s="156"/>
      <c r="J55" s="156"/>
      <c r="K55" s="156"/>
      <c r="L55" s="156"/>
      <c r="M55" s="146"/>
      <c r="N55" s="146"/>
      <c r="O55" s="146"/>
      <c r="P55" s="146"/>
      <c r="Q55" s="146"/>
    </row>
    <row r="56" spans="1:17" ht="15">
      <c r="A56" s="8" t="s">
        <v>50</v>
      </c>
      <c r="B56" s="8" t="s">
        <v>47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  <row r="57" spans="2:17" ht="15">
      <c r="B57" s="3" t="s">
        <v>49</v>
      </c>
      <c r="C57" s="3"/>
      <c r="D57" s="3"/>
      <c r="E57" s="3"/>
      <c r="F57" s="3"/>
      <c r="G57" s="3"/>
      <c r="H57" s="168"/>
      <c r="I57" s="168"/>
      <c r="J57" s="168"/>
      <c r="K57" s="168"/>
      <c r="L57" s="146"/>
      <c r="M57" s="146"/>
      <c r="N57" s="146"/>
      <c r="O57" s="146"/>
      <c r="P57" s="146"/>
      <c r="Q57" s="146"/>
    </row>
    <row r="58" spans="2:17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6"/>
      <c r="Q58" s="146"/>
    </row>
    <row r="60" spans="5:15" ht="15">
      <c r="E60" s="156">
        <f aca="true" t="shared" si="16" ref="E60:E65">+E23-I23</f>
        <v>0</v>
      </c>
      <c r="F60" s="156"/>
      <c r="G60" s="156">
        <f aca="true" t="shared" si="17" ref="G60:G65">+I23-E23</f>
        <v>0</v>
      </c>
      <c r="H60" s="156"/>
      <c r="I60" s="156">
        <f aca="true" t="shared" si="18" ref="I60:I65">+G23-K23</f>
        <v>164670</v>
      </c>
      <c r="J60" s="156"/>
      <c r="K60" s="156">
        <f aca="true" t="shared" si="19" ref="K60:K65">+K23-G23</f>
        <v>-164670</v>
      </c>
      <c r="O60" s="115">
        <f>SUM(E60:K60)</f>
        <v>0</v>
      </c>
    </row>
    <row r="61" spans="5:15" ht="15">
      <c r="E61" s="156">
        <f t="shared" si="16"/>
        <v>0</v>
      </c>
      <c r="F61" s="156"/>
      <c r="G61" s="156">
        <f t="shared" si="17"/>
        <v>0</v>
      </c>
      <c r="H61" s="156"/>
      <c r="I61" s="156">
        <f t="shared" si="18"/>
        <v>33180</v>
      </c>
      <c r="J61" s="156"/>
      <c r="K61" s="156">
        <f t="shared" si="19"/>
        <v>-33180</v>
      </c>
      <c r="O61" s="115">
        <f aca="true" t="shared" si="20" ref="O61:O72">SUM(E61:K61)</f>
        <v>0</v>
      </c>
    </row>
    <row r="62" spans="5:15" ht="15">
      <c r="E62" s="156">
        <f t="shared" si="16"/>
        <v>0</v>
      </c>
      <c r="F62" s="156"/>
      <c r="G62" s="156">
        <f t="shared" si="17"/>
        <v>0</v>
      </c>
      <c r="H62" s="156"/>
      <c r="I62" s="156">
        <f t="shared" si="18"/>
        <v>84519</v>
      </c>
      <c r="J62" s="156"/>
      <c r="K62" s="156">
        <f t="shared" si="19"/>
        <v>-84519</v>
      </c>
      <c r="O62" s="115">
        <f t="shared" si="20"/>
        <v>0</v>
      </c>
    </row>
    <row r="63" spans="5:15" ht="15">
      <c r="E63" s="156">
        <f t="shared" si="16"/>
        <v>0</v>
      </c>
      <c r="F63" s="156"/>
      <c r="G63" s="156">
        <f t="shared" si="17"/>
        <v>0</v>
      </c>
      <c r="H63" s="156"/>
      <c r="I63" s="156">
        <f t="shared" si="18"/>
        <v>108183</v>
      </c>
      <c r="J63" s="156"/>
      <c r="K63" s="156">
        <f t="shared" si="19"/>
        <v>-108183</v>
      </c>
      <c r="O63" s="115">
        <f t="shared" si="20"/>
        <v>0</v>
      </c>
    </row>
    <row r="64" spans="5:15" ht="15">
      <c r="E64" s="156">
        <f t="shared" si="16"/>
        <v>0</v>
      </c>
      <c r="F64" s="156"/>
      <c r="G64" s="156">
        <f t="shared" si="17"/>
        <v>0</v>
      </c>
      <c r="H64" s="156"/>
      <c r="I64" s="156">
        <f t="shared" si="18"/>
        <v>87334</v>
      </c>
      <c r="J64" s="156"/>
      <c r="K64" s="156">
        <f t="shared" si="19"/>
        <v>-87334</v>
      </c>
      <c r="O64" s="115">
        <f t="shared" si="20"/>
        <v>0</v>
      </c>
    </row>
    <row r="65" spans="5:15" ht="15">
      <c r="E65" s="156">
        <f t="shared" si="16"/>
        <v>477885.5900000036</v>
      </c>
      <c r="F65" s="156"/>
      <c r="G65" s="156">
        <f t="shared" si="17"/>
        <v>-477885.5900000036</v>
      </c>
      <c r="H65" s="156"/>
      <c r="I65" s="156">
        <f t="shared" si="18"/>
        <v>0</v>
      </c>
      <c r="J65" s="156"/>
      <c r="K65" s="156">
        <f t="shared" si="19"/>
        <v>0</v>
      </c>
      <c r="O65" s="115">
        <f t="shared" si="20"/>
        <v>0</v>
      </c>
    </row>
    <row r="66" ht="15">
      <c r="O66" s="115"/>
    </row>
    <row r="67" spans="5:15" ht="15">
      <c r="E67" s="156">
        <f aca="true" t="shared" si="21" ref="E67:E72">+E15-I15</f>
        <v>-4201</v>
      </c>
      <c r="F67" s="146"/>
      <c r="G67" s="156">
        <f aca="true" t="shared" si="22" ref="G67:G72">+I15-E15</f>
        <v>4201</v>
      </c>
      <c r="H67" s="146"/>
      <c r="I67" s="156">
        <f aca="true" t="shared" si="23" ref="I67:I72">+G15-K15</f>
        <v>-11</v>
      </c>
      <c r="J67" s="146"/>
      <c r="K67" s="156">
        <f aca="true" t="shared" si="24" ref="K67:K72">+K15-G15</f>
        <v>11</v>
      </c>
      <c r="O67" s="115">
        <f t="shared" si="20"/>
        <v>0</v>
      </c>
    </row>
    <row r="68" spans="5:15" ht="15">
      <c r="E68" s="156">
        <f t="shared" si="21"/>
        <v>-846</v>
      </c>
      <c r="F68" s="146"/>
      <c r="G68" s="156">
        <f t="shared" si="22"/>
        <v>846</v>
      </c>
      <c r="H68" s="146"/>
      <c r="I68" s="156">
        <f t="shared" si="23"/>
        <v>-2</v>
      </c>
      <c r="J68" s="146"/>
      <c r="K68" s="156">
        <f t="shared" si="24"/>
        <v>2</v>
      </c>
      <c r="O68" s="115">
        <f t="shared" si="20"/>
        <v>0</v>
      </c>
    </row>
    <row r="69" spans="5:15" ht="15">
      <c r="E69" s="156">
        <f t="shared" si="21"/>
        <v>-2155</v>
      </c>
      <c r="F69" s="146"/>
      <c r="G69" s="156">
        <f t="shared" si="22"/>
        <v>2155</v>
      </c>
      <c r="H69" s="146"/>
      <c r="I69" s="156">
        <f t="shared" si="23"/>
        <v>-6</v>
      </c>
      <c r="J69" s="146"/>
      <c r="K69" s="156">
        <f t="shared" si="24"/>
        <v>6</v>
      </c>
      <c r="O69" s="115">
        <f t="shared" si="20"/>
        <v>0</v>
      </c>
    </row>
    <row r="70" spans="5:15" ht="15">
      <c r="E70" s="156">
        <f t="shared" si="21"/>
        <v>-25</v>
      </c>
      <c r="F70" s="146"/>
      <c r="G70" s="156">
        <f t="shared" si="22"/>
        <v>25</v>
      </c>
      <c r="H70" s="146"/>
      <c r="I70" s="156">
        <f t="shared" si="23"/>
        <v>-9431</v>
      </c>
      <c r="J70" s="146"/>
      <c r="K70" s="156">
        <f t="shared" si="24"/>
        <v>9431</v>
      </c>
      <c r="O70" s="115">
        <f t="shared" si="20"/>
        <v>0</v>
      </c>
    </row>
    <row r="71" spans="5:15" ht="15">
      <c r="E71" s="156">
        <f t="shared" si="21"/>
        <v>-2229</v>
      </c>
      <c r="F71" s="146"/>
      <c r="G71" s="156">
        <f t="shared" si="22"/>
        <v>2229</v>
      </c>
      <c r="H71" s="146"/>
      <c r="I71" s="156">
        <f t="shared" si="23"/>
        <v>-6</v>
      </c>
      <c r="J71" s="146"/>
      <c r="K71" s="156">
        <f t="shared" si="24"/>
        <v>6</v>
      </c>
      <c r="O71" s="115">
        <f t="shared" si="20"/>
        <v>0</v>
      </c>
    </row>
    <row r="72" spans="5:15" ht="15">
      <c r="E72" s="156">
        <f t="shared" si="21"/>
        <v>-9456</v>
      </c>
      <c r="F72" s="146"/>
      <c r="G72" s="156">
        <f t="shared" si="22"/>
        <v>9456</v>
      </c>
      <c r="H72" s="146"/>
      <c r="I72" s="156">
        <f t="shared" si="23"/>
        <v>-9456</v>
      </c>
      <c r="J72" s="146"/>
      <c r="K72" s="156">
        <f t="shared" si="24"/>
        <v>9456</v>
      </c>
      <c r="O72" s="115">
        <f t="shared" si="20"/>
        <v>0</v>
      </c>
    </row>
    <row r="73" spans="5:11" ht="15">
      <c r="E73" s="146"/>
      <c r="F73" s="146"/>
      <c r="G73" s="146"/>
      <c r="H73" s="146"/>
      <c r="I73" s="146"/>
      <c r="J73" s="146"/>
      <c r="K73" s="146"/>
    </row>
    <row r="74" spans="5:11" ht="15">
      <c r="E74" s="146"/>
      <c r="F74" s="146"/>
      <c r="G74" s="146"/>
      <c r="H74" s="146"/>
      <c r="I74" s="146"/>
      <c r="J74" s="146"/>
      <c r="K74" s="146"/>
    </row>
    <row r="75" spans="5:11" ht="15">
      <c r="E75" s="146"/>
      <c r="F75" s="146"/>
      <c r="G75" s="146"/>
      <c r="H75" s="146"/>
      <c r="I75" s="146"/>
      <c r="J75" s="146"/>
      <c r="K75" s="146"/>
    </row>
    <row r="76" spans="5:11" ht="15">
      <c r="E76" s="146"/>
      <c r="F76" s="146"/>
      <c r="G76" s="146"/>
      <c r="H76" s="146"/>
      <c r="I76" s="146"/>
      <c r="J76" s="146"/>
      <c r="K76" s="146"/>
    </row>
  </sheetData>
  <mergeCells count="11">
    <mergeCell ref="Q47:R47"/>
    <mergeCell ref="X12:Y12"/>
    <mergeCell ref="X13:Y13"/>
    <mergeCell ref="Z12:AA12"/>
    <mergeCell ref="Z13:AA13"/>
    <mergeCell ref="AF13:AG13"/>
    <mergeCell ref="Z11:AA11"/>
    <mergeCell ref="AB12:AC12"/>
    <mergeCell ref="AB13:AC13"/>
    <mergeCell ref="AB11:AC11"/>
    <mergeCell ref="AD13:AE13"/>
  </mergeCells>
  <printOptions horizontalCentered="1"/>
  <pageMargins left="0.25" right="0.25" top="0.25" bottom="0.25" header="0" footer="0"/>
  <pageSetup fitToHeight="1" fitToWidth="1" horizontalDpi="600" verticalDpi="600" orientation="portrait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49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317" customWidth="1"/>
    <col min="2" max="2" width="24.57421875" style="317" customWidth="1"/>
    <col min="3" max="3" width="9.140625" style="317" customWidth="1"/>
    <col min="4" max="4" width="8.28125" style="317" customWidth="1"/>
    <col min="5" max="5" width="5.421875" style="317" customWidth="1"/>
    <col min="6" max="6" width="10.00390625" style="317" bestFit="1" customWidth="1"/>
    <col min="7" max="7" width="8.57421875" style="317" bestFit="1" customWidth="1"/>
    <col min="8" max="10" width="8.28125" style="317" bestFit="1" customWidth="1"/>
    <col min="11" max="11" width="8.421875" style="317" bestFit="1" customWidth="1"/>
    <col min="12" max="12" width="9.7109375" style="317" bestFit="1" customWidth="1"/>
    <col min="13" max="13" width="8.8515625" style="317" bestFit="1" customWidth="1"/>
    <col min="14" max="14" width="8.57421875" style="317" bestFit="1" customWidth="1"/>
    <col min="15" max="15" width="9.28125" style="317" customWidth="1"/>
    <col min="16" max="16" width="9.7109375" style="317" bestFit="1" customWidth="1"/>
    <col min="17" max="17" width="8.8515625" style="317" bestFit="1" customWidth="1"/>
    <col min="18" max="18" width="8.28125" style="317" customWidth="1"/>
    <col min="19" max="19" width="10.28125" style="317" customWidth="1"/>
    <col min="20" max="20" width="13.8515625" style="317" bestFit="1" customWidth="1"/>
    <col min="21" max="21" width="13.140625" style="317" bestFit="1" customWidth="1"/>
    <col min="22" max="22" width="12.8515625" style="317" bestFit="1" customWidth="1"/>
    <col min="23" max="23" width="13.140625" style="317" bestFit="1" customWidth="1"/>
    <col min="24" max="24" width="12.8515625" style="317" bestFit="1" customWidth="1"/>
    <col min="25" max="16384" width="10.28125" style="317" customWidth="1"/>
  </cols>
  <sheetData>
    <row r="1" spans="1:18" ht="14.25">
      <c r="A1" s="323" t="s">
        <v>1729</v>
      </c>
      <c r="B1" s="318" t="str">
        <f>INPUT!C1</f>
        <v>February 2009</v>
      </c>
      <c r="C1" s="319" t="s">
        <v>1995</v>
      </c>
      <c r="D1" s="319"/>
      <c r="E1" s="320"/>
      <c r="F1" s="320"/>
      <c r="J1" s="321"/>
      <c r="K1" s="321"/>
      <c r="L1" s="321"/>
      <c r="M1" s="321"/>
      <c r="O1" s="321"/>
      <c r="P1" s="322"/>
      <c r="R1" s="364" t="s">
        <v>310</v>
      </c>
    </row>
    <row r="2" spans="1:18" ht="14.25">
      <c r="A2" s="323"/>
      <c r="B2" s="318"/>
      <c r="C2" s="319" t="s">
        <v>1996</v>
      </c>
      <c r="D2" s="319"/>
      <c r="E2" s="320"/>
      <c r="F2" s="320"/>
      <c r="J2" s="321"/>
      <c r="K2" s="321"/>
      <c r="L2" s="321"/>
      <c r="M2" s="321"/>
      <c r="N2" s="322"/>
      <c r="O2" s="321"/>
      <c r="P2" s="322"/>
      <c r="Q2" s="321"/>
      <c r="R2" s="359" t="s">
        <v>1521</v>
      </c>
    </row>
    <row r="3" spans="2:15" ht="14.25">
      <c r="B3" s="323"/>
      <c r="C3" s="319" t="s">
        <v>1997</v>
      </c>
      <c r="D3" s="319"/>
      <c r="E3" s="320"/>
      <c r="F3" s="320"/>
      <c r="I3" s="319"/>
      <c r="J3" s="324"/>
      <c r="K3" s="324"/>
      <c r="L3" s="324"/>
      <c r="M3" s="321"/>
      <c r="N3" s="322"/>
      <c r="O3" s="321"/>
    </row>
    <row r="4" spans="1:17" ht="15" thickBot="1">
      <c r="A4" s="685"/>
      <c r="B4" s="685"/>
      <c r="H4" s="325"/>
      <c r="I4" s="319"/>
      <c r="J4" s="324"/>
      <c r="K4" s="324"/>
      <c r="L4" s="324"/>
      <c r="M4" s="326"/>
      <c r="N4" s="327"/>
      <c r="O4" s="326"/>
      <c r="P4" s="327"/>
      <c r="Q4" s="326"/>
    </row>
    <row r="5" spans="1:15" ht="14.25">
      <c r="A5" s="328"/>
      <c r="B5" s="320"/>
      <c r="C5" s="320"/>
      <c r="D5" s="320"/>
      <c r="E5" s="320"/>
      <c r="F5" s="320"/>
      <c r="G5" s="329" t="s">
        <v>2033</v>
      </c>
      <c r="H5" s="330"/>
      <c r="I5" s="331"/>
      <c r="J5" s="330"/>
      <c r="K5" s="330"/>
      <c r="L5" s="332"/>
      <c r="O5" s="333" t="s">
        <v>647</v>
      </c>
    </row>
    <row r="6" spans="1:18" s="333" customFormat="1" ht="15" thickBot="1">
      <c r="A6" s="334" t="s">
        <v>648</v>
      </c>
      <c r="E6" s="333" t="s">
        <v>649</v>
      </c>
      <c r="F6" s="335" t="s">
        <v>1637</v>
      </c>
      <c r="G6" s="336">
        <f>INPUT!C5</f>
        <v>0.34458</v>
      </c>
      <c r="H6" s="336">
        <f>INPUT!C6</f>
        <v>0.06943</v>
      </c>
      <c r="I6" s="336">
        <f>INPUT!C7</f>
        <v>0.17686</v>
      </c>
      <c r="J6" s="336">
        <f>INPUT!C8</f>
        <v>0.22638</v>
      </c>
      <c r="K6" s="336">
        <f>INPUT!C9</f>
        <v>0.18275</v>
      </c>
      <c r="L6" s="337">
        <f>SUM(G6:K6)</f>
        <v>1</v>
      </c>
      <c r="M6" s="335"/>
      <c r="N6" s="335"/>
      <c r="O6" s="335"/>
      <c r="P6" s="335"/>
      <c r="Q6" s="335"/>
      <c r="R6" s="335"/>
    </row>
    <row r="7" spans="1:18" s="334" customFormat="1" ht="14.25">
      <c r="A7" s="334" t="s">
        <v>650</v>
      </c>
      <c r="B7" s="334" t="s">
        <v>651</v>
      </c>
      <c r="D7" s="334" t="s">
        <v>652</v>
      </c>
      <c r="E7" s="334" t="s">
        <v>653</v>
      </c>
      <c r="F7" s="334" t="s">
        <v>654</v>
      </c>
      <c r="G7" s="334" t="s">
        <v>1532</v>
      </c>
      <c r="H7" s="334" t="s">
        <v>1533</v>
      </c>
      <c r="I7" s="334" t="s">
        <v>1534</v>
      </c>
      <c r="J7" s="334" t="s">
        <v>1536</v>
      </c>
      <c r="K7" s="334" t="s">
        <v>1537</v>
      </c>
      <c r="L7" s="338" t="s">
        <v>646</v>
      </c>
      <c r="M7" s="334" t="s">
        <v>1532</v>
      </c>
      <c r="N7" s="334" t="s">
        <v>1533</v>
      </c>
      <c r="O7" s="334" t="s">
        <v>1534</v>
      </c>
      <c r="P7" s="334" t="s">
        <v>1536</v>
      </c>
      <c r="Q7" s="334" t="s">
        <v>1537</v>
      </c>
      <c r="R7" s="338" t="s">
        <v>231</v>
      </c>
    </row>
    <row r="8" spans="1:18" s="334" customFormat="1" ht="14.25">
      <c r="A8" s="339"/>
      <c r="B8" s="339" t="s">
        <v>655</v>
      </c>
      <c r="C8" s="339"/>
      <c r="D8" s="339"/>
      <c r="E8" s="339"/>
      <c r="F8" s="340">
        <f>SUM(F9:F80)</f>
        <v>622952.7799999999</v>
      </c>
      <c r="G8" s="340">
        <f aca="true" t="shared" si="0" ref="G8:R8">SUM(G9:G80)</f>
        <v>214656</v>
      </c>
      <c r="H8" s="340">
        <f t="shared" si="0"/>
        <v>43252</v>
      </c>
      <c r="I8" s="340">
        <f t="shared" si="0"/>
        <v>110176</v>
      </c>
      <c r="J8" s="340">
        <f t="shared" si="0"/>
        <v>141026</v>
      </c>
      <c r="K8" s="340">
        <f t="shared" si="0"/>
        <v>113843</v>
      </c>
      <c r="L8" s="340">
        <f t="shared" si="0"/>
        <v>622953</v>
      </c>
      <c r="M8" s="340">
        <f t="shared" si="0"/>
        <v>-214656</v>
      </c>
      <c r="N8" s="340">
        <f t="shared" si="0"/>
        <v>-43252</v>
      </c>
      <c r="O8" s="340">
        <f t="shared" si="0"/>
        <v>-110176</v>
      </c>
      <c r="P8" s="340">
        <f t="shared" si="0"/>
        <v>481927</v>
      </c>
      <c r="Q8" s="340">
        <f t="shared" si="0"/>
        <v>-113843</v>
      </c>
      <c r="R8" s="340">
        <f t="shared" si="0"/>
        <v>0</v>
      </c>
    </row>
    <row r="9" spans="1:18" ht="12.75">
      <c r="A9" s="409" t="s">
        <v>503</v>
      </c>
      <c r="B9" s="412"/>
      <c r="C9" s="412"/>
      <c r="D9" s="412"/>
      <c r="E9" s="412"/>
      <c r="F9" s="412"/>
      <c r="G9" s="409"/>
      <c r="H9" s="412"/>
      <c r="I9" s="412"/>
      <c r="J9" s="412"/>
      <c r="K9" s="412"/>
      <c r="L9" s="412"/>
      <c r="M9" s="409"/>
      <c r="N9" s="412"/>
      <c r="O9" s="412"/>
      <c r="P9" s="412"/>
      <c r="Q9" s="412"/>
      <c r="R9" s="419"/>
    </row>
    <row r="10" spans="1:18" ht="12.75">
      <c r="A10" s="352"/>
      <c r="B10" s="344"/>
      <c r="C10" s="344"/>
      <c r="D10" s="344"/>
      <c r="E10" s="344"/>
      <c r="F10" s="344"/>
      <c r="G10" s="352"/>
      <c r="H10" s="344"/>
      <c r="I10" s="344"/>
      <c r="J10" s="344"/>
      <c r="K10" s="344"/>
      <c r="L10" s="344"/>
      <c r="M10" s="352"/>
      <c r="N10" s="344"/>
      <c r="O10" s="344"/>
      <c r="P10" s="344"/>
      <c r="Q10" s="344"/>
      <c r="R10" s="354"/>
    </row>
    <row r="11" spans="1:24" ht="14.25" hidden="1">
      <c r="A11" s="341" t="s">
        <v>656</v>
      </c>
      <c r="B11" s="342" t="str">
        <f>VLOOKUP(A11,'APPVI VLOOKUP NAMES'!$A$2:$C$289,3,FALSE)</f>
        <v>Allegheny Power GM</v>
      </c>
      <c r="C11" s="345"/>
      <c r="D11" s="344">
        <f aca="true" t="shared" si="1" ref="D11:D17">IF(C11="(2)",4210020,4470066)</f>
        <v>4470066</v>
      </c>
      <c r="E11" s="345" t="s">
        <v>657</v>
      </c>
      <c r="F11" s="410"/>
      <c r="G11" s="347">
        <f>ROUND(+G$6*$F11,0)</f>
        <v>0</v>
      </c>
      <c r="H11" s="322">
        <f>ROUND(+H$6*$F11,0)</f>
        <v>0</v>
      </c>
      <c r="I11" s="322">
        <f>ROUND(+I$6*$F11,0)</f>
        <v>0</v>
      </c>
      <c r="J11" s="322">
        <f>ROUND(+J$6*$F11,0)</f>
        <v>0</v>
      </c>
      <c r="K11" s="322">
        <f>ROUND(+K$6*$F11,0)</f>
        <v>0</v>
      </c>
      <c r="L11" s="322">
        <f aca="true" t="shared" si="2" ref="L11:L48">SUM(G11:K11)</f>
        <v>0</v>
      </c>
      <c r="M11" s="349">
        <f aca="true" t="shared" si="3" ref="M11:M48">IF($E11="02",$L11-G11,-G11)</f>
        <v>0</v>
      </c>
      <c r="N11" s="350">
        <f aca="true" t="shared" si="4" ref="N11:N48">IF($E11="03",$L11-H11,-H11)</f>
        <v>0</v>
      </c>
      <c r="O11" s="350">
        <f aca="true" t="shared" si="5" ref="O11:O48">IF($E11="04",$L11-I11,-I11)</f>
        <v>0</v>
      </c>
      <c r="P11" s="350">
        <f aca="true" t="shared" si="6" ref="P11:P48">IF($E11="07",$L11-J11,-J11)</f>
        <v>0</v>
      </c>
      <c r="Q11" s="350">
        <f aca="true" t="shared" si="7" ref="Q11:Q48">IF($E11="10",$L11-K11,-K11)</f>
        <v>0</v>
      </c>
      <c r="R11" s="351">
        <f aca="true" t="shared" si="8" ref="R11:R48">+Q11+P11+O11+N11+M11</f>
        <v>0</v>
      </c>
      <c r="T11" s="369">
        <f>ROUND(+G$6*$F11,5)</f>
        <v>0</v>
      </c>
      <c r="U11" s="369">
        <f>ROUND(+H$6*$F11,5)</f>
        <v>0</v>
      </c>
      <c r="V11" s="369">
        <f>ROUND(+I$6*$F11,5)</f>
        <v>0</v>
      </c>
      <c r="W11" s="369">
        <f>ROUND(+J$6*$F11,5)</f>
        <v>0</v>
      </c>
      <c r="X11" s="370">
        <f>ROUND(+K$6*$F11,5)</f>
        <v>0</v>
      </c>
    </row>
    <row r="12" spans="1:24" ht="14.25" hidden="1">
      <c r="A12" s="341" t="s">
        <v>703</v>
      </c>
      <c r="B12" s="342" t="str">
        <f>VLOOKUP(A12,'APPVI VLOOKUP NAMES'!$A$2:$C$289,3,FALSE)</f>
        <v>Allegheny Energy</v>
      </c>
      <c r="C12" s="345"/>
      <c r="D12" s="344">
        <f t="shared" si="1"/>
        <v>4470066</v>
      </c>
      <c r="E12" s="345" t="s">
        <v>657</v>
      </c>
      <c r="F12" s="410"/>
      <c r="G12" s="347">
        <f aca="true" t="shared" si="9" ref="G12:H16">ROUND(+G$6*$F12,0)</f>
        <v>0</v>
      </c>
      <c r="H12" s="322">
        <f t="shared" si="9"/>
        <v>0</v>
      </c>
      <c r="I12" s="322">
        <f aca="true" t="shared" si="10" ref="I12:K15">ROUND(+I$6*$F12,0)</f>
        <v>0</v>
      </c>
      <c r="J12" s="322">
        <f>ROUND(+J$6*$F12,0)</f>
        <v>0</v>
      </c>
      <c r="K12" s="322">
        <f t="shared" si="10"/>
        <v>0</v>
      </c>
      <c r="L12" s="411">
        <f t="shared" si="2"/>
        <v>0</v>
      </c>
      <c r="M12" s="349">
        <f t="shared" si="3"/>
        <v>0</v>
      </c>
      <c r="N12" s="350">
        <f t="shared" si="4"/>
        <v>0</v>
      </c>
      <c r="O12" s="350">
        <f t="shared" si="5"/>
        <v>0</v>
      </c>
      <c r="P12" s="350">
        <f t="shared" si="6"/>
        <v>0</v>
      </c>
      <c r="Q12" s="350">
        <f t="shared" si="7"/>
        <v>0</v>
      </c>
      <c r="R12" s="351">
        <f t="shared" si="8"/>
        <v>0</v>
      </c>
      <c r="T12" s="366">
        <f aca="true" t="shared" si="11" ref="T12:X14">ROUND(+G$6*$F12,5)</f>
        <v>0</v>
      </c>
      <c r="U12" s="366">
        <f t="shared" si="11"/>
        <v>0</v>
      </c>
      <c r="V12" s="366">
        <f t="shared" si="11"/>
        <v>0</v>
      </c>
      <c r="W12" s="366">
        <f t="shared" si="11"/>
        <v>0</v>
      </c>
      <c r="X12" s="368">
        <f t="shared" si="11"/>
        <v>0</v>
      </c>
    </row>
    <row r="13" spans="1:24" ht="14.25" hidden="1">
      <c r="A13" s="341" t="s">
        <v>703</v>
      </c>
      <c r="B13" s="342" t="str">
        <f>VLOOKUP(A13,'APPVI VLOOKUP NAMES'!$A$2:$C$289,3,FALSE)</f>
        <v>Allegheny Energy</v>
      </c>
      <c r="C13" s="497"/>
      <c r="D13" s="344">
        <f t="shared" si="1"/>
        <v>4470066</v>
      </c>
      <c r="E13" s="345" t="s">
        <v>657</v>
      </c>
      <c r="F13" s="410"/>
      <c r="G13" s="347">
        <f t="shared" si="9"/>
        <v>0</v>
      </c>
      <c r="H13" s="322">
        <f t="shared" si="9"/>
        <v>0</v>
      </c>
      <c r="I13" s="322">
        <f t="shared" si="10"/>
        <v>0</v>
      </c>
      <c r="J13" s="322">
        <f>ROUND(+J$6*$F13,0)</f>
        <v>0</v>
      </c>
      <c r="K13" s="322">
        <f t="shared" si="10"/>
        <v>0</v>
      </c>
      <c r="L13" s="411">
        <f>SUM(G13:K13)</f>
        <v>0</v>
      </c>
      <c r="M13" s="349">
        <f>IF($E13="02",$L13-G13,-G13)</f>
        <v>0</v>
      </c>
      <c r="N13" s="350">
        <f>IF($E13="03",$L13-H13,-H13)</f>
        <v>0</v>
      </c>
      <c r="O13" s="350">
        <f>IF($E13="04",$L13-I13,-I13)</f>
        <v>0</v>
      </c>
      <c r="P13" s="350">
        <f>IF($E13="07",$L13-J13,-J13)</f>
        <v>0</v>
      </c>
      <c r="Q13" s="350">
        <f>IF($E13="10",$L13-K13,-K13)</f>
        <v>0</v>
      </c>
      <c r="R13" s="351">
        <f>+Q13+P13+O13+N13+M13</f>
        <v>0</v>
      </c>
      <c r="T13" s="366">
        <f>ROUND(+G$6*$F13,5)</f>
        <v>0</v>
      </c>
      <c r="U13" s="366">
        <f>ROUND(+H$6*$F13,5)</f>
        <v>0</v>
      </c>
      <c r="V13" s="366">
        <f>ROUND(+I$6*$F13,5)</f>
        <v>0</v>
      </c>
      <c r="W13" s="366">
        <f>ROUND(+J$6*$F13,5)</f>
        <v>0</v>
      </c>
      <c r="X13" s="368">
        <f>ROUND(+K$6*$F13,5)</f>
        <v>0</v>
      </c>
    </row>
    <row r="14" spans="1:24" ht="14.25" hidden="1">
      <c r="A14" s="341" t="s">
        <v>1789</v>
      </c>
      <c r="B14" s="342" t="str">
        <f>VLOOKUP(A14,'APPVI VLOOKUP NAMES'!$A$2:$C$289,3,FALSE)</f>
        <v>Ameren Energy, Inc.</v>
      </c>
      <c r="C14" s="345"/>
      <c r="D14" s="344">
        <f t="shared" si="1"/>
        <v>4470066</v>
      </c>
      <c r="E14" s="345" t="s">
        <v>662</v>
      </c>
      <c r="F14" s="410"/>
      <c r="G14" s="347">
        <f t="shared" si="9"/>
        <v>0</v>
      </c>
      <c r="H14" s="322">
        <f>ROUND(+H$6*$F14,0)</f>
        <v>0</v>
      </c>
      <c r="I14" s="322">
        <f t="shared" si="10"/>
        <v>0</v>
      </c>
      <c r="J14" s="322">
        <f t="shared" si="10"/>
        <v>0</v>
      </c>
      <c r="K14" s="322">
        <f>ROUND(+K$6*$F14,0)</f>
        <v>0</v>
      </c>
      <c r="L14" s="411">
        <f t="shared" si="2"/>
        <v>0</v>
      </c>
      <c r="M14" s="349">
        <f t="shared" si="3"/>
        <v>0</v>
      </c>
      <c r="N14" s="350">
        <f t="shared" si="4"/>
        <v>0</v>
      </c>
      <c r="O14" s="350">
        <f t="shared" si="5"/>
        <v>0</v>
      </c>
      <c r="P14" s="350">
        <f t="shared" si="6"/>
        <v>0</v>
      </c>
      <c r="Q14" s="350">
        <f t="shared" si="7"/>
        <v>0</v>
      </c>
      <c r="R14" s="351">
        <f t="shared" si="8"/>
        <v>0</v>
      </c>
      <c r="T14" s="366">
        <f t="shared" si="11"/>
        <v>0</v>
      </c>
      <c r="U14" s="366">
        <f t="shared" si="11"/>
        <v>0</v>
      </c>
      <c r="V14" s="366">
        <f t="shared" si="11"/>
        <v>0</v>
      </c>
      <c r="W14" s="366">
        <f t="shared" si="11"/>
        <v>0</v>
      </c>
      <c r="X14" s="368">
        <f t="shared" si="11"/>
        <v>0</v>
      </c>
    </row>
    <row r="15" spans="1:24" ht="14.25" hidden="1">
      <c r="A15" s="341" t="s">
        <v>710</v>
      </c>
      <c r="B15" s="342" t="str">
        <f>VLOOKUP(A15,'APPVI VLOOKUP NAMES'!$A$2:$C$289,3,FALSE)</f>
        <v>Associated Elect Cooperative</v>
      </c>
      <c r="C15" s="345"/>
      <c r="D15" s="344">
        <f t="shared" si="1"/>
        <v>4470066</v>
      </c>
      <c r="E15" s="345" t="s">
        <v>657</v>
      </c>
      <c r="F15" s="410"/>
      <c r="G15" s="347">
        <f t="shared" si="9"/>
        <v>0</v>
      </c>
      <c r="H15" s="322">
        <f t="shared" si="9"/>
        <v>0</v>
      </c>
      <c r="I15" s="322">
        <f t="shared" si="10"/>
        <v>0</v>
      </c>
      <c r="J15" s="322">
        <f t="shared" si="10"/>
        <v>0</v>
      </c>
      <c r="K15" s="322">
        <f t="shared" si="10"/>
        <v>0</v>
      </c>
      <c r="L15" s="411">
        <f t="shared" si="2"/>
        <v>0</v>
      </c>
      <c r="M15" s="349">
        <f t="shared" si="3"/>
        <v>0</v>
      </c>
      <c r="N15" s="350">
        <f t="shared" si="4"/>
        <v>0</v>
      </c>
      <c r="O15" s="350">
        <f t="shared" si="5"/>
        <v>0</v>
      </c>
      <c r="P15" s="350">
        <f t="shared" si="6"/>
        <v>0</v>
      </c>
      <c r="Q15" s="350">
        <f t="shared" si="7"/>
        <v>0</v>
      </c>
      <c r="R15" s="351">
        <f t="shared" si="8"/>
        <v>0</v>
      </c>
      <c r="T15" s="366">
        <f aca="true" t="shared" si="12" ref="T15:X16">ROUND(+G$6*$F15,5)</f>
        <v>0</v>
      </c>
      <c r="U15" s="366">
        <f t="shared" si="12"/>
        <v>0</v>
      </c>
      <c r="V15" s="366">
        <f t="shared" si="12"/>
        <v>0</v>
      </c>
      <c r="W15" s="366">
        <f t="shared" si="12"/>
        <v>0</v>
      </c>
      <c r="X15" s="368">
        <f t="shared" si="12"/>
        <v>0</v>
      </c>
    </row>
    <row r="16" spans="1:24" ht="14.25" hidden="1">
      <c r="A16" s="341" t="s">
        <v>714</v>
      </c>
      <c r="B16" s="342" t="str">
        <f>VLOOKUP(A16,'APPVI VLOOKUP NAMES'!$A$2:$C$289,3,FALSE)</f>
        <v>Arizona Public Svc</v>
      </c>
      <c r="C16" s="345"/>
      <c r="D16" s="344">
        <f t="shared" si="1"/>
        <v>4470066</v>
      </c>
      <c r="E16" s="345" t="s">
        <v>657</v>
      </c>
      <c r="F16" s="410"/>
      <c r="G16" s="347">
        <f t="shared" si="9"/>
        <v>0</v>
      </c>
      <c r="H16" s="322">
        <f t="shared" si="9"/>
        <v>0</v>
      </c>
      <c r="I16" s="322">
        <f aca="true" t="shared" si="13" ref="I16:K17">ROUND(+I$6*$F16,0)</f>
        <v>0</v>
      </c>
      <c r="J16" s="322">
        <f t="shared" si="13"/>
        <v>0</v>
      </c>
      <c r="K16" s="322">
        <f t="shared" si="13"/>
        <v>0</v>
      </c>
      <c r="L16" s="411">
        <f t="shared" si="2"/>
        <v>0</v>
      </c>
      <c r="M16" s="349">
        <f t="shared" si="3"/>
        <v>0</v>
      </c>
      <c r="N16" s="350">
        <f t="shared" si="4"/>
        <v>0</v>
      </c>
      <c r="O16" s="350">
        <f t="shared" si="5"/>
        <v>0</v>
      </c>
      <c r="P16" s="350">
        <f t="shared" si="6"/>
        <v>0</v>
      </c>
      <c r="Q16" s="350">
        <f t="shared" si="7"/>
        <v>0</v>
      </c>
      <c r="R16" s="351">
        <f t="shared" si="8"/>
        <v>0</v>
      </c>
      <c r="T16" s="366">
        <f t="shared" si="12"/>
        <v>0</v>
      </c>
      <c r="U16" s="366">
        <f t="shared" si="12"/>
        <v>0</v>
      </c>
      <c r="V16" s="366">
        <f t="shared" si="12"/>
        <v>0</v>
      </c>
      <c r="W16" s="366">
        <f t="shared" si="12"/>
        <v>0</v>
      </c>
      <c r="X16" s="368">
        <f t="shared" si="12"/>
        <v>0</v>
      </c>
    </row>
    <row r="17" spans="1:24" ht="14.25" hidden="1">
      <c r="A17" s="341" t="s">
        <v>658</v>
      </c>
      <c r="B17" s="342" t="str">
        <f>VLOOKUP(A17,'APPVI VLOOKUP NAMES'!$A$2:$C$289,3,FALSE)</f>
        <v>Progress Energy</v>
      </c>
      <c r="C17" s="556"/>
      <c r="D17" s="344">
        <f t="shared" si="1"/>
        <v>4470066</v>
      </c>
      <c r="E17" s="345" t="s">
        <v>657</v>
      </c>
      <c r="F17" s="826">
        <v>0</v>
      </c>
      <c r="G17" s="347">
        <f>ROUND(+G$6*$F17,0)</f>
        <v>0</v>
      </c>
      <c r="H17" s="322">
        <f>ROUND(+H$6*$F17,0)</f>
        <v>0</v>
      </c>
      <c r="I17" s="322">
        <f>ROUND(+I$6*$F17,0)</f>
        <v>0</v>
      </c>
      <c r="J17" s="322">
        <f t="shared" si="13"/>
        <v>0</v>
      </c>
      <c r="K17" s="322">
        <f>ROUND(+K$6*$F17,0)</f>
        <v>0</v>
      </c>
      <c r="L17" s="411">
        <f>SUM(G17:K17)</f>
        <v>0</v>
      </c>
      <c r="M17" s="349">
        <f t="shared" si="3"/>
        <v>0</v>
      </c>
      <c r="N17" s="350">
        <f t="shared" si="4"/>
        <v>0</v>
      </c>
      <c r="O17" s="350">
        <f t="shared" si="5"/>
        <v>0</v>
      </c>
      <c r="P17" s="350">
        <f t="shared" si="6"/>
        <v>0</v>
      </c>
      <c r="Q17" s="350">
        <f t="shared" si="7"/>
        <v>0</v>
      </c>
      <c r="R17" s="351">
        <f t="shared" si="8"/>
        <v>0</v>
      </c>
      <c r="T17" s="366">
        <f aca="true" t="shared" si="14" ref="T17:X18">ROUND(+G$6*$F17,5)</f>
        <v>0</v>
      </c>
      <c r="U17" s="366">
        <f t="shared" si="14"/>
        <v>0</v>
      </c>
      <c r="V17" s="366">
        <f t="shared" si="14"/>
        <v>0</v>
      </c>
      <c r="W17" s="366">
        <f t="shared" si="14"/>
        <v>0</v>
      </c>
      <c r="X17" s="368">
        <f t="shared" si="14"/>
        <v>0</v>
      </c>
    </row>
    <row r="18" spans="1:24" ht="14.25" hidden="1">
      <c r="A18" s="341" t="s">
        <v>660</v>
      </c>
      <c r="B18" s="342" t="str">
        <f>VLOOKUP(A18,'APPVI VLOOKUP NAMES'!$A$2:$C$289,3,FALSE)</f>
        <v>Cinergy Power Mktg &amp; Trading</v>
      </c>
      <c r="C18" s="554"/>
      <c r="D18" s="344">
        <v>4470066</v>
      </c>
      <c r="E18" s="345" t="s">
        <v>657</v>
      </c>
      <c r="F18" s="410"/>
      <c r="G18" s="347">
        <f aca="true" t="shared" si="15" ref="G18:G23">ROUND(+G$6*$F18,0)</f>
        <v>0</v>
      </c>
      <c r="H18" s="322">
        <f aca="true" t="shared" si="16" ref="H18:J19">ROUND(+H$6*$F18,0)</f>
        <v>0</v>
      </c>
      <c r="I18" s="322">
        <f t="shared" si="16"/>
        <v>0</v>
      </c>
      <c r="J18" s="322">
        <f t="shared" si="16"/>
        <v>0</v>
      </c>
      <c r="K18" s="322">
        <f aca="true" t="shared" si="17" ref="K18:K23">ROUND(+K$6*$F18,0)</f>
        <v>0</v>
      </c>
      <c r="L18" s="411">
        <f t="shared" si="2"/>
        <v>0</v>
      </c>
      <c r="M18" s="349">
        <f t="shared" si="3"/>
        <v>0</v>
      </c>
      <c r="N18" s="350">
        <f t="shared" si="4"/>
        <v>0</v>
      </c>
      <c r="O18" s="350">
        <f t="shared" si="5"/>
        <v>0</v>
      </c>
      <c r="P18" s="350">
        <f t="shared" si="6"/>
        <v>0</v>
      </c>
      <c r="Q18" s="350">
        <f t="shared" si="7"/>
        <v>0</v>
      </c>
      <c r="R18" s="351">
        <f t="shared" si="8"/>
        <v>0</v>
      </c>
      <c r="T18" s="366">
        <f t="shared" si="14"/>
        <v>0</v>
      </c>
      <c r="U18" s="366">
        <f t="shared" si="14"/>
        <v>0</v>
      </c>
      <c r="V18" s="366">
        <f t="shared" si="14"/>
        <v>0</v>
      </c>
      <c r="W18" s="366">
        <f t="shared" si="14"/>
        <v>0</v>
      </c>
      <c r="X18" s="368">
        <f t="shared" si="14"/>
        <v>0</v>
      </c>
    </row>
    <row r="19" spans="1:24" ht="14.25" hidden="1">
      <c r="A19" s="341" t="s">
        <v>759</v>
      </c>
      <c r="B19" s="342" t="str">
        <f>VLOOKUP(A19,'APPVI VLOOKUP NAMES'!$A$2:$C$289,3,FALSE)</f>
        <v>Consumers Energy Traders</v>
      </c>
      <c r="C19" s="345"/>
      <c r="D19" s="344">
        <f>IF(C19="(2)",4210020,4470066)</f>
        <v>4470066</v>
      </c>
      <c r="E19" s="345" t="s">
        <v>662</v>
      </c>
      <c r="F19" s="410"/>
      <c r="G19" s="347">
        <f t="shared" si="15"/>
        <v>0</v>
      </c>
      <c r="H19" s="322">
        <f t="shared" si="16"/>
        <v>0</v>
      </c>
      <c r="I19" s="322">
        <f t="shared" si="16"/>
        <v>0</v>
      </c>
      <c r="J19" s="322">
        <f t="shared" si="16"/>
        <v>0</v>
      </c>
      <c r="K19" s="322">
        <f t="shared" si="17"/>
        <v>0</v>
      </c>
      <c r="L19" s="411">
        <f t="shared" si="2"/>
        <v>0</v>
      </c>
      <c r="M19" s="349">
        <f t="shared" si="3"/>
        <v>0</v>
      </c>
      <c r="N19" s="350">
        <f t="shared" si="4"/>
        <v>0</v>
      </c>
      <c r="O19" s="350">
        <f t="shared" si="5"/>
        <v>0</v>
      </c>
      <c r="P19" s="350">
        <f t="shared" si="6"/>
        <v>0</v>
      </c>
      <c r="Q19" s="350">
        <f t="shared" si="7"/>
        <v>0</v>
      </c>
      <c r="R19" s="351">
        <f t="shared" si="8"/>
        <v>0</v>
      </c>
      <c r="T19" s="366">
        <f>ROUND(+G$6*$F19,5)</f>
        <v>0</v>
      </c>
      <c r="U19" s="366">
        <f>ROUND(+H$6*$F19,5)</f>
        <v>0</v>
      </c>
      <c r="V19" s="366">
        <f>ROUND(+I$6*$F19,5)</f>
        <v>0</v>
      </c>
      <c r="W19" s="366">
        <f>ROUND(+J$6*$F19,5)</f>
        <v>0</v>
      </c>
      <c r="X19" s="368">
        <f>ROUND(+K$6*$F19,5)</f>
        <v>0</v>
      </c>
    </row>
    <row r="20" spans="1:24" ht="14.25" hidden="1">
      <c r="A20" s="341" t="s">
        <v>661</v>
      </c>
      <c r="B20" s="342" t="str">
        <f>VLOOKUP(A20,'APPVI VLOOKUP NAMES'!$A$2:$C$289,3,FALSE)</f>
        <v>ComEd Wholesale Marketing</v>
      </c>
      <c r="C20" s="556"/>
      <c r="D20" s="344">
        <f>IF(C20="(2)",4210020,4470066)</f>
        <v>4470066</v>
      </c>
      <c r="E20" s="345" t="s">
        <v>662</v>
      </c>
      <c r="F20" s="410"/>
      <c r="G20" s="347">
        <f t="shared" si="15"/>
        <v>0</v>
      </c>
      <c r="H20" s="322">
        <f aca="true" t="shared" si="18" ref="H20:J21">ROUND(+H$6*$F20,0)</f>
        <v>0</v>
      </c>
      <c r="I20" s="322">
        <f t="shared" si="18"/>
        <v>0</v>
      </c>
      <c r="J20" s="322">
        <f t="shared" si="18"/>
        <v>0</v>
      </c>
      <c r="K20" s="322">
        <f t="shared" si="17"/>
        <v>0</v>
      </c>
      <c r="L20" s="411">
        <f t="shared" si="2"/>
        <v>0</v>
      </c>
      <c r="M20" s="349">
        <f t="shared" si="3"/>
        <v>0</v>
      </c>
      <c r="N20" s="350">
        <f t="shared" si="4"/>
        <v>0</v>
      </c>
      <c r="O20" s="350">
        <f t="shared" si="5"/>
        <v>0</v>
      </c>
      <c r="P20" s="350">
        <f t="shared" si="6"/>
        <v>0</v>
      </c>
      <c r="Q20" s="350">
        <f t="shared" si="7"/>
        <v>0</v>
      </c>
      <c r="R20" s="351">
        <f t="shared" si="8"/>
        <v>0</v>
      </c>
      <c r="T20" s="366">
        <f aca="true" t="shared" si="19" ref="T20:T25">ROUND(+G$6*$F20,5)</f>
        <v>0</v>
      </c>
      <c r="U20" s="366">
        <f aca="true" t="shared" si="20" ref="U20:U25">ROUND(+H$6*$F20,5)</f>
        <v>0</v>
      </c>
      <c r="V20" s="366">
        <f aca="true" t="shared" si="21" ref="V20:V25">ROUND(+I$6*$F20,5)</f>
        <v>0</v>
      </c>
      <c r="W20" s="366">
        <f aca="true" t="shared" si="22" ref="W20:W25">ROUND(+J$6*$F20,5)</f>
        <v>0</v>
      </c>
      <c r="X20" s="368">
        <f aca="true" t="shared" si="23" ref="X20:X25">ROUND(+K$6*$F20,5)</f>
        <v>0</v>
      </c>
    </row>
    <row r="21" spans="1:24" ht="14.25" hidden="1">
      <c r="A21" s="341" t="s">
        <v>791</v>
      </c>
      <c r="B21" s="342" t="str">
        <f>VLOOKUP(A21,'APPVI VLOOKUP NAMES'!$A$2:$C$289,3,FALSE)</f>
        <v>Constellation Power Source</v>
      </c>
      <c r="C21" s="345"/>
      <c r="D21" s="344">
        <f>IF(C21="(2)",4210020,4470066)</f>
        <v>4470066</v>
      </c>
      <c r="E21" s="345" t="s">
        <v>657</v>
      </c>
      <c r="F21" s="410"/>
      <c r="G21" s="347">
        <f t="shared" si="15"/>
        <v>0</v>
      </c>
      <c r="H21" s="322">
        <f t="shared" si="18"/>
        <v>0</v>
      </c>
      <c r="I21" s="322">
        <f t="shared" si="18"/>
        <v>0</v>
      </c>
      <c r="J21" s="322">
        <f t="shared" si="18"/>
        <v>0</v>
      </c>
      <c r="K21" s="322">
        <f t="shared" si="17"/>
        <v>0</v>
      </c>
      <c r="L21" s="411">
        <f t="shared" si="2"/>
        <v>0</v>
      </c>
      <c r="M21" s="349">
        <f t="shared" si="3"/>
        <v>0</v>
      </c>
      <c r="N21" s="350">
        <f t="shared" si="4"/>
        <v>0</v>
      </c>
      <c r="O21" s="350">
        <f t="shared" si="5"/>
        <v>0</v>
      </c>
      <c r="P21" s="350">
        <f t="shared" si="6"/>
        <v>0</v>
      </c>
      <c r="Q21" s="350">
        <f t="shared" si="7"/>
        <v>0</v>
      </c>
      <c r="R21" s="351">
        <f t="shared" si="8"/>
        <v>0</v>
      </c>
      <c r="T21" s="366">
        <f t="shared" si="19"/>
        <v>0</v>
      </c>
      <c r="U21" s="366">
        <f t="shared" si="20"/>
        <v>0</v>
      </c>
      <c r="V21" s="366">
        <f t="shared" si="21"/>
        <v>0</v>
      </c>
      <c r="W21" s="366">
        <f t="shared" si="22"/>
        <v>0</v>
      </c>
      <c r="X21" s="368">
        <f t="shared" si="23"/>
        <v>0</v>
      </c>
    </row>
    <row r="22" spans="1:24" ht="14.25" hidden="1">
      <c r="A22" s="341" t="s">
        <v>855</v>
      </c>
      <c r="B22" s="342" t="str">
        <f>VLOOKUP(A22,'APPVI VLOOKUP NAMES'!$A$2:$C$289,3,FALSE)</f>
        <v>Detroit Edison Merch</v>
      </c>
      <c r="C22" s="554"/>
      <c r="D22" s="344">
        <f>IF(C22="(2)",4210020,4470066)</f>
        <v>4470066</v>
      </c>
      <c r="E22" s="345" t="s">
        <v>662</v>
      </c>
      <c r="F22" s="410"/>
      <c r="G22" s="347">
        <f t="shared" si="15"/>
        <v>0</v>
      </c>
      <c r="H22" s="322">
        <f aca="true" t="shared" si="24" ref="H22:J23">ROUND(+H$6*$F22,0)</f>
        <v>0</v>
      </c>
      <c r="I22" s="322">
        <f t="shared" si="24"/>
        <v>0</v>
      </c>
      <c r="J22" s="322">
        <f t="shared" si="24"/>
        <v>0</v>
      </c>
      <c r="K22" s="322">
        <f t="shared" si="17"/>
        <v>0</v>
      </c>
      <c r="L22" s="411">
        <f t="shared" si="2"/>
        <v>0</v>
      </c>
      <c r="M22" s="349">
        <f t="shared" si="3"/>
        <v>0</v>
      </c>
      <c r="N22" s="350">
        <f t="shared" si="4"/>
        <v>0</v>
      </c>
      <c r="O22" s="350">
        <f t="shared" si="5"/>
        <v>0</v>
      </c>
      <c r="P22" s="350">
        <f t="shared" si="6"/>
        <v>0</v>
      </c>
      <c r="Q22" s="350">
        <f t="shared" si="7"/>
        <v>0</v>
      </c>
      <c r="R22" s="351">
        <f t="shared" si="8"/>
        <v>0</v>
      </c>
      <c r="T22" s="366">
        <f t="shared" si="19"/>
        <v>0</v>
      </c>
      <c r="U22" s="366">
        <f t="shared" si="20"/>
        <v>0</v>
      </c>
      <c r="V22" s="366">
        <f t="shared" si="21"/>
        <v>0</v>
      </c>
      <c r="W22" s="366">
        <f t="shared" si="22"/>
        <v>0</v>
      </c>
      <c r="X22" s="368">
        <f t="shared" si="23"/>
        <v>0</v>
      </c>
    </row>
    <row r="23" spans="1:24" ht="14.25">
      <c r="A23" s="341" t="s">
        <v>1840</v>
      </c>
      <c r="B23" s="342" t="str">
        <f>VLOOKUP(A23,'APPVI VLOOKUP NAMES'!$A$2:$C$289,3,FALSE)</f>
        <v>Duke Power Company</v>
      </c>
      <c r="C23" s="554" t="s">
        <v>1778</v>
      </c>
      <c r="D23" s="344">
        <v>4470066</v>
      </c>
      <c r="E23" s="345" t="s">
        <v>657</v>
      </c>
      <c r="F23" s="826">
        <v>26476.31</v>
      </c>
      <c r="G23" s="347">
        <f t="shared" si="15"/>
        <v>9123</v>
      </c>
      <c r="H23" s="322">
        <f>ROUND(+H$6*$F23,0)-1</f>
        <v>1837</v>
      </c>
      <c r="I23" s="322">
        <f t="shared" si="24"/>
        <v>4683</v>
      </c>
      <c r="J23" s="322">
        <f>ROUND(+J$6*$F23,0)</f>
        <v>5994</v>
      </c>
      <c r="K23" s="322">
        <f t="shared" si="17"/>
        <v>4839</v>
      </c>
      <c r="L23" s="411">
        <f>SUM(G23:K23)</f>
        <v>26476</v>
      </c>
      <c r="M23" s="349">
        <f>IF($E23="02",$L23-G23,-G23)</f>
        <v>-9123</v>
      </c>
      <c r="N23" s="350">
        <f>IF($E23="03",$L23-H23,-H23)</f>
        <v>-1837</v>
      </c>
      <c r="O23" s="350">
        <f>IF($E23="04",$L23-I23,-I23)</f>
        <v>-4683</v>
      </c>
      <c r="P23" s="350">
        <f>IF($E23="07",$L23-J23,-J23)</f>
        <v>20482</v>
      </c>
      <c r="Q23" s="350">
        <f>IF($E23="10",$L23-K23,-K23)</f>
        <v>-4839</v>
      </c>
      <c r="R23" s="351">
        <f>+Q23+P23+O23+N23+M23</f>
        <v>0</v>
      </c>
      <c r="T23" s="366">
        <f t="shared" si="19"/>
        <v>9123.2069</v>
      </c>
      <c r="U23" s="366">
        <f>ROUND(+H$6*$F23,5)</f>
        <v>1838.2502</v>
      </c>
      <c r="V23" s="366">
        <f t="shared" si="21"/>
        <v>4682.60019</v>
      </c>
      <c r="W23" s="366">
        <f t="shared" si="22"/>
        <v>5993.70706</v>
      </c>
      <c r="X23" s="368">
        <f t="shared" si="23"/>
        <v>4838.54565</v>
      </c>
    </row>
    <row r="24" spans="1:24" ht="14.25" hidden="1">
      <c r="A24" s="341" t="s">
        <v>1559</v>
      </c>
      <c r="B24" s="342" t="str">
        <f>VLOOKUP(A24,'APPVI VLOOKUP NAMES'!$A$2:$C$289,3,FALSE)</f>
        <v>Engage Energy America, LLC</v>
      </c>
      <c r="C24" s="345"/>
      <c r="D24" s="344">
        <v>4470066</v>
      </c>
      <c r="E24" s="345" t="s">
        <v>657</v>
      </c>
      <c r="F24" s="826"/>
      <c r="G24" s="347">
        <f aca="true" t="shared" si="25" ref="G24:H27">ROUND(+G$6*$F24,0)</f>
        <v>0</v>
      </c>
      <c r="H24" s="322">
        <f t="shared" si="25"/>
        <v>0</v>
      </c>
      <c r="I24" s="322">
        <f aca="true" t="shared" si="26" ref="I24:K25">ROUND(+I$6*$F24,0)</f>
        <v>0</v>
      </c>
      <c r="J24" s="322">
        <f t="shared" si="26"/>
        <v>0</v>
      </c>
      <c r="K24" s="322">
        <f t="shared" si="26"/>
        <v>0</v>
      </c>
      <c r="L24" s="411">
        <f t="shared" si="2"/>
        <v>0</v>
      </c>
      <c r="M24" s="349">
        <f t="shared" si="3"/>
        <v>0</v>
      </c>
      <c r="N24" s="350">
        <f t="shared" si="4"/>
        <v>0</v>
      </c>
      <c r="O24" s="350">
        <f t="shared" si="5"/>
        <v>0</v>
      </c>
      <c r="P24" s="350">
        <f t="shared" si="6"/>
        <v>0</v>
      </c>
      <c r="Q24" s="350">
        <f t="shared" si="7"/>
        <v>0</v>
      </c>
      <c r="R24" s="351">
        <f t="shared" si="8"/>
        <v>0</v>
      </c>
      <c r="T24" s="366">
        <f t="shared" si="19"/>
        <v>0</v>
      </c>
      <c r="U24" s="366">
        <f t="shared" si="20"/>
        <v>0</v>
      </c>
      <c r="V24" s="366">
        <f t="shared" si="21"/>
        <v>0</v>
      </c>
      <c r="W24" s="366">
        <f t="shared" si="22"/>
        <v>0</v>
      </c>
      <c r="X24" s="368">
        <f t="shared" si="23"/>
        <v>0</v>
      </c>
    </row>
    <row r="25" spans="1:24" ht="14.25" hidden="1">
      <c r="A25" s="341" t="s">
        <v>877</v>
      </c>
      <c r="B25" s="342" t="str">
        <f>VLOOKUP(A25,'APPVI VLOOKUP NAMES'!$A$2:$C$289,3,FALSE)</f>
        <v>East KY Power Co-Op Power Mktg</v>
      </c>
      <c r="C25" s="345"/>
      <c r="D25" s="344">
        <v>4470066</v>
      </c>
      <c r="E25" s="345" t="s">
        <v>657</v>
      </c>
      <c r="F25" s="826"/>
      <c r="G25" s="347">
        <f t="shared" si="25"/>
        <v>0</v>
      </c>
      <c r="H25" s="322">
        <f t="shared" si="25"/>
        <v>0</v>
      </c>
      <c r="I25" s="322">
        <f t="shared" si="26"/>
        <v>0</v>
      </c>
      <c r="J25" s="322">
        <f t="shared" si="26"/>
        <v>0</v>
      </c>
      <c r="K25" s="322">
        <f aca="true" t="shared" si="27" ref="K25:K31">ROUND(+K$6*$F25,0)</f>
        <v>0</v>
      </c>
      <c r="L25" s="411">
        <f>SUM(G25:K25)</f>
        <v>0</v>
      </c>
      <c r="M25" s="349">
        <f>IF($E25="02",$L25-G25,-G25)</f>
        <v>0</v>
      </c>
      <c r="N25" s="350">
        <f>IF($E25="03",$L25-H25,-H25)</f>
        <v>0</v>
      </c>
      <c r="O25" s="350">
        <f>IF($E25="04",$L25-I25,-I25)</f>
        <v>0</v>
      </c>
      <c r="P25" s="350">
        <f>IF($E25="07",$L25-J25,-J25)</f>
        <v>0</v>
      </c>
      <c r="Q25" s="350">
        <f>IF($E25="10",$L25-K25,-K25)</f>
        <v>0</v>
      </c>
      <c r="R25" s="351">
        <f>+Q25+P25+O25+N25+M25</f>
        <v>0</v>
      </c>
      <c r="T25" s="366">
        <f t="shared" si="19"/>
        <v>0</v>
      </c>
      <c r="U25" s="366">
        <f t="shared" si="20"/>
        <v>0</v>
      </c>
      <c r="V25" s="366">
        <f t="shared" si="21"/>
        <v>0</v>
      </c>
      <c r="W25" s="366">
        <f t="shared" si="22"/>
        <v>0</v>
      </c>
      <c r="X25" s="368">
        <f t="shared" si="23"/>
        <v>0</v>
      </c>
    </row>
    <row r="26" spans="1:24" ht="14.25">
      <c r="A26" s="341" t="s">
        <v>663</v>
      </c>
      <c r="B26" s="342" t="str">
        <f>VLOOKUP(A26,'APPVI VLOOKUP NAMES'!$A$2:$C$289,3,FALSE)</f>
        <v>Entergy Power Serv</v>
      </c>
      <c r="C26" s="554" t="s">
        <v>1777</v>
      </c>
      <c r="D26" s="344">
        <v>4470066</v>
      </c>
      <c r="E26" s="345" t="s">
        <v>657</v>
      </c>
      <c r="F26" s="826">
        <v>355940.97</v>
      </c>
      <c r="G26" s="347">
        <f>ROUND(+G$6*$F26,0)</f>
        <v>122650</v>
      </c>
      <c r="H26" s="322">
        <f t="shared" si="25"/>
        <v>24713</v>
      </c>
      <c r="I26" s="322">
        <f>ROUND(+I$6*$F26,0)</f>
        <v>62952</v>
      </c>
      <c r="J26" s="322">
        <f>ROUND(+J$6*$F26,0)</f>
        <v>80578</v>
      </c>
      <c r="K26" s="322">
        <f>ROUND(+K$6*$F26,0)</f>
        <v>65048</v>
      </c>
      <c r="L26" s="411">
        <f t="shared" si="2"/>
        <v>355941</v>
      </c>
      <c r="M26" s="349">
        <f t="shared" si="3"/>
        <v>-122650</v>
      </c>
      <c r="N26" s="350">
        <f t="shared" si="4"/>
        <v>-24713</v>
      </c>
      <c r="O26" s="350">
        <f t="shared" si="5"/>
        <v>-62952</v>
      </c>
      <c r="P26" s="350">
        <f t="shared" si="6"/>
        <v>275363</v>
      </c>
      <c r="Q26" s="350">
        <f t="shared" si="7"/>
        <v>-65048</v>
      </c>
      <c r="R26" s="351">
        <f t="shared" si="8"/>
        <v>0</v>
      </c>
      <c r="T26" s="366">
        <f>ROUND(+G$6*$F26,5)</f>
        <v>122650.13944</v>
      </c>
      <c r="U26" s="366">
        <f>ROUND(+H$6*$F26,5)</f>
        <v>24712.98155</v>
      </c>
      <c r="V26" s="366">
        <f>ROUND(+I$6*$F26,5)</f>
        <v>62951.71995</v>
      </c>
      <c r="W26" s="366">
        <f>ROUND(+J$6*$F26,5)</f>
        <v>80577.91679</v>
      </c>
      <c r="X26" s="368">
        <f>ROUND(+K$6*$F26,5)</f>
        <v>65048.21227</v>
      </c>
    </row>
    <row r="27" spans="1:24" ht="14.25" hidden="1">
      <c r="A27" s="341" t="s">
        <v>663</v>
      </c>
      <c r="B27" s="342" t="str">
        <f>VLOOKUP(A27,'APPVI VLOOKUP NAMES'!$A$2:$C$289,3,FALSE)</f>
        <v>Entergy Power Serv</v>
      </c>
      <c r="C27" s="345"/>
      <c r="D27" s="344">
        <v>4470066</v>
      </c>
      <c r="E27" s="345" t="s">
        <v>657</v>
      </c>
      <c r="F27" s="826"/>
      <c r="G27" s="347">
        <f t="shared" si="25"/>
        <v>0</v>
      </c>
      <c r="H27" s="322">
        <f t="shared" si="25"/>
        <v>0</v>
      </c>
      <c r="I27" s="322">
        <f>ROUND(+I$6*$F27,0)</f>
        <v>0</v>
      </c>
      <c r="J27" s="322">
        <f>ROUND(+J$6*$F27,0)</f>
        <v>0</v>
      </c>
      <c r="K27" s="322">
        <f t="shared" si="27"/>
        <v>0</v>
      </c>
      <c r="L27" s="411">
        <f>SUM(G27:K27)</f>
        <v>0</v>
      </c>
      <c r="M27" s="349">
        <f>IF($E27="02",$L27-G27,-G27)</f>
        <v>0</v>
      </c>
      <c r="N27" s="350">
        <f>IF($E27="03",$L27-H27,-H27)</f>
        <v>0</v>
      </c>
      <c r="O27" s="350">
        <f>IF($E27="04",$L27-I27,-I27)</f>
        <v>0</v>
      </c>
      <c r="P27" s="350">
        <f>IF($E27="07",$L27-J27,-J27)</f>
        <v>0</v>
      </c>
      <c r="Q27" s="350">
        <f>IF($E27="10",$L27-K27,-K27)</f>
        <v>0</v>
      </c>
      <c r="R27" s="351">
        <f>+Q27+P27+O27+N27+M27</f>
        <v>0</v>
      </c>
      <c r="T27" s="366">
        <f aca="true" t="shared" si="28" ref="T27:X31">ROUND(+G$6*$F27,5)</f>
        <v>0</v>
      </c>
      <c r="U27" s="366">
        <f t="shared" si="28"/>
        <v>0</v>
      </c>
      <c r="V27" s="366">
        <f t="shared" si="28"/>
        <v>0</v>
      </c>
      <c r="W27" s="366">
        <f t="shared" si="28"/>
        <v>0</v>
      </c>
      <c r="X27" s="368">
        <f t="shared" si="28"/>
        <v>0</v>
      </c>
    </row>
    <row r="28" spans="1:24" ht="14.25" customHeight="1" hidden="1">
      <c r="A28" s="341" t="s">
        <v>1522</v>
      </c>
      <c r="B28" s="342" t="str">
        <f>VLOOKUP(A28,'APPVI VLOOKUP NAMES'!$A$2:$C$289,3,FALSE)</f>
        <v>ERCOT ISO</v>
      </c>
      <c r="C28" s="343"/>
      <c r="D28" s="344">
        <v>4470066</v>
      </c>
      <c r="E28" s="345" t="s">
        <v>657</v>
      </c>
      <c r="F28" s="826"/>
      <c r="G28" s="347">
        <f aca="true" t="shared" si="29" ref="G28:G38">ROUND(+G$6*$F28,0)</f>
        <v>0</v>
      </c>
      <c r="H28" s="322">
        <f aca="true" t="shared" si="30" ref="H28:I30">ROUND(+H$6*$F28,0)</f>
        <v>0</v>
      </c>
      <c r="I28" s="322">
        <f t="shared" si="30"/>
        <v>0</v>
      </c>
      <c r="J28" s="322">
        <f>ROUND(+J$6*$F28,0)</f>
        <v>0</v>
      </c>
      <c r="K28" s="322">
        <f t="shared" si="27"/>
        <v>0</v>
      </c>
      <c r="L28" s="411">
        <f t="shared" si="2"/>
        <v>0</v>
      </c>
      <c r="M28" s="349">
        <f t="shared" si="3"/>
        <v>0</v>
      </c>
      <c r="N28" s="350">
        <f t="shared" si="4"/>
        <v>0</v>
      </c>
      <c r="O28" s="350">
        <f t="shared" si="5"/>
        <v>0</v>
      </c>
      <c r="P28" s="350">
        <f t="shared" si="6"/>
        <v>0</v>
      </c>
      <c r="Q28" s="350">
        <f t="shared" si="7"/>
        <v>0</v>
      </c>
      <c r="R28" s="351">
        <f t="shared" si="8"/>
        <v>0</v>
      </c>
      <c r="T28" s="366">
        <f t="shared" si="28"/>
        <v>0</v>
      </c>
      <c r="U28" s="366">
        <f t="shared" si="28"/>
        <v>0</v>
      </c>
      <c r="V28" s="366">
        <f t="shared" si="28"/>
        <v>0</v>
      </c>
      <c r="W28" s="366">
        <f t="shared" si="28"/>
        <v>0</v>
      </c>
      <c r="X28" s="368">
        <f t="shared" si="28"/>
        <v>0</v>
      </c>
    </row>
    <row r="29" spans="1:24" ht="14.25" hidden="1">
      <c r="A29" s="341" t="s">
        <v>1420</v>
      </c>
      <c r="B29" s="342" t="str">
        <f>VLOOKUP(A29,'APPVI VLOOKUP NAMES'!$A$2:$C$289,3,FALSE)</f>
        <v>Exelon Generation Company</v>
      </c>
      <c r="C29" s="554"/>
      <c r="D29" s="344">
        <v>4470066</v>
      </c>
      <c r="E29" s="345" t="s">
        <v>657</v>
      </c>
      <c r="F29" s="826"/>
      <c r="G29" s="347">
        <f t="shared" si="29"/>
        <v>0</v>
      </c>
      <c r="H29" s="322">
        <f>ROUND(+H$6*$F29,0)</f>
        <v>0</v>
      </c>
      <c r="I29" s="322">
        <f t="shared" si="30"/>
        <v>0</v>
      </c>
      <c r="J29" s="322">
        <f>ROUND(+J$6*$F29,0)</f>
        <v>0</v>
      </c>
      <c r="K29" s="322">
        <f t="shared" si="27"/>
        <v>0</v>
      </c>
      <c r="L29" s="411">
        <f>SUM(G29:K29)</f>
        <v>0</v>
      </c>
      <c r="M29" s="349">
        <f>IF($E29="02",$L29-G29,-G29)</f>
        <v>0</v>
      </c>
      <c r="N29" s="350">
        <f>IF($E29="03",$L29-H29,-H29)</f>
        <v>0</v>
      </c>
      <c r="O29" s="350">
        <f>IF($E29="04",$L29-I29,-I29)</f>
        <v>0</v>
      </c>
      <c r="P29" s="350">
        <f>IF($E29="07",$L29-J29,-J29)</f>
        <v>0</v>
      </c>
      <c r="Q29" s="350">
        <f>IF($E29="10",$L29-K29,-K29)</f>
        <v>0</v>
      </c>
      <c r="R29" s="351">
        <f>+Q29+P29+O29+N29+M29</f>
        <v>0</v>
      </c>
      <c r="T29" s="366">
        <f>ROUND(+G$6*$F29,5)</f>
        <v>0</v>
      </c>
      <c r="U29" s="366">
        <f>ROUND(+H$6*$F29,5)</f>
        <v>0</v>
      </c>
      <c r="V29" s="366">
        <f>ROUND(+I$6*$F29,5)</f>
        <v>0</v>
      </c>
      <c r="W29" s="366">
        <f>ROUND(+J$6*$F29,5)</f>
        <v>0</v>
      </c>
      <c r="X29" s="368">
        <f>ROUND(+K$6*$F29,5)</f>
        <v>0</v>
      </c>
    </row>
    <row r="30" spans="1:24" ht="14.25" hidden="1">
      <c r="A30" s="341" t="s">
        <v>664</v>
      </c>
      <c r="B30" s="342" t="str">
        <f>VLOOKUP(A30,'APPVI VLOOKUP NAMES'!$A$2:$C$289,3,FALSE)</f>
        <v>First Energy Wholesale Pwr Mkt</v>
      </c>
      <c r="C30" s="554"/>
      <c r="D30" s="344">
        <v>4470066</v>
      </c>
      <c r="E30" s="345" t="s">
        <v>657</v>
      </c>
      <c r="F30" s="826"/>
      <c r="G30" s="347">
        <f t="shared" si="29"/>
        <v>0</v>
      </c>
      <c r="H30" s="322">
        <f t="shared" si="30"/>
        <v>0</v>
      </c>
      <c r="I30" s="322">
        <f t="shared" si="30"/>
        <v>0</v>
      </c>
      <c r="J30" s="322">
        <f>ROUND(+J$6*$F30,0)</f>
        <v>0</v>
      </c>
      <c r="K30" s="322">
        <f t="shared" si="27"/>
        <v>0</v>
      </c>
      <c r="L30" s="411">
        <f t="shared" si="2"/>
        <v>0</v>
      </c>
      <c r="M30" s="349">
        <f t="shared" si="3"/>
        <v>0</v>
      </c>
      <c r="N30" s="350">
        <f t="shared" si="4"/>
        <v>0</v>
      </c>
      <c r="O30" s="350">
        <f t="shared" si="5"/>
        <v>0</v>
      </c>
      <c r="P30" s="350">
        <f t="shared" si="6"/>
        <v>0</v>
      </c>
      <c r="Q30" s="350">
        <f t="shared" si="7"/>
        <v>0</v>
      </c>
      <c r="R30" s="351">
        <f t="shared" si="8"/>
        <v>0</v>
      </c>
      <c r="T30" s="366">
        <f t="shared" si="28"/>
        <v>0</v>
      </c>
      <c r="U30" s="366">
        <f t="shared" si="28"/>
        <v>0</v>
      </c>
      <c r="V30" s="366">
        <f t="shared" si="28"/>
        <v>0</v>
      </c>
      <c r="W30" s="366">
        <f t="shared" si="28"/>
        <v>0</v>
      </c>
      <c r="X30" s="368">
        <f t="shared" si="28"/>
        <v>0</v>
      </c>
    </row>
    <row r="31" spans="1:24" ht="14.25" hidden="1">
      <c r="A31" s="341" t="s">
        <v>83</v>
      </c>
      <c r="B31" s="342" t="str">
        <f>VLOOKUP(A31,'APPVI VLOOKUP NAMES'!$A$2:$C$289,3,FALSE)</f>
        <v>Georgia Transmission Corporation</v>
      </c>
      <c r="C31" s="554"/>
      <c r="D31" s="344">
        <v>4470066</v>
      </c>
      <c r="E31" s="345" t="s">
        <v>659</v>
      </c>
      <c r="F31" s="826"/>
      <c r="G31" s="347">
        <f t="shared" si="29"/>
        <v>0</v>
      </c>
      <c r="H31" s="322">
        <f>ROUND(+H$6*$F31,0)</f>
        <v>0</v>
      </c>
      <c r="I31" s="322">
        <f>ROUND(+I$6*$F31,0)</f>
        <v>0</v>
      </c>
      <c r="J31" s="322">
        <f aca="true" t="shared" si="31" ref="I31:K33">ROUND(+J$6*$F31,0)</f>
        <v>0</v>
      </c>
      <c r="K31" s="322">
        <f t="shared" si="27"/>
        <v>0</v>
      </c>
      <c r="L31" s="411">
        <f t="shared" si="2"/>
        <v>0</v>
      </c>
      <c r="M31" s="349">
        <f t="shared" si="3"/>
        <v>0</v>
      </c>
      <c r="N31" s="350">
        <f t="shared" si="4"/>
        <v>0</v>
      </c>
      <c r="O31" s="350">
        <f t="shared" si="5"/>
        <v>0</v>
      </c>
      <c r="P31" s="350">
        <f t="shared" si="6"/>
        <v>0</v>
      </c>
      <c r="Q31" s="350">
        <f t="shared" si="7"/>
        <v>0</v>
      </c>
      <c r="R31" s="351">
        <f t="shared" si="8"/>
        <v>0</v>
      </c>
      <c r="T31" s="366">
        <f t="shared" si="28"/>
        <v>0</v>
      </c>
      <c r="U31" s="366">
        <f t="shared" si="28"/>
        <v>0</v>
      </c>
      <c r="V31" s="366">
        <f t="shared" si="28"/>
        <v>0</v>
      </c>
      <c r="W31" s="366">
        <f t="shared" si="28"/>
        <v>0</v>
      </c>
      <c r="X31" s="368">
        <f t="shared" si="28"/>
        <v>0</v>
      </c>
    </row>
    <row r="32" spans="1:24" ht="14.25" hidden="1">
      <c r="A32" s="341" t="s">
        <v>1024</v>
      </c>
      <c r="B32" s="342" t="str">
        <f>VLOOKUP(A32,'APPVI VLOOKUP NAMES'!$A$2:$C$289,3,FALSE)</f>
        <v>Illinois Power Company</v>
      </c>
      <c r="C32" s="555"/>
      <c r="D32" s="344">
        <v>4470066</v>
      </c>
      <c r="E32" s="345" t="s">
        <v>662</v>
      </c>
      <c r="F32" s="529"/>
      <c r="G32" s="347">
        <f t="shared" si="29"/>
        <v>0</v>
      </c>
      <c r="H32" s="322">
        <f>ROUND(+H$6*$F32,0)</f>
        <v>0</v>
      </c>
      <c r="I32" s="322">
        <f t="shared" si="31"/>
        <v>0</v>
      </c>
      <c r="J32" s="322">
        <f t="shared" si="31"/>
        <v>0</v>
      </c>
      <c r="K32" s="322">
        <f t="shared" si="31"/>
        <v>0</v>
      </c>
      <c r="L32" s="373">
        <f t="shared" si="2"/>
        <v>0</v>
      </c>
      <c r="M32" s="349">
        <f t="shared" si="3"/>
        <v>0</v>
      </c>
      <c r="N32" s="350">
        <f t="shared" si="4"/>
        <v>0</v>
      </c>
      <c r="O32" s="350">
        <f t="shared" si="5"/>
        <v>0</v>
      </c>
      <c r="P32" s="350">
        <f t="shared" si="6"/>
        <v>0</v>
      </c>
      <c r="Q32" s="350">
        <f t="shared" si="7"/>
        <v>0</v>
      </c>
      <c r="R32" s="351">
        <f t="shared" si="8"/>
        <v>0</v>
      </c>
      <c r="T32" s="366">
        <f aca="true" t="shared" si="32" ref="T32:X33">ROUND(+G$6*$F32,5)</f>
        <v>0</v>
      </c>
      <c r="U32" s="366">
        <f t="shared" si="32"/>
        <v>0</v>
      </c>
      <c r="V32" s="366">
        <f t="shared" si="32"/>
        <v>0</v>
      </c>
      <c r="W32" s="366">
        <f t="shared" si="32"/>
        <v>0</v>
      </c>
      <c r="X32" s="368">
        <f t="shared" si="32"/>
        <v>0</v>
      </c>
    </row>
    <row r="33" spans="1:24" ht="14.25" hidden="1">
      <c r="A33" s="341" t="s">
        <v>1028</v>
      </c>
      <c r="B33" s="342" t="str">
        <f>VLOOKUP(A33,'APPVI VLOOKUP NAMES'!$A$2:$C$289,3,FALSE)</f>
        <v>Indianapolis Power &amp; Light Co</v>
      </c>
      <c r="C33" s="555"/>
      <c r="D33" s="344">
        <v>4470066</v>
      </c>
      <c r="E33" s="345" t="s">
        <v>657</v>
      </c>
      <c r="F33" s="529"/>
      <c r="G33" s="347">
        <f t="shared" si="29"/>
        <v>0</v>
      </c>
      <c r="H33" s="322">
        <f>ROUND(+H$6*$F33,0)</f>
        <v>0</v>
      </c>
      <c r="I33" s="322">
        <f t="shared" si="31"/>
        <v>0</v>
      </c>
      <c r="J33" s="322">
        <f t="shared" si="31"/>
        <v>0</v>
      </c>
      <c r="K33" s="322">
        <f t="shared" si="31"/>
        <v>0</v>
      </c>
      <c r="L33" s="373">
        <f t="shared" si="2"/>
        <v>0</v>
      </c>
      <c r="M33" s="349">
        <f t="shared" si="3"/>
        <v>0</v>
      </c>
      <c r="N33" s="350">
        <f t="shared" si="4"/>
        <v>0</v>
      </c>
      <c r="O33" s="350">
        <f t="shared" si="5"/>
        <v>0</v>
      </c>
      <c r="P33" s="350">
        <f t="shared" si="6"/>
        <v>0</v>
      </c>
      <c r="Q33" s="350">
        <f t="shared" si="7"/>
        <v>0</v>
      </c>
      <c r="R33" s="351">
        <f t="shared" si="8"/>
        <v>0</v>
      </c>
      <c r="T33" s="366">
        <f t="shared" si="32"/>
        <v>0</v>
      </c>
      <c r="U33" s="366">
        <f t="shared" si="32"/>
        <v>0</v>
      </c>
      <c r="V33" s="366">
        <f t="shared" si="32"/>
        <v>0</v>
      </c>
      <c r="W33" s="366">
        <f t="shared" si="32"/>
        <v>0</v>
      </c>
      <c r="X33" s="368">
        <f t="shared" si="32"/>
        <v>0</v>
      </c>
    </row>
    <row r="34" spans="1:24" ht="14.25" hidden="1">
      <c r="A34" s="408" t="s">
        <v>85</v>
      </c>
      <c r="B34" s="342" t="str">
        <f>VLOOKUP(A34,'APPVI VLOOKUP NAMES'!$A$2:$C$289,3,FALSE)</f>
        <v>Long Island Power Authority - KeySpan</v>
      </c>
      <c r="C34" s="554"/>
      <c r="D34" s="344">
        <v>4470066</v>
      </c>
      <c r="E34" s="345" t="s">
        <v>662</v>
      </c>
      <c r="F34" s="529"/>
      <c r="G34" s="347">
        <f t="shared" si="29"/>
        <v>0</v>
      </c>
      <c r="H34" s="322">
        <f aca="true" t="shared" si="33" ref="H34:K37">ROUND(+H$6*$F34,0)</f>
        <v>0</v>
      </c>
      <c r="I34" s="322">
        <f t="shared" si="33"/>
        <v>0</v>
      </c>
      <c r="J34" s="322">
        <f t="shared" si="33"/>
        <v>0</v>
      </c>
      <c r="K34" s="322">
        <f t="shared" si="33"/>
        <v>0</v>
      </c>
      <c r="L34" s="373">
        <f t="shared" si="2"/>
        <v>0</v>
      </c>
      <c r="M34" s="349">
        <f t="shared" si="3"/>
        <v>0</v>
      </c>
      <c r="N34" s="350">
        <f t="shared" si="4"/>
        <v>0</v>
      </c>
      <c r="O34" s="350">
        <f t="shared" si="5"/>
        <v>0</v>
      </c>
      <c r="P34" s="350">
        <f t="shared" si="6"/>
        <v>0</v>
      </c>
      <c r="Q34" s="350">
        <f t="shared" si="7"/>
        <v>0</v>
      </c>
      <c r="R34" s="351">
        <f t="shared" si="8"/>
        <v>0</v>
      </c>
      <c r="T34" s="366">
        <f aca="true" t="shared" si="34" ref="T34:X38">ROUND(+G$6*$F34,5)</f>
        <v>0</v>
      </c>
      <c r="U34" s="366">
        <f t="shared" si="34"/>
        <v>0</v>
      </c>
      <c r="V34" s="366">
        <f t="shared" si="34"/>
        <v>0</v>
      </c>
      <c r="W34" s="366">
        <f t="shared" si="34"/>
        <v>0</v>
      </c>
      <c r="X34" s="368">
        <f t="shared" si="34"/>
        <v>0</v>
      </c>
    </row>
    <row r="35" spans="1:24" ht="14.25" customHeight="1" hidden="1">
      <c r="A35" s="341" t="s">
        <v>1037</v>
      </c>
      <c r="B35" s="342" t="str">
        <f>VLOOKUP(A35,'APPVI VLOOKUP NAMES'!$A$2:$C$289,3,FALSE)</f>
        <v>Lower Colorado River Authority</v>
      </c>
      <c r="C35" s="554"/>
      <c r="D35" s="344">
        <v>4470066</v>
      </c>
      <c r="E35" s="345" t="s">
        <v>662</v>
      </c>
      <c r="F35" s="529"/>
      <c r="G35" s="347">
        <f t="shared" si="29"/>
        <v>0</v>
      </c>
      <c r="H35" s="322">
        <f t="shared" si="33"/>
        <v>0</v>
      </c>
      <c r="I35" s="322">
        <f t="shared" si="33"/>
        <v>0</v>
      </c>
      <c r="J35" s="322">
        <f aca="true" t="shared" si="35" ref="J35:K37">ROUND(+J$6*$F35,0)</f>
        <v>0</v>
      </c>
      <c r="K35" s="322">
        <f t="shared" si="35"/>
        <v>0</v>
      </c>
      <c r="L35" s="373">
        <f t="shared" si="2"/>
        <v>0</v>
      </c>
      <c r="M35" s="349">
        <f t="shared" si="3"/>
        <v>0</v>
      </c>
      <c r="N35" s="350">
        <f t="shared" si="4"/>
        <v>0</v>
      </c>
      <c r="O35" s="350">
        <f t="shared" si="5"/>
        <v>0</v>
      </c>
      <c r="P35" s="350">
        <f t="shared" si="6"/>
        <v>0</v>
      </c>
      <c r="Q35" s="350">
        <f t="shared" si="7"/>
        <v>0</v>
      </c>
      <c r="R35" s="351">
        <f t="shared" si="8"/>
        <v>0</v>
      </c>
      <c r="T35" s="366">
        <f t="shared" si="34"/>
        <v>0</v>
      </c>
      <c r="U35" s="366">
        <f t="shared" si="34"/>
        <v>0</v>
      </c>
      <c r="V35" s="366">
        <f t="shared" si="34"/>
        <v>0</v>
      </c>
      <c r="W35" s="366">
        <f t="shared" si="34"/>
        <v>0</v>
      </c>
      <c r="X35" s="368">
        <f t="shared" si="34"/>
        <v>0</v>
      </c>
    </row>
    <row r="36" spans="1:24" ht="14.25" customHeight="1" hidden="1">
      <c r="A36" s="341" t="s">
        <v>1047</v>
      </c>
      <c r="B36" s="342" t="str">
        <f>VLOOKUP(A36,'APPVI VLOOKUP NAMES'!$A$2:$C$289,3,FALSE)</f>
        <v>Louisville Gas &amp; Electric, Co.</v>
      </c>
      <c r="C36" s="554"/>
      <c r="D36" s="344">
        <v>4470066</v>
      </c>
      <c r="E36" s="345" t="s">
        <v>662</v>
      </c>
      <c r="F36" s="529"/>
      <c r="G36" s="347">
        <f t="shared" si="29"/>
        <v>0</v>
      </c>
      <c r="H36" s="322">
        <f t="shared" si="33"/>
        <v>0</v>
      </c>
      <c r="I36" s="322">
        <f t="shared" si="33"/>
        <v>0</v>
      </c>
      <c r="J36" s="322">
        <f t="shared" si="35"/>
        <v>0</v>
      </c>
      <c r="K36" s="322">
        <f t="shared" si="35"/>
        <v>0</v>
      </c>
      <c r="L36" s="373">
        <f>SUM(G36:K36)</f>
        <v>0</v>
      </c>
      <c r="M36" s="349">
        <f>IF($E36="02",$L36-G36,-G36)</f>
        <v>0</v>
      </c>
      <c r="N36" s="350">
        <f>IF($E36="03",$L36-H36,-H36)</f>
        <v>0</v>
      </c>
      <c r="O36" s="350">
        <f>IF($E36="04",$L36-I36,-I36)</f>
        <v>0</v>
      </c>
      <c r="P36" s="350">
        <f>IF($E36="07",$L36-J36,-J36)</f>
        <v>0</v>
      </c>
      <c r="Q36" s="350">
        <f>IF($E36="10",$L36-K36,-K36)</f>
        <v>0</v>
      </c>
      <c r="R36" s="351">
        <f>+Q36+P36+O36+N36+M36</f>
        <v>0</v>
      </c>
      <c r="T36" s="366">
        <f aca="true" t="shared" si="36" ref="T36:X37">ROUND(+G$6*$F36,5)</f>
        <v>0</v>
      </c>
      <c r="U36" s="366">
        <f t="shared" si="36"/>
        <v>0</v>
      </c>
      <c r="V36" s="366">
        <f t="shared" si="36"/>
        <v>0</v>
      </c>
      <c r="W36" s="366">
        <f t="shared" si="36"/>
        <v>0</v>
      </c>
      <c r="X36" s="368">
        <f t="shared" si="36"/>
        <v>0</v>
      </c>
    </row>
    <row r="37" spans="1:24" ht="14.25" customHeight="1" hidden="1">
      <c r="A37" s="341" t="s">
        <v>1508</v>
      </c>
      <c r="B37" s="342" t="str">
        <f>VLOOKUP(A37,'APPVI VLOOKUP NAMES'!$A$2:$C$289,3,FALSE)</f>
        <v>Mid-Continent Area Power Pool</v>
      </c>
      <c r="C37" s="554"/>
      <c r="D37" s="344">
        <v>4470066</v>
      </c>
      <c r="E37" s="345" t="s">
        <v>657</v>
      </c>
      <c r="F37" s="842"/>
      <c r="G37" s="347">
        <f t="shared" si="29"/>
        <v>0</v>
      </c>
      <c r="H37" s="322">
        <f t="shared" si="33"/>
        <v>0</v>
      </c>
      <c r="I37" s="322">
        <f t="shared" si="33"/>
        <v>0</v>
      </c>
      <c r="J37" s="322">
        <f t="shared" si="35"/>
        <v>0</v>
      </c>
      <c r="K37" s="322">
        <f t="shared" si="35"/>
        <v>0</v>
      </c>
      <c r="L37" s="373">
        <f>SUM(G37:K37)</f>
        <v>0</v>
      </c>
      <c r="M37" s="349">
        <f>IF($E37="02",$L37-G37,-G37)</f>
        <v>0</v>
      </c>
      <c r="N37" s="350">
        <f>IF($E37="03",$L37-H37,-H37)</f>
        <v>0</v>
      </c>
      <c r="O37" s="350">
        <f>IF($E37="04",$L37-I37,-I37)</f>
        <v>0</v>
      </c>
      <c r="P37" s="350">
        <f>IF($E37="07",$L37-J37,-J37)</f>
        <v>0</v>
      </c>
      <c r="Q37" s="350">
        <f>IF($E37="10",$L37-K37,-K37)</f>
        <v>0</v>
      </c>
      <c r="R37" s="351">
        <f>+Q37+P37+O37+N37+M37</f>
        <v>0</v>
      </c>
      <c r="T37" s="366">
        <f t="shared" si="36"/>
        <v>0</v>
      </c>
      <c r="U37" s="366">
        <f t="shared" si="36"/>
        <v>0</v>
      </c>
      <c r="V37" s="366">
        <f t="shared" si="36"/>
        <v>0</v>
      </c>
      <c r="W37" s="366">
        <f t="shared" si="36"/>
        <v>0</v>
      </c>
      <c r="X37" s="368">
        <f t="shared" si="36"/>
        <v>0</v>
      </c>
    </row>
    <row r="38" spans="1:24" ht="14.25">
      <c r="A38" s="408" t="s">
        <v>342</v>
      </c>
      <c r="B38" s="342" t="str">
        <f>VLOOKUP(A38,'APPVI VLOOKUP NAMES'!$A$2:$C$289,3,FALSE)</f>
        <v>Mid-Continent Power Corp.</v>
      </c>
      <c r="C38" s="554"/>
      <c r="D38" s="344">
        <v>4470066</v>
      </c>
      <c r="E38" s="345" t="s">
        <v>657</v>
      </c>
      <c r="F38" s="529">
        <v>18929.96</v>
      </c>
      <c r="G38" s="347">
        <f t="shared" si="29"/>
        <v>6523</v>
      </c>
      <c r="H38" s="322">
        <f>ROUND(+H$6*$F38,0)+1</f>
        <v>1315</v>
      </c>
      <c r="I38" s="322">
        <f>ROUND(+I$6*$F38,0)</f>
        <v>3348</v>
      </c>
      <c r="J38" s="322">
        <f>ROUND(+J$6*$F38,0)</f>
        <v>4285</v>
      </c>
      <c r="K38" s="322">
        <f>ROUND(+K$6*$F38,0)</f>
        <v>3459</v>
      </c>
      <c r="L38" s="373">
        <f t="shared" si="2"/>
        <v>18930</v>
      </c>
      <c r="M38" s="349">
        <f t="shared" si="3"/>
        <v>-6523</v>
      </c>
      <c r="N38" s="350">
        <f t="shared" si="4"/>
        <v>-1315</v>
      </c>
      <c r="O38" s="350">
        <f t="shared" si="5"/>
        <v>-3348</v>
      </c>
      <c r="P38" s="350">
        <f t="shared" si="6"/>
        <v>14645</v>
      </c>
      <c r="Q38" s="350">
        <f t="shared" si="7"/>
        <v>-3459</v>
      </c>
      <c r="R38" s="351">
        <f t="shared" si="8"/>
        <v>0</v>
      </c>
      <c r="T38" s="366">
        <f t="shared" si="34"/>
        <v>6522.88562</v>
      </c>
      <c r="U38" s="366">
        <f t="shared" si="34"/>
        <v>1314.30712</v>
      </c>
      <c r="V38" s="366">
        <f t="shared" si="34"/>
        <v>3347.95273</v>
      </c>
      <c r="W38" s="366">
        <f t="shared" si="34"/>
        <v>4285.36434</v>
      </c>
      <c r="X38" s="368">
        <f t="shared" si="34"/>
        <v>3459.45019</v>
      </c>
    </row>
    <row r="39" spans="1:24" ht="14.25" hidden="1">
      <c r="A39" s="408" t="s">
        <v>214</v>
      </c>
      <c r="B39" s="342" t="str">
        <f>VLOOKUP(A39,'APPVI VLOOKUP NAMES'!$A$2:$C$289,3,FALSE)</f>
        <v>Michigan Electric Coordinated System</v>
      </c>
      <c r="C39" s="699"/>
      <c r="D39" s="700">
        <v>4470066</v>
      </c>
      <c r="E39" s="421" t="s">
        <v>662</v>
      </c>
      <c r="F39" s="529"/>
      <c r="G39" s="701">
        <f aca="true" t="shared" si="37" ref="G39:K40">ROUND(+G$6*$F39,0)</f>
        <v>0</v>
      </c>
      <c r="H39" s="411">
        <f t="shared" si="37"/>
        <v>0</v>
      </c>
      <c r="I39" s="411">
        <f t="shared" si="37"/>
        <v>0</v>
      </c>
      <c r="J39" s="411">
        <f t="shared" si="37"/>
        <v>0</v>
      </c>
      <c r="K39" s="411">
        <f t="shared" si="37"/>
        <v>0</v>
      </c>
      <c r="L39" s="373">
        <f t="shared" si="2"/>
        <v>0</v>
      </c>
      <c r="M39" s="702">
        <f t="shared" si="3"/>
        <v>0</v>
      </c>
      <c r="N39" s="703">
        <f t="shared" si="4"/>
        <v>0</v>
      </c>
      <c r="O39" s="703">
        <f t="shared" si="5"/>
        <v>0</v>
      </c>
      <c r="P39" s="703">
        <f t="shared" si="6"/>
        <v>0</v>
      </c>
      <c r="Q39" s="703">
        <f t="shared" si="7"/>
        <v>0</v>
      </c>
      <c r="R39" s="704">
        <f t="shared" si="8"/>
        <v>0</v>
      </c>
      <c r="T39" s="366">
        <f aca="true" t="shared" si="38" ref="T39:X41">ROUND(+G$6*$F39,5)</f>
        <v>0</v>
      </c>
      <c r="U39" s="366">
        <f t="shared" si="38"/>
        <v>0</v>
      </c>
      <c r="V39" s="366">
        <f t="shared" si="38"/>
        <v>0</v>
      </c>
      <c r="W39" s="366">
        <f t="shared" si="38"/>
        <v>0</v>
      </c>
      <c r="X39" s="368">
        <f t="shared" si="38"/>
        <v>0</v>
      </c>
    </row>
    <row r="40" spans="1:24" ht="14.25" hidden="1">
      <c r="A40" s="408" t="s">
        <v>665</v>
      </c>
      <c r="B40" s="342" t="str">
        <f>VLOOKUP(A40,'APPVI VLOOKUP NAMES'!$A$2:$C$289,3,FALSE)</f>
        <v>MI Elect Coord Syst-Joint Mer</v>
      </c>
      <c r="C40" s="699"/>
      <c r="D40" s="700">
        <v>4470066</v>
      </c>
      <c r="E40" s="421" t="s">
        <v>662</v>
      </c>
      <c r="F40" s="529"/>
      <c r="G40" s="701">
        <f t="shared" si="37"/>
        <v>0</v>
      </c>
      <c r="H40" s="411">
        <f t="shared" si="37"/>
        <v>0</v>
      </c>
      <c r="I40" s="411">
        <f t="shared" si="37"/>
        <v>0</v>
      </c>
      <c r="J40" s="411">
        <f t="shared" si="37"/>
        <v>0</v>
      </c>
      <c r="K40" s="411">
        <f t="shared" si="37"/>
        <v>0</v>
      </c>
      <c r="L40" s="373">
        <f t="shared" si="2"/>
        <v>0</v>
      </c>
      <c r="M40" s="702">
        <f t="shared" si="3"/>
        <v>0</v>
      </c>
      <c r="N40" s="703">
        <f t="shared" si="4"/>
        <v>0</v>
      </c>
      <c r="O40" s="703">
        <f t="shared" si="5"/>
        <v>0</v>
      </c>
      <c r="P40" s="703">
        <f t="shared" si="6"/>
        <v>0</v>
      </c>
      <c r="Q40" s="703">
        <f t="shared" si="7"/>
        <v>0</v>
      </c>
      <c r="R40" s="704">
        <f t="shared" si="8"/>
        <v>0</v>
      </c>
      <c r="T40" s="366">
        <f t="shared" si="38"/>
        <v>0</v>
      </c>
      <c r="U40" s="366">
        <f t="shared" si="38"/>
        <v>0</v>
      </c>
      <c r="V40" s="366">
        <f t="shared" si="38"/>
        <v>0</v>
      </c>
      <c r="W40" s="366">
        <f t="shared" si="38"/>
        <v>0</v>
      </c>
      <c r="X40" s="368">
        <f t="shared" si="38"/>
        <v>0</v>
      </c>
    </row>
    <row r="41" spans="1:24" ht="15" customHeight="1">
      <c r="A41" s="408" t="s">
        <v>872</v>
      </c>
      <c r="B41" s="342" t="str">
        <f>VLOOKUP(A41,'APPVI VLOOKUP NAMES'!$A$2:$C$289,3,FALSE)</f>
        <v>Midwest ISO</v>
      </c>
      <c r="C41" s="554" t="s">
        <v>1779</v>
      </c>
      <c r="D41" s="700">
        <v>4470066</v>
      </c>
      <c r="E41" s="421" t="s">
        <v>657</v>
      </c>
      <c r="F41" s="529">
        <v>155144.21</v>
      </c>
      <c r="G41" s="701">
        <f>ROUND(+G$6*$F41,0)-1</f>
        <v>53459</v>
      </c>
      <c r="H41" s="411">
        <f>ROUND(+H$6*$F41,0)</f>
        <v>10772</v>
      </c>
      <c r="I41" s="411">
        <f aca="true" t="shared" si="39" ref="I41:K43">ROUND(+I$6*$F41,0)</f>
        <v>27439</v>
      </c>
      <c r="J41" s="411">
        <f t="shared" si="39"/>
        <v>35122</v>
      </c>
      <c r="K41" s="411">
        <f>ROUND(+K$6*$F41,0)-1</f>
        <v>28352</v>
      </c>
      <c r="L41" s="373">
        <f>SUM(G41:K41)</f>
        <v>155144</v>
      </c>
      <c r="M41" s="702">
        <f>IF($E41="02",$L41-G41,-G41)</f>
        <v>-53459</v>
      </c>
      <c r="N41" s="703">
        <f>IF($E41="03",$L41-H41,-H41)</f>
        <v>-10772</v>
      </c>
      <c r="O41" s="703">
        <f>IF($E41="04",$L41-I41,-I41)</f>
        <v>-27439</v>
      </c>
      <c r="P41" s="703">
        <f>IF($E41="07",$L41-J41,-J41)</f>
        <v>120022</v>
      </c>
      <c r="Q41" s="703">
        <f>IF($E41="10",$L41-K41,-K41)</f>
        <v>-28352</v>
      </c>
      <c r="R41" s="704">
        <f>+Q41+P41+O41+N41+M41</f>
        <v>0</v>
      </c>
      <c r="T41" s="366">
        <f t="shared" si="38"/>
        <v>53459.59188</v>
      </c>
      <c r="U41" s="366">
        <f t="shared" si="38"/>
        <v>10771.6625</v>
      </c>
      <c r="V41" s="366">
        <f t="shared" si="38"/>
        <v>27438.80498</v>
      </c>
      <c r="W41" s="366">
        <f t="shared" si="38"/>
        <v>35121.54626</v>
      </c>
      <c r="X41" s="368">
        <f t="shared" si="38"/>
        <v>28352.60438</v>
      </c>
    </row>
    <row r="42" spans="1:24" ht="14.25" customHeight="1" hidden="1">
      <c r="A42" s="408" t="s">
        <v>1075</v>
      </c>
      <c r="B42" s="342" t="str">
        <f>VLOOKUP(A42,'APPVI VLOOKUP NAMES'!$A$2:$C$289,3,FALSE)</f>
        <v>Morgan Stanley Capt.</v>
      </c>
      <c r="C42" s="705"/>
      <c r="D42" s="700">
        <v>4470066</v>
      </c>
      <c r="E42" s="421" t="s">
        <v>657</v>
      </c>
      <c r="F42" s="529"/>
      <c r="G42" s="701">
        <f>ROUND(+G$6*$F42,0)</f>
        <v>0</v>
      </c>
      <c r="H42" s="411">
        <f>ROUND(+H$6*$F42,0)</f>
        <v>0</v>
      </c>
      <c r="I42" s="411">
        <f t="shared" si="39"/>
        <v>0</v>
      </c>
      <c r="J42" s="411">
        <f t="shared" si="39"/>
        <v>0</v>
      </c>
      <c r="K42" s="411">
        <f t="shared" si="39"/>
        <v>0</v>
      </c>
      <c r="L42" s="373">
        <f>SUM(G42:K42)</f>
        <v>0</v>
      </c>
      <c r="M42" s="702">
        <f>IF($E42="02",$L42-G42,-G42)</f>
        <v>0</v>
      </c>
      <c r="N42" s="703">
        <f>IF($E42="03",$L42-H42,-H42)</f>
        <v>0</v>
      </c>
      <c r="O42" s="703">
        <f>IF($E42="04",$L42-I42,-I42)</f>
        <v>0</v>
      </c>
      <c r="P42" s="703">
        <f>IF($E42="07",$L42-J42,-J42)</f>
        <v>0</v>
      </c>
      <c r="Q42" s="703">
        <f>IF($E42="10",$L42-K42,-K42)</f>
        <v>0</v>
      </c>
      <c r="R42" s="704">
        <f>+Q42+P42+O42+N42+M42</f>
        <v>0</v>
      </c>
      <c r="T42" s="366">
        <f>ROUND(+G$6*$F42,5)</f>
        <v>0</v>
      </c>
      <c r="U42" s="366">
        <f>ROUND(+H$6*$F42,5)</f>
        <v>0</v>
      </c>
      <c r="V42" s="366">
        <f>ROUND(+I$6*$F42,5)</f>
        <v>0</v>
      </c>
      <c r="W42" s="366">
        <f>ROUND(+J$6*$F42,5)</f>
        <v>0</v>
      </c>
      <c r="X42" s="368">
        <f>ROUND(+K$6*$F42,5)</f>
        <v>0</v>
      </c>
    </row>
    <row r="43" spans="1:24" ht="14.25" customHeight="1" hidden="1">
      <c r="A43" s="408" t="s">
        <v>1100</v>
      </c>
      <c r="B43" s="342" t="str">
        <f>VLOOKUP(A43,'APPVI VLOOKUP NAMES'!$A$2:$C$289,3,FALSE)</f>
        <v>NRG Power Marketing, Inc.</v>
      </c>
      <c r="C43" s="705"/>
      <c r="D43" s="700">
        <v>4470066</v>
      </c>
      <c r="E43" s="421" t="s">
        <v>657</v>
      </c>
      <c r="F43" s="529"/>
      <c r="G43" s="701">
        <f>ROUND(+G$6*$F43,0)</f>
        <v>0</v>
      </c>
      <c r="H43" s="411">
        <f>ROUND(+H$6*$F43,0)</f>
        <v>0</v>
      </c>
      <c r="I43" s="411">
        <f t="shared" si="39"/>
        <v>0</v>
      </c>
      <c r="J43" s="411">
        <f t="shared" si="39"/>
        <v>0</v>
      </c>
      <c r="K43" s="411">
        <f t="shared" si="39"/>
        <v>0</v>
      </c>
      <c r="L43" s="373">
        <f>SUM(G43:K43)</f>
        <v>0</v>
      </c>
      <c r="M43" s="702">
        <f>IF($E43="02",$L43-G43,-G43)</f>
        <v>0</v>
      </c>
      <c r="N43" s="703">
        <f>IF($E43="03",$L43-H43,-H43)</f>
        <v>0</v>
      </c>
      <c r="O43" s="703">
        <f>IF($E43="04",$L43-I43,-I43)</f>
        <v>0</v>
      </c>
      <c r="P43" s="703">
        <f>IF($E43="07",$L43-J43,-J43)</f>
        <v>0</v>
      </c>
      <c r="Q43" s="703">
        <f>IF($E43="10",$L43-K43,-K43)</f>
        <v>0</v>
      </c>
      <c r="R43" s="704">
        <f>+Q43+P43+O43+N43+M43</f>
        <v>0</v>
      </c>
      <c r="T43" s="366">
        <f aca="true" t="shared" si="40" ref="T43:X46">ROUND(+G$6*$F43,5)</f>
        <v>0</v>
      </c>
      <c r="U43" s="366">
        <f t="shared" si="40"/>
        <v>0</v>
      </c>
      <c r="V43" s="366">
        <f t="shared" si="40"/>
        <v>0</v>
      </c>
      <c r="W43" s="366">
        <f t="shared" si="40"/>
        <v>0</v>
      </c>
      <c r="X43" s="368">
        <f t="shared" si="40"/>
        <v>0</v>
      </c>
    </row>
    <row r="44" spans="1:24" ht="14.25" hidden="1">
      <c r="A44" s="408" t="s">
        <v>1079</v>
      </c>
      <c r="B44" s="342" t="str">
        <f>VLOOKUP(A44,'APPVI VLOOKUP NAMES'!$A$2:$C$289,3,FALSE)</f>
        <v>NC Electric Membership Corp.</v>
      </c>
      <c r="C44" s="421"/>
      <c r="D44" s="700">
        <v>4470066</v>
      </c>
      <c r="E44" s="421" t="s">
        <v>659</v>
      </c>
      <c r="F44" s="529"/>
      <c r="G44" s="701">
        <f>ROUND(+G$6*$F44,0)</f>
        <v>0</v>
      </c>
      <c r="H44" s="411">
        <f>ROUND(+H$6*$F44,0)</f>
        <v>0</v>
      </c>
      <c r="I44" s="411">
        <f aca="true" t="shared" si="41" ref="H44:I49">ROUND(+I$6*$F44,0)</f>
        <v>0</v>
      </c>
      <c r="J44" s="411">
        <f aca="true" t="shared" si="42" ref="J44:K49">ROUND(+J$6*$F44,0)</f>
        <v>0</v>
      </c>
      <c r="K44" s="411">
        <f t="shared" si="42"/>
        <v>0</v>
      </c>
      <c r="L44" s="373">
        <f t="shared" si="2"/>
        <v>0</v>
      </c>
      <c r="M44" s="702">
        <f t="shared" si="3"/>
        <v>0</v>
      </c>
      <c r="N44" s="703">
        <f t="shared" si="4"/>
        <v>0</v>
      </c>
      <c r="O44" s="703">
        <f t="shared" si="5"/>
        <v>0</v>
      </c>
      <c r="P44" s="703">
        <f t="shared" si="6"/>
        <v>0</v>
      </c>
      <c r="Q44" s="703">
        <f t="shared" si="7"/>
        <v>0</v>
      </c>
      <c r="R44" s="704">
        <f t="shared" si="8"/>
        <v>0</v>
      </c>
      <c r="T44" s="366">
        <f t="shared" si="40"/>
        <v>0</v>
      </c>
      <c r="U44" s="366">
        <f t="shared" si="40"/>
        <v>0</v>
      </c>
      <c r="V44" s="366">
        <f t="shared" si="40"/>
        <v>0</v>
      </c>
      <c r="W44" s="366">
        <f t="shared" si="40"/>
        <v>0</v>
      </c>
      <c r="X44" s="368">
        <f t="shared" si="40"/>
        <v>0</v>
      </c>
    </row>
    <row r="45" spans="1:24" ht="14.25" hidden="1">
      <c r="A45" s="408" t="s">
        <v>1094</v>
      </c>
      <c r="B45" s="342" t="str">
        <f>VLOOKUP(A45,'APPVI VLOOKUP NAMES'!$A$2:$C$289,3,FALSE)</f>
        <v>NIPSCO Energy Management</v>
      </c>
      <c r="C45" s="421"/>
      <c r="D45" s="700">
        <v>4470066</v>
      </c>
      <c r="E45" s="421" t="s">
        <v>662</v>
      </c>
      <c r="F45" s="529"/>
      <c r="G45" s="701">
        <f aca="true" t="shared" si="43" ref="G45:G50">ROUND(+G$6*$F45,0)</f>
        <v>0</v>
      </c>
      <c r="H45" s="411">
        <f t="shared" si="41"/>
        <v>0</v>
      </c>
      <c r="I45" s="411">
        <f t="shared" si="41"/>
        <v>0</v>
      </c>
      <c r="J45" s="411">
        <f t="shared" si="42"/>
        <v>0</v>
      </c>
      <c r="K45" s="411">
        <f t="shared" si="42"/>
        <v>0</v>
      </c>
      <c r="L45" s="373">
        <f t="shared" si="2"/>
        <v>0</v>
      </c>
      <c r="M45" s="702">
        <f t="shared" si="3"/>
        <v>0</v>
      </c>
      <c r="N45" s="703">
        <f t="shared" si="4"/>
        <v>0</v>
      </c>
      <c r="O45" s="703">
        <f t="shared" si="5"/>
        <v>0</v>
      </c>
      <c r="P45" s="703">
        <f t="shared" si="6"/>
        <v>0</v>
      </c>
      <c r="Q45" s="703">
        <f t="shared" si="7"/>
        <v>0</v>
      </c>
      <c r="R45" s="704">
        <f t="shared" si="8"/>
        <v>0</v>
      </c>
      <c r="T45" s="366">
        <f t="shared" si="40"/>
        <v>0</v>
      </c>
      <c r="U45" s="366">
        <f t="shared" si="40"/>
        <v>0</v>
      </c>
      <c r="V45" s="366">
        <f t="shared" si="40"/>
        <v>0</v>
      </c>
      <c r="W45" s="366">
        <f t="shared" si="40"/>
        <v>0</v>
      </c>
      <c r="X45" s="368">
        <f t="shared" si="40"/>
        <v>0</v>
      </c>
    </row>
    <row r="46" spans="1:24" ht="14.25" hidden="1">
      <c r="A46" s="408" t="s">
        <v>1112</v>
      </c>
      <c r="B46" s="342" t="str">
        <f>VLOOKUP(A46,'APPVI VLOOKUP NAMES'!$A$2:$C$289,3,FALSE)</f>
        <v>Nevada Power Co.- Power Mktg</v>
      </c>
      <c r="C46" s="421"/>
      <c r="D46" s="700">
        <v>4470066</v>
      </c>
      <c r="E46" s="421" t="s">
        <v>657</v>
      </c>
      <c r="F46" s="529"/>
      <c r="G46" s="701">
        <f t="shared" si="43"/>
        <v>0</v>
      </c>
      <c r="H46" s="411">
        <f t="shared" si="41"/>
        <v>0</v>
      </c>
      <c r="I46" s="411">
        <f t="shared" si="41"/>
        <v>0</v>
      </c>
      <c r="J46" s="411">
        <f t="shared" si="42"/>
        <v>0</v>
      </c>
      <c r="K46" s="411">
        <f t="shared" si="42"/>
        <v>0</v>
      </c>
      <c r="L46" s="373">
        <f t="shared" si="2"/>
        <v>0</v>
      </c>
      <c r="M46" s="702">
        <f t="shared" si="3"/>
        <v>0</v>
      </c>
      <c r="N46" s="703">
        <f t="shared" si="4"/>
        <v>0</v>
      </c>
      <c r="O46" s="703">
        <f t="shared" si="5"/>
        <v>0</v>
      </c>
      <c r="P46" s="703">
        <f t="shared" si="6"/>
        <v>0</v>
      </c>
      <c r="Q46" s="703">
        <f t="shared" si="7"/>
        <v>0</v>
      </c>
      <c r="R46" s="704">
        <f t="shared" si="8"/>
        <v>0</v>
      </c>
      <c r="T46" s="366">
        <f t="shared" si="40"/>
        <v>0</v>
      </c>
      <c r="U46" s="366">
        <f t="shared" si="40"/>
        <v>0</v>
      </c>
      <c r="V46" s="366">
        <f t="shared" si="40"/>
        <v>0</v>
      </c>
      <c r="W46" s="366">
        <f t="shared" si="40"/>
        <v>0</v>
      </c>
      <c r="X46" s="368">
        <f t="shared" si="40"/>
        <v>0</v>
      </c>
    </row>
    <row r="47" spans="1:24" ht="14.25">
      <c r="A47" s="408" t="s">
        <v>1149</v>
      </c>
      <c r="B47" s="342" t="str">
        <f>VLOOKUP(A47,'APPVI VLOOKUP NAMES'!$A$2:$C$289,3,FALSE)</f>
        <v>OPPD Energy Marketing</v>
      </c>
      <c r="C47" s="421"/>
      <c r="D47" s="700">
        <v>4470066</v>
      </c>
      <c r="E47" s="421" t="s">
        <v>657</v>
      </c>
      <c r="F47" s="529">
        <v>6694.74</v>
      </c>
      <c r="G47" s="701">
        <f>ROUND(+G$6*$F47,0)</f>
        <v>2307</v>
      </c>
      <c r="H47" s="411">
        <f>ROUND(+H$6*$F47,0)</f>
        <v>465</v>
      </c>
      <c r="I47" s="411">
        <f>ROUND(+I$6*$F47,0)</f>
        <v>1184</v>
      </c>
      <c r="J47" s="411">
        <f>ROUND(+J$6*$F47,0)</f>
        <v>1516</v>
      </c>
      <c r="K47" s="411">
        <f>ROUND(+K$6*$F47,0)</f>
        <v>1223</v>
      </c>
      <c r="L47" s="373">
        <f>SUM(G47:K47)</f>
        <v>6695</v>
      </c>
      <c r="M47" s="702">
        <f>IF($E47="02",$L47-G47,-G47)</f>
        <v>-2307</v>
      </c>
      <c r="N47" s="703">
        <f>IF($E47="03",$L47-H47,-H47)</f>
        <v>-465</v>
      </c>
      <c r="O47" s="703">
        <f>IF($E47="04",$L47-I47,-I47)</f>
        <v>-1184</v>
      </c>
      <c r="P47" s="703">
        <f>IF($E47="07",$L47-J47,-J47)</f>
        <v>5179</v>
      </c>
      <c r="Q47" s="703">
        <f>IF($E47="10",$L47-K47,-K47)</f>
        <v>-1223</v>
      </c>
      <c r="R47" s="704">
        <f>+Q47+P47+O47+N47+M47</f>
        <v>0</v>
      </c>
      <c r="T47" s="366">
        <f>ROUND(+G$6*$F47,5)</f>
        <v>2306.87351</v>
      </c>
      <c r="U47" s="366">
        <f>ROUND(+H$6*$F47,5)</f>
        <v>464.8158</v>
      </c>
      <c r="V47" s="366">
        <f>ROUND(+I$6*$F47,5)</f>
        <v>1184.03172</v>
      </c>
      <c r="W47" s="366">
        <f>ROUND(+J$6*$F47,5)</f>
        <v>1515.55524</v>
      </c>
      <c r="X47" s="368">
        <f>ROUND(+K$6*$F47,5)</f>
        <v>1223.46374</v>
      </c>
    </row>
    <row r="48" spans="1:24" ht="14.25" hidden="1">
      <c r="A48" s="408" t="s">
        <v>666</v>
      </c>
      <c r="B48" s="342" t="str">
        <f>VLOOKUP(A48,'APPVI VLOOKUP NAMES'!$A$2:$C$289,3,FALSE)</f>
        <v>OVEC Power Scheduling</v>
      </c>
      <c r="C48" s="421"/>
      <c r="D48" s="700">
        <v>4470066</v>
      </c>
      <c r="E48" s="421" t="s">
        <v>657</v>
      </c>
      <c r="F48" s="529"/>
      <c r="G48" s="701">
        <f t="shared" si="43"/>
        <v>0</v>
      </c>
      <c r="H48" s="411">
        <f t="shared" si="41"/>
        <v>0</v>
      </c>
      <c r="I48" s="411">
        <f t="shared" si="41"/>
        <v>0</v>
      </c>
      <c r="J48" s="411">
        <f t="shared" si="42"/>
        <v>0</v>
      </c>
      <c r="K48" s="411">
        <f t="shared" si="42"/>
        <v>0</v>
      </c>
      <c r="L48" s="373">
        <f t="shared" si="2"/>
        <v>0</v>
      </c>
      <c r="M48" s="702">
        <f t="shared" si="3"/>
        <v>0</v>
      </c>
      <c r="N48" s="703">
        <f t="shared" si="4"/>
        <v>0</v>
      </c>
      <c r="O48" s="703">
        <f t="shared" si="5"/>
        <v>0</v>
      </c>
      <c r="P48" s="703">
        <f t="shared" si="6"/>
        <v>0</v>
      </c>
      <c r="Q48" s="703">
        <f t="shared" si="7"/>
        <v>0</v>
      </c>
      <c r="R48" s="704">
        <f t="shared" si="8"/>
        <v>0</v>
      </c>
      <c r="T48" s="366">
        <f aca="true" t="shared" si="44" ref="T48:T58">ROUND(+G$6*$F48,5)</f>
        <v>0</v>
      </c>
      <c r="U48" s="366">
        <f aca="true" t="shared" si="45" ref="U48:U58">ROUND(+H$6*$F48,5)</f>
        <v>0</v>
      </c>
      <c r="V48" s="366">
        <f aca="true" t="shared" si="46" ref="V48:V58">ROUND(+I$6*$F48,5)</f>
        <v>0</v>
      </c>
      <c r="W48" s="366">
        <f aca="true" t="shared" si="47" ref="W48:W58">ROUND(+J$6*$F48,5)</f>
        <v>0</v>
      </c>
      <c r="X48" s="368">
        <f aca="true" t="shared" si="48" ref="X48:X58">ROUND(+K$6*$F48,5)</f>
        <v>0</v>
      </c>
    </row>
    <row r="49" spans="1:24" ht="14.25" hidden="1">
      <c r="A49" s="408" t="s">
        <v>1203</v>
      </c>
      <c r="B49" s="342" t="str">
        <f>VLOOKUP(A49,'APPVI VLOOKUP NAMES'!$A$2:$C$289,3,FALSE)</f>
        <v>Pacific NW Generating Co-Op</v>
      </c>
      <c r="C49" s="422"/>
      <c r="D49" s="700">
        <v>4470066</v>
      </c>
      <c r="E49" s="421" t="s">
        <v>657</v>
      </c>
      <c r="F49" s="529"/>
      <c r="G49" s="701">
        <f t="shared" si="43"/>
        <v>0</v>
      </c>
      <c r="H49" s="411">
        <f t="shared" si="41"/>
        <v>0</v>
      </c>
      <c r="I49" s="411">
        <f aca="true" t="shared" si="49" ref="I49:I63">ROUND(+I$6*$F49,0)</f>
        <v>0</v>
      </c>
      <c r="J49" s="411">
        <f t="shared" si="42"/>
        <v>0</v>
      </c>
      <c r="K49" s="411">
        <f t="shared" si="42"/>
        <v>0</v>
      </c>
      <c r="L49" s="373">
        <f aca="true" t="shared" si="50" ref="L49:L60">SUM(G49:K49)</f>
        <v>0</v>
      </c>
      <c r="M49" s="702">
        <f aca="true" t="shared" si="51" ref="M49:M60">IF($E49="02",$L49-G49,-G49)</f>
        <v>0</v>
      </c>
      <c r="N49" s="703">
        <f aca="true" t="shared" si="52" ref="N49:N60">IF($E49="03",$L49-H49,-H49)</f>
        <v>0</v>
      </c>
      <c r="O49" s="703">
        <f aca="true" t="shared" si="53" ref="O49:O60">IF($E49="04",$L49-I49,-I49)</f>
        <v>0</v>
      </c>
      <c r="P49" s="703">
        <f aca="true" t="shared" si="54" ref="P49:P60">IF($E49="07",$L49-J49,-J49)</f>
        <v>0</v>
      </c>
      <c r="Q49" s="703">
        <f aca="true" t="shared" si="55" ref="Q49:Q60">IF($E49="10",$L49-K49,-K49)</f>
        <v>0</v>
      </c>
      <c r="R49" s="704">
        <f aca="true" t="shared" si="56" ref="R49:R60">+Q49+P49+O49+N49+M49</f>
        <v>0</v>
      </c>
      <c r="T49" s="366">
        <f t="shared" si="44"/>
        <v>0</v>
      </c>
      <c r="U49" s="366">
        <f t="shared" si="45"/>
        <v>0</v>
      </c>
      <c r="V49" s="366">
        <f t="shared" si="46"/>
        <v>0</v>
      </c>
      <c r="W49" s="366">
        <f t="shared" si="47"/>
        <v>0</v>
      </c>
      <c r="X49" s="368">
        <f t="shared" si="48"/>
        <v>0</v>
      </c>
    </row>
    <row r="50" spans="1:24" ht="14.25" hidden="1">
      <c r="A50" s="408" t="s">
        <v>667</v>
      </c>
      <c r="B50" s="342" t="str">
        <f>VLOOKUP(A50,'APPVI VLOOKUP NAMES'!$A$2:$C$289,3,FALSE)</f>
        <v>PJM Interconnection</v>
      </c>
      <c r="C50" s="422"/>
      <c r="D50" s="700">
        <v>4470066</v>
      </c>
      <c r="E50" s="421" t="s">
        <v>657</v>
      </c>
      <c r="F50" s="529"/>
      <c r="G50" s="701">
        <f t="shared" si="43"/>
        <v>0</v>
      </c>
      <c r="H50" s="411">
        <f aca="true" t="shared" si="57" ref="H50:H63">ROUND(+H$6*$F50,0)</f>
        <v>0</v>
      </c>
      <c r="I50" s="411">
        <f t="shared" si="49"/>
        <v>0</v>
      </c>
      <c r="J50" s="411">
        <f aca="true" t="shared" si="58" ref="J50:K63">ROUND(+J$6*$F50,0)</f>
        <v>0</v>
      </c>
      <c r="K50" s="411">
        <f t="shared" si="58"/>
        <v>0</v>
      </c>
      <c r="L50" s="373">
        <f t="shared" si="50"/>
        <v>0</v>
      </c>
      <c r="M50" s="702">
        <f t="shared" si="51"/>
        <v>0</v>
      </c>
      <c r="N50" s="703">
        <f t="shared" si="52"/>
        <v>0</v>
      </c>
      <c r="O50" s="703">
        <f t="shared" si="53"/>
        <v>0</v>
      </c>
      <c r="P50" s="703">
        <f t="shared" si="54"/>
        <v>0</v>
      </c>
      <c r="Q50" s="703">
        <f t="shared" si="55"/>
        <v>0</v>
      </c>
      <c r="R50" s="704">
        <f t="shared" si="56"/>
        <v>0</v>
      </c>
      <c r="T50" s="366">
        <f t="shared" si="44"/>
        <v>0</v>
      </c>
      <c r="U50" s="366">
        <f t="shared" si="45"/>
        <v>0</v>
      </c>
      <c r="V50" s="366">
        <f t="shared" si="46"/>
        <v>0</v>
      </c>
      <c r="W50" s="366">
        <f t="shared" si="47"/>
        <v>0</v>
      </c>
      <c r="X50" s="368">
        <f t="shared" si="48"/>
        <v>0</v>
      </c>
    </row>
    <row r="51" spans="1:24" ht="14.25" hidden="1">
      <c r="A51" s="408" t="s">
        <v>1200</v>
      </c>
      <c r="B51" s="342" t="str">
        <f>VLOOKUP(A51,'APPVI VLOOKUP NAMES'!$A$2:$C$289,3,FALSE)</f>
        <v>PJM Interconnection Pool</v>
      </c>
      <c r="C51" s="421"/>
      <c r="D51" s="700">
        <v>4470066</v>
      </c>
      <c r="E51" s="421" t="s">
        <v>657</v>
      </c>
      <c r="F51" s="529"/>
      <c r="G51" s="701">
        <f aca="true" t="shared" si="59" ref="G51:G63">ROUND(+G$6*$F51,0)</f>
        <v>0</v>
      </c>
      <c r="H51" s="411">
        <f t="shared" si="57"/>
        <v>0</v>
      </c>
      <c r="I51" s="411">
        <f t="shared" si="49"/>
        <v>0</v>
      </c>
      <c r="J51" s="411">
        <f t="shared" si="58"/>
        <v>0</v>
      </c>
      <c r="K51" s="411">
        <f t="shared" si="58"/>
        <v>0</v>
      </c>
      <c r="L51" s="373">
        <f t="shared" si="50"/>
        <v>0</v>
      </c>
      <c r="M51" s="702">
        <f t="shared" si="51"/>
        <v>0</v>
      </c>
      <c r="N51" s="703">
        <f t="shared" si="52"/>
        <v>0</v>
      </c>
      <c r="O51" s="703">
        <f t="shared" si="53"/>
        <v>0</v>
      </c>
      <c r="P51" s="703">
        <f t="shared" si="54"/>
        <v>0</v>
      </c>
      <c r="Q51" s="703">
        <f t="shared" si="55"/>
        <v>0</v>
      </c>
      <c r="R51" s="704">
        <f t="shared" si="56"/>
        <v>0</v>
      </c>
      <c r="T51" s="366">
        <f t="shared" si="44"/>
        <v>0</v>
      </c>
      <c r="U51" s="366">
        <f t="shared" si="45"/>
        <v>0</v>
      </c>
      <c r="V51" s="366">
        <f t="shared" si="46"/>
        <v>0</v>
      </c>
      <c r="W51" s="366">
        <f t="shared" si="47"/>
        <v>0</v>
      </c>
      <c r="X51" s="368">
        <f t="shared" si="48"/>
        <v>0</v>
      </c>
    </row>
    <row r="52" spans="1:24" ht="14.25" hidden="1">
      <c r="A52" s="408" t="s">
        <v>1830</v>
      </c>
      <c r="B52" s="342" t="str">
        <f>VLOOKUP(A52,'APPVI VLOOKUP NAMES'!$A$2:$C$289,3,FALSE)</f>
        <v>Union Power Partners</v>
      </c>
      <c r="C52" s="421"/>
      <c r="D52" s="700">
        <v>4470066</v>
      </c>
      <c r="E52" s="421" t="s">
        <v>657</v>
      </c>
      <c r="F52" s="529"/>
      <c r="G52" s="701">
        <f t="shared" si="59"/>
        <v>0</v>
      </c>
      <c r="H52" s="411">
        <f t="shared" si="57"/>
        <v>0</v>
      </c>
      <c r="I52" s="411">
        <f t="shared" si="49"/>
        <v>0</v>
      </c>
      <c r="J52" s="411">
        <f t="shared" si="58"/>
        <v>0</v>
      </c>
      <c r="K52" s="411">
        <f t="shared" si="58"/>
        <v>0</v>
      </c>
      <c r="L52" s="373">
        <f>SUM(G52:K52)</f>
        <v>0</v>
      </c>
      <c r="M52" s="702">
        <f>IF($E52="02",$L52-G52,-G52)</f>
        <v>0</v>
      </c>
      <c r="N52" s="703">
        <f>IF($E52="03",$L52-H52,-H52)</f>
        <v>0</v>
      </c>
      <c r="O52" s="703">
        <f>IF($E52="04",$L52-I52,-I52)</f>
        <v>0</v>
      </c>
      <c r="P52" s="703">
        <f>IF($E52="07",$L52-J52,-J52)</f>
        <v>0</v>
      </c>
      <c r="Q52" s="703">
        <f>IF($E52="10",$L52-K52,-K52)</f>
        <v>0</v>
      </c>
      <c r="R52" s="704">
        <f>+Q52+P52+O52+N52+M52</f>
        <v>0</v>
      </c>
      <c r="T52" s="366">
        <f t="shared" si="44"/>
        <v>0</v>
      </c>
      <c r="U52" s="366">
        <f t="shared" si="45"/>
        <v>0</v>
      </c>
      <c r="V52" s="366">
        <f t="shared" si="46"/>
        <v>0</v>
      </c>
      <c r="W52" s="366">
        <f t="shared" si="47"/>
        <v>0</v>
      </c>
      <c r="X52" s="368">
        <f t="shared" si="48"/>
        <v>0</v>
      </c>
    </row>
    <row r="53" spans="1:24" ht="14.25" hidden="1">
      <c r="A53" s="408" t="s">
        <v>1239</v>
      </c>
      <c r="B53" s="342" t="str">
        <f>VLOOKUP(A53,'APPVI VLOOKUP NAMES'!$A$2:$C$289,3,FALSE)</f>
        <v>Reliant Energy Serv.</v>
      </c>
      <c r="C53" s="421"/>
      <c r="D53" s="700">
        <v>4470066</v>
      </c>
      <c r="E53" s="421" t="s">
        <v>657</v>
      </c>
      <c r="F53" s="529"/>
      <c r="G53" s="701">
        <f t="shared" si="59"/>
        <v>0</v>
      </c>
      <c r="H53" s="411">
        <f t="shared" si="57"/>
        <v>0</v>
      </c>
      <c r="I53" s="411">
        <f t="shared" si="49"/>
        <v>0</v>
      </c>
      <c r="J53" s="411">
        <f t="shared" si="58"/>
        <v>0</v>
      </c>
      <c r="K53" s="411">
        <f t="shared" si="58"/>
        <v>0</v>
      </c>
      <c r="L53" s="373">
        <f t="shared" si="50"/>
        <v>0</v>
      </c>
      <c r="M53" s="702">
        <f t="shared" si="51"/>
        <v>0</v>
      </c>
      <c r="N53" s="703">
        <f t="shared" si="52"/>
        <v>0</v>
      </c>
      <c r="O53" s="703">
        <f t="shared" si="53"/>
        <v>0</v>
      </c>
      <c r="P53" s="703">
        <f t="shared" si="54"/>
        <v>0</v>
      </c>
      <c r="Q53" s="703">
        <f t="shared" si="55"/>
        <v>0</v>
      </c>
      <c r="R53" s="704">
        <f t="shared" si="56"/>
        <v>0</v>
      </c>
      <c r="T53" s="366">
        <f t="shared" si="44"/>
        <v>0</v>
      </c>
      <c r="U53" s="366">
        <f t="shared" si="45"/>
        <v>0</v>
      </c>
      <c r="V53" s="366">
        <f t="shared" si="46"/>
        <v>0</v>
      </c>
      <c r="W53" s="366">
        <f t="shared" si="47"/>
        <v>0</v>
      </c>
      <c r="X53" s="368">
        <f t="shared" si="48"/>
        <v>0</v>
      </c>
    </row>
    <row r="54" spans="1:24" ht="14.25" hidden="1">
      <c r="A54" s="408" t="s">
        <v>1351</v>
      </c>
      <c r="B54" s="342" t="str">
        <f>VLOOKUP(A54,'APPVI VLOOKUP NAMES'!$A$2:$C$289,3,FALSE)</f>
        <v>SIGE Power Marketing</v>
      </c>
      <c r="C54" s="421"/>
      <c r="D54" s="700">
        <v>4470066</v>
      </c>
      <c r="E54" s="421" t="s">
        <v>662</v>
      </c>
      <c r="F54" s="529"/>
      <c r="G54" s="701">
        <f t="shared" si="59"/>
        <v>0</v>
      </c>
      <c r="H54" s="411">
        <f t="shared" si="57"/>
        <v>0</v>
      </c>
      <c r="I54" s="411">
        <f t="shared" si="49"/>
        <v>0</v>
      </c>
      <c r="J54" s="411">
        <f t="shared" si="58"/>
        <v>0</v>
      </c>
      <c r="K54" s="411">
        <f t="shared" si="58"/>
        <v>0</v>
      </c>
      <c r="L54" s="373">
        <f t="shared" si="50"/>
        <v>0</v>
      </c>
      <c r="M54" s="702">
        <f t="shared" si="51"/>
        <v>0</v>
      </c>
      <c r="N54" s="703">
        <f t="shared" si="52"/>
        <v>0</v>
      </c>
      <c r="O54" s="703">
        <f t="shared" si="53"/>
        <v>0</v>
      </c>
      <c r="P54" s="703">
        <f t="shared" si="54"/>
        <v>0</v>
      </c>
      <c r="Q54" s="703">
        <f t="shared" si="55"/>
        <v>0</v>
      </c>
      <c r="R54" s="704">
        <f t="shared" si="56"/>
        <v>0</v>
      </c>
      <c r="T54" s="366">
        <f t="shared" si="44"/>
        <v>0</v>
      </c>
      <c r="U54" s="366">
        <f t="shared" si="45"/>
        <v>0</v>
      </c>
      <c r="V54" s="366">
        <f t="shared" si="46"/>
        <v>0</v>
      </c>
      <c r="W54" s="366">
        <f t="shared" si="47"/>
        <v>0</v>
      </c>
      <c r="X54" s="368">
        <f t="shared" si="48"/>
        <v>0</v>
      </c>
    </row>
    <row r="55" spans="1:24" ht="14.25" hidden="1">
      <c r="A55" s="408" t="s">
        <v>668</v>
      </c>
      <c r="B55" s="342" t="str">
        <f>VLOOKUP(A55,'APPVI VLOOKUP NAMES'!$A$2:$C$289,3,FALSE)</f>
        <v>Southern Company</v>
      </c>
      <c r="C55" s="699"/>
      <c r="D55" s="700">
        <v>4470066</v>
      </c>
      <c r="E55" s="421" t="s">
        <v>657</v>
      </c>
      <c r="F55" s="529"/>
      <c r="G55" s="701">
        <f>ROUND(0.30262*$F55,0)</f>
        <v>0</v>
      </c>
      <c r="H55" s="411">
        <f>ROUND(0.07257*$F55,0)</f>
        <v>0</v>
      </c>
      <c r="I55" s="411">
        <f>ROUND(0.20268*$F55,0)</f>
        <v>0</v>
      </c>
      <c r="J55" s="411">
        <f>ROUND(0.22926*$F55,0)</f>
        <v>0</v>
      </c>
      <c r="K55" s="411">
        <f>ROUND(0.19287*$F55,0)</f>
        <v>0</v>
      </c>
      <c r="L55" s="373">
        <f t="shared" si="50"/>
        <v>0</v>
      </c>
      <c r="M55" s="702">
        <f t="shared" si="51"/>
        <v>0</v>
      </c>
      <c r="N55" s="703">
        <f t="shared" si="52"/>
        <v>0</v>
      </c>
      <c r="O55" s="703">
        <f t="shared" si="53"/>
        <v>0</v>
      </c>
      <c r="P55" s="703">
        <f t="shared" si="54"/>
        <v>0</v>
      </c>
      <c r="Q55" s="703">
        <f t="shared" si="55"/>
        <v>0</v>
      </c>
      <c r="R55" s="704">
        <f t="shared" si="56"/>
        <v>0</v>
      </c>
      <c r="T55" s="366">
        <f t="shared" si="44"/>
        <v>0</v>
      </c>
      <c r="U55" s="366">
        <f t="shared" si="45"/>
        <v>0</v>
      </c>
      <c r="V55" s="366">
        <f t="shared" si="46"/>
        <v>0</v>
      </c>
      <c r="W55" s="366">
        <f t="shared" si="47"/>
        <v>0</v>
      </c>
      <c r="X55" s="368">
        <f t="shared" si="48"/>
        <v>0</v>
      </c>
    </row>
    <row r="56" spans="1:24" ht="14.25" hidden="1">
      <c r="A56" s="341" t="s">
        <v>669</v>
      </c>
      <c r="B56" s="342" t="str">
        <f>VLOOKUP(A56,'APPVI VLOOKUP NAMES'!$A$2:$C$289,3,FALSE)</f>
        <v>Southwest Power Pool</v>
      </c>
      <c r="C56" s="345"/>
      <c r="D56" s="344">
        <v>4470066</v>
      </c>
      <c r="E56" s="345" t="s">
        <v>657</v>
      </c>
      <c r="F56" s="529"/>
      <c r="G56" s="347">
        <f t="shared" si="59"/>
        <v>0</v>
      </c>
      <c r="H56" s="322">
        <f t="shared" si="57"/>
        <v>0</v>
      </c>
      <c r="I56" s="322">
        <f t="shared" si="49"/>
        <v>0</v>
      </c>
      <c r="J56" s="322">
        <f t="shared" si="58"/>
        <v>0</v>
      </c>
      <c r="K56" s="322">
        <f t="shared" si="58"/>
        <v>0</v>
      </c>
      <c r="L56" s="373">
        <f>SUM(G56:K56)</f>
        <v>0</v>
      </c>
      <c r="M56" s="349">
        <f>IF($E56="02",$L56-G56,-G56)</f>
        <v>0</v>
      </c>
      <c r="N56" s="350">
        <f>IF($E56="03",$L56-H56,-H56)</f>
        <v>0</v>
      </c>
      <c r="O56" s="350">
        <f>IF($E56="04",$L56-I56,-I56)</f>
        <v>0</v>
      </c>
      <c r="P56" s="350">
        <f>IF($E56="07",$L56-J56,-J56)</f>
        <v>0</v>
      </c>
      <c r="Q56" s="350">
        <f>IF($E56="10",$L56-K56,-K56)</f>
        <v>0</v>
      </c>
      <c r="R56" s="351">
        <f>+Q56+P56+O56+N56+M56</f>
        <v>0</v>
      </c>
      <c r="T56" s="366">
        <f t="shared" si="44"/>
        <v>0</v>
      </c>
      <c r="U56" s="366">
        <f t="shared" si="45"/>
        <v>0</v>
      </c>
      <c r="V56" s="366">
        <f t="shared" si="46"/>
        <v>0</v>
      </c>
      <c r="W56" s="366">
        <f t="shared" si="47"/>
        <v>0</v>
      </c>
      <c r="X56" s="368">
        <f t="shared" si="48"/>
        <v>0</v>
      </c>
    </row>
    <row r="57" spans="1:24" ht="14.25" hidden="1">
      <c r="A57" s="341" t="s">
        <v>1461</v>
      </c>
      <c r="B57" s="342" t="str">
        <f>VLOOKUP(A57,'APPVI VLOOKUP NAMES'!$A$2:$C$289,3,FALSE)</f>
        <v>Split Rock Energy</v>
      </c>
      <c r="C57" s="345"/>
      <c r="D57" s="344">
        <v>4470066</v>
      </c>
      <c r="E57" s="345" t="s">
        <v>662</v>
      </c>
      <c r="F57" s="529"/>
      <c r="G57" s="347">
        <f t="shared" si="59"/>
        <v>0</v>
      </c>
      <c r="H57" s="322">
        <f t="shared" si="57"/>
        <v>0</v>
      </c>
      <c r="I57" s="322">
        <f t="shared" si="49"/>
        <v>0</v>
      </c>
      <c r="J57" s="322">
        <f t="shared" si="58"/>
        <v>0</v>
      </c>
      <c r="K57" s="322">
        <f t="shared" si="58"/>
        <v>0</v>
      </c>
      <c r="L57" s="373">
        <f>SUM(G57:K57)</f>
        <v>0</v>
      </c>
      <c r="M57" s="349">
        <f>IF($E57="02",$L57-G57,-G57)</f>
        <v>0</v>
      </c>
      <c r="N57" s="350">
        <f>IF($E57="03",$L57-H57,-H57)</f>
        <v>0</v>
      </c>
      <c r="O57" s="350">
        <f>IF($E57="04",$L57-I57,-I57)</f>
        <v>0</v>
      </c>
      <c r="P57" s="350">
        <f>IF($E57="07",$L57-J57,-J57)</f>
        <v>0</v>
      </c>
      <c r="Q57" s="350">
        <f>IF($E57="10",$L57-K57,-K57)</f>
        <v>0</v>
      </c>
      <c r="R57" s="351">
        <f>+Q57+P57+O57+N57+M57</f>
        <v>0</v>
      </c>
      <c r="T57" s="366">
        <f t="shared" si="44"/>
        <v>0</v>
      </c>
      <c r="U57" s="366">
        <f t="shared" si="45"/>
        <v>0</v>
      </c>
      <c r="V57" s="366">
        <f t="shared" si="46"/>
        <v>0</v>
      </c>
      <c r="W57" s="366">
        <f t="shared" si="47"/>
        <v>0</v>
      </c>
      <c r="X57" s="368">
        <f t="shared" si="48"/>
        <v>0</v>
      </c>
    </row>
    <row r="58" spans="1:24" ht="14.25" hidden="1">
      <c r="A58" s="408" t="s">
        <v>238</v>
      </c>
      <c r="B58" s="342" t="str">
        <f>VLOOKUP(A58,'APPVI VLOOKUP NAMES'!$A$2:$C$289,3,FALSE)</f>
        <v>TECO Energy Source</v>
      </c>
      <c r="C58" s="345"/>
      <c r="D58" s="344">
        <v>4470066</v>
      </c>
      <c r="E58" s="345" t="s">
        <v>659</v>
      </c>
      <c r="F58" s="529"/>
      <c r="G58" s="347">
        <f t="shared" si="59"/>
        <v>0</v>
      </c>
      <c r="H58" s="322">
        <f t="shared" si="57"/>
        <v>0</v>
      </c>
      <c r="I58" s="322">
        <f t="shared" si="49"/>
        <v>0</v>
      </c>
      <c r="J58" s="322">
        <f t="shared" si="58"/>
        <v>0</v>
      </c>
      <c r="K58" s="322">
        <f t="shared" si="58"/>
        <v>0</v>
      </c>
      <c r="L58" s="373">
        <f t="shared" si="50"/>
        <v>0</v>
      </c>
      <c r="M58" s="349">
        <f t="shared" si="51"/>
        <v>0</v>
      </c>
      <c r="N58" s="350">
        <f t="shared" si="52"/>
        <v>0</v>
      </c>
      <c r="O58" s="350">
        <f t="shared" si="53"/>
        <v>0</v>
      </c>
      <c r="P58" s="350">
        <f t="shared" si="54"/>
        <v>0</v>
      </c>
      <c r="Q58" s="350">
        <f t="shared" si="55"/>
        <v>0</v>
      </c>
      <c r="R58" s="351">
        <f t="shared" si="56"/>
        <v>0</v>
      </c>
      <c r="T58" s="366">
        <f t="shared" si="44"/>
        <v>0</v>
      </c>
      <c r="U58" s="366">
        <f t="shared" si="45"/>
        <v>0</v>
      </c>
      <c r="V58" s="366">
        <f t="shared" si="46"/>
        <v>0</v>
      </c>
      <c r="W58" s="366">
        <f t="shared" si="47"/>
        <v>0</v>
      </c>
      <c r="X58" s="368">
        <f t="shared" si="48"/>
        <v>0</v>
      </c>
    </row>
    <row r="59" spans="1:24" ht="14.25">
      <c r="A59" s="341" t="s">
        <v>670</v>
      </c>
      <c r="B59" s="342" t="str">
        <f>VLOOKUP(A59,'APPVI VLOOKUP NAMES'!$A$2:$C$289,3,FALSE)</f>
        <v>TVA Bulk Power Trading</v>
      </c>
      <c r="C59" s="554"/>
      <c r="D59" s="344">
        <v>4470066</v>
      </c>
      <c r="E59" s="345" t="s">
        <v>657</v>
      </c>
      <c r="F59" s="529">
        <v>59766.59</v>
      </c>
      <c r="G59" s="347">
        <f>ROUND(+G$6*$F59,0)</f>
        <v>20594</v>
      </c>
      <c r="H59" s="322">
        <f>ROUND(+H$6*$F59,0)</f>
        <v>4150</v>
      </c>
      <c r="I59" s="322">
        <f t="shared" si="49"/>
        <v>10570</v>
      </c>
      <c r="J59" s="322">
        <f>ROUND(+J$6*$F59,0)+1</f>
        <v>13531</v>
      </c>
      <c r="K59" s="322">
        <f>ROUND(+K$6*$F59,0)</f>
        <v>10922</v>
      </c>
      <c r="L59" s="373">
        <f t="shared" si="50"/>
        <v>59767</v>
      </c>
      <c r="M59" s="349">
        <f t="shared" si="51"/>
        <v>-20594</v>
      </c>
      <c r="N59" s="350">
        <f t="shared" si="52"/>
        <v>-4150</v>
      </c>
      <c r="O59" s="350">
        <f t="shared" si="53"/>
        <v>-10570</v>
      </c>
      <c r="P59" s="350">
        <f t="shared" si="54"/>
        <v>46236</v>
      </c>
      <c r="Q59" s="350">
        <f t="shared" si="55"/>
        <v>-10922</v>
      </c>
      <c r="R59" s="351">
        <f t="shared" si="56"/>
        <v>0</v>
      </c>
      <c r="T59" s="366">
        <f aca="true" t="shared" si="60" ref="T59:X60">ROUND(+G$6*$F59,5)</f>
        <v>20594.37158</v>
      </c>
      <c r="U59" s="366">
        <f t="shared" si="60"/>
        <v>4149.59434</v>
      </c>
      <c r="V59" s="366">
        <f t="shared" si="60"/>
        <v>10570.31911</v>
      </c>
      <c r="W59" s="366">
        <f t="shared" si="60"/>
        <v>13529.96064</v>
      </c>
      <c r="X59" s="368">
        <f t="shared" si="60"/>
        <v>10922.34432</v>
      </c>
    </row>
    <row r="60" spans="1:24" ht="14.25" hidden="1">
      <c r="A60" s="341" t="s">
        <v>671</v>
      </c>
      <c r="B60" s="342" t="str">
        <f>VLOOKUP(A60,'APPVI VLOOKUP NAMES'!$A$2:$C$289,3,FALSE)</f>
        <v>Virginia Power Marketing</v>
      </c>
      <c r="C60" s="345"/>
      <c r="D60" s="344">
        <v>4470066</v>
      </c>
      <c r="E60" s="345" t="s">
        <v>659</v>
      </c>
      <c r="F60" s="346"/>
      <c r="G60" s="347">
        <f t="shared" si="59"/>
        <v>0</v>
      </c>
      <c r="H60" s="322">
        <f t="shared" si="57"/>
        <v>0</v>
      </c>
      <c r="I60" s="322">
        <f t="shared" si="49"/>
        <v>0</v>
      </c>
      <c r="J60" s="322">
        <f t="shared" si="58"/>
        <v>0</v>
      </c>
      <c r="K60" s="322">
        <f t="shared" si="58"/>
        <v>0</v>
      </c>
      <c r="L60" s="373">
        <f t="shared" si="50"/>
        <v>0</v>
      </c>
      <c r="M60" s="349">
        <f t="shared" si="51"/>
        <v>0</v>
      </c>
      <c r="N60" s="350">
        <f t="shared" si="52"/>
        <v>0</v>
      </c>
      <c r="O60" s="350">
        <f t="shared" si="53"/>
        <v>0</v>
      </c>
      <c r="P60" s="350">
        <f t="shared" si="54"/>
        <v>0</v>
      </c>
      <c r="Q60" s="350">
        <f t="shared" si="55"/>
        <v>0</v>
      </c>
      <c r="R60" s="351">
        <f t="shared" si="56"/>
        <v>0</v>
      </c>
      <c r="T60" s="371">
        <f t="shared" si="60"/>
        <v>0</v>
      </c>
      <c r="U60" s="371">
        <f t="shared" si="60"/>
        <v>0</v>
      </c>
      <c r="V60" s="371">
        <f t="shared" si="60"/>
        <v>0</v>
      </c>
      <c r="W60" s="371">
        <f t="shared" si="60"/>
        <v>0</v>
      </c>
      <c r="X60" s="372">
        <f t="shared" si="60"/>
        <v>0</v>
      </c>
    </row>
    <row r="61" spans="1:24" ht="14.25" hidden="1">
      <c r="A61" s="341" t="s">
        <v>1045</v>
      </c>
      <c r="B61" s="342" t="e">
        <f>VLOOKUP(A61,'APPVI VLOOKUP NAMES'!$A$2:$C$289,3,FALSE)</f>
        <v>#N/A</v>
      </c>
      <c r="C61" s="554"/>
      <c r="D61" s="344">
        <v>4470066</v>
      </c>
      <c r="E61" s="345" t="s">
        <v>662</v>
      </c>
      <c r="F61" s="346"/>
      <c r="G61" s="347">
        <f t="shared" si="59"/>
        <v>0</v>
      </c>
      <c r="H61" s="322">
        <f t="shared" si="57"/>
        <v>0</v>
      </c>
      <c r="I61" s="322">
        <f t="shared" si="49"/>
        <v>0</v>
      </c>
      <c r="J61" s="322">
        <f t="shared" si="58"/>
        <v>0</v>
      </c>
      <c r="K61" s="322">
        <f t="shared" si="58"/>
        <v>0</v>
      </c>
      <c r="L61" s="373">
        <f>SUM(G61:K61)</f>
        <v>0</v>
      </c>
      <c r="M61" s="349">
        <f>IF($E61="02",$L61-G61,-G61)</f>
        <v>0</v>
      </c>
      <c r="N61" s="350">
        <f>IF($E61="03",$L61-H61,-H61)</f>
        <v>0</v>
      </c>
      <c r="O61" s="350">
        <f>IF($E61="04",$L61-I61,-I61)</f>
        <v>0</v>
      </c>
      <c r="P61" s="350">
        <f>IF($E61="07",$L61-J61,-J61)</f>
        <v>0</v>
      </c>
      <c r="Q61" s="350">
        <f>IF($E61="10",$L61-K61,-K61)</f>
        <v>0</v>
      </c>
      <c r="R61" s="351">
        <f>+Q61+P61+O61+N61+M61</f>
        <v>0</v>
      </c>
      <c r="T61" s="371">
        <f>ROUND(+G$6*$F61,5)</f>
        <v>0</v>
      </c>
      <c r="U61" s="371">
        <f>ROUND(+H$6*$F61,5)</f>
        <v>0</v>
      </c>
      <c r="V61" s="371">
        <f>ROUND(+I$6*$F61,5)</f>
        <v>0</v>
      </c>
      <c r="W61" s="371">
        <f>ROUND(+J$6*$F61,5)</f>
        <v>0</v>
      </c>
      <c r="X61" s="372">
        <f>ROUND(+K$6*$F61,5)</f>
        <v>0</v>
      </c>
    </row>
    <row r="62" spans="1:24" ht="14.25" hidden="1">
      <c r="A62" s="341" t="s">
        <v>1045</v>
      </c>
      <c r="B62" s="342" t="e">
        <f>VLOOKUP(A62,'APPVI VLOOKUP NAMES'!$A$2:$C$289,3,FALSE)</f>
        <v>#N/A</v>
      </c>
      <c r="C62" s="554"/>
      <c r="D62" s="344">
        <v>4470066</v>
      </c>
      <c r="E62" s="345" t="s">
        <v>659</v>
      </c>
      <c r="F62" s="346"/>
      <c r="G62" s="347">
        <f t="shared" si="59"/>
        <v>0</v>
      </c>
      <c r="H62" s="322">
        <f t="shared" si="57"/>
        <v>0</v>
      </c>
      <c r="I62" s="322">
        <f t="shared" si="49"/>
        <v>0</v>
      </c>
      <c r="J62" s="322">
        <f t="shared" si="58"/>
        <v>0</v>
      </c>
      <c r="K62" s="322">
        <f t="shared" si="58"/>
        <v>0</v>
      </c>
      <c r="L62" s="373">
        <f>SUM(G62:K62)</f>
        <v>0</v>
      </c>
      <c r="M62" s="349">
        <f>IF($E62="02",$L62-G62,-G62)</f>
        <v>0</v>
      </c>
      <c r="N62" s="350">
        <f>IF($E62="03",$L62-H62,-H62)</f>
        <v>0</v>
      </c>
      <c r="O62" s="350">
        <f>IF($E62="04",$L62-I62,-I62)</f>
        <v>0</v>
      </c>
      <c r="P62" s="350">
        <f>IF($E62="07",$L62-J62,-J62)</f>
        <v>0</v>
      </c>
      <c r="Q62" s="350">
        <f>IF($E62="10",$L62-K62,-K62)</f>
        <v>0</v>
      </c>
      <c r="R62" s="351">
        <f>+Q62+P62+O62+N62+M62</f>
        <v>0</v>
      </c>
      <c r="T62" s="367"/>
      <c r="U62" s="367"/>
      <c r="V62" s="367"/>
      <c r="W62" s="367"/>
      <c r="X62" s="367"/>
    </row>
    <row r="63" spans="1:24" ht="14.25" hidden="1">
      <c r="A63" s="341" t="s">
        <v>1045</v>
      </c>
      <c r="B63" s="342" t="e">
        <f>VLOOKUP(A63,'APPVI VLOOKUP NAMES'!$A$2:$C$289,3,FALSE)</f>
        <v>#N/A</v>
      </c>
      <c r="C63" s="554"/>
      <c r="D63" s="344">
        <v>4470066</v>
      </c>
      <c r="E63" s="345" t="s">
        <v>662</v>
      </c>
      <c r="F63" s="346"/>
      <c r="G63" s="347">
        <f t="shared" si="59"/>
        <v>0</v>
      </c>
      <c r="H63" s="322">
        <f t="shared" si="57"/>
        <v>0</v>
      </c>
      <c r="I63" s="322">
        <f t="shared" si="49"/>
        <v>0</v>
      </c>
      <c r="J63" s="322">
        <f t="shared" si="58"/>
        <v>0</v>
      </c>
      <c r="K63" s="322">
        <f t="shared" si="58"/>
        <v>0</v>
      </c>
      <c r="L63" s="373">
        <f>SUM(G63:K63)</f>
        <v>0</v>
      </c>
      <c r="M63" s="349">
        <f>IF($E63="02",$L63-G63,-G63)</f>
        <v>0</v>
      </c>
      <c r="N63" s="350">
        <f>IF($E63="03",$L63-H63,-H63)</f>
        <v>0</v>
      </c>
      <c r="O63" s="350">
        <f>IF($E63="04",$L63-I63,-I63)</f>
        <v>0</v>
      </c>
      <c r="P63" s="350">
        <f>IF($E63="07",$L63-J63,-J63)</f>
        <v>0</v>
      </c>
      <c r="Q63" s="350">
        <f>IF($E63="10",$L63-K63,-K63)</f>
        <v>0</v>
      </c>
      <c r="R63" s="351">
        <f>+Q63+P63+O63+N63+M63</f>
        <v>0</v>
      </c>
      <c r="T63" s="367"/>
      <c r="U63" s="367"/>
      <c r="V63" s="367"/>
      <c r="W63" s="367"/>
      <c r="X63" s="367"/>
    </row>
    <row r="64" spans="1:24" ht="12.75">
      <c r="A64" s="352"/>
      <c r="B64" s="344"/>
      <c r="C64" s="344"/>
      <c r="D64" s="344"/>
      <c r="E64" s="344"/>
      <c r="F64" s="353"/>
      <c r="G64" s="352"/>
      <c r="H64" s="344"/>
      <c r="I64" s="344"/>
      <c r="J64" s="344"/>
      <c r="K64" s="344"/>
      <c r="L64" s="377"/>
      <c r="M64" s="352"/>
      <c r="N64" s="344"/>
      <c r="O64" s="344"/>
      <c r="P64" s="344"/>
      <c r="Q64" s="344"/>
      <c r="R64" s="354"/>
      <c r="T64" s="367"/>
      <c r="U64" s="367"/>
      <c r="V64" s="367"/>
      <c r="W64" s="367"/>
      <c r="X64" s="367"/>
    </row>
    <row r="65" spans="1:24" ht="14.25" customHeight="1" hidden="1">
      <c r="A65" s="341" t="s">
        <v>695</v>
      </c>
      <c r="B65" s="342" t="str">
        <f>VLOOKUP(A65,'APPVI VLOOKUP NAMES'!$A$2:$C$289,3)</f>
        <v>Austin Energy</v>
      </c>
      <c r="C65" s="345" t="s">
        <v>1778</v>
      </c>
      <c r="D65" s="344">
        <f aca="true" t="shared" si="61" ref="D65:D79">IF(C65="(2)",4210020,4470066)</f>
        <v>4210020</v>
      </c>
      <c r="E65" s="345" t="s">
        <v>657</v>
      </c>
      <c r="F65" s="346"/>
      <c r="G65" s="347">
        <f aca="true" t="shared" si="62" ref="G65:K79">ROUND(+G$6*$F65,0)</f>
        <v>0</v>
      </c>
      <c r="H65" s="322">
        <f t="shared" si="62"/>
        <v>0</v>
      </c>
      <c r="I65" s="322">
        <f>ROUND(+I$6*$F65,0)</f>
        <v>0</v>
      </c>
      <c r="J65" s="322">
        <f>ROUND(+J$6*$F65,0)</f>
        <v>0</v>
      </c>
      <c r="K65" s="322">
        <f t="shared" si="62"/>
        <v>0</v>
      </c>
      <c r="L65" s="373">
        <f aca="true" t="shared" si="63" ref="L65:L79">SUM(G65:K65)</f>
        <v>0</v>
      </c>
      <c r="M65" s="349">
        <f aca="true" t="shared" si="64" ref="M65:M79">IF($E65="02",$L65-G65,-G65)</f>
        <v>0</v>
      </c>
      <c r="N65" s="350">
        <f aca="true" t="shared" si="65" ref="N65:N79">IF($E65="03",$L65-H65,-H65)</f>
        <v>0</v>
      </c>
      <c r="O65" s="350">
        <f aca="true" t="shared" si="66" ref="O65:O79">IF($E65="04",$L65-I65,-I65)</f>
        <v>0</v>
      </c>
      <c r="P65" s="350">
        <f aca="true" t="shared" si="67" ref="P65:P79">IF($E65="07",$L65-J65,-J65)</f>
        <v>0</v>
      </c>
      <c r="Q65" s="350">
        <f aca="true" t="shared" si="68" ref="Q65:Q79">IF($E65="10",$L65-K65,-K65)</f>
        <v>0</v>
      </c>
      <c r="R65" s="351">
        <f aca="true" t="shared" si="69" ref="R65:R79">+Q65+P65+O65+N65+M65</f>
        <v>0</v>
      </c>
      <c r="T65" s="370">
        <f aca="true" t="shared" si="70" ref="T65:X75">ROUND(+G$6*$F65,5)</f>
        <v>0</v>
      </c>
      <c r="U65" s="370">
        <f t="shared" si="70"/>
        <v>0</v>
      </c>
      <c r="V65" s="370">
        <f t="shared" si="70"/>
        <v>0</v>
      </c>
      <c r="W65" s="370">
        <f t="shared" si="70"/>
        <v>0</v>
      </c>
      <c r="X65" s="370">
        <f t="shared" si="70"/>
        <v>0</v>
      </c>
    </row>
    <row r="66" spans="1:24" ht="14.25" customHeight="1" hidden="1">
      <c r="A66" s="341" t="s">
        <v>672</v>
      </c>
      <c r="B66" s="342" t="str">
        <f>VLOOKUP(A66,'APPVI VLOOKUP NAMES'!$A$2:$C$289,3)</f>
        <v>Bonneville Power Admin</v>
      </c>
      <c r="C66" s="345" t="s">
        <v>1778</v>
      </c>
      <c r="D66" s="344">
        <f t="shared" si="61"/>
        <v>4210020</v>
      </c>
      <c r="E66" s="345" t="s">
        <v>657</v>
      </c>
      <c r="F66" s="346"/>
      <c r="G66" s="347">
        <f t="shared" si="62"/>
        <v>0</v>
      </c>
      <c r="H66" s="322">
        <f t="shared" si="62"/>
        <v>0</v>
      </c>
      <c r="I66" s="322">
        <f>ROUND(+I$6*$F66,0)</f>
        <v>0</v>
      </c>
      <c r="J66" s="322">
        <f>ROUND(+J$6*$F66,0)</f>
        <v>0</v>
      </c>
      <c r="K66" s="322">
        <f t="shared" si="62"/>
        <v>0</v>
      </c>
      <c r="L66" s="373">
        <f t="shared" si="63"/>
        <v>0</v>
      </c>
      <c r="M66" s="349">
        <f t="shared" si="64"/>
        <v>0</v>
      </c>
      <c r="N66" s="350">
        <f t="shared" si="65"/>
        <v>0</v>
      </c>
      <c r="O66" s="350">
        <f t="shared" si="66"/>
        <v>0</v>
      </c>
      <c r="P66" s="350">
        <f t="shared" si="67"/>
        <v>0</v>
      </c>
      <c r="Q66" s="350">
        <f t="shared" si="68"/>
        <v>0</v>
      </c>
      <c r="R66" s="351">
        <f t="shared" si="69"/>
        <v>0</v>
      </c>
      <c r="T66" s="368">
        <f t="shared" si="70"/>
        <v>0</v>
      </c>
      <c r="U66" s="368">
        <f t="shared" si="70"/>
        <v>0</v>
      </c>
      <c r="V66" s="368">
        <f t="shared" si="70"/>
        <v>0</v>
      </c>
      <c r="W66" s="368">
        <f t="shared" si="70"/>
        <v>0</v>
      </c>
      <c r="X66" s="368">
        <f t="shared" si="70"/>
        <v>0</v>
      </c>
    </row>
    <row r="67" spans="1:24" ht="14.25" customHeight="1" hidden="1">
      <c r="A67" s="341" t="s">
        <v>768</v>
      </c>
      <c r="B67" s="342" t="str">
        <f>VLOOKUP(A67,'APPVI VLOOKUP NAMES'!$A$2:$C$289,3)</f>
        <v>California ISO</v>
      </c>
      <c r="C67" s="345" t="s">
        <v>1778</v>
      </c>
      <c r="D67" s="344">
        <f t="shared" si="61"/>
        <v>4210020</v>
      </c>
      <c r="E67" s="345" t="s">
        <v>657</v>
      </c>
      <c r="F67" s="346"/>
      <c r="G67" s="347">
        <f>ROUND(+G$6*$F67,0)</f>
        <v>0</v>
      </c>
      <c r="H67" s="322">
        <f>ROUND(+H$6*$F67,0)</f>
        <v>0</v>
      </c>
      <c r="I67" s="322">
        <f t="shared" si="62"/>
        <v>0</v>
      </c>
      <c r="J67" s="322">
        <f t="shared" si="62"/>
        <v>0</v>
      </c>
      <c r="K67" s="322">
        <f>ROUND(+K$6*$F67,0)</f>
        <v>0</v>
      </c>
      <c r="L67" s="373">
        <f t="shared" si="63"/>
        <v>0</v>
      </c>
      <c r="M67" s="349">
        <f t="shared" si="64"/>
        <v>0</v>
      </c>
      <c r="N67" s="350">
        <f t="shared" si="65"/>
        <v>0</v>
      </c>
      <c r="O67" s="350">
        <f t="shared" si="66"/>
        <v>0</v>
      </c>
      <c r="P67" s="350">
        <f t="shared" si="67"/>
        <v>0</v>
      </c>
      <c r="Q67" s="350">
        <f t="shared" si="68"/>
        <v>0</v>
      </c>
      <c r="R67" s="351">
        <f t="shared" si="69"/>
        <v>0</v>
      </c>
      <c r="T67" s="368">
        <f>ROUND(+G$6*$F67,5)</f>
        <v>0</v>
      </c>
      <c r="U67" s="368">
        <f>ROUND(+H$6*$F67,5)</f>
        <v>0</v>
      </c>
      <c r="V67" s="368">
        <f>ROUND(+I$6*$F67,5)</f>
        <v>0</v>
      </c>
      <c r="W67" s="368">
        <f>ROUND(+J$6*$F67,5)</f>
        <v>0</v>
      </c>
      <c r="X67" s="368">
        <f>ROUND(+K$6*$F67,5)</f>
        <v>0</v>
      </c>
    </row>
    <row r="68" spans="1:24" ht="14.25" customHeight="1" hidden="1">
      <c r="A68" s="341" t="s">
        <v>761</v>
      </c>
      <c r="B68" s="342" t="str">
        <f>VLOOKUP(A68,'APPVI VLOOKUP NAMES'!$A$2:$C$289,3)</f>
        <v>Central Hudson Gas &amp; Electric Corp.</v>
      </c>
      <c r="C68" s="345" t="s">
        <v>1778</v>
      </c>
      <c r="D68" s="344">
        <f t="shared" si="61"/>
        <v>4210020</v>
      </c>
      <c r="E68" s="345" t="s">
        <v>657</v>
      </c>
      <c r="F68" s="346"/>
      <c r="G68" s="347">
        <f>ROUND(+G$6*$F68,0)</f>
        <v>0</v>
      </c>
      <c r="H68" s="322">
        <f t="shared" si="62"/>
        <v>0</v>
      </c>
      <c r="I68" s="322">
        <f>ROUND(+I$6*$F68,0)</f>
        <v>0</v>
      </c>
      <c r="J68" s="322">
        <f>ROUND(+J$6*$F68,0)</f>
        <v>0</v>
      </c>
      <c r="K68" s="322">
        <f>ROUND(+K$6*$F68,0)</f>
        <v>0</v>
      </c>
      <c r="L68" s="373">
        <f t="shared" si="63"/>
        <v>0</v>
      </c>
      <c r="M68" s="349">
        <f t="shared" si="64"/>
        <v>0</v>
      </c>
      <c r="N68" s="350">
        <f t="shared" si="65"/>
        <v>0</v>
      </c>
      <c r="O68" s="350">
        <f t="shared" si="66"/>
        <v>0</v>
      </c>
      <c r="P68" s="350">
        <f t="shared" si="67"/>
        <v>0</v>
      </c>
      <c r="Q68" s="350">
        <f t="shared" si="68"/>
        <v>0</v>
      </c>
      <c r="R68" s="351">
        <f t="shared" si="69"/>
        <v>0</v>
      </c>
      <c r="T68" s="368">
        <f t="shared" si="70"/>
        <v>0</v>
      </c>
      <c r="U68" s="368">
        <f t="shared" si="70"/>
        <v>0</v>
      </c>
      <c r="V68" s="368">
        <f t="shared" si="70"/>
        <v>0</v>
      </c>
      <c r="W68" s="368">
        <f t="shared" si="70"/>
        <v>0</v>
      </c>
      <c r="X68" s="368">
        <f t="shared" si="70"/>
        <v>0</v>
      </c>
    </row>
    <row r="69" spans="1:24" ht="14.25" customHeight="1" hidden="1">
      <c r="A69" s="341" t="s">
        <v>708</v>
      </c>
      <c r="B69" s="342" t="str">
        <f>VLOOKUP(A69,'APPVI VLOOKUP NAMES'!$A$2:$C$289,3)</f>
        <v>City of Anaheim</v>
      </c>
      <c r="C69" s="345" t="s">
        <v>1778</v>
      </c>
      <c r="D69" s="344">
        <f t="shared" si="61"/>
        <v>4210020</v>
      </c>
      <c r="E69" s="345" t="s">
        <v>657</v>
      </c>
      <c r="F69" s="346"/>
      <c r="G69" s="347">
        <f>ROUND(+G$6*$F69,0)</f>
        <v>0</v>
      </c>
      <c r="H69" s="322">
        <f>ROUND(+H$6*$F69,0)</f>
        <v>0</v>
      </c>
      <c r="I69" s="322">
        <f t="shared" si="62"/>
        <v>0</v>
      </c>
      <c r="J69" s="322">
        <f t="shared" si="62"/>
        <v>0</v>
      </c>
      <c r="K69" s="322">
        <f>ROUND(+K$6*$F69,0)</f>
        <v>0</v>
      </c>
      <c r="L69" s="373">
        <f t="shared" si="63"/>
        <v>0</v>
      </c>
      <c r="M69" s="349">
        <f t="shared" si="64"/>
        <v>0</v>
      </c>
      <c r="N69" s="350">
        <f t="shared" si="65"/>
        <v>0</v>
      </c>
      <c r="O69" s="350">
        <f t="shared" si="66"/>
        <v>0</v>
      </c>
      <c r="P69" s="350">
        <f t="shared" si="67"/>
        <v>0</v>
      </c>
      <c r="Q69" s="350">
        <f t="shared" si="68"/>
        <v>0</v>
      </c>
      <c r="R69" s="351">
        <f t="shared" si="69"/>
        <v>0</v>
      </c>
      <c r="T69" s="368">
        <f t="shared" si="70"/>
        <v>0</v>
      </c>
      <c r="U69" s="368">
        <f t="shared" si="70"/>
        <v>0</v>
      </c>
      <c r="V69" s="368">
        <f t="shared" si="70"/>
        <v>0</v>
      </c>
      <c r="W69" s="368">
        <f t="shared" si="70"/>
        <v>0</v>
      </c>
      <c r="X69" s="368">
        <f t="shared" si="70"/>
        <v>0</v>
      </c>
    </row>
    <row r="70" spans="1:24" ht="14.25" customHeight="1" hidden="1">
      <c r="A70" s="341" t="s">
        <v>757</v>
      </c>
      <c r="B70" s="342" t="str">
        <f>VLOOKUP(A70,'APPVI VLOOKUP NAMES'!$A$2:$C$289,3)</f>
        <v>ConEdison Company of New York</v>
      </c>
      <c r="C70" s="345" t="s">
        <v>1778</v>
      </c>
      <c r="D70" s="344">
        <f t="shared" si="61"/>
        <v>4210020</v>
      </c>
      <c r="E70" s="345" t="s">
        <v>657</v>
      </c>
      <c r="F70" s="346"/>
      <c r="G70" s="347">
        <f t="shared" si="62"/>
        <v>0</v>
      </c>
      <c r="H70" s="322">
        <f t="shared" si="62"/>
        <v>0</v>
      </c>
      <c r="I70" s="322">
        <f t="shared" si="62"/>
        <v>0</v>
      </c>
      <c r="J70" s="322">
        <f t="shared" si="62"/>
        <v>0</v>
      </c>
      <c r="K70" s="322">
        <f>ROUND(+K$6*$F70,0)</f>
        <v>0</v>
      </c>
      <c r="L70" s="373">
        <f t="shared" si="63"/>
        <v>0</v>
      </c>
      <c r="M70" s="349">
        <f t="shared" si="64"/>
        <v>0</v>
      </c>
      <c r="N70" s="350">
        <f t="shared" si="65"/>
        <v>0</v>
      </c>
      <c r="O70" s="350">
        <f t="shared" si="66"/>
        <v>0</v>
      </c>
      <c r="P70" s="350">
        <f t="shared" si="67"/>
        <v>0</v>
      </c>
      <c r="Q70" s="350">
        <f t="shared" si="68"/>
        <v>0</v>
      </c>
      <c r="R70" s="351">
        <f t="shared" si="69"/>
        <v>0</v>
      </c>
      <c r="T70" s="368">
        <f aca="true" t="shared" si="71" ref="T70:X71">ROUND(+G$6*$F70,5)</f>
        <v>0</v>
      </c>
      <c r="U70" s="368">
        <f t="shared" si="71"/>
        <v>0</v>
      </c>
      <c r="V70" s="368">
        <f t="shared" si="71"/>
        <v>0</v>
      </c>
      <c r="W70" s="368">
        <f t="shared" si="71"/>
        <v>0</v>
      </c>
      <c r="X70" s="368">
        <f t="shared" si="71"/>
        <v>0</v>
      </c>
    </row>
    <row r="71" spans="1:24" ht="14.25" customHeight="1" hidden="1">
      <c r="A71" s="341" t="s">
        <v>85</v>
      </c>
      <c r="B71" s="342" t="str">
        <f>VLOOKUP(A71,'APPVI VLOOKUP NAMES'!$A$2:$C$289,3)</f>
        <v>Long Island Power Authority - KeySpan</v>
      </c>
      <c r="C71" s="345" t="s">
        <v>1778</v>
      </c>
      <c r="D71" s="344">
        <f t="shared" si="61"/>
        <v>4210020</v>
      </c>
      <c r="E71" s="421" t="s">
        <v>657</v>
      </c>
      <c r="F71" s="346"/>
      <c r="G71" s="347">
        <f t="shared" si="62"/>
        <v>0</v>
      </c>
      <c r="H71" s="322">
        <f>ROUND(+H$6*$F71,0)</f>
        <v>0</v>
      </c>
      <c r="I71" s="322">
        <f t="shared" si="62"/>
        <v>0</v>
      </c>
      <c r="J71" s="322">
        <f>ROUND(+J$6*$F71,0)</f>
        <v>0</v>
      </c>
      <c r="K71" s="322">
        <f>ROUND(+K$6*$F71,0)</f>
        <v>0</v>
      </c>
      <c r="L71" s="373">
        <f>SUM(G71:K71)</f>
        <v>0</v>
      </c>
      <c r="M71" s="349">
        <f>IF($E71="02",$L71-G71,-G71)</f>
        <v>0</v>
      </c>
      <c r="N71" s="350">
        <f>IF($E71="03",$L71-H71,-H71)</f>
        <v>0</v>
      </c>
      <c r="O71" s="350">
        <f>IF($E71="04",$L71-I71,-I71)</f>
        <v>0</v>
      </c>
      <c r="P71" s="350">
        <f>IF($E71="07",$L71-J71,-J71)</f>
        <v>0</v>
      </c>
      <c r="Q71" s="350">
        <f>IF($E71="10",$L71-K71,-K71)</f>
        <v>0</v>
      </c>
      <c r="R71" s="351">
        <f>+Q71+P71+O71+N71+M71</f>
        <v>0</v>
      </c>
      <c r="T71" s="368">
        <f t="shared" si="71"/>
        <v>0</v>
      </c>
      <c r="U71" s="368">
        <f t="shared" si="71"/>
        <v>0</v>
      </c>
      <c r="V71" s="368">
        <f t="shared" si="71"/>
        <v>0</v>
      </c>
      <c r="W71" s="368">
        <f t="shared" si="71"/>
        <v>0</v>
      </c>
      <c r="X71" s="368">
        <f t="shared" si="71"/>
        <v>0</v>
      </c>
    </row>
    <row r="72" spans="1:24" ht="14.25" customHeight="1" hidden="1">
      <c r="A72" s="341" t="s">
        <v>1114</v>
      </c>
      <c r="B72" s="342" t="str">
        <f>VLOOKUP(A72,'APPVI VLOOKUP NAMES'!$A$2:$C$289,3)</f>
        <v>NYSEG Energy Trading</v>
      </c>
      <c r="C72" s="345" t="s">
        <v>1778</v>
      </c>
      <c r="D72" s="344">
        <f t="shared" si="61"/>
        <v>4210020</v>
      </c>
      <c r="E72" s="345" t="s">
        <v>657</v>
      </c>
      <c r="F72" s="346"/>
      <c r="G72" s="347">
        <f t="shared" si="62"/>
        <v>0</v>
      </c>
      <c r="H72" s="322">
        <f t="shared" si="62"/>
        <v>0</v>
      </c>
      <c r="I72" s="322">
        <f>ROUND(+I$6*$F72,0)</f>
        <v>0</v>
      </c>
      <c r="J72" s="322">
        <f t="shared" si="62"/>
        <v>0</v>
      </c>
      <c r="K72" s="322">
        <f t="shared" si="62"/>
        <v>0</v>
      </c>
      <c r="L72" s="348">
        <f t="shared" si="63"/>
        <v>0</v>
      </c>
      <c r="M72" s="349">
        <f t="shared" si="64"/>
        <v>0</v>
      </c>
      <c r="N72" s="350">
        <f t="shared" si="65"/>
        <v>0</v>
      </c>
      <c r="O72" s="350">
        <f t="shared" si="66"/>
        <v>0</v>
      </c>
      <c r="P72" s="350">
        <f t="shared" si="67"/>
        <v>0</v>
      </c>
      <c r="Q72" s="350">
        <f t="shared" si="68"/>
        <v>0</v>
      </c>
      <c r="R72" s="351">
        <f t="shared" si="69"/>
        <v>0</v>
      </c>
      <c r="T72" s="368">
        <f t="shared" si="70"/>
        <v>0</v>
      </c>
      <c r="U72" s="368">
        <f t="shared" si="70"/>
        <v>0</v>
      </c>
      <c r="V72" s="368">
        <f t="shared" si="70"/>
        <v>0</v>
      </c>
      <c r="W72" s="368">
        <f t="shared" si="70"/>
        <v>0</v>
      </c>
      <c r="X72" s="368">
        <f t="shared" si="70"/>
        <v>0</v>
      </c>
    </row>
    <row r="73" spans="1:24" ht="14.25" hidden="1">
      <c r="A73" s="341" t="s">
        <v>1124</v>
      </c>
      <c r="B73" s="342" t="str">
        <f>VLOOKUP(A73,'APPVI VLOOKUP NAMES'!$A$2:$C$289,3)</f>
        <v>New York Power Authority</v>
      </c>
      <c r="C73" s="345" t="s">
        <v>1778</v>
      </c>
      <c r="D73" s="344">
        <f t="shared" si="61"/>
        <v>4210020</v>
      </c>
      <c r="E73" s="345" t="s">
        <v>657</v>
      </c>
      <c r="F73" s="346"/>
      <c r="G73" s="347">
        <f t="shared" si="62"/>
        <v>0</v>
      </c>
      <c r="H73" s="322">
        <f t="shared" si="62"/>
        <v>0</v>
      </c>
      <c r="I73" s="322">
        <f t="shared" si="62"/>
        <v>0</v>
      </c>
      <c r="J73" s="322">
        <f t="shared" si="62"/>
        <v>0</v>
      </c>
      <c r="K73" s="322">
        <f t="shared" si="62"/>
        <v>0</v>
      </c>
      <c r="L73" s="348">
        <f t="shared" si="63"/>
        <v>0</v>
      </c>
      <c r="M73" s="349">
        <f t="shared" si="64"/>
        <v>0</v>
      </c>
      <c r="N73" s="350">
        <f t="shared" si="65"/>
        <v>0</v>
      </c>
      <c r="O73" s="350">
        <f t="shared" si="66"/>
        <v>0</v>
      </c>
      <c r="P73" s="350">
        <f t="shared" si="67"/>
        <v>0</v>
      </c>
      <c r="Q73" s="350">
        <f t="shared" si="68"/>
        <v>0</v>
      </c>
      <c r="R73" s="351">
        <f t="shared" si="69"/>
        <v>0</v>
      </c>
      <c r="T73" s="368">
        <f t="shared" si="70"/>
        <v>0</v>
      </c>
      <c r="U73" s="368">
        <f t="shared" si="70"/>
        <v>0</v>
      </c>
      <c r="V73" s="368">
        <f t="shared" si="70"/>
        <v>0</v>
      </c>
      <c r="W73" s="368">
        <f t="shared" si="70"/>
        <v>0</v>
      </c>
      <c r="X73" s="368">
        <f t="shared" si="70"/>
        <v>0</v>
      </c>
    </row>
    <row r="74" spans="1:24" ht="14.25" customHeight="1" hidden="1">
      <c r="A74" s="341" t="s">
        <v>1098</v>
      </c>
      <c r="B74" s="342" t="str">
        <f>VLOOKUP(A74,'APPVI VLOOKUP NAMES'!$A$2:$C$289,3)</f>
        <v>Niagra Mohawk</v>
      </c>
      <c r="C74" s="345" t="s">
        <v>1778</v>
      </c>
      <c r="D74" s="344">
        <f t="shared" si="61"/>
        <v>4210020</v>
      </c>
      <c r="E74" s="345" t="s">
        <v>657</v>
      </c>
      <c r="F74" s="346"/>
      <c r="G74" s="347">
        <f t="shared" si="62"/>
        <v>0</v>
      </c>
      <c r="H74" s="322">
        <f t="shared" si="62"/>
        <v>0</v>
      </c>
      <c r="I74" s="322">
        <f t="shared" si="62"/>
        <v>0</v>
      </c>
      <c r="J74" s="322">
        <f>ROUND(+J$6*$F74,0)</f>
        <v>0</v>
      </c>
      <c r="K74" s="322">
        <f>ROUND(+K$6*$F74,0)</f>
        <v>0</v>
      </c>
      <c r="L74" s="348">
        <f t="shared" si="63"/>
        <v>0</v>
      </c>
      <c r="M74" s="349">
        <f t="shared" si="64"/>
        <v>0</v>
      </c>
      <c r="N74" s="350">
        <f t="shared" si="65"/>
        <v>0</v>
      </c>
      <c r="O74" s="350">
        <f t="shared" si="66"/>
        <v>0</v>
      </c>
      <c r="P74" s="350">
        <f t="shared" si="67"/>
        <v>0</v>
      </c>
      <c r="Q74" s="350">
        <f t="shared" si="68"/>
        <v>0</v>
      </c>
      <c r="R74" s="351">
        <f t="shared" si="69"/>
        <v>0</v>
      </c>
      <c r="T74" s="368">
        <f>ROUND(+G$6*$F74,5)</f>
        <v>0</v>
      </c>
      <c r="U74" s="368">
        <f>ROUND(+H$6*$F74,5)</f>
        <v>0</v>
      </c>
      <c r="V74" s="368">
        <f>ROUND(+I$6*$F74,5)</f>
        <v>0</v>
      </c>
      <c r="W74" s="368">
        <f>ROUND(+J$6*$F74,5)</f>
        <v>0</v>
      </c>
      <c r="X74" s="368">
        <f>ROUND(+K$6*$F74,5)</f>
        <v>0</v>
      </c>
    </row>
    <row r="75" spans="1:24" ht="14.25" customHeight="1" hidden="1">
      <c r="A75" s="341" t="s">
        <v>1232</v>
      </c>
      <c r="B75" s="342" t="str">
        <f>VLOOKUP(A75,'APPVI VLOOKUP NAMES'!$A$2:$C$289,3)</f>
        <v>City of Redding</v>
      </c>
      <c r="C75" s="345" t="s">
        <v>1778</v>
      </c>
      <c r="D75" s="344">
        <f t="shared" si="61"/>
        <v>4210020</v>
      </c>
      <c r="E75" s="345" t="s">
        <v>657</v>
      </c>
      <c r="F75" s="346"/>
      <c r="G75" s="347">
        <f t="shared" si="62"/>
        <v>0</v>
      </c>
      <c r="H75" s="322">
        <f t="shared" si="62"/>
        <v>0</v>
      </c>
      <c r="I75" s="322">
        <f t="shared" si="62"/>
        <v>0</v>
      </c>
      <c r="J75" s="322">
        <f t="shared" si="62"/>
        <v>0</v>
      </c>
      <c r="K75" s="322">
        <f t="shared" si="62"/>
        <v>0</v>
      </c>
      <c r="L75" s="348">
        <f t="shared" si="63"/>
        <v>0</v>
      </c>
      <c r="M75" s="349">
        <f t="shared" si="64"/>
        <v>0</v>
      </c>
      <c r="N75" s="350">
        <f t="shared" si="65"/>
        <v>0</v>
      </c>
      <c r="O75" s="350">
        <f t="shared" si="66"/>
        <v>0</v>
      </c>
      <c r="P75" s="350">
        <f t="shared" si="67"/>
        <v>0</v>
      </c>
      <c r="Q75" s="350">
        <f t="shared" si="68"/>
        <v>0</v>
      </c>
      <c r="R75" s="351">
        <f t="shared" si="69"/>
        <v>0</v>
      </c>
      <c r="T75" s="368">
        <f t="shared" si="70"/>
        <v>0</v>
      </c>
      <c r="U75" s="368">
        <f t="shared" si="70"/>
        <v>0</v>
      </c>
      <c r="V75" s="368">
        <f t="shared" si="70"/>
        <v>0</v>
      </c>
      <c r="W75" s="368">
        <f t="shared" si="70"/>
        <v>0</v>
      </c>
      <c r="X75" s="368">
        <f t="shared" si="70"/>
        <v>0</v>
      </c>
    </row>
    <row r="76" spans="1:24" ht="14.25" customHeight="1" hidden="1">
      <c r="A76" s="341" t="s">
        <v>1321</v>
      </c>
      <c r="B76" s="342" t="str">
        <f>VLOOKUP(A76,'APPVI VLOOKUP NAMES'!$A$2:$C$289,3)</f>
        <v>Sempra Energy Trading</v>
      </c>
      <c r="C76" s="345" t="s">
        <v>1778</v>
      </c>
      <c r="D76" s="344">
        <f t="shared" si="61"/>
        <v>4210020</v>
      </c>
      <c r="E76" s="345" t="s">
        <v>657</v>
      </c>
      <c r="F76" s="346"/>
      <c r="G76" s="347">
        <f t="shared" si="62"/>
        <v>0</v>
      </c>
      <c r="H76" s="322">
        <f t="shared" si="62"/>
        <v>0</v>
      </c>
      <c r="I76" s="322">
        <f t="shared" si="62"/>
        <v>0</v>
      </c>
      <c r="J76" s="322">
        <f t="shared" si="62"/>
        <v>0</v>
      </c>
      <c r="K76" s="322">
        <f t="shared" si="62"/>
        <v>0</v>
      </c>
      <c r="L76" s="348">
        <f t="shared" si="63"/>
        <v>0</v>
      </c>
      <c r="M76" s="349">
        <f t="shared" si="64"/>
        <v>0</v>
      </c>
      <c r="N76" s="350">
        <f t="shared" si="65"/>
        <v>0</v>
      </c>
      <c r="O76" s="350">
        <f t="shared" si="66"/>
        <v>0</v>
      </c>
      <c r="P76" s="350">
        <f t="shared" si="67"/>
        <v>0</v>
      </c>
      <c r="Q76" s="350">
        <f t="shared" si="68"/>
        <v>0</v>
      </c>
      <c r="R76" s="351">
        <f t="shared" si="69"/>
        <v>0</v>
      </c>
      <c r="T76" s="368">
        <f aca="true" t="shared" si="72" ref="T76:X78">ROUND(+G$6*$F76,5)</f>
        <v>0</v>
      </c>
      <c r="U76" s="368">
        <f t="shared" si="72"/>
        <v>0</v>
      </c>
      <c r="V76" s="368">
        <f t="shared" si="72"/>
        <v>0</v>
      </c>
      <c r="W76" s="368">
        <f t="shared" si="72"/>
        <v>0</v>
      </c>
      <c r="X76" s="368">
        <f t="shared" si="72"/>
        <v>0</v>
      </c>
    </row>
    <row r="77" spans="1:24" ht="14.25" customHeight="1" hidden="1">
      <c r="A77" s="341" t="s">
        <v>1365</v>
      </c>
      <c r="B77" s="342" t="str">
        <f>VLOOKUP(A77,'APPVI VLOOKUP NAMES'!$A$2:$C$289,3)</f>
        <v>Sierra Pacific Power Corp</v>
      </c>
      <c r="C77" s="345" t="s">
        <v>1778</v>
      </c>
      <c r="D77" s="344">
        <f t="shared" si="61"/>
        <v>4210020</v>
      </c>
      <c r="E77" s="345" t="s">
        <v>657</v>
      </c>
      <c r="F77" s="346"/>
      <c r="G77" s="347">
        <f t="shared" si="62"/>
        <v>0</v>
      </c>
      <c r="H77" s="322">
        <f t="shared" si="62"/>
        <v>0</v>
      </c>
      <c r="I77" s="322">
        <f t="shared" si="62"/>
        <v>0</v>
      </c>
      <c r="J77" s="322">
        <f t="shared" si="62"/>
        <v>0</v>
      </c>
      <c r="K77" s="322">
        <f t="shared" si="62"/>
        <v>0</v>
      </c>
      <c r="L77" s="348">
        <f t="shared" si="63"/>
        <v>0</v>
      </c>
      <c r="M77" s="349">
        <f t="shared" si="64"/>
        <v>0</v>
      </c>
      <c r="N77" s="350">
        <f t="shared" si="65"/>
        <v>0</v>
      </c>
      <c r="O77" s="350">
        <f t="shared" si="66"/>
        <v>0</v>
      </c>
      <c r="P77" s="350">
        <f t="shared" si="67"/>
        <v>0</v>
      </c>
      <c r="Q77" s="350">
        <f t="shared" si="68"/>
        <v>0</v>
      </c>
      <c r="R77" s="351">
        <f t="shared" si="69"/>
        <v>0</v>
      </c>
      <c r="T77" s="368">
        <f t="shared" si="72"/>
        <v>0</v>
      </c>
      <c r="U77" s="368">
        <f t="shared" si="72"/>
        <v>0</v>
      </c>
      <c r="V77" s="368">
        <f t="shared" si="72"/>
        <v>0</v>
      </c>
      <c r="W77" s="368">
        <f t="shared" si="72"/>
        <v>0</v>
      </c>
      <c r="X77" s="368">
        <f t="shared" si="72"/>
        <v>0</v>
      </c>
    </row>
    <row r="78" spans="1:24" ht="14.25" customHeight="1" hidden="1">
      <c r="A78" s="341" t="s">
        <v>1369</v>
      </c>
      <c r="B78" s="342" t="str">
        <f>VLOOKUP(A78,'APPVI VLOOKUP NAMES'!$A$2:$C$289,3)</f>
        <v>Salt River Project-Power Mktg</v>
      </c>
      <c r="C78" s="345" t="s">
        <v>1778</v>
      </c>
      <c r="D78" s="344">
        <f t="shared" si="61"/>
        <v>4210020</v>
      </c>
      <c r="E78" s="345" t="s">
        <v>657</v>
      </c>
      <c r="F78" s="346"/>
      <c r="G78" s="347">
        <f t="shared" si="62"/>
        <v>0</v>
      </c>
      <c r="H78" s="322">
        <f t="shared" si="62"/>
        <v>0</v>
      </c>
      <c r="I78" s="322">
        <f t="shared" si="62"/>
        <v>0</v>
      </c>
      <c r="J78" s="322">
        <f t="shared" si="62"/>
        <v>0</v>
      </c>
      <c r="K78" s="322">
        <f t="shared" si="62"/>
        <v>0</v>
      </c>
      <c r="L78" s="348">
        <f t="shared" si="63"/>
        <v>0</v>
      </c>
      <c r="M78" s="349">
        <f t="shared" si="64"/>
        <v>0</v>
      </c>
      <c r="N78" s="350">
        <f t="shared" si="65"/>
        <v>0</v>
      </c>
      <c r="O78" s="350">
        <f t="shared" si="66"/>
        <v>0</v>
      </c>
      <c r="P78" s="350">
        <f t="shared" si="67"/>
        <v>0</v>
      </c>
      <c r="Q78" s="350">
        <f t="shared" si="68"/>
        <v>0</v>
      </c>
      <c r="R78" s="351">
        <f t="shared" si="69"/>
        <v>0</v>
      </c>
      <c r="T78" s="368">
        <f t="shared" si="72"/>
        <v>0</v>
      </c>
      <c r="U78" s="368">
        <f t="shared" si="72"/>
        <v>0</v>
      </c>
      <c r="V78" s="368">
        <f t="shared" si="72"/>
        <v>0</v>
      </c>
      <c r="W78" s="368">
        <f t="shared" si="72"/>
        <v>0</v>
      </c>
      <c r="X78" s="368">
        <f t="shared" si="72"/>
        <v>0</v>
      </c>
    </row>
    <row r="79" spans="1:24" ht="14.25" customHeight="1" hidden="1">
      <c r="A79" s="341" t="s">
        <v>1507</v>
      </c>
      <c r="B79" s="342" t="str">
        <f>VLOOKUP(A79,'APPVI VLOOKUP NAMES'!$A$2:$C$289,3)</f>
        <v>Western Resources Gen Svcs</v>
      </c>
      <c r="C79" s="345" t="s">
        <v>1778</v>
      </c>
      <c r="D79" s="344">
        <f t="shared" si="61"/>
        <v>4210020</v>
      </c>
      <c r="E79" s="345" t="s">
        <v>657</v>
      </c>
      <c r="F79" s="346"/>
      <c r="G79" s="347">
        <f t="shared" si="62"/>
        <v>0</v>
      </c>
      <c r="H79" s="322">
        <f t="shared" si="62"/>
        <v>0</v>
      </c>
      <c r="I79" s="322">
        <f t="shared" si="62"/>
        <v>0</v>
      </c>
      <c r="J79" s="322">
        <f t="shared" si="62"/>
        <v>0</v>
      </c>
      <c r="K79" s="322">
        <f t="shared" si="62"/>
        <v>0</v>
      </c>
      <c r="L79" s="348">
        <f t="shared" si="63"/>
        <v>0</v>
      </c>
      <c r="M79" s="349">
        <f t="shared" si="64"/>
        <v>0</v>
      </c>
      <c r="N79" s="350">
        <f t="shared" si="65"/>
        <v>0</v>
      </c>
      <c r="O79" s="350">
        <f t="shared" si="66"/>
        <v>0</v>
      </c>
      <c r="P79" s="350">
        <f t="shared" si="67"/>
        <v>0</v>
      </c>
      <c r="Q79" s="350">
        <f t="shared" si="68"/>
        <v>0</v>
      </c>
      <c r="R79" s="351">
        <f t="shared" si="69"/>
        <v>0</v>
      </c>
      <c r="T79" s="372">
        <f>ROUND(+G$6*$F79,5)</f>
        <v>0</v>
      </c>
      <c r="U79" s="372">
        <f>ROUND(+H$6*$F79,5)</f>
        <v>0</v>
      </c>
      <c r="V79" s="372">
        <f>ROUND(+I$6*$F79,5)</f>
        <v>0</v>
      </c>
      <c r="W79" s="372">
        <f>ROUND(+J$6*$F79,5)</f>
        <v>0</v>
      </c>
      <c r="X79" s="372">
        <f>ROUND(+K$6*$F79,5)</f>
        <v>0</v>
      </c>
    </row>
    <row r="80" spans="1:18" ht="12.75">
      <c r="A80" s="355"/>
      <c r="B80" s="356"/>
      <c r="C80" s="356"/>
      <c r="D80" s="356"/>
      <c r="E80" s="356"/>
      <c r="F80" s="357"/>
      <c r="G80" s="355"/>
      <c r="H80" s="356"/>
      <c r="I80" s="356"/>
      <c r="J80" s="356"/>
      <c r="K80" s="356"/>
      <c r="L80" s="358"/>
      <c r="M80" s="355"/>
      <c r="N80" s="356"/>
      <c r="O80" s="356"/>
      <c r="P80" s="356"/>
      <c r="Q80" s="356"/>
      <c r="R80" s="358"/>
    </row>
    <row r="81" spans="2:6" ht="14.25">
      <c r="B81" s="488"/>
      <c r="F81" s="360"/>
    </row>
    <row r="82" spans="2:6" ht="14.25">
      <c r="B82" s="841"/>
      <c r="F82" s="360"/>
    </row>
    <row r="83" spans="1:18" ht="14.25">
      <c r="A83" s="323"/>
      <c r="B83" s="318"/>
      <c r="C83" s="319" t="s">
        <v>504</v>
      </c>
      <c r="D83" s="319"/>
      <c r="E83" s="320"/>
      <c r="F83" s="320"/>
      <c r="J83" s="321"/>
      <c r="K83" s="321"/>
      <c r="L83" s="321"/>
      <c r="M83" s="321"/>
      <c r="O83" s="321"/>
      <c r="P83" s="322"/>
      <c r="R83" s="364"/>
    </row>
    <row r="84" spans="1:18" ht="14.25">
      <c r="A84" s="323"/>
      <c r="B84" s="318"/>
      <c r="C84" s="319" t="s">
        <v>1996</v>
      </c>
      <c r="D84" s="319"/>
      <c r="E84" s="320"/>
      <c r="F84" s="320"/>
      <c r="J84" s="321"/>
      <c r="K84" s="321"/>
      <c r="L84" s="321"/>
      <c r="M84" s="321"/>
      <c r="N84" s="322"/>
      <c r="O84" s="321"/>
      <c r="P84" s="322"/>
      <c r="Q84" s="321"/>
      <c r="R84" s="359"/>
    </row>
    <row r="85" spans="8:17" ht="15" thickBot="1">
      <c r="H85" s="325"/>
      <c r="I85" s="319"/>
      <c r="J85" s="324"/>
      <c r="K85" s="324"/>
      <c r="L85" s="324"/>
      <c r="M85" s="326"/>
      <c r="N85" s="327"/>
      <c r="O85" s="326"/>
      <c r="P85" s="327"/>
      <c r="Q85" s="326"/>
    </row>
    <row r="86" spans="1:15" ht="14.25">
      <c r="A86" s="328"/>
      <c r="B86" s="320"/>
      <c r="C86" s="320"/>
      <c r="D86" s="320"/>
      <c r="E86" s="320"/>
      <c r="F86" s="320"/>
      <c r="G86" s="329" t="s">
        <v>2033</v>
      </c>
      <c r="H86" s="330"/>
      <c r="I86" s="331"/>
      <c r="J86" s="330"/>
      <c r="K86" s="330"/>
      <c r="L86" s="332"/>
      <c r="O86" s="333" t="s">
        <v>647</v>
      </c>
    </row>
    <row r="87" spans="1:24" ht="15" thickBot="1">
      <c r="A87" s="334" t="s">
        <v>648</v>
      </c>
      <c r="B87" s="333"/>
      <c r="C87" s="333"/>
      <c r="D87" s="333"/>
      <c r="E87" s="333" t="s">
        <v>649</v>
      </c>
      <c r="F87" s="335" t="s">
        <v>1637</v>
      </c>
      <c r="G87" s="336">
        <f>INPUT!C5</f>
        <v>0.34458</v>
      </c>
      <c r="H87" s="336">
        <f>INPUT!C6</f>
        <v>0.06943</v>
      </c>
      <c r="I87" s="336">
        <f>INPUT!C7</f>
        <v>0.17686</v>
      </c>
      <c r="J87" s="336">
        <f>INPUT!C8</f>
        <v>0.22638</v>
      </c>
      <c r="K87" s="336">
        <f>INPUT!C9</f>
        <v>0.18275</v>
      </c>
      <c r="L87" s="337">
        <f>SUM(G87:K87)</f>
        <v>1</v>
      </c>
      <c r="M87" s="335"/>
      <c r="N87" s="335"/>
      <c r="O87" s="335"/>
      <c r="P87" s="335"/>
      <c r="Q87" s="335"/>
      <c r="R87" s="335"/>
      <c r="S87" s="333"/>
      <c r="T87" s="333"/>
      <c r="U87" s="333"/>
      <c r="V87" s="333"/>
      <c r="W87" s="333"/>
      <c r="X87" s="333"/>
    </row>
    <row r="88" spans="1:24" ht="14.25">
      <c r="A88" s="334" t="s">
        <v>650</v>
      </c>
      <c r="B88" s="334" t="s">
        <v>651</v>
      </c>
      <c r="C88" s="334"/>
      <c r="D88" s="334" t="s">
        <v>652</v>
      </c>
      <c r="E88" s="334" t="s">
        <v>653</v>
      </c>
      <c r="F88" s="334" t="s">
        <v>654</v>
      </c>
      <c r="G88" s="334" t="s">
        <v>1532</v>
      </c>
      <c r="H88" s="334" t="s">
        <v>1533</v>
      </c>
      <c r="I88" s="334" t="s">
        <v>1534</v>
      </c>
      <c r="J88" s="334" t="s">
        <v>1536</v>
      </c>
      <c r="K88" s="334" t="s">
        <v>1537</v>
      </c>
      <c r="L88" s="338" t="s">
        <v>646</v>
      </c>
      <c r="M88" s="334" t="s">
        <v>1532</v>
      </c>
      <c r="N88" s="334" t="s">
        <v>1533</v>
      </c>
      <c r="O88" s="334" t="s">
        <v>1534</v>
      </c>
      <c r="P88" s="334" t="s">
        <v>1536</v>
      </c>
      <c r="Q88" s="334" t="s">
        <v>1537</v>
      </c>
      <c r="R88" s="338" t="s">
        <v>231</v>
      </c>
      <c r="S88" s="334"/>
      <c r="T88" s="334"/>
      <c r="U88" s="334"/>
      <c r="V88" s="334"/>
      <c r="W88" s="334"/>
      <c r="X88" s="334"/>
    </row>
    <row r="89" spans="1:24" ht="14.25">
      <c r="A89" s="339"/>
      <c r="B89" s="339" t="s">
        <v>655</v>
      </c>
      <c r="C89" s="339"/>
      <c r="D89" s="339"/>
      <c r="E89" s="339"/>
      <c r="F89" s="340">
        <f aca="true" t="shared" si="73" ref="F89:R89">SUM(F90:F99)</f>
        <v>-102352</v>
      </c>
      <c r="G89" s="340">
        <f t="shared" si="73"/>
        <v>-35269</v>
      </c>
      <c r="H89" s="340">
        <f t="shared" si="73"/>
        <v>-7106</v>
      </c>
      <c r="I89" s="340">
        <f t="shared" si="73"/>
        <v>-18102</v>
      </c>
      <c r="J89" s="340">
        <f t="shared" si="73"/>
        <v>-23170</v>
      </c>
      <c r="K89" s="340">
        <f t="shared" si="73"/>
        <v>-18705</v>
      </c>
      <c r="L89" s="340">
        <f t="shared" si="73"/>
        <v>-102352</v>
      </c>
      <c r="M89" s="340">
        <f t="shared" si="73"/>
        <v>35269</v>
      </c>
      <c r="N89" s="340">
        <f t="shared" si="73"/>
        <v>7106</v>
      </c>
      <c r="O89" s="340">
        <f t="shared" si="73"/>
        <v>18102</v>
      </c>
      <c r="P89" s="340">
        <f t="shared" si="73"/>
        <v>-79182</v>
      </c>
      <c r="Q89" s="340">
        <f t="shared" si="73"/>
        <v>18705</v>
      </c>
      <c r="R89" s="340">
        <f t="shared" si="73"/>
        <v>0</v>
      </c>
      <c r="S89" s="334"/>
      <c r="T89" s="334"/>
      <c r="U89" s="334"/>
      <c r="V89" s="334"/>
      <c r="W89" s="334"/>
      <c r="X89" s="334"/>
    </row>
    <row r="90" spans="1:18" ht="12.75">
      <c r="A90" s="409" t="s">
        <v>502</v>
      </c>
      <c r="B90" s="412"/>
      <c r="C90" s="412"/>
      <c r="D90" s="412"/>
      <c r="E90" s="412"/>
      <c r="F90" s="412"/>
      <c r="G90" s="409"/>
      <c r="H90" s="412"/>
      <c r="I90" s="412"/>
      <c r="J90" s="412"/>
      <c r="K90" s="412"/>
      <c r="L90" s="412"/>
      <c r="M90" s="409"/>
      <c r="N90" s="412"/>
      <c r="O90" s="412"/>
      <c r="P90" s="412"/>
      <c r="Q90" s="412"/>
      <c r="R90" s="419"/>
    </row>
    <row r="91" spans="1:24" ht="14.25">
      <c r="A91" s="341"/>
      <c r="B91" s="342"/>
      <c r="C91" s="345"/>
      <c r="D91" s="344"/>
      <c r="E91" s="345"/>
      <c r="F91" s="410"/>
      <c r="G91" s="347"/>
      <c r="H91" s="322"/>
      <c r="I91" s="322"/>
      <c r="J91" s="322"/>
      <c r="K91" s="322"/>
      <c r="L91" s="322"/>
      <c r="M91" s="349"/>
      <c r="N91" s="350"/>
      <c r="O91" s="350"/>
      <c r="P91" s="350"/>
      <c r="Q91" s="350"/>
      <c r="R91" s="351"/>
      <c r="T91" s="369"/>
      <c r="U91" s="369"/>
      <c r="V91" s="369"/>
      <c r="W91" s="369"/>
      <c r="X91" s="370"/>
    </row>
    <row r="92" spans="1:24" ht="14.25" hidden="1">
      <c r="A92" s="341" t="s">
        <v>594</v>
      </c>
      <c r="B92" s="342" t="str">
        <f>VLOOKUP(A92,'APPVI VLOOKUP NAMES'!$A$2:$C$289,3)</f>
        <v>Cleveland Public Power</v>
      </c>
      <c r="C92" s="554" t="s">
        <v>1778</v>
      </c>
      <c r="D92" s="344">
        <v>4470066</v>
      </c>
      <c r="E92" s="345" t="s">
        <v>657</v>
      </c>
      <c r="F92" s="346"/>
      <c r="G92" s="347">
        <f>ROUND(+G$6*$F92,0)</f>
        <v>0</v>
      </c>
      <c r="H92" s="322">
        <f>ROUND(+H$6*$F92,0)</f>
        <v>0</v>
      </c>
      <c r="I92" s="322">
        <f>ROUND(+I$6*$F92,0)</f>
        <v>0</v>
      </c>
      <c r="J92" s="322">
        <f>ROUND(+J$6*$F92,0)</f>
        <v>0</v>
      </c>
      <c r="K92" s="322">
        <f>ROUND(+K$6*$F92,0)</f>
        <v>0</v>
      </c>
      <c r="L92" s="373">
        <f>SUM(G92:K92)</f>
        <v>0</v>
      </c>
      <c r="M92" s="349">
        <f>IF($E92="02",$L92-G92,-G92)</f>
        <v>0</v>
      </c>
      <c r="N92" s="350">
        <f>IF($E92="03",$L92-H92,-H92)</f>
        <v>0</v>
      </c>
      <c r="O92" s="350">
        <f>IF($E92="04",$L92-I92,-I92)</f>
        <v>0</v>
      </c>
      <c r="P92" s="350">
        <f>IF($E92="07",$L92-J92,-J92)</f>
        <v>0</v>
      </c>
      <c r="Q92" s="350">
        <f>IF($E92="10",$L92-K92,-K92)</f>
        <v>0</v>
      </c>
      <c r="R92" s="351">
        <f>+Q92+P92+O92+N92+M92</f>
        <v>0</v>
      </c>
      <c r="T92" s="371">
        <f aca="true" t="shared" si="74" ref="T92:X94">ROUND(+G$6*$F92,5)</f>
        <v>0</v>
      </c>
      <c r="U92" s="371">
        <f t="shared" si="74"/>
        <v>0</v>
      </c>
      <c r="V92" s="371">
        <f t="shared" si="74"/>
        <v>0</v>
      </c>
      <c r="W92" s="371">
        <f t="shared" si="74"/>
        <v>0</v>
      </c>
      <c r="X92" s="372">
        <f t="shared" si="74"/>
        <v>0</v>
      </c>
    </row>
    <row r="93" spans="1:24" ht="14.25" hidden="1">
      <c r="A93" s="341" t="s">
        <v>594</v>
      </c>
      <c r="B93" s="342" t="str">
        <f>VLOOKUP(A93,'APPVI VLOOKUP NAMES'!$A$2:$C$289,3)</f>
        <v>Cleveland Public Power</v>
      </c>
      <c r="C93" s="554"/>
      <c r="D93" s="344">
        <v>4470066</v>
      </c>
      <c r="E93" s="345" t="s">
        <v>657</v>
      </c>
      <c r="F93" s="346"/>
      <c r="G93" s="347">
        <f aca="true" t="shared" si="75" ref="G93:H96">ROUND(+G$6*$F93,0)</f>
        <v>0</v>
      </c>
      <c r="H93" s="322">
        <f t="shared" si="75"/>
        <v>0</v>
      </c>
      <c r="I93" s="322">
        <f aca="true" t="shared" si="76" ref="I93:K96">ROUND(+I$6*$F93,0)</f>
        <v>0</v>
      </c>
      <c r="J93" s="322">
        <f t="shared" si="76"/>
        <v>0</v>
      </c>
      <c r="K93" s="322">
        <f t="shared" si="76"/>
        <v>0</v>
      </c>
      <c r="L93" s="373">
        <f>SUM(G93:K93)</f>
        <v>0</v>
      </c>
      <c r="M93" s="349">
        <f>IF($E93="02",$L93-G93,-G93)</f>
        <v>0</v>
      </c>
      <c r="N93" s="350">
        <f>IF($E93="03",$L93-H93,-H93)</f>
        <v>0</v>
      </c>
      <c r="O93" s="350">
        <f>IF($E93="04",$L93-I93,-I93)</f>
        <v>0</v>
      </c>
      <c r="P93" s="350">
        <f>IF($E93="07",$L93-J93,-J93)</f>
        <v>0</v>
      </c>
      <c r="Q93" s="350">
        <f>IF($E93="10",$L93-K93,-K93)</f>
        <v>0</v>
      </c>
      <c r="R93" s="351">
        <f>+Q93+P93+O93+N93+M93</f>
        <v>0</v>
      </c>
      <c r="T93" s="371">
        <f t="shared" si="74"/>
        <v>0</v>
      </c>
      <c r="U93" s="371">
        <f t="shared" si="74"/>
        <v>0</v>
      </c>
      <c r="V93" s="371">
        <f t="shared" si="74"/>
        <v>0</v>
      </c>
      <c r="W93" s="371">
        <f t="shared" si="74"/>
        <v>0</v>
      </c>
      <c r="X93" s="372">
        <f t="shared" si="74"/>
        <v>0</v>
      </c>
    </row>
    <row r="94" spans="1:24" ht="14.25">
      <c r="A94" s="341" t="s">
        <v>382</v>
      </c>
      <c r="B94" s="342" t="s">
        <v>383</v>
      </c>
      <c r="C94" s="554" t="s">
        <v>1778</v>
      </c>
      <c r="D94" s="344">
        <v>4470066</v>
      </c>
      <c r="E94" s="345" t="s">
        <v>657</v>
      </c>
      <c r="F94" s="346">
        <f>-26476-75876</f>
        <v>-102352</v>
      </c>
      <c r="G94" s="347">
        <f>ROUND(+G$6*$F94,0)-1</f>
        <v>-35269</v>
      </c>
      <c r="H94" s="322">
        <f>ROUND(+H$6*$F94,0)</f>
        <v>-7106</v>
      </c>
      <c r="I94" s="322">
        <f>ROUND(+I$6*$F94,0)</f>
        <v>-18102</v>
      </c>
      <c r="J94" s="322">
        <f>ROUND(+J$6*$F94,0)</f>
        <v>-23170</v>
      </c>
      <c r="K94" s="322">
        <f>ROUND(+K$6*$F94,0)</f>
        <v>-18705</v>
      </c>
      <c r="L94" s="373">
        <f>SUM(G94:K94)</f>
        <v>-102352</v>
      </c>
      <c r="M94" s="349">
        <f>IF($E94="02",$L94-G94,-G94)</f>
        <v>35269</v>
      </c>
      <c r="N94" s="350">
        <f>IF($E94="03",$L94-H94,-H94)</f>
        <v>7106</v>
      </c>
      <c r="O94" s="350">
        <f>IF($E94="04",$L94-I94,-I94)</f>
        <v>18102</v>
      </c>
      <c r="P94" s="350">
        <f>IF($E94="07",$L94-J94,-J94)</f>
        <v>-79182</v>
      </c>
      <c r="Q94" s="350">
        <f>IF($E94="10",$L94-K94,-K94)</f>
        <v>18705</v>
      </c>
      <c r="R94" s="351">
        <f>+Q94+P94+O94+N94+M94</f>
        <v>0</v>
      </c>
      <c r="T94" s="371">
        <f t="shared" si="74"/>
        <v>-35268.45216</v>
      </c>
      <c r="U94" s="371">
        <f t="shared" si="74"/>
        <v>-7106.29936</v>
      </c>
      <c r="V94" s="371">
        <f t="shared" si="74"/>
        <v>-18101.97472</v>
      </c>
      <c r="W94" s="371">
        <f t="shared" si="74"/>
        <v>-23170.44576</v>
      </c>
      <c r="X94" s="372">
        <f t="shared" si="74"/>
        <v>-18704.828</v>
      </c>
    </row>
    <row r="95" spans="1:24" ht="14.25" hidden="1">
      <c r="A95" s="341" t="s">
        <v>382</v>
      </c>
      <c r="B95" s="342" t="s">
        <v>383</v>
      </c>
      <c r="C95" s="554"/>
      <c r="D95" s="344">
        <v>4470066</v>
      </c>
      <c r="E95" s="345" t="s">
        <v>657</v>
      </c>
      <c r="F95" s="346"/>
      <c r="G95" s="347">
        <f t="shared" si="75"/>
        <v>0</v>
      </c>
      <c r="H95" s="322">
        <f t="shared" si="75"/>
        <v>0</v>
      </c>
      <c r="I95" s="322">
        <f t="shared" si="76"/>
        <v>0</v>
      </c>
      <c r="J95" s="322">
        <f t="shared" si="76"/>
        <v>0</v>
      </c>
      <c r="K95" s="322">
        <f t="shared" si="76"/>
        <v>0</v>
      </c>
      <c r="L95" s="373">
        <f>SUM(G95:K95)</f>
        <v>0</v>
      </c>
      <c r="M95" s="349">
        <f>IF($E95="02",$L95-G95,-G95)</f>
        <v>0</v>
      </c>
      <c r="N95" s="350">
        <f>IF($E95="03",$L95-H95,-H95)</f>
        <v>0</v>
      </c>
      <c r="O95" s="350">
        <f>IF($E95="04",$L95-I95,-I95)</f>
        <v>0</v>
      </c>
      <c r="P95" s="350">
        <f>IF($E95="07",$L95-J95,-J95)</f>
        <v>0</v>
      </c>
      <c r="Q95" s="350">
        <f>IF($E95="10",$L95-K95,-K95)</f>
        <v>0</v>
      </c>
      <c r="R95" s="351">
        <f>+Q95+P95+O95+N95+M95</f>
        <v>0</v>
      </c>
      <c r="T95" s="371">
        <f aca="true" t="shared" si="77" ref="T95:X96">ROUND(+G$6*$F95,5)</f>
        <v>0</v>
      </c>
      <c r="U95" s="371">
        <f t="shared" si="77"/>
        <v>0</v>
      </c>
      <c r="V95" s="371">
        <f t="shared" si="77"/>
        <v>0</v>
      </c>
      <c r="W95" s="371">
        <f t="shared" si="77"/>
        <v>0</v>
      </c>
      <c r="X95" s="372">
        <f t="shared" si="77"/>
        <v>0</v>
      </c>
    </row>
    <row r="96" spans="1:24" ht="14.25" hidden="1">
      <c r="A96" s="341" t="s">
        <v>1510</v>
      </c>
      <c r="B96" s="342" t="s">
        <v>1514</v>
      </c>
      <c r="C96" s="554"/>
      <c r="D96" s="344">
        <v>4470066</v>
      </c>
      <c r="E96" s="345" t="s">
        <v>657</v>
      </c>
      <c r="F96" s="346"/>
      <c r="G96" s="347">
        <f>ROUND(+G$6*$F96,0)</f>
        <v>0</v>
      </c>
      <c r="H96" s="322">
        <f t="shared" si="75"/>
        <v>0</v>
      </c>
      <c r="I96" s="322">
        <f>ROUND(+I$6*$F96,0)</f>
        <v>0</v>
      </c>
      <c r="J96" s="322">
        <f t="shared" si="76"/>
        <v>0</v>
      </c>
      <c r="K96" s="322">
        <f>ROUND(+K$6*$F96,0)</f>
        <v>0</v>
      </c>
      <c r="L96" s="373">
        <f>SUM(G96:K96)</f>
        <v>0</v>
      </c>
      <c r="M96" s="349">
        <f>IF($E96="02",$L96-G96,-G96)</f>
        <v>0</v>
      </c>
      <c r="N96" s="350">
        <f>IF($E96="03",$L96-H96,-H96)</f>
        <v>0</v>
      </c>
      <c r="O96" s="350">
        <f>IF($E96="04",$L96-I96,-I96)</f>
        <v>0</v>
      </c>
      <c r="P96" s="350">
        <f>IF($E96="07",$L96-J96,-J96)</f>
        <v>0</v>
      </c>
      <c r="Q96" s="350">
        <f>IF($E96="10",$L96-K96,-K96)</f>
        <v>0</v>
      </c>
      <c r="R96" s="351">
        <f>+Q96+P96+O96+N96+M96</f>
        <v>0</v>
      </c>
      <c r="T96" s="371">
        <f t="shared" si="77"/>
        <v>0</v>
      </c>
      <c r="U96" s="371">
        <f t="shared" si="77"/>
        <v>0</v>
      </c>
      <c r="V96" s="371">
        <f t="shared" si="77"/>
        <v>0</v>
      </c>
      <c r="W96" s="371">
        <f t="shared" si="77"/>
        <v>0</v>
      </c>
      <c r="X96" s="372">
        <f t="shared" si="77"/>
        <v>0</v>
      </c>
    </row>
    <row r="97" spans="1:18" ht="12.75">
      <c r="A97" s="355"/>
      <c r="B97" s="356"/>
      <c r="C97" s="356"/>
      <c r="D97" s="356"/>
      <c r="E97" s="356"/>
      <c r="F97" s="357"/>
      <c r="G97" s="355"/>
      <c r="H97" s="356"/>
      <c r="I97" s="356"/>
      <c r="J97" s="356"/>
      <c r="K97" s="356"/>
      <c r="L97" s="358"/>
      <c r="M97" s="355"/>
      <c r="N97" s="356"/>
      <c r="O97" s="356"/>
      <c r="P97" s="356"/>
      <c r="Q97" s="356"/>
      <c r="R97" s="358"/>
    </row>
    <row r="98" spans="1:18" ht="12.75">
      <c r="A98" s="344"/>
      <c r="B98" s="344"/>
      <c r="C98" s="344"/>
      <c r="D98" s="344"/>
      <c r="E98" s="344"/>
      <c r="F98" s="567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</row>
    <row r="99" spans="1:11" ht="14.25">
      <c r="A99" s="359" t="s">
        <v>673</v>
      </c>
      <c r="B99" s="694" t="s">
        <v>564</v>
      </c>
      <c r="C99" s="685"/>
      <c r="D99" s="685"/>
      <c r="E99" s="685"/>
      <c r="F99" s="695"/>
      <c r="G99" s="685"/>
      <c r="H99" s="685"/>
      <c r="I99" s="685"/>
      <c r="J99" s="685"/>
      <c r="K99" s="685"/>
    </row>
    <row r="100" spans="2:6" ht="14.25">
      <c r="B100" s="694" t="s">
        <v>484</v>
      </c>
      <c r="F100" s="360"/>
    </row>
    <row r="101" spans="2:6" ht="14.25">
      <c r="B101" s="694" t="s">
        <v>1163</v>
      </c>
      <c r="F101" s="360"/>
    </row>
    <row r="102" spans="2:6" ht="14.25">
      <c r="B102" s="395"/>
      <c r="F102" s="360"/>
    </row>
    <row r="103" ht="12.75">
      <c r="F103" s="360"/>
    </row>
    <row r="104" spans="2:12" ht="12.75">
      <c r="B104" s="409" t="s">
        <v>369</v>
      </c>
      <c r="C104" s="412"/>
      <c r="D104" s="412">
        <v>4210020</v>
      </c>
      <c r="E104" s="412"/>
      <c r="F104" s="413">
        <f aca="true" t="shared" si="78" ref="F104:K104">SUM(F64:F80)</f>
        <v>0</v>
      </c>
      <c r="G104" s="413">
        <f t="shared" si="78"/>
        <v>0</v>
      </c>
      <c r="H104" s="413">
        <f t="shared" si="78"/>
        <v>0</v>
      </c>
      <c r="I104" s="413">
        <f t="shared" si="78"/>
        <v>0</v>
      </c>
      <c r="J104" s="413">
        <f t="shared" si="78"/>
        <v>0</v>
      </c>
      <c r="K104" s="413">
        <f t="shared" si="78"/>
        <v>0</v>
      </c>
      <c r="L104" s="414">
        <f>SUM(G104:K104)</f>
        <v>0</v>
      </c>
    </row>
    <row r="105" ht="12.75">
      <c r="F105" s="360"/>
    </row>
    <row r="106" ht="12.75">
      <c r="F106" s="360"/>
    </row>
    <row r="107" spans="2:6" ht="12.75">
      <c r="B107" s="317">
        <f>75876.38+26476.31</f>
        <v>102352.69</v>
      </c>
      <c r="F107" s="360"/>
    </row>
    <row r="108" ht="12.75">
      <c r="F108" s="360"/>
    </row>
    <row r="109" ht="12.75">
      <c r="F109" s="360"/>
    </row>
    <row r="110" ht="12.75">
      <c r="F110" s="360"/>
    </row>
    <row r="111" ht="12.75">
      <c r="F111" s="360"/>
    </row>
    <row r="112" ht="12.75">
      <c r="F112" s="360"/>
    </row>
    <row r="113" ht="12.75">
      <c r="F113" s="360"/>
    </row>
    <row r="114" ht="12.75">
      <c r="F114" s="360"/>
    </row>
    <row r="115" ht="12.75">
      <c r="F115" s="360"/>
    </row>
    <row r="116" ht="12.75">
      <c r="F116" s="360"/>
    </row>
    <row r="117" ht="12.75">
      <c r="F117" s="360"/>
    </row>
    <row r="118" ht="12.75">
      <c r="F118" s="360"/>
    </row>
    <row r="119" ht="12.75">
      <c r="F119" s="360"/>
    </row>
    <row r="120" ht="12.75">
      <c r="F120" s="360"/>
    </row>
    <row r="121" ht="12.75">
      <c r="F121" s="360"/>
    </row>
    <row r="122" ht="12.75">
      <c r="F122" s="360"/>
    </row>
    <row r="123" ht="12.75">
      <c r="F123" s="360"/>
    </row>
    <row r="124" ht="12.75">
      <c r="F124" s="360"/>
    </row>
    <row r="125" ht="12.75">
      <c r="F125" s="360"/>
    </row>
    <row r="126" ht="12.75">
      <c r="F126" s="360"/>
    </row>
    <row r="127" ht="12.75">
      <c r="F127" s="360"/>
    </row>
    <row r="128" ht="12.75">
      <c r="F128" s="360"/>
    </row>
    <row r="129" ht="12.75">
      <c r="F129" s="360"/>
    </row>
    <row r="130" ht="12.75">
      <c r="F130" s="360"/>
    </row>
    <row r="131" ht="12.75">
      <c r="F131" s="360"/>
    </row>
    <row r="132" ht="12.75">
      <c r="F132" s="360"/>
    </row>
    <row r="133" ht="12.75">
      <c r="F133" s="360"/>
    </row>
    <row r="134" ht="12.75">
      <c r="F134" s="360"/>
    </row>
    <row r="135" ht="12.75">
      <c r="F135" s="360"/>
    </row>
    <row r="136" ht="12.75">
      <c r="F136" s="360"/>
    </row>
    <row r="137" ht="12.75">
      <c r="F137" s="360"/>
    </row>
    <row r="138" ht="12.75">
      <c r="F138" s="360"/>
    </row>
    <row r="139" ht="12.75">
      <c r="F139" s="360"/>
    </row>
    <row r="140" ht="12.75">
      <c r="F140" s="360"/>
    </row>
    <row r="141" ht="12.75">
      <c r="F141" s="360"/>
    </row>
    <row r="142" ht="12.75">
      <c r="F142" s="360"/>
    </row>
    <row r="143" ht="12.75">
      <c r="F143" s="360"/>
    </row>
    <row r="144" ht="12.75">
      <c r="F144" s="360"/>
    </row>
    <row r="145" ht="12.75">
      <c r="F145" s="360"/>
    </row>
    <row r="146" ht="12.75">
      <c r="F146" s="360"/>
    </row>
    <row r="147" ht="12.75">
      <c r="F147" s="360"/>
    </row>
    <row r="148" ht="12.75">
      <c r="F148" s="360"/>
    </row>
    <row r="149" ht="12.75">
      <c r="F149" s="360"/>
    </row>
    <row r="150" ht="12.75">
      <c r="F150" s="360"/>
    </row>
    <row r="151" ht="12.75">
      <c r="F151" s="360"/>
    </row>
    <row r="152" ht="12.75">
      <c r="F152" s="360"/>
    </row>
    <row r="153" ht="12.75">
      <c r="F153" s="360"/>
    </row>
    <row r="154" ht="12.75">
      <c r="F154" s="360"/>
    </row>
    <row r="155" ht="12.75">
      <c r="F155" s="360"/>
    </row>
    <row r="156" ht="12.75">
      <c r="F156" s="360"/>
    </row>
    <row r="157" ht="12.75">
      <c r="F157" s="360"/>
    </row>
    <row r="158" ht="12.75">
      <c r="F158" s="360"/>
    </row>
    <row r="159" ht="12.75">
      <c r="F159" s="360"/>
    </row>
    <row r="160" ht="12.75">
      <c r="F160" s="360"/>
    </row>
    <row r="161" ht="12.75">
      <c r="F161" s="360"/>
    </row>
    <row r="162" ht="12.75">
      <c r="F162" s="360"/>
    </row>
    <row r="163" ht="12.75">
      <c r="F163" s="360"/>
    </row>
    <row r="164" ht="12.75">
      <c r="F164" s="360"/>
    </row>
    <row r="165" ht="12.75">
      <c r="F165" s="360"/>
    </row>
    <row r="166" ht="12.75">
      <c r="F166" s="360"/>
    </row>
    <row r="167" ht="12.75">
      <c r="F167" s="360"/>
    </row>
    <row r="168" ht="12.75">
      <c r="F168" s="360"/>
    </row>
    <row r="169" ht="12.75">
      <c r="F169" s="360"/>
    </row>
    <row r="170" ht="12.75">
      <c r="F170" s="360"/>
    </row>
    <row r="171" ht="12.75">
      <c r="F171" s="360"/>
    </row>
    <row r="172" ht="12.75">
      <c r="F172" s="360"/>
    </row>
    <row r="173" ht="12.75">
      <c r="F173" s="360"/>
    </row>
    <row r="174" ht="12.75">
      <c r="F174" s="360"/>
    </row>
    <row r="175" ht="12.75">
      <c r="F175" s="360"/>
    </row>
    <row r="176" ht="12.75">
      <c r="F176" s="360"/>
    </row>
    <row r="177" ht="12.75">
      <c r="F177" s="360"/>
    </row>
    <row r="178" ht="12.75">
      <c r="F178" s="360"/>
    </row>
    <row r="179" ht="12.75">
      <c r="F179" s="360"/>
    </row>
    <row r="180" ht="12.75">
      <c r="F180" s="360"/>
    </row>
    <row r="181" ht="12.75">
      <c r="F181" s="360"/>
    </row>
    <row r="182" ht="12.75">
      <c r="F182" s="360"/>
    </row>
    <row r="183" ht="12.75">
      <c r="F183" s="360"/>
    </row>
    <row r="184" ht="12.75">
      <c r="F184" s="360"/>
    </row>
    <row r="185" ht="12.75">
      <c r="F185" s="360"/>
    </row>
    <row r="186" ht="12.75">
      <c r="F186" s="360"/>
    </row>
    <row r="187" ht="12.75">
      <c r="F187" s="360"/>
    </row>
    <row r="188" ht="12.75">
      <c r="F188" s="360"/>
    </row>
    <row r="189" ht="12.75">
      <c r="F189" s="360"/>
    </row>
    <row r="190" ht="12.75">
      <c r="F190" s="360"/>
    </row>
    <row r="191" ht="12.75">
      <c r="F191" s="360"/>
    </row>
    <row r="192" ht="12.75">
      <c r="F192" s="360"/>
    </row>
    <row r="193" ht="12.75">
      <c r="F193" s="360"/>
    </row>
    <row r="194" ht="12.75">
      <c r="F194" s="360"/>
    </row>
    <row r="195" ht="12.75">
      <c r="F195" s="360"/>
    </row>
    <row r="196" ht="12.75">
      <c r="F196" s="360"/>
    </row>
    <row r="197" ht="12.75">
      <c r="F197" s="360"/>
    </row>
    <row r="198" ht="12.75">
      <c r="F198" s="360"/>
    </row>
    <row r="199" ht="12.75">
      <c r="F199" s="360"/>
    </row>
    <row r="200" ht="12.75">
      <c r="F200" s="360"/>
    </row>
    <row r="201" ht="12.75">
      <c r="F201" s="360"/>
    </row>
    <row r="202" ht="12.75">
      <c r="F202" s="360"/>
    </row>
    <row r="203" ht="12.75">
      <c r="F203" s="360"/>
    </row>
    <row r="204" ht="12.75">
      <c r="F204" s="360"/>
    </row>
    <row r="205" ht="12.75">
      <c r="F205" s="360"/>
    </row>
    <row r="206" ht="12.75">
      <c r="F206" s="360"/>
    </row>
    <row r="207" ht="12.75">
      <c r="F207" s="360"/>
    </row>
    <row r="208" ht="12.75">
      <c r="F208" s="360"/>
    </row>
    <row r="209" ht="12.75">
      <c r="F209" s="360"/>
    </row>
    <row r="210" ht="12.75">
      <c r="F210" s="360"/>
    </row>
    <row r="211" ht="12.75">
      <c r="F211" s="360"/>
    </row>
    <row r="212" ht="12.75">
      <c r="F212" s="360"/>
    </row>
    <row r="213" ht="12.75">
      <c r="F213" s="360"/>
    </row>
    <row r="214" ht="12.75">
      <c r="F214" s="360"/>
    </row>
    <row r="215" ht="12.75">
      <c r="F215" s="360"/>
    </row>
    <row r="216" ht="12.75">
      <c r="F216" s="360"/>
    </row>
    <row r="217" ht="12.75">
      <c r="F217" s="360"/>
    </row>
    <row r="218" ht="12.75">
      <c r="F218" s="360"/>
    </row>
    <row r="219" ht="12.75">
      <c r="F219" s="360"/>
    </row>
    <row r="220" ht="12.75">
      <c r="F220" s="360"/>
    </row>
    <row r="221" ht="12.75">
      <c r="F221" s="360"/>
    </row>
    <row r="222" ht="12.75">
      <c r="F222" s="360"/>
    </row>
    <row r="223" ht="12.75">
      <c r="F223" s="360"/>
    </row>
    <row r="224" ht="12.75">
      <c r="F224" s="360"/>
    </row>
    <row r="225" ht="12.75">
      <c r="F225" s="360"/>
    </row>
    <row r="226" ht="12.75">
      <c r="F226" s="360"/>
    </row>
    <row r="227" ht="12.75">
      <c r="F227" s="360"/>
    </row>
    <row r="228" ht="12.75">
      <c r="F228" s="360"/>
    </row>
    <row r="229" ht="12.75">
      <c r="F229" s="360"/>
    </row>
    <row r="230" ht="12.75">
      <c r="F230" s="360"/>
    </row>
    <row r="231" ht="12.75">
      <c r="F231" s="360"/>
    </row>
    <row r="232" ht="12.75">
      <c r="F232" s="360"/>
    </row>
    <row r="233" ht="12.75">
      <c r="F233" s="360"/>
    </row>
    <row r="234" ht="12.75">
      <c r="F234" s="360"/>
    </row>
    <row r="235" ht="12.75">
      <c r="F235" s="360"/>
    </row>
    <row r="236" ht="12.75">
      <c r="F236" s="360"/>
    </row>
    <row r="237" ht="12.75">
      <c r="F237" s="360"/>
    </row>
    <row r="238" ht="12.75">
      <c r="F238" s="360"/>
    </row>
    <row r="239" ht="12.75">
      <c r="F239" s="360"/>
    </row>
    <row r="240" ht="12.75">
      <c r="F240" s="360"/>
    </row>
    <row r="241" ht="12.75">
      <c r="F241" s="360"/>
    </row>
    <row r="242" ht="12.75">
      <c r="F242" s="360"/>
    </row>
    <row r="243" ht="12.75">
      <c r="F243" s="360"/>
    </row>
    <row r="244" ht="12.75">
      <c r="F244" s="360"/>
    </row>
    <row r="245" ht="12.75">
      <c r="F245" s="360"/>
    </row>
    <row r="246" ht="12.75">
      <c r="F246" s="360"/>
    </row>
    <row r="247" ht="12.75">
      <c r="F247" s="360"/>
    </row>
    <row r="248" ht="12.75">
      <c r="F248" s="360"/>
    </row>
    <row r="249" ht="12.75">
      <c r="F249" s="360"/>
    </row>
    <row r="250" ht="12.75">
      <c r="F250" s="360"/>
    </row>
    <row r="251" ht="12.75">
      <c r="F251" s="360"/>
    </row>
    <row r="252" ht="12.75">
      <c r="F252" s="360"/>
    </row>
    <row r="253" ht="12.75">
      <c r="F253" s="360"/>
    </row>
    <row r="254" ht="12.75">
      <c r="F254" s="360"/>
    </row>
    <row r="255" ht="12.75">
      <c r="F255" s="360"/>
    </row>
    <row r="256" ht="12.75">
      <c r="F256" s="360"/>
    </row>
    <row r="257" ht="12.75">
      <c r="F257" s="360"/>
    </row>
    <row r="258" ht="12.75">
      <c r="F258" s="360"/>
    </row>
    <row r="259" ht="12.75">
      <c r="F259" s="360"/>
    </row>
    <row r="260" ht="12.75">
      <c r="F260" s="360"/>
    </row>
    <row r="261" ht="12.75">
      <c r="F261" s="360"/>
    </row>
    <row r="262" ht="12.75">
      <c r="F262" s="360"/>
    </row>
    <row r="263" ht="12.75">
      <c r="F263" s="360"/>
    </row>
    <row r="264" ht="12.75">
      <c r="F264" s="360"/>
    </row>
    <row r="265" ht="12.75">
      <c r="F265" s="360"/>
    </row>
    <row r="266" ht="12.75">
      <c r="F266" s="360"/>
    </row>
    <row r="267" ht="12.75">
      <c r="F267" s="360"/>
    </row>
    <row r="268" ht="12.75">
      <c r="F268" s="360"/>
    </row>
    <row r="269" ht="12.75">
      <c r="F269" s="360"/>
    </row>
    <row r="270" ht="12.75">
      <c r="F270" s="360"/>
    </row>
    <row r="271" ht="12.75">
      <c r="F271" s="360"/>
    </row>
    <row r="272" ht="12.75">
      <c r="F272" s="360"/>
    </row>
    <row r="273" ht="12.75">
      <c r="F273" s="360"/>
    </row>
    <row r="274" ht="12.75">
      <c r="F274" s="360"/>
    </row>
    <row r="275" ht="12.75">
      <c r="F275" s="360"/>
    </row>
    <row r="276" ht="12.75">
      <c r="F276" s="360"/>
    </row>
    <row r="277" ht="12.75">
      <c r="F277" s="360"/>
    </row>
    <row r="278" ht="12.75">
      <c r="F278" s="360"/>
    </row>
    <row r="279" ht="12.75">
      <c r="F279" s="360"/>
    </row>
    <row r="280" ht="12.75">
      <c r="F280" s="360"/>
    </row>
    <row r="281" ht="12.75">
      <c r="F281" s="360"/>
    </row>
    <row r="282" ht="12.75">
      <c r="F282" s="360"/>
    </row>
    <row r="283" ht="12.75">
      <c r="F283" s="360"/>
    </row>
    <row r="284" ht="12.75">
      <c r="F284" s="360"/>
    </row>
    <row r="285" ht="12.75">
      <c r="F285" s="360"/>
    </row>
    <row r="286" ht="12.75">
      <c r="F286" s="360"/>
    </row>
    <row r="287" ht="12.75">
      <c r="F287" s="360"/>
    </row>
    <row r="288" ht="12.75">
      <c r="F288" s="360"/>
    </row>
    <row r="289" ht="12.75">
      <c r="F289" s="360"/>
    </row>
    <row r="290" ht="12.75">
      <c r="F290" s="360"/>
    </row>
    <row r="291" ht="12.75">
      <c r="F291" s="360"/>
    </row>
    <row r="292" ht="12.75">
      <c r="F292" s="360"/>
    </row>
    <row r="293" ht="12.75">
      <c r="F293" s="360"/>
    </row>
    <row r="294" ht="12.75">
      <c r="F294" s="360"/>
    </row>
    <row r="295" ht="12.75">
      <c r="F295" s="360"/>
    </row>
    <row r="296" ht="12.75">
      <c r="F296" s="360"/>
    </row>
    <row r="297" ht="12.75">
      <c r="F297" s="360"/>
    </row>
    <row r="298" ht="12.75">
      <c r="F298" s="360"/>
    </row>
    <row r="299" ht="12.75">
      <c r="F299" s="360"/>
    </row>
    <row r="300" ht="12.75">
      <c r="F300" s="360"/>
    </row>
    <row r="301" ht="12.75">
      <c r="F301" s="360"/>
    </row>
    <row r="302" ht="12.75">
      <c r="F302" s="360"/>
    </row>
    <row r="303" ht="12.75">
      <c r="F303" s="360"/>
    </row>
    <row r="304" ht="12.75">
      <c r="F304" s="360"/>
    </row>
    <row r="305" ht="12.75">
      <c r="F305" s="360"/>
    </row>
    <row r="306" ht="12.75">
      <c r="F306" s="360"/>
    </row>
    <row r="307" ht="12.75">
      <c r="F307" s="360"/>
    </row>
    <row r="308" ht="12.75">
      <c r="F308" s="360"/>
    </row>
    <row r="309" ht="12.75">
      <c r="F309" s="360"/>
    </row>
    <row r="310" ht="12.75">
      <c r="F310" s="360"/>
    </row>
    <row r="311" ht="12.75">
      <c r="F311" s="360"/>
    </row>
    <row r="312" ht="12.75">
      <c r="F312" s="360"/>
    </row>
    <row r="313" ht="12.75">
      <c r="F313" s="360"/>
    </row>
    <row r="314" ht="12.75">
      <c r="F314" s="360"/>
    </row>
    <row r="315" ht="12.75">
      <c r="F315" s="360"/>
    </row>
    <row r="316" ht="12.75">
      <c r="F316" s="360"/>
    </row>
    <row r="317" ht="12.75">
      <c r="F317" s="360"/>
    </row>
    <row r="318" ht="12.75">
      <c r="F318" s="360"/>
    </row>
    <row r="319" ht="12.75">
      <c r="F319" s="360"/>
    </row>
    <row r="320" ht="12.75">
      <c r="F320" s="360"/>
    </row>
    <row r="321" ht="12.75">
      <c r="F321" s="360"/>
    </row>
    <row r="322" ht="12.75">
      <c r="F322" s="360"/>
    </row>
    <row r="323" ht="12.75">
      <c r="F323" s="360"/>
    </row>
    <row r="324" ht="12.75">
      <c r="F324" s="360"/>
    </row>
    <row r="325" ht="12.75">
      <c r="F325" s="360"/>
    </row>
    <row r="326" ht="12.75">
      <c r="F326" s="360"/>
    </row>
    <row r="327" ht="12.75">
      <c r="F327" s="360"/>
    </row>
    <row r="328" ht="12.75">
      <c r="F328" s="360"/>
    </row>
    <row r="329" ht="12.75">
      <c r="F329" s="360"/>
    </row>
    <row r="330" ht="12.75">
      <c r="F330" s="360"/>
    </row>
    <row r="331" ht="12.75">
      <c r="F331" s="360"/>
    </row>
    <row r="332" ht="12.75">
      <c r="F332" s="360"/>
    </row>
    <row r="333" ht="12.75">
      <c r="F333" s="360"/>
    </row>
    <row r="334" ht="12.75">
      <c r="F334" s="360"/>
    </row>
    <row r="335" ht="12.75">
      <c r="F335" s="360"/>
    </row>
    <row r="336" ht="12.75">
      <c r="F336" s="360"/>
    </row>
    <row r="337" ht="12.75">
      <c r="F337" s="360"/>
    </row>
    <row r="338" ht="12.75">
      <c r="F338" s="360"/>
    </row>
    <row r="339" ht="12.75">
      <c r="F339" s="360"/>
    </row>
    <row r="340" ht="12.75">
      <c r="F340" s="360"/>
    </row>
    <row r="341" ht="12.75">
      <c r="F341" s="360"/>
    </row>
    <row r="342" ht="12.75">
      <c r="F342" s="360"/>
    </row>
    <row r="343" ht="12.75">
      <c r="F343" s="360"/>
    </row>
    <row r="344" ht="12.75">
      <c r="F344" s="360"/>
    </row>
    <row r="345" ht="12.75">
      <c r="F345" s="360"/>
    </row>
    <row r="346" ht="12.75">
      <c r="F346" s="360"/>
    </row>
    <row r="347" ht="12.75">
      <c r="F347" s="360"/>
    </row>
    <row r="348" ht="12.75">
      <c r="F348" s="360"/>
    </row>
    <row r="349" ht="12.75">
      <c r="F349" s="360"/>
    </row>
    <row r="350" ht="12.75">
      <c r="F350" s="360"/>
    </row>
    <row r="351" ht="12.75">
      <c r="F351" s="360"/>
    </row>
    <row r="352" ht="12.75">
      <c r="F352" s="360"/>
    </row>
    <row r="353" ht="12.75">
      <c r="F353" s="360"/>
    </row>
    <row r="354" ht="12.75">
      <c r="F354" s="360"/>
    </row>
    <row r="355" ht="12.75">
      <c r="F355" s="360"/>
    </row>
    <row r="356" ht="12.75">
      <c r="F356" s="360"/>
    </row>
    <row r="357" ht="12.75">
      <c r="F357" s="360"/>
    </row>
    <row r="358" ht="12.75">
      <c r="F358" s="360"/>
    </row>
    <row r="359" ht="12.75">
      <c r="F359" s="360"/>
    </row>
    <row r="360" ht="12.75">
      <c r="F360" s="360"/>
    </row>
    <row r="361" ht="12.75">
      <c r="F361" s="360"/>
    </row>
    <row r="362" ht="12.75">
      <c r="F362" s="360"/>
    </row>
    <row r="363" ht="12.75">
      <c r="F363" s="360"/>
    </row>
    <row r="364" ht="12.75">
      <c r="F364" s="360"/>
    </row>
    <row r="365" ht="12.75">
      <c r="F365" s="360"/>
    </row>
    <row r="366" ht="12.75">
      <c r="F366" s="360"/>
    </row>
    <row r="367" ht="12.75">
      <c r="F367" s="360"/>
    </row>
    <row r="368" ht="12.75">
      <c r="F368" s="360"/>
    </row>
    <row r="369" ht="12.75">
      <c r="F369" s="360"/>
    </row>
    <row r="370" ht="12.75">
      <c r="F370" s="360"/>
    </row>
    <row r="371" ht="12.75">
      <c r="F371" s="360"/>
    </row>
    <row r="372" ht="12.75">
      <c r="F372" s="360"/>
    </row>
    <row r="373" ht="12.75">
      <c r="F373" s="360"/>
    </row>
    <row r="374" ht="12.75">
      <c r="F374" s="360"/>
    </row>
    <row r="375" ht="12.75">
      <c r="F375" s="360"/>
    </row>
    <row r="376" ht="12.75">
      <c r="F376" s="360"/>
    </row>
    <row r="377" ht="12.75">
      <c r="F377" s="360"/>
    </row>
    <row r="378" ht="12.75">
      <c r="F378" s="360"/>
    </row>
    <row r="379" ht="12.75">
      <c r="F379" s="360"/>
    </row>
    <row r="380" ht="12.75">
      <c r="F380" s="360"/>
    </row>
    <row r="381" ht="12.75">
      <c r="F381" s="360"/>
    </row>
    <row r="382" ht="12.75">
      <c r="F382" s="360"/>
    </row>
    <row r="383" ht="12.75">
      <c r="F383" s="360"/>
    </row>
    <row r="384" ht="12.75">
      <c r="F384" s="360"/>
    </row>
    <row r="385" ht="12.75">
      <c r="F385" s="360"/>
    </row>
    <row r="386" ht="12.75">
      <c r="F386" s="360"/>
    </row>
    <row r="387" ht="12.75">
      <c r="F387" s="360"/>
    </row>
    <row r="388" ht="12.75">
      <c r="F388" s="360"/>
    </row>
    <row r="389" ht="12.75">
      <c r="F389" s="360"/>
    </row>
    <row r="390" ht="12.75">
      <c r="F390" s="360"/>
    </row>
    <row r="391" ht="12.75">
      <c r="F391" s="360"/>
    </row>
    <row r="392" ht="12.75">
      <c r="F392" s="360"/>
    </row>
    <row r="393" ht="12.75">
      <c r="F393" s="360"/>
    </row>
    <row r="394" ht="12.75">
      <c r="F394" s="360"/>
    </row>
    <row r="395" ht="12.75">
      <c r="F395" s="360"/>
    </row>
    <row r="396" ht="12.75">
      <c r="F396" s="360"/>
    </row>
    <row r="397" ht="12.75">
      <c r="F397" s="360"/>
    </row>
    <row r="398" ht="12.75">
      <c r="F398" s="360"/>
    </row>
    <row r="399" ht="12.75">
      <c r="F399" s="360"/>
    </row>
    <row r="400" ht="12.75">
      <c r="F400" s="360"/>
    </row>
    <row r="401" ht="12.75">
      <c r="F401" s="360"/>
    </row>
    <row r="402" ht="12.75">
      <c r="F402" s="360"/>
    </row>
    <row r="403" ht="12.75">
      <c r="F403" s="360"/>
    </row>
    <row r="404" ht="12.75">
      <c r="F404" s="360"/>
    </row>
    <row r="405" ht="12.75">
      <c r="F405" s="360"/>
    </row>
    <row r="406" ht="12.75">
      <c r="F406" s="360"/>
    </row>
    <row r="407" ht="12.75">
      <c r="F407" s="360"/>
    </row>
    <row r="408" ht="12.75">
      <c r="F408" s="360"/>
    </row>
    <row r="409" ht="12.75">
      <c r="F409" s="360"/>
    </row>
    <row r="410" ht="12.75">
      <c r="F410" s="360"/>
    </row>
    <row r="411" ht="12.75">
      <c r="F411" s="360"/>
    </row>
    <row r="412" ht="12.75">
      <c r="F412" s="360"/>
    </row>
    <row r="413" ht="12.75">
      <c r="F413" s="360"/>
    </row>
    <row r="414" ht="12.75">
      <c r="F414" s="360"/>
    </row>
    <row r="415" ht="12.75">
      <c r="F415" s="360"/>
    </row>
    <row r="416" ht="12.75">
      <c r="F416" s="360"/>
    </row>
    <row r="417" ht="12.75">
      <c r="F417" s="360"/>
    </row>
    <row r="418" ht="12.75">
      <c r="F418" s="360"/>
    </row>
    <row r="419" ht="12.75">
      <c r="F419" s="360"/>
    </row>
    <row r="420" ht="12.75">
      <c r="F420" s="360"/>
    </row>
    <row r="421" ht="12.75">
      <c r="F421" s="360"/>
    </row>
    <row r="422" ht="12.75">
      <c r="F422" s="360"/>
    </row>
    <row r="423" ht="12.75">
      <c r="F423" s="360"/>
    </row>
    <row r="424" ht="12.75">
      <c r="F424" s="360"/>
    </row>
    <row r="425" ht="12.75">
      <c r="F425" s="360"/>
    </row>
    <row r="426" ht="12.75">
      <c r="F426" s="360"/>
    </row>
    <row r="427" ht="12.75">
      <c r="F427" s="360"/>
    </row>
    <row r="428" ht="12.75">
      <c r="F428" s="360"/>
    </row>
    <row r="429" ht="12.75">
      <c r="F429" s="360"/>
    </row>
    <row r="430" ht="12.75">
      <c r="F430" s="360"/>
    </row>
    <row r="431" ht="12.75">
      <c r="F431" s="360"/>
    </row>
    <row r="432" ht="12.75">
      <c r="F432" s="360"/>
    </row>
    <row r="433" ht="12.75">
      <c r="F433" s="360"/>
    </row>
    <row r="434" ht="12.75">
      <c r="F434" s="360"/>
    </row>
    <row r="435" ht="12.75">
      <c r="F435" s="360"/>
    </row>
    <row r="436" ht="12.75">
      <c r="F436" s="360"/>
    </row>
    <row r="437" ht="12.75">
      <c r="F437" s="360"/>
    </row>
    <row r="438" ht="12.75">
      <c r="F438" s="360"/>
    </row>
    <row r="439" ht="12.75">
      <c r="F439" s="360"/>
    </row>
    <row r="440" ht="12.75">
      <c r="F440" s="360"/>
    </row>
    <row r="441" ht="12.75">
      <c r="F441" s="360"/>
    </row>
    <row r="442" ht="12.75">
      <c r="F442" s="360"/>
    </row>
    <row r="443" ht="12.75">
      <c r="F443" s="360"/>
    </row>
    <row r="444" ht="12.75">
      <c r="F444" s="360"/>
    </row>
    <row r="445" ht="12.75">
      <c r="F445" s="360"/>
    </row>
    <row r="446" ht="12.75">
      <c r="F446" s="360"/>
    </row>
    <row r="447" ht="12.75">
      <c r="F447" s="360"/>
    </row>
    <row r="448" ht="12.75">
      <c r="F448" s="360"/>
    </row>
    <row r="449" ht="12.75">
      <c r="F449" s="360"/>
    </row>
    <row r="450" ht="12.75">
      <c r="F450" s="360"/>
    </row>
    <row r="451" ht="12.75">
      <c r="F451" s="360"/>
    </row>
    <row r="452" ht="12.75">
      <c r="F452" s="360"/>
    </row>
    <row r="453" ht="12.75">
      <c r="F453" s="360"/>
    </row>
    <row r="454" ht="12.75">
      <c r="F454" s="360"/>
    </row>
    <row r="455" ht="12.75">
      <c r="F455" s="360"/>
    </row>
    <row r="456" ht="12.75">
      <c r="F456" s="360"/>
    </row>
    <row r="457" ht="12.75">
      <c r="F457" s="360"/>
    </row>
    <row r="458" ht="12.75">
      <c r="F458" s="360"/>
    </row>
    <row r="459" ht="12.75">
      <c r="F459" s="360"/>
    </row>
    <row r="460" ht="12.75">
      <c r="F460" s="360"/>
    </row>
    <row r="461" ht="12.75">
      <c r="F461" s="360"/>
    </row>
    <row r="462" ht="12.75">
      <c r="F462" s="360"/>
    </row>
    <row r="463" ht="12.75">
      <c r="F463" s="360"/>
    </row>
    <row r="464" ht="12.75">
      <c r="F464" s="360"/>
    </row>
    <row r="465" ht="12.75">
      <c r="F465" s="360"/>
    </row>
    <row r="466" ht="12.75">
      <c r="F466" s="360"/>
    </row>
    <row r="467" ht="12.75">
      <c r="F467" s="360"/>
    </row>
    <row r="468" ht="12.75">
      <c r="F468" s="360"/>
    </row>
    <row r="469" ht="12.75">
      <c r="F469" s="360"/>
    </row>
    <row r="470" ht="12.75">
      <c r="F470" s="360"/>
    </row>
    <row r="471" ht="12.75">
      <c r="F471" s="360"/>
    </row>
    <row r="472" ht="12.75">
      <c r="F472" s="360"/>
    </row>
    <row r="473" ht="12.75">
      <c r="F473" s="360"/>
    </row>
    <row r="474" ht="12.75">
      <c r="F474" s="360"/>
    </row>
    <row r="475" ht="12.75">
      <c r="F475" s="360"/>
    </row>
    <row r="476" ht="12.75">
      <c r="F476" s="360"/>
    </row>
    <row r="477" ht="12.75">
      <c r="F477" s="360"/>
    </row>
    <row r="478" ht="12.75">
      <c r="F478" s="360"/>
    </row>
    <row r="479" ht="12.75">
      <c r="F479" s="360"/>
    </row>
    <row r="480" ht="12.75">
      <c r="F480" s="360"/>
    </row>
    <row r="481" ht="12.75">
      <c r="F481" s="360"/>
    </row>
    <row r="482" ht="12.75">
      <c r="F482" s="360"/>
    </row>
    <row r="483" ht="12.75">
      <c r="F483" s="360"/>
    </row>
    <row r="484" ht="12.75">
      <c r="F484" s="360"/>
    </row>
    <row r="485" ht="12.75">
      <c r="F485" s="360"/>
    </row>
    <row r="486" ht="12.75">
      <c r="F486" s="360"/>
    </row>
    <row r="487" ht="12.75">
      <c r="F487" s="360"/>
    </row>
    <row r="488" ht="12.75">
      <c r="F488" s="360"/>
    </row>
    <row r="489" ht="12.75">
      <c r="F489" s="360"/>
    </row>
    <row r="490" ht="12.75">
      <c r="F490" s="360"/>
    </row>
    <row r="491" ht="12.75">
      <c r="F491" s="360"/>
    </row>
    <row r="492" ht="12.75">
      <c r="F492" s="360"/>
    </row>
    <row r="493" ht="12.75">
      <c r="F493" s="360"/>
    </row>
    <row r="494" ht="12.75">
      <c r="F494" s="360"/>
    </row>
    <row r="495" ht="12.75">
      <c r="F495" s="360"/>
    </row>
  </sheetData>
  <printOptions horizontalCentered="1"/>
  <pageMargins left="0" right="0" top="1" bottom="0.5" header="0.5" footer="0.5"/>
  <pageSetup fitToHeight="1" fitToWidth="1"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H289"/>
  <sheetViews>
    <sheetView workbookViewId="0" topLeftCell="A62">
      <selection activeCell="A98" sqref="A98"/>
    </sheetView>
  </sheetViews>
  <sheetFormatPr defaultColWidth="9.140625" defaultRowHeight="12.75"/>
  <cols>
    <col min="1" max="1" width="14.28125" style="316" customWidth="1"/>
    <col min="2" max="2" width="1.7109375" style="316" customWidth="1"/>
    <col min="3" max="3" width="32.8515625" style="316" customWidth="1"/>
    <col min="4" max="16384" width="10.28125" style="316" customWidth="1"/>
  </cols>
  <sheetData>
    <row r="1" spans="1:3" ht="15.75" thickBot="1">
      <c r="A1" s="361" t="s">
        <v>674</v>
      </c>
      <c r="C1" s="361" t="s">
        <v>675</v>
      </c>
    </row>
    <row r="2" spans="1:3" ht="15">
      <c r="A2" s="362" t="s">
        <v>676</v>
      </c>
      <c r="B2" s="363"/>
      <c r="C2" s="362" t="s">
        <v>677</v>
      </c>
    </row>
    <row r="3" spans="1:3" ht="15">
      <c r="A3" s="362" t="s">
        <v>678</v>
      </c>
      <c r="B3" s="363"/>
      <c r="C3" s="362" t="s">
        <v>679</v>
      </c>
    </row>
    <row r="4" spans="1:3" ht="15">
      <c r="A4" s="362" t="s">
        <v>680</v>
      </c>
      <c r="B4" s="363"/>
      <c r="C4" s="362" t="s">
        <v>681</v>
      </c>
    </row>
    <row r="5" spans="1:3" ht="15">
      <c r="A5" s="362" t="s">
        <v>687</v>
      </c>
      <c r="B5" s="363"/>
      <c r="C5" s="362" t="s">
        <v>694</v>
      </c>
    </row>
    <row r="6" spans="1:3" ht="15">
      <c r="A6" s="362" t="s">
        <v>695</v>
      </c>
      <c r="B6" s="363"/>
      <c r="C6" s="362" t="s">
        <v>696</v>
      </c>
    </row>
    <row r="7" spans="1:3" ht="15">
      <c r="A7" s="362" t="s">
        <v>697</v>
      </c>
      <c r="B7" s="363"/>
      <c r="C7" s="362" t="s">
        <v>698</v>
      </c>
    </row>
    <row r="8" spans="1:3" ht="15">
      <c r="A8" s="362" t="s">
        <v>699</v>
      </c>
      <c r="B8" s="363"/>
      <c r="C8" s="362" t="s">
        <v>700</v>
      </c>
    </row>
    <row r="9" spans="1:3" ht="15">
      <c r="A9" s="362" t="s">
        <v>701</v>
      </c>
      <c r="B9" s="363"/>
      <c r="C9" s="362" t="s">
        <v>702</v>
      </c>
    </row>
    <row r="10" spans="1:3" ht="15">
      <c r="A10" s="362" t="s">
        <v>703</v>
      </c>
      <c r="B10" s="363"/>
      <c r="C10" s="362" t="s">
        <v>704</v>
      </c>
    </row>
    <row r="11" spans="1:3" ht="15">
      <c r="A11" s="362" t="s">
        <v>705</v>
      </c>
      <c r="B11" s="363"/>
      <c r="C11" s="362" t="s">
        <v>706</v>
      </c>
    </row>
    <row r="12" spans="1:3" ht="15">
      <c r="A12" s="362" t="s">
        <v>645</v>
      </c>
      <c r="B12" s="363"/>
      <c r="C12" s="362" t="s">
        <v>707</v>
      </c>
    </row>
    <row r="13" spans="1:3" ht="15">
      <c r="A13" s="365" t="s">
        <v>1789</v>
      </c>
      <c r="B13" s="363"/>
      <c r="C13" s="365" t="s">
        <v>1828</v>
      </c>
    </row>
    <row r="14" spans="1:3" ht="15">
      <c r="A14" s="362" t="s">
        <v>708</v>
      </c>
      <c r="B14" s="363"/>
      <c r="C14" s="362" t="s">
        <v>709</v>
      </c>
    </row>
    <row r="15" spans="1:3" ht="15">
      <c r="A15" s="362" t="s">
        <v>656</v>
      </c>
      <c r="B15" s="363"/>
      <c r="C15" s="362" t="s">
        <v>637</v>
      </c>
    </row>
    <row r="16" spans="1:3" ht="15">
      <c r="A16" s="362" t="s">
        <v>710</v>
      </c>
      <c r="B16" s="363"/>
      <c r="C16" s="362" t="s">
        <v>711</v>
      </c>
    </row>
    <row r="17" spans="1:3" ht="15">
      <c r="A17" s="362" t="s">
        <v>712</v>
      </c>
      <c r="B17" s="363"/>
      <c r="C17" s="362" t="s">
        <v>713</v>
      </c>
    </row>
    <row r="18" spans="1:3" ht="15">
      <c r="A18" s="362" t="s">
        <v>714</v>
      </c>
      <c r="B18" s="363"/>
      <c r="C18" s="362" t="s">
        <v>715</v>
      </c>
    </row>
    <row r="19" spans="1:3" ht="15">
      <c r="A19" s="362" t="s">
        <v>716</v>
      </c>
      <c r="B19" s="363"/>
      <c r="C19" s="362" t="s">
        <v>717</v>
      </c>
    </row>
    <row r="20" spans="1:3" ht="15">
      <c r="A20" s="362" t="s">
        <v>718</v>
      </c>
      <c r="B20" s="363"/>
      <c r="C20" s="362" t="s">
        <v>719</v>
      </c>
    </row>
    <row r="21" spans="1:3" ht="15">
      <c r="A21" s="362" t="s">
        <v>720</v>
      </c>
      <c r="B21" s="363"/>
      <c r="C21" s="362" t="s">
        <v>721</v>
      </c>
    </row>
    <row r="22" spans="1:3" ht="15">
      <c r="A22" s="362" t="s">
        <v>722</v>
      </c>
      <c r="B22" s="363"/>
      <c r="C22" s="362" t="s">
        <v>723</v>
      </c>
    </row>
    <row r="23" spans="1:3" ht="15">
      <c r="A23" s="362" t="s">
        <v>724</v>
      </c>
      <c r="B23" s="363"/>
      <c r="C23" s="362" t="s">
        <v>725</v>
      </c>
    </row>
    <row r="24" spans="1:3" ht="15">
      <c r="A24" s="362" t="s">
        <v>726</v>
      </c>
      <c r="B24" s="363"/>
      <c r="C24" s="362" t="s">
        <v>727</v>
      </c>
    </row>
    <row r="25" spans="1:3" ht="15">
      <c r="A25" s="362" t="s">
        <v>728</v>
      </c>
      <c r="B25" s="363"/>
      <c r="C25" s="362" t="s">
        <v>729</v>
      </c>
    </row>
    <row r="26" spans="1:3" ht="15">
      <c r="A26" s="362" t="s">
        <v>730</v>
      </c>
      <c r="B26" s="363"/>
      <c r="C26" s="362" t="s">
        <v>731</v>
      </c>
    </row>
    <row r="27" spans="1:3" ht="15">
      <c r="A27" s="362" t="s">
        <v>732</v>
      </c>
      <c r="B27" s="363"/>
      <c r="C27" s="362" t="s">
        <v>733</v>
      </c>
    </row>
    <row r="28" spans="1:3" ht="15">
      <c r="A28" s="362" t="s">
        <v>672</v>
      </c>
      <c r="B28" s="363"/>
      <c r="C28" s="362" t="s">
        <v>734</v>
      </c>
    </row>
    <row r="29" spans="1:3" ht="15">
      <c r="A29" s="362" t="s">
        <v>735</v>
      </c>
      <c r="B29" s="363"/>
      <c r="C29" s="362" t="s">
        <v>736</v>
      </c>
    </row>
    <row r="30" spans="1:3" ht="15">
      <c r="A30" s="362" t="s">
        <v>737</v>
      </c>
      <c r="B30" s="363"/>
      <c r="C30" s="362" t="s">
        <v>738</v>
      </c>
    </row>
    <row r="31" spans="1:3" ht="15">
      <c r="A31" s="362" t="s">
        <v>739</v>
      </c>
      <c r="B31" s="363"/>
      <c r="C31" s="362" t="s">
        <v>740</v>
      </c>
    </row>
    <row r="32" spans="1:3" ht="15">
      <c r="A32" s="362" t="s">
        <v>741</v>
      </c>
      <c r="B32" s="363"/>
      <c r="C32" s="362" t="s">
        <v>742</v>
      </c>
    </row>
    <row r="33" spans="1:3" ht="15">
      <c r="A33" s="362" t="s">
        <v>743</v>
      </c>
      <c r="B33" s="363"/>
      <c r="C33" s="362" t="s">
        <v>744</v>
      </c>
    </row>
    <row r="34" spans="1:3" ht="15">
      <c r="A34" s="362" t="s">
        <v>745</v>
      </c>
      <c r="B34" s="363"/>
      <c r="C34" s="362" t="s">
        <v>746</v>
      </c>
    </row>
    <row r="35" spans="1:3" ht="15">
      <c r="A35" s="362" t="s">
        <v>747</v>
      </c>
      <c r="B35" s="363"/>
      <c r="C35" s="362" t="s">
        <v>748</v>
      </c>
    </row>
    <row r="36" spans="1:3" ht="15">
      <c r="A36" s="362" t="s">
        <v>749</v>
      </c>
      <c r="B36" s="363"/>
      <c r="C36" s="362" t="s">
        <v>750</v>
      </c>
    </row>
    <row r="37" spans="1:3" ht="15">
      <c r="A37" s="362" t="s">
        <v>751</v>
      </c>
      <c r="B37" s="363"/>
      <c r="C37" s="362" t="s">
        <v>752</v>
      </c>
    </row>
    <row r="38" spans="1:3" ht="15">
      <c r="A38" s="362" t="s">
        <v>753</v>
      </c>
      <c r="B38" s="363"/>
      <c r="C38" s="362" t="s">
        <v>754</v>
      </c>
    </row>
    <row r="39" spans="1:3" ht="15">
      <c r="A39" s="362" t="s">
        <v>755</v>
      </c>
      <c r="B39" s="363"/>
      <c r="C39" s="362" t="s">
        <v>756</v>
      </c>
    </row>
    <row r="40" spans="1:3" ht="15">
      <c r="A40" s="362" t="s">
        <v>757</v>
      </c>
      <c r="B40" s="363"/>
      <c r="C40" s="362" t="s">
        <v>758</v>
      </c>
    </row>
    <row r="41" spans="1:3" ht="15">
      <c r="A41" s="362" t="s">
        <v>759</v>
      </c>
      <c r="B41" s="363"/>
      <c r="C41" s="362" t="s">
        <v>760</v>
      </c>
    </row>
    <row r="42" spans="1:3" ht="15">
      <c r="A42" s="362" t="s">
        <v>661</v>
      </c>
      <c r="B42" s="363"/>
      <c r="C42" s="362" t="s">
        <v>591</v>
      </c>
    </row>
    <row r="43" spans="1:3" ht="15">
      <c r="A43" s="362" t="s">
        <v>761</v>
      </c>
      <c r="B43" s="363"/>
      <c r="C43" s="365" t="s">
        <v>584</v>
      </c>
    </row>
    <row r="44" spans="1:3" ht="15">
      <c r="A44" s="362" t="s">
        <v>762</v>
      </c>
      <c r="B44" s="363"/>
      <c r="C44" s="362" t="s">
        <v>763</v>
      </c>
    </row>
    <row r="45" spans="1:3" ht="15">
      <c r="A45" s="362" t="s">
        <v>764</v>
      </c>
      <c r="B45" s="363"/>
      <c r="C45" s="362" t="s">
        <v>765</v>
      </c>
    </row>
    <row r="46" spans="1:3" ht="15">
      <c r="A46" s="362" t="s">
        <v>766</v>
      </c>
      <c r="B46" s="363"/>
      <c r="C46" s="362" t="s">
        <v>767</v>
      </c>
    </row>
    <row r="47" spans="1:3" ht="15">
      <c r="A47" s="362" t="s">
        <v>768</v>
      </c>
      <c r="B47" s="363"/>
      <c r="C47" s="362" t="s">
        <v>769</v>
      </c>
    </row>
    <row r="48" spans="1:3" ht="15">
      <c r="A48" s="362" t="s">
        <v>770</v>
      </c>
      <c r="B48" s="363"/>
      <c r="C48" s="362" t="s">
        <v>771</v>
      </c>
    </row>
    <row r="49" spans="1:3" ht="15">
      <c r="A49" s="362" t="s">
        <v>772</v>
      </c>
      <c r="B49" s="363"/>
      <c r="C49" s="362" t="s">
        <v>773</v>
      </c>
    </row>
    <row r="50" spans="1:3" ht="15">
      <c r="A50" s="362" t="s">
        <v>774</v>
      </c>
      <c r="B50" s="363"/>
      <c r="C50" s="362" t="s">
        <v>775</v>
      </c>
    </row>
    <row r="51" spans="1:3" ht="15">
      <c r="A51" s="362" t="s">
        <v>776</v>
      </c>
      <c r="B51" s="363"/>
      <c r="C51" s="362" t="s">
        <v>777</v>
      </c>
    </row>
    <row r="52" spans="1:3" ht="15">
      <c r="A52" s="362" t="s">
        <v>778</v>
      </c>
      <c r="B52" s="363"/>
      <c r="C52" s="362" t="s">
        <v>779</v>
      </c>
    </row>
    <row r="53" spans="1:3" ht="15">
      <c r="A53" s="362" t="s">
        <v>780</v>
      </c>
      <c r="B53" s="363"/>
      <c r="C53" s="362" t="s">
        <v>781</v>
      </c>
    </row>
    <row r="54" spans="1:3" ht="15">
      <c r="A54" s="362" t="s">
        <v>782</v>
      </c>
      <c r="B54" s="363"/>
      <c r="C54" s="362" t="s">
        <v>783</v>
      </c>
    </row>
    <row r="55" spans="1:3" ht="15">
      <c r="A55" s="362" t="s">
        <v>784</v>
      </c>
      <c r="B55" s="363"/>
      <c r="C55" s="362" t="s">
        <v>785</v>
      </c>
    </row>
    <row r="56" spans="1:3" ht="15">
      <c r="A56" s="362" t="s">
        <v>658</v>
      </c>
      <c r="B56" s="363"/>
      <c r="C56" s="365" t="s">
        <v>179</v>
      </c>
    </row>
    <row r="57" spans="1:3" ht="15">
      <c r="A57" s="362" t="s">
        <v>786</v>
      </c>
      <c r="B57" s="363"/>
      <c r="C57" s="362" t="s">
        <v>787</v>
      </c>
    </row>
    <row r="58" spans="1:3" ht="15">
      <c r="A58" s="362" t="s">
        <v>660</v>
      </c>
      <c r="B58" s="363"/>
      <c r="C58" s="362" t="s">
        <v>788</v>
      </c>
    </row>
    <row r="59" spans="1:3" ht="15">
      <c r="A59" s="362" t="s">
        <v>594</v>
      </c>
      <c r="B59" s="363"/>
      <c r="C59" s="362" t="s">
        <v>790</v>
      </c>
    </row>
    <row r="60" spans="1:3" ht="15">
      <c r="A60" s="362" t="s">
        <v>791</v>
      </c>
      <c r="B60" s="363"/>
      <c r="C60" s="362" t="s">
        <v>792</v>
      </c>
    </row>
    <row r="61" spans="1:3" ht="15">
      <c r="A61" s="362" t="s">
        <v>793</v>
      </c>
      <c r="B61" s="363"/>
      <c r="C61" s="362" t="s">
        <v>842</v>
      </c>
    </row>
    <row r="62" spans="1:3" ht="15">
      <c r="A62" s="362" t="s">
        <v>843</v>
      </c>
      <c r="B62" s="363"/>
      <c r="C62" s="362" t="s">
        <v>844</v>
      </c>
    </row>
    <row r="63" spans="1:3" ht="15">
      <c r="A63" s="362" t="s">
        <v>845</v>
      </c>
      <c r="B63" s="363"/>
      <c r="C63" s="362" t="s">
        <v>846</v>
      </c>
    </row>
    <row r="64" spans="1:3" ht="15">
      <c r="A64" s="362" t="s">
        <v>847</v>
      </c>
      <c r="B64" s="363"/>
      <c r="C64" s="362" t="s">
        <v>848</v>
      </c>
    </row>
    <row r="65" spans="1:3" ht="15">
      <c r="A65" s="362" t="s">
        <v>849</v>
      </c>
      <c r="B65" s="363"/>
      <c r="C65" s="362" t="s">
        <v>850</v>
      </c>
    </row>
    <row r="66" spans="1:3" ht="15">
      <c r="A66" s="362" t="s">
        <v>851</v>
      </c>
      <c r="B66" s="363"/>
      <c r="C66" s="362" t="s">
        <v>852</v>
      </c>
    </row>
    <row r="67" spans="1:3" ht="15">
      <c r="A67" s="362" t="s">
        <v>853</v>
      </c>
      <c r="B67" s="363"/>
      <c r="C67" s="362" t="s">
        <v>854</v>
      </c>
    </row>
    <row r="68" spans="1:3" ht="15">
      <c r="A68" s="362" t="s">
        <v>855</v>
      </c>
      <c r="B68" s="363"/>
      <c r="C68" s="362" t="s">
        <v>856</v>
      </c>
    </row>
    <row r="69" spans="1:3" ht="15">
      <c r="A69" s="362" t="s">
        <v>857</v>
      </c>
      <c r="B69" s="363"/>
      <c r="C69" s="362" t="s">
        <v>858</v>
      </c>
    </row>
    <row r="70" spans="1:3" ht="15">
      <c r="A70" s="362" t="s">
        <v>859</v>
      </c>
      <c r="B70" s="363"/>
      <c r="C70" s="362" t="s">
        <v>860</v>
      </c>
    </row>
    <row r="71" spans="1:3" ht="15">
      <c r="A71" s="362" t="s">
        <v>861</v>
      </c>
      <c r="B71" s="363"/>
      <c r="C71" s="362" t="s">
        <v>862</v>
      </c>
    </row>
    <row r="72" spans="1:3" ht="15">
      <c r="A72" s="362" t="s">
        <v>863</v>
      </c>
      <c r="B72" s="363"/>
      <c r="C72" s="362" t="s">
        <v>864</v>
      </c>
    </row>
    <row r="73" spans="1:3" ht="15">
      <c r="A73" s="362" t="s">
        <v>865</v>
      </c>
      <c r="B73" s="363"/>
      <c r="C73" s="362" t="s">
        <v>866</v>
      </c>
    </row>
    <row r="74" spans="1:3" ht="15">
      <c r="A74" s="362" t="s">
        <v>867</v>
      </c>
      <c r="B74" s="363"/>
      <c r="C74" s="362" t="s">
        <v>868</v>
      </c>
    </row>
    <row r="75" spans="1:3" ht="15">
      <c r="A75" s="365" t="s">
        <v>1840</v>
      </c>
      <c r="B75" s="363"/>
      <c r="C75" s="362" t="s">
        <v>592</v>
      </c>
    </row>
    <row r="76" spans="1:3" ht="15">
      <c r="A76" s="362" t="s">
        <v>869</v>
      </c>
      <c r="B76" s="363"/>
      <c r="C76" s="362" t="s">
        <v>870</v>
      </c>
    </row>
    <row r="77" spans="1:3" ht="15">
      <c r="A77" s="362" t="s">
        <v>871</v>
      </c>
      <c r="B77" s="363"/>
      <c r="C77" s="362" t="s">
        <v>874</v>
      </c>
    </row>
    <row r="78" spans="1:3" ht="15">
      <c r="A78" s="365" t="s">
        <v>1559</v>
      </c>
      <c r="B78" s="363"/>
      <c r="C78" s="365" t="s">
        <v>1560</v>
      </c>
    </row>
    <row r="79" spans="1:3" ht="15">
      <c r="A79" s="362" t="s">
        <v>875</v>
      </c>
      <c r="B79" s="363"/>
      <c r="C79" s="362" t="s">
        <v>876</v>
      </c>
    </row>
    <row r="80" spans="1:3" ht="15">
      <c r="A80" s="362" t="s">
        <v>877</v>
      </c>
      <c r="B80" s="363"/>
      <c r="C80" s="362" t="s">
        <v>878</v>
      </c>
    </row>
    <row r="81" spans="1:3" ht="15">
      <c r="A81" s="362" t="s">
        <v>879</v>
      </c>
      <c r="B81" s="363"/>
      <c r="C81" s="362" t="s">
        <v>880</v>
      </c>
    </row>
    <row r="82" spans="1:3" ht="15">
      <c r="A82" s="362" t="s">
        <v>881</v>
      </c>
      <c r="B82" s="363"/>
      <c r="C82" s="362" t="s">
        <v>943</v>
      </c>
    </row>
    <row r="83" spans="1:3" ht="15">
      <c r="A83" s="362" t="s">
        <v>944</v>
      </c>
      <c r="B83" s="363"/>
      <c r="C83" s="362" t="s">
        <v>944</v>
      </c>
    </row>
    <row r="84" spans="1:3" ht="15">
      <c r="A84" s="362" t="s">
        <v>945</v>
      </c>
      <c r="B84" s="363"/>
      <c r="C84" s="362" t="s">
        <v>946</v>
      </c>
    </row>
    <row r="85" spans="1:3" ht="15">
      <c r="A85" s="362" t="s">
        <v>663</v>
      </c>
      <c r="B85" s="363"/>
      <c r="C85" s="362" t="s">
        <v>957</v>
      </c>
    </row>
    <row r="86" spans="1:3" ht="15">
      <c r="A86" s="362" t="s">
        <v>958</v>
      </c>
      <c r="B86" s="363"/>
      <c r="C86" s="362" t="s">
        <v>959</v>
      </c>
    </row>
    <row r="87" spans="1:3" ht="15">
      <c r="A87" s="362" t="s">
        <v>960</v>
      </c>
      <c r="B87" s="363"/>
      <c r="C87" s="362" t="s">
        <v>961</v>
      </c>
    </row>
    <row r="88" spans="1:3" ht="15">
      <c r="A88" s="362" t="s">
        <v>962</v>
      </c>
      <c r="B88" s="363"/>
      <c r="C88" s="362" t="s">
        <v>963</v>
      </c>
    </row>
    <row r="89" spans="1:3" ht="15">
      <c r="A89" s="362" t="s">
        <v>964</v>
      </c>
      <c r="B89" s="363"/>
      <c r="C89" s="362" t="s">
        <v>967</v>
      </c>
    </row>
    <row r="90" spans="1:3" ht="15">
      <c r="A90" s="362" t="s">
        <v>968</v>
      </c>
      <c r="B90" s="363"/>
      <c r="C90" s="362" t="s">
        <v>969</v>
      </c>
    </row>
    <row r="91" spans="1:3" ht="15">
      <c r="A91" s="362" t="s">
        <v>970</v>
      </c>
      <c r="B91" s="363"/>
      <c r="C91" s="362" t="s">
        <v>971</v>
      </c>
    </row>
    <row r="92" spans="1:3" ht="15">
      <c r="A92" s="362" t="s">
        <v>972</v>
      </c>
      <c r="B92" s="363"/>
      <c r="C92" s="362" t="s">
        <v>973</v>
      </c>
    </row>
    <row r="93" spans="1:3" ht="15">
      <c r="A93" s="365" t="s">
        <v>1522</v>
      </c>
      <c r="B93" s="363"/>
      <c r="C93" s="365" t="s">
        <v>1523</v>
      </c>
    </row>
    <row r="94" spans="1:3" ht="15">
      <c r="A94" s="362" t="s">
        <v>974</v>
      </c>
      <c r="B94" s="363"/>
      <c r="C94" s="362" t="s">
        <v>975</v>
      </c>
    </row>
    <row r="95" spans="1:3" ht="15">
      <c r="A95" s="362" t="s">
        <v>976</v>
      </c>
      <c r="B95" s="363"/>
      <c r="C95" s="362" t="s">
        <v>977</v>
      </c>
    </row>
    <row r="96" spans="1:3" ht="15">
      <c r="A96" s="362" t="s">
        <v>978</v>
      </c>
      <c r="B96" s="363"/>
      <c r="C96" s="362" t="s">
        <v>979</v>
      </c>
    </row>
    <row r="97" spans="1:3" ht="15">
      <c r="A97" s="365" t="s">
        <v>1420</v>
      </c>
      <c r="B97" s="363"/>
      <c r="C97" s="365" t="s">
        <v>1864</v>
      </c>
    </row>
    <row r="98" spans="1:3" ht="15">
      <c r="A98" s="362" t="s">
        <v>980</v>
      </c>
      <c r="B98" s="363"/>
      <c r="C98" s="362" t="s">
        <v>981</v>
      </c>
    </row>
    <row r="99" spans="1:3" ht="15">
      <c r="A99" s="362" t="s">
        <v>664</v>
      </c>
      <c r="B99" s="363"/>
      <c r="C99" s="362" t="s">
        <v>982</v>
      </c>
    </row>
    <row r="100" spans="1:3" ht="15">
      <c r="A100" s="362" t="s">
        <v>983</v>
      </c>
      <c r="B100" s="363"/>
      <c r="C100" s="362" t="s">
        <v>984</v>
      </c>
    </row>
    <row r="101" spans="1:3" ht="15">
      <c r="A101" s="362" t="s">
        <v>985</v>
      </c>
      <c r="B101" s="363"/>
      <c r="C101" s="362" t="s">
        <v>986</v>
      </c>
    </row>
    <row r="102" spans="1:3" ht="15">
      <c r="A102" s="362" t="s">
        <v>987</v>
      </c>
      <c r="B102" s="363"/>
      <c r="C102" s="362" t="s">
        <v>988</v>
      </c>
    </row>
    <row r="103" spans="1:3" ht="15">
      <c r="A103" s="362" t="s">
        <v>989</v>
      </c>
      <c r="B103" s="363"/>
      <c r="C103" s="362" t="s">
        <v>990</v>
      </c>
    </row>
    <row r="104" spans="1:3" ht="15">
      <c r="A104" s="362" t="s">
        <v>991</v>
      </c>
      <c r="B104" s="363"/>
      <c r="C104" s="362" t="s">
        <v>992</v>
      </c>
    </row>
    <row r="105" spans="1:3" ht="15">
      <c r="A105" s="362" t="s">
        <v>993</v>
      </c>
      <c r="B105" s="363"/>
      <c r="C105" s="362" t="s">
        <v>994</v>
      </c>
    </row>
    <row r="106" spans="1:3" ht="15">
      <c r="A106" s="362" t="s">
        <v>995</v>
      </c>
      <c r="B106" s="363"/>
      <c r="C106" s="362" t="s">
        <v>996</v>
      </c>
    </row>
    <row r="107" spans="1:3" ht="15">
      <c r="A107" s="362" t="s">
        <v>997</v>
      </c>
      <c r="B107" s="363"/>
      <c r="C107" s="362" t="s">
        <v>998</v>
      </c>
    </row>
    <row r="108" spans="1:3" ht="15">
      <c r="A108" s="362" t="s">
        <v>999</v>
      </c>
      <c r="B108" s="363"/>
      <c r="C108" s="362" t="s">
        <v>1000</v>
      </c>
    </row>
    <row r="109" spans="1:3" ht="15">
      <c r="A109" s="362" t="s">
        <v>1001</v>
      </c>
      <c r="B109" s="363"/>
      <c r="C109" s="362" t="s">
        <v>1002</v>
      </c>
    </row>
    <row r="110" spans="1:3" ht="15">
      <c r="A110" s="362" t="s">
        <v>1003</v>
      </c>
      <c r="B110" s="363"/>
      <c r="C110" s="362" t="s">
        <v>1004</v>
      </c>
    </row>
    <row r="111" spans="1:3" ht="15">
      <c r="A111" s="365" t="s">
        <v>83</v>
      </c>
      <c r="B111" s="363"/>
      <c r="C111" s="365" t="s">
        <v>84</v>
      </c>
    </row>
    <row r="112" spans="1:3" ht="15">
      <c r="A112" s="362" t="s">
        <v>1005</v>
      </c>
      <c r="B112" s="363"/>
      <c r="C112" s="362" t="s">
        <v>1006</v>
      </c>
    </row>
    <row r="113" spans="1:3" ht="15">
      <c r="A113" s="362" t="s">
        <v>1007</v>
      </c>
      <c r="B113" s="363"/>
      <c r="C113" s="362" t="s">
        <v>1008</v>
      </c>
    </row>
    <row r="114" spans="1:3" ht="15">
      <c r="A114" s="362" t="s">
        <v>1009</v>
      </c>
      <c r="B114" s="363"/>
      <c r="C114" s="362" t="s">
        <v>1010</v>
      </c>
    </row>
    <row r="115" spans="1:3" ht="15">
      <c r="A115" s="362" t="s">
        <v>1011</v>
      </c>
      <c r="B115" s="363"/>
      <c r="C115" s="362" t="s">
        <v>1012</v>
      </c>
    </row>
    <row r="116" spans="1:3" ht="15">
      <c r="A116" s="362" t="s">
        <v>1013</v>
      </c>
      <c r="B116" s="363"/>
      <c r="C116" s="362" t="s">
        <v>1014</v>
      </c>
    </row>
    <row r="117" spans="1:3" ht="15">
      <c r="A117" s="362" t="s">
        <v>1015</v>
      </c>
      <c r="B117" s="363"/>
      <c r="C117" s="362" t="s">
        <v>1016</v>
      </c>
    </row>
    <row r="118" spans="1:3" ht="15">
      <c r="A118" s="362" t="s">
        <v>1017</v>
      </c>
      <c r="B118" s="363"/>
      <c r="C118" s="362" t="s">
        <v>1018</v>
      </c>
    </row>
    <row r="119" spans="1:3" ht="15">
      <c r="A119" s="362" t="s">
        <v>1019</v>
      </c>
      <c r="B119" s="363"/>
      <c r="C119" s="362" t="s">
        <v>1020</v>
      </c>
    </row>
    <row r="120" spans="1:3" ht="15">
      <c r="A120" s="362" t="s">
        <v>1656</v>
      </c>
      <c r="B120" s="363"/>
      <c r="C120" s="362" t="s">
        <v>1021</v>
      </c>
    </row>
    <row r="121" spans="1:3" ht="15">
      <c r="A121" s="362" t="s">
        <v>1022</v>
      </c>
      <c r="B121" s="363"/>
      <c r="C121" s="362" t="s">
        <v>1023</v>
      </c>
    </row>
    <row r="122" spans="1:3" ht="15">
      <c r="A122" s="362" t="s">
        <v>1024</v>
      </c>
      <c r="B122" s="363"/>
      <c r="C122" s="362" t="s">
        <v>1025</v>
      </c>
    </row>
    <row r="123" spans="1:3" ht="15">
      <c r="A123" s="362" t="s">
        <v>1026</v>
      </c>
      <c r="B123" s="363"/>
      <c r="C123" s="362" t="s">
        <v>1027</v>
      </c>
    </row>
    <row r="124" spans="1:3" ht="15">
      <c r="A124" s="362" t="s">
        <v>1028</v>
      </c>
      <c r="B124" s="363"/>
      <c r="C124" s="362" t="s">
        <v>1030</v>
      </c>
    </row>
    <row r="125" spans="1:3" ht="15">
      <c r="A125" s="362" t="s">
        <v>1031</v>
      </c>
      <c r="B125" s="363"/>
      <c r="C125" s="362" t="s">
        <v>1032</v>
      </c>
    </row>
    <row r="126" spans="1:3" ht="15">
      <c r="A126" s="362" t="s">
        <v>1033</v>
      </c>
      <c r="B126" s="363"/>
      <c r="C126" s="362" t="s">
        <v>1034</v>
      </c>
    </row>
    <row r="127" spans="1:3" ht="15">
      <c r="A127" s="365" t="s">
        <v>85</v>
      </c>
      <c r="B127" s="363"/>
      <c r="C127" s="365" t="s">
        <v>86</v>
      </c>
    </row>
    <row r="128" spans="1:3" ht="15">
      <c r="A128" s="362" t="s">
        <v>1035</v>
      </c>
      <c r="B128" s="363"/>
      <c r="C128" s="362" t="s">
        <v>1036</v>
      </c>
    </row>
    <row r="129" spans="1:3" ht="15">
      <c r="A129" s="362" t="s">
        <v>1037</v>
      </c>
      <c r="B129" s="363"/>
      <c r="C129" s="362" t="s">
        <v>1038</v>
      </c>
    </row>
    <row r="130" spans="1:3" ht="15">
      <c r="A130" s="362" t="s">
        <v>1039</v>
      </c>
      <c r="B130" s="363"/>
      <c r="C130" s="362" t="s">
        <v>1040</v>
      </c>
    </row>
    <row r="131" spans="1:3" ht="15">
      <c r="A131" s="362" t="s">
        <v>1047</v>
      </c>
      <c r="B131" s="363"/>
      <c r="C131" s="365" t="s">
        <v>1481</v>
      </c>
    </row>
    <row r="132" spans="1:3" ht="15">
      <c r="A132" s="362" t="s">
        <v>1048</v>
      </c>
      <c r="B132" s="363"/>
      <c r="C132" s="362" t="s">
        <v>1049</v>
      </c>
    </row>
    <row r="133" spans="1:3" ht="15">
      <c r="A133" s="362" t="s">
        <v>1050</v>
      </c>
      <c r="B133" s="363"/>
      <c r="C133" s="362" t="s">
        <v>1051</v>
      </c>
    </row>
    <row r="134" spans="1:3" ht="15">
      <c r="A134" s="365" t="s">
        <v>1508</v>
      </c>
      <c r="B134" s="363"/>
      <c r="C134" s="365" t="s">
        <v>1509</v>
      </c>
    </row>
    <row r="135" spans="1:3" ht="15">
      <c r="A135" s="365" t="s">
        <v>342</v>
      </c>
      <c r="B135" s="363"/>
      <c r="C135" s="365" t="s">
        <v>343</v>
      </c>
    </row>
    <row r="136" spans="1:3" ht="15">
      <c r="A136" s="362" t="s">
        <v>1052</v>
      </c>
      <c r="B136" s="363"/>
      <c r="C136" s="362" t="s">
        <v>1053</v>
      </c>
    </row>
    <row r="137" spans="1:3" ht="15">
      <c r="A137" s="362" t="s">
        <v>1054</v>
      </c>
      <c r="B137" s="363"/>
      <c r="C137" s="362" t="s">
        <v>1055</v>
      </c>
    </row>
    <row r="138" spans="1:3" ht="15">
      <c r="A138" s="362" t="s">
        <v>1056</v>
      </c>
      <c r="B138" s="363"/>
      <c r="C138" s="362" t="s">
        <v>1057</v>
      </c>
    </row>
    <row r="139" spans="1:3" ht="15">
      <c r="A139" s="365" t="s">
        <v>214</v>
      </c>
      <c r="B139" s="363"/>
      <c r="C139" s="365" t="s">
        <v>215</v>
      </c>
    </row>
    <row r="140" spans="1:3" ht="15">
      <c r="A140" s="362" t="s">
        <v>1058</v>
      </c>
      <c r="B140" s="363"/>
      <c r="C140" s="362" t="s">
        <v>1059</v>
      </c>
    </row>
    <row r="141" spans="1:3" ht="15">
      <c r="A141" s="362" t="s">
        <v>1060</v>
      </c>
      <c r="B141" s="363"/>
      <c r="C141" s="362" t="s">
        <v>1061</v>
      </c>
    </row>
    <row r="142" spans="1:3" ht="15">
      <c r="A142" s="362" t="s">
        <v>1062</v>
      </c>
      <c r="B142" s="363"/>
      <c r="C142" s="362" t="s">
        <v>1063</v>
      </c>
    </row>
    <row r="143" spans="1:3" ht="15">
      <c r="A143" s="362" t="s">
        <v>1064</v>
      </c>
      <c r="B143" s="363"/>
      <c r="C143" s="362" t="s">
        <v>1065</v>
      </c>
    </row>
    <row r="144" spans="1:3" ht="15">
      <c r="A144" s="362" t="s">
        <v>665</v>
      </c>
      <c r="B144" s="363"/>
      <c r="C144" s="362" t="s">
        <v>1066</v>
      </c>
    </row>
    <row r="145" spans="1:3" ht="15">
      <c r="A145" s="365" t="s">
        <v>872</v>
      </c>
      <c r="B145" s="363"/>
      <c r="C145" s="365" t="s">
        <v>873</v>
      </c>
    </row>
    <row r="146" spans="1:3" ht="15">
      <c r="A146" s="362" t="s">
        <v>1067</v>
      </c>
      <c r="B146" s="363"/>
      <c r="C146" s="362" t="s">
        <v>1068</v>
      </c>
    </row>
    <row r="147" spans="1:3" ht="15">
      <c r="A147" s="362" t="s">
        <v>1069</v>
      </c>
      <c r="B147" s="363"/>
      <c r="C147" s="362" t="s">
        <v>1070</v>
      </c>
    </row>
    <row r="148" spans="1:3" ht="15">
      <c r="A148" s="362" t="s">
        <v>1071</v>
      </c>
      <c r="B148" s="363"/>
      <c r="C148" s="362" t="s">
        <v>1072</v>
      </c>
    </row>
    <row r="149" spans="1:3" ht="15">
      <c r="A149" s="362" t="s">
        <v>1073</v>
      </c>
      <c r="B149" s="363"/>
      <c r="C149" s="362" t="s">
        <v>1074</v>
      </c>
    </row>
    <row r="150" spans="1:3" ht="15">
      <c r="A150" s="362" t="s">
        <v>1075</v>
      </c>
      <c r="B150" s="363"/>
      <c r="C150" s="362" t="s">
        <v>1076</v>
      </c>
    </row>
    <row r="151" spans="1:3" ht="15">
      <c r="A151" s="362" t="s">
        <v>1077</v>
      </c>
      <c r="B151" s="363"/>
      <c r="C151" s="362" t="s">
        <v>1078</v>
      </c>
    </row>
    <row r="152" spans="1:3" ht="15">
      <c r="A152" s="362" t="s">
        <v>1079</v>
      </c>
      <c r="B152" s="363"/>
      <c r="C152" s="362" t="s">
        <v>1080</v>
      </c>
    </row>
    <row r="153" spans="1:3" ht="15">
      <c r="A153" s="362" t="s">
        <v>1081</v>
      </c>
      <c r="B153" s="363"/>
      <c r="C153" s="362" t="s">
        <v>1082</v>
      </c>
    </row>
    <row r="154" spans="1:3" ht="15">
      <c r="A154" s="362" t="s">
        <v>1083</v>
      </c>
      <c r="B154" s="363"/>
      <c r="C154" s="362" t="s">
        <v>1085</v>
      </c>
    </row>
    <row r="155" spans="1:3" ht="15">
      <c r="A155" s="362" t="s">
        <v>1086</v>
      </c>
      <c r="B155" s="363"/>
      <c r="C155" s="362" t="s">
        <v>1087</v>
      </c>
    </row>
    <row r="156" spans="1:3" ht="15">
      <c r="A156" s="362" t="s">
        <v>1088</v>
      </c>
      <c r="B156" s="363"/>
      <c r="C156" s="362" t="s">
        <v>1089</v>
      </c>
    </row>
    <row r="157" spans="1:3" ht="15">
      <c r="A157" s="362" t="s">
        <v>1090</v>
      </c>
      <c r="B157" s="363"/>
      <c r="C157" s="362" t="s">
        <v>1093</v>
      </c>
    </row>
    <row r="158" spans="1:3" ht="15">
      <c r="A158" s="362" t="s">
        <v>1094</v>
      </c>
      <c r="B158" s="363"/>
      <c r="C158" s="362" t="s">
        <v>1095</v>
      </c>
    </row>
    <row r="159" spans="1:3" ht="15">
      <c r="A159" s="362" t="s">
        <v>1096</v>
      </c>
      <c r="B159" s="363"/>
      <c r="C159" s="362" t="s">
        <v>1097</v>
      </c>
    </row>
    <row r="160" spans="1:3" ht="15">
      <c r="A160" s="362" t="s">
        <v>1098</v>
      </c>
      <c r="B160" s="363"/>
      <c r="C160" s="362" t="s">
        <v>1099</v>
      </c>
    </row>
    <row r="161" spans="1:3" ht="15">
      <c r="A161" s="362" t="s">
        <v>1100</v>
      </c>
      <c r="B161" s="363"/>
      <c r="C161" s="362" t="s">
        <v>1101</v>
      </c>
    </row>
    <row r="162" spans="1:3" ht="15">
      <c r="A162" s="362" t="s">
        <v>1102</v>
      </c>
      <c r="B162" s="363"/>
      <c r="C162" s="362" t="s">
        <v>1105</v>
      </c>
    </row>
    <row r="163" spans="1:3" ht="15">
      <c r="A163" s="362" t="s">
        <v>1106</v>
      </c>
      <c r="B163" s="363"/>
      <c r="C163" s="362" t="s">
        <v>1107</v>
      </c>
    </row>
    <row r="164" spans="1:3" ht="15">
      <c r="A164" s="362" t="s">
        <v>1108</v>
      </c>
      <c r="B164" s="363"/>
      <c r="C164" s="362" t="s">
        <v>1109</v>
      </c>
    </row>
    <row r="165" spans="1:3" ht="15">
      <c r="A165" s="362" t="s">
        <v>1110</v>
      </c>
      <c r="B165" s="363"/>
      <c r="C165" s="362" t="s">
        <v>1111</v>
      </c>
    </row>
    <row r="166" spans="1:3" ht="15">
      <c r="A166" s="362" t="s">
        <v>1112</v>
      </c>
      <c r="B166" s="363"/>
      <c r="C166" s="362" t="s">
        <v>1113</v>
      </c>
    </row>
    <row r="167" spans="1:3" ht="15">
      <c r="A167" s="362" t="s">
        <v>1114</v>
      </c>
      <c r="B167" s="363"/>
      <c r="C167" s="362" t="s">
        <v>643</v>
      </c>
    </row>
    <row r="168" spans="1:3" ht="15">
      <c r="A168" s="362" t="s">
        <v>1115</v>
      </c>
      <c r="B168" s="363"/>
      <c r="C168" s="362" t="s">
        <v>1116</v>
      </c>
    </row>
    <row r="169" spans="1:3" ht="15">
      <c r="A169" s="362" t="s">
        <v>1117</v>
      </c>
      <c r="B169" s="363"/>
      <c r="C169" s="362" t="s">
        <v>1118</v>
      </c>
    </row>
    <row r="170" spans="1:3" ht="15">
      <c r="A170" s="362" t="s">
        <v>1124</v>
      </c>
      <c r="B170" s="363"/>
      <c r="C170" s="362" t="s">
        <v>642</v>
      </c>
    </row>
    <row r="171" spans="1:3" ht="15">
      <c r="A171" s="362" t="s">
        <v>1125</v>
      </c>
      <c r="B171" s="363"/>
      <c r="C171" s="362" t="s">
        <v>1126</v>
      </c>
    </row>
    <row r="172" spans="1:3" ht="15">
      <c r="A172" s="362" t="s">
        <v>1127</v>
      </c>
      <c r="B172" s="363"/>
      <c r="C172" s="362" t="s">
        <v>1128</v>
      </c>
    </row>
    <row r="173" spans="1:3" ht="15">
      <c r="A173" s="362" t="s">
        <v>1129</v>
      </c>
      <c r="B173" s="363"/>
      <c r="C173" s="362" t="s">
        <v>1130</v>
      </c>
    </row>
    <row r="174" spans="1:3" ht="15">
      <c r="A174" s="362" t="s">
        <v>1131</v>
      </c>
      <c r="B174" s="363"/>
      <c r="C174" s="362" t="s">
        <v>1132</v>
      </c>
    </row>
    <row r="175" spans="1:3" ht="15">
      <c r="A175" s="362" t="s">
        <v>1133</v>
      </c>
      <c r="B175" s="363"/>
      <c r="C175" s="362" t="s">
        <v>1135</v>
      </c>
    </row>
    <row r="176" spans="1:3" ht="15">
      <c r="A176" s="362" t="s">
        <v>1136</v>
      </c>
      <c r="B176" s="363"/>
      <c r="C176" s="362" t="s">
        <v>1137</v>
      </c>
    </row>
    <row r="177" spans="1:3" ht="15">
      <c r="A177" s="362" t="s">
        <v>1138</v>
      </c>
      <c r="B177" s="363"/>
      <c r="C177" s="362" t="s">
        <v>1139</v>
      </c>
    </row>
    <row r="178" spans="1:3" ht="15">
      <c r="A178" s="362" t="s">
        <v>1140</v>
      </c>
      <c r="B178" s="363"/>
      <c r="C178" s="362" t="s">
        <v>1141</v>
      </c>
    </row>
    <row r="179" spans="1:3" ht="15">
      <c r="A179" s="362" t="s">
        <v>1142</v>
      </c>
      <c r="B179" s="363"/>
      <c r="C179" s="362" t="s">
        <v>1146</v>
      </c>
    </row>
    <row r="180" spans="1:3" ht="15">
      <c r="A180" s="362" t="s">
        <v>1147</v>
      </c>
      <c r="B180" s="363"/>
      <c r="C180" s="362" t="s">
        <v>1148</v>
      </c>
    </row>
    <row r="181" spans="1:3" ht="15">
      <c r="A181" s="362" t="s">
        <v>1149</v>
      </c>
      <c r="B181" s="363"/>
      <c r="C181" s="362" t="s">
        <v>1150</v>
      </c>
    </row>
    <row r="182" spans="1:3" ht="15">
      <c r="A182" s="362" t="s">
        <v>1151</v>
      </c>
      <c r="B182" s="363"/>
      <c r="C182" s="362" t="s">
        <v>1148</v>
      </c>
    </row>
    <row r="183" spans="1:3" ht="15">
      <c r="A183" s="362" t="s">
        <v>666</v>
      </c>
      <c r="B183" s="363"/>
      <c r="C183" s="362" t="s">
        <v>1153</v>
      </c>
    </row>
    <row r="184" spans="1:3" ht="15">
      <c r="A184" s="362" t="s">
        <v>1154</v>
      </c>
      <c r="B184" s="363"/>
      <c r="C184" s="362" t="s">
        <v>1155</v>
      </c>
    </row>
    <row r="185" spans="1:3" ht="15">
      <c r="A185" s="362" t="s">
        <v>1156</v>
      </c>
      <c r="B185" s="363"/>
      <c r="C185" s="362" t="s">
        <v>1157</v>
      </c>
    </row>
    <row r="186" spans="1:3" ht="15">
      <c r="A186" s="362" t="s">
        <v>1158</v>
      </c>
      <c r="B186" s="363"/>
      <c r="C186" s="362" t="s">
        <v>1159</v>
      </c>
    </row>
    <row r="187" spans="1:3" ht="15">
      <c r="A187" s="362" t="s">
        <v>1160</v>
      </c>
      <c r="B187" s="363"/>
      <c r="C187" s="362" t="s">
        <v>1177</v>
      </c>
    </row>
    <row r="188" spans="1:3" ht="15">
      <c r="A188" s="362" t="s">
        <v>1178</v>
      </c>
      <c r="B188" s="363"/>
      <c r="C188" s="362" t="s">
        <v>1179</v>
      </c>
    </row>
    <row r="189" spans="1:3" ht="15">
      <c r="A189" s="362" t="s">
        <v>1180</v>
      </c>
      <c r="B189" s="363"/>
      <c r="C189" s="362" t="s">
        <v>1188</v>
      </c>
    </row>
    <row r="190" spans="1:3" ht="15">
      <c r="A190" s="362" t="s">
        <v>1189</v>
      </c>
      <c r="B190" s="363"/>
      <c r="C190" s="362" t="s">
        <v>1190</v>
      </c>
    </row>
    <row r="191" spans="1:3" ht="15">
      <c r="A191" s="362" t="s">
        <v>1191</v>
      </c>
      <c r="B191" s="363"/>
      <c r="C191" s="362" t="s">
        <v>1193</v>
      </c>
    </row>
    <row r="192" spans="1:3" ht="15">
      <c r="A192" s="362" t="s">
        <v>1194</v>
      </c>
      <c r="B192" s="363"/>
      <c r="C192" s="362" t="s">
        <v>1195</v>
      </c>
    </row>
    <row r="193" spans="1:3" ht="15">
      <c r="A193" s="362" t="s">
        <v>1196</v>
      </c>
      <c r="B193" s="363"/>
      <c r="C193" s="362" t="s">
        <v>1197</v>
      </c>
    </row>
    <row r="194" spans="1:3" ht="15">
      <c r="A194" s="362" t="s">
        <v>1198</v>
      </c>
      <c r="B194" s="363"/>
      <c r="C194" s="362" t="s">
        <v>1199</v>
      </c>
    </row>
    <row r="195" spans="1:3" ht="15">
      <c r="A195" s="362" t="s">
        <v>667</v>
      </c>
      <c r="B195" s="363"/>
      <c r="C195" s="362" t="s">
        <v>593</v>
      </c>
    </row>
    <row r="196" spans="1:3" ht="15">
      <c r="A196" s="362" t="s">
        <v>1200</v>
      </c>
      <c r="B196" s="363"/>
      <c r="C196" s="365" t="s">
        <v>344</v>
      </c>
    </row>
    <row r="197" spans="1:3" ht="15">
      <c r="A197" s="362" t="s">
        <v>1201</v>
      </c>
      <c r="B197" s="363"/>
      <c r="C197" s="362" t="s">
        <v>1202</v>
      </c>
    </row>
    <row r="198" spans="1:3" ht="15">
      <c r="A198" s="362" t="s">
        <v>1203</v>
      </c>
      <c r="B198" s="363"/>
      <c r="C198" s="362" t="s">
        <v>1205</v>
      </c>
    </row>
    <row r="199" spans="1:3" ht="15">
      <c r="A199" s="362" t="s">
        <v>1206</v>
      </c>
      <c r="B199" s="363"/>
      <c r="C199" s="362" t="s">
        <v>1207</v>
      </c>
    </row>
    <row r="200" spans="1:3" ht="15">
      <c r="A200" s="362" t="s">
        <v>1208</v>
      </c>
      <c r="B200" s="363"/>
      <c r="C200" s="362" t="s">
        <v>1209</v>
      </c>
    </row>
    <row r="201" spans="1:3" ht="15">
      <c r="A201" s="362" t="s">
        <v>1210</v>
      </c>
      <c r="B201" s="363"/>
      <c r="C201" s="362" t="s">
        <v>1211</v>
      </c>
    </row>
    <row r="202" spans="1:3" ht="15">
      <c r="A202" s="362" t="s">
        <v>1212</v>
      </c>
      <c r="B202" s="363"/>
      <c r="C202" s="362" t="s">
        <v>1213</v>
      </c>
    </row>
    <row r="203" spans="1:3" ht="15">
      <c r="A203" s="362" t="s">
        <v>1214</v>
      </c>
      <c r="B203" s="363"/>
      <c r="C203" s="362" t="s">
        <v>1215</v>
      </c>
    </row>
    <row r="204" spans="1:3" ht="15">
      <c r="A204" s="362" t="s">
        <v>1216</v>
      </c>
      <c r="B204" s="363"/>
      <c r="C204" s="362" t="s">
        <v>1217</v>
      </c>
    </row>
    <row r="205" spans="1:3" ht="15">
      <c r="A205" s="365" t="s">
        <v>1830</v>
      </c>
      <c r="B205" s="363"/>
      <c r="C205" s="365" t="s">
        <v>1862</v>
      </c>
    </row>
    <row r="206" spans="1:3" ht="15">
      <c r="A206" s="362" t="s">
        <v>1218</v>
      </c>
      <c r="B206" s="363"/>
      <c r="C206" s="362" t="s">
        <v>1219</v>
      </c>
    </row>
    <row r="207" spans="1:3" ht="15">
      <c r="A207" s="362" t="s">
        <v>1220</v>
      </c>
      <c r="B207" s="363"/>
      <c r="C207" s="362" t="s">
        <v>1221</v>
      </c>
    </row>
    <row r="208" spans="1:3" ht="15">
      <c r="A208" s="362" t="s">
        <v>1222</v>
      </c>
      <c r="B208" s="363"/>
      <c r="C208" s="362" t="s">
        <v>1223</v>
      </c>
    </row>
    <row r="209" spans="1:3" ht="15">
      <c r="A209" s="362" t="s">
        <v>1224</v>
      </c>
      <c r="B209" s="363"/>
      <c r="C209" s="362" t="s">
        <v>1225</v>
      </c>
    </row>
    <row r="210" spans="1:3" ht="15">
      <c r="A210" s="362" t="s">
        <v>1226</v>
      </c>
      <c r="B210" s="363"/>
      <c r="C210" s="362" t="s">
        <v>1227</v>
      </c>
    </row>
    <row r="211" spans="1:3" ht="15">
      <c r="A211" s="362" t="s">
        <v>1228</v>
      </c>
      <c r="B211" s="363"/>
      <c r="C211" s="362" t="s">
        <v>1229</v>
      </c>
    </row>
    <row r="212" spans="1:3" ht="15">
      <c r="A212" s="362" t="s">
        <v>1230</v>
      </c>
      <c r="B212" s="363"/>
      <c r="C212" s="362" t="s">
        <v>1231</v>
      </c>
    </row>
    <row r="213" spans="1:3" ht="15">
      <c r="A213" s="362" t="s">
        <v>1232</v>
      </c>
      <c r="B213" s="363"/>
      <c r="C213" s="362" t="s">
        <v>644</v>
      </c>
    </row>
    <row r="214" spans="1:3" ht="15">
      <c r="A214" s="362" t="s">
        <v>1233</v>
      </c>
      <c r="B214" s="363"/>
      <c r="C214" s="362" t="s">
        <v>1234</v>
      </c>
    </row>
    <row r="215" spans="1:3" ht="15">
      <c r="A215" s="362" t="s">
        <v>1237</v>
      </c>
      <c r="B215" s="363"/>
      <c r="C215" s="362" t="s">
        <v>1238</v>
      </c>
    </row>
    <row r="216" spans="1:3" ht="15">
      <c r="A216" s="362" t="s">
        <v>1239</v>
      </c>
      <c r="B216" s="363"/>
      <c r="C216" s="362" t="s">
        <v>1240</v>
      </c>
    </row>
    <row r="217" spans="1:3" ht="15">
      <c r="A217" s="362" t="s">
        <v>1241</v>
      </c>
      <c r="B217" s="363"/>
      <c r="C217" s="362" t="s">
        <v>1242</v>
      </c>
    </row>
    <row r="218" spans="1:3" ht="15">
      <c r="A218" s="362" t="s">
        <v>1243</v>
      </c>
      <c r="B218" s="363"/>
      <c r="C218" s="362" t="s">
        <v>1244</v>
      </c>
    </row>
    <row r="219" spans="1:3" ht="15">
      <c r="A219" s="362" t="s">
        <v>1245</v>
      </c>
      <c r="B219" s="363"/>
      <c r="C219" s="362" t="s">
        <v>1246</v>
      </c>
    </row>
    <row r="220" spans="1:3" ht="15">
      <c r="A220" s="362" t="s">
        <v>1247</v>
      </c>
      <c r="B220" s="363"/>
      <c r="C220" s="362" t="s">
        <v>1289</v>
      </c>
    </row>
    <row r="221" spans="1:3" ht="15">
      <c r="A221" s="362" t="s">
        <v>1290</v>
      </c>
      <c r="B221" s="363"/>
      <c r="C221" s="362" t="s">
        <v>1291</v>
      </c>
    </row>
    <row r="222" spans="1:3" ht="15">
      <c r="A222" s="362" t="s">
        <v>1292</v>
      </c>
      <c r="B222" s="363"/>
      <c r="C222" s="362" t="s">
        <v>1293</v>
      </c>
    </row>
    <row r="223" spans="1:3" ht="15">
      <c r="A223" s="362" t="s">
        <v>1294</v>
      </c>
      <c r="B223" s="363"/>
      <c r="C223" s="362" t="s">
        <v>1295</v>
      </c>
    </row>
    <row r="224" spans="1:3" ht="15">
      <c r="A224" s="362" t="s">
        <v>1296</v>
      </c>
      <c r="B224" s="363"/>
      <c r="C224" s="362" t="s">
        <v>1297</v>
      </c>
    </row>
    <row r="225" spans="1:3" ht="15">
      <c r="A225" s="362" t="s">
        <v>1298</v>
      </c>
      <c r="B225" s="363"/>
      <c r="C225" s="362" t="s">
        <v>1299</v>
      </c>
    </row>
    <row r="226" spans="1:3" ht="15">
      <c r="A226" s="362" t="s">
        <v>1300</v>
      </c>
      <c r="B226" s="363"/>
      <c r="C226" s="362" t="s">
        <v>1301</v>
      </c>
    </row>
    <row r="227" spans="1:3" ht="15">
      <c r="A227" s="362" t="s">
        <v>1302</v>
      </c>
      <c r="B227" s="363"/>
      <c r="C227" s="362" t="s">
        <v>1320</v>
      </c>
    </row>
    <row r="228" spans="1:3" ht="15">
      <c r="A228" s="362" t="s">
        <v>1321</v>
      </c>
      <c r="B228" s="363"/>
      <c r="C228" s="362" t="s">
        <v>1322</v>
      </c>
    </row>
    <row r="229" spans="1:3" ht="15">
      <c r="A229" s="362" t="s">
        <v>1323</v>
      </c>
      <c r="B229" s="363"/>
      <c r="C229" s="362" t="s">
        <v>1346</v>
      </c>
    </row>
    <row r="230" spans="1:8" ht="15">
      <c r="A230" s="362" t="s">
        <v>1347</v>
      </c>
      <c r="B230" s="363"/>
      <c r="C230" s="362" t="s">
        <v>1348</v>
      </c>
      <c r="H230" s="362"/>
    </row>
    <row r="231" spans="1:3" ht="15">
      <c r="A231" s="362" t="s">
        <v>1349</v>
      </c>
      <c r="B231" s="363"/>
      <c r="C231" s="362" t="s">
        <v>1350</v>
      </c>
    </row>
    <row r="232" spans="1:3" ht="15">
      <c r="A232" s="362" t="s">
        <v>1351</v>
      </c>
      <c r="B232" s="363"/>
      <c r="C232" s="362" t="s">
        <v>1352</v>
      </c>
    </row>
    <row r="233" spans="1:3" ht="15">
      <c r="A233" s="362" t="s">
        <v>1353</v>
      </c>
      <c r="B233" s="363"/>
      <c r="C233" s="362" t="s">
        <v>1354</v>
      </c>
    </row>
    <row r="234" spans="1:3" ht="15">
      <c r="A234" s="362" t="s">
        <v>1355</v>
      </c>
      <c r="B234" s="363"/>
      <c r="C234" s="362" t="s">
        <v>1356</v>
      </c>
    </row>
    <row r="235" spans="1:3" ht="15">
      <c r="A235" s="362" t="s">
        <v>1357</v>
      </c>
      <c r="B235" s="363"/>
      <c r="C235" s="362" t="s">
        <v>1358</v>
      </c>
    </row>
    <row r="236" spans="1:3" ht="15">
      <c r="A236" s="362" t="s">
        <v>1359</v>
      </c>
      <c r="B236" s="363"/>
      <c r="C236" s="362" t="s">
        <v>1360</v>
      </c>
    </row>
    <row r="237" spans="1:3" ht="15">
      <c r="A237" s="362" t="s">
        <v>1361</v>
      </c>
      <c r="B237" s="363"/>
      <c r="C237" s="362" t="s">
        <v>1362</v>
      </c>
    </row>
    <row r="238" spans="1:3" ht="15">
      <c r="A238" s="362" t="s">
        <v>1363</v>
      </c>
      <c r="B238" s="363"/>
      <c r="C238" s="362" t="s">
        <v>1364</v>
      </c>
    </row>
    <row r="239" spans="1:3" ht="15">
      <c r="A239" s="362" t="s">
        <v>1365</v>
      </c>
      <c r="B239" s="363"/>
      <c r="C239" s="362" t="s">
        <v>1366</v>
      </c>
    </row>
    <row r="240" spans="1:3" ht="15">
      <c r="A240" s="362" t="s">
        <v>1367</v>
      </c>
      <c r="B240" s="363"/>
      <c r="C240" s="362" t="s">
        <v>1368</v>
      </c>
    </row>
    <row r="241" spans="1:3" ht="15">
      <c r="A241" s="365" t="s">
        <v>1461</v>
      </c>
      <c r="B241" s="363"/>
      <c r="C241" s="365" t="s">
        <v>802</v>
      </c>
    </row>
    <row r="242" spans="1:3" ht="15">
      <c r="A242" s="362" t="s">
        <v>1369</v>
      </c>
      <c r="B242" s="363"/>
      <c r="C242" s="362" t="s">
        <v>1386</v>
      </c>
    </row>
    <row r="243" spans="1:3" ht="15">
      <c r="A243" s="362" t="s">
        <v>1387</v>
      </c>
      <c r="B243" s="363"/>
      <c r="C243" s="362" t="s">
        <v>1388</v>
      </c>
    </row>
    <row r="244" spans="1:3" ht="15">
      <c r="A244" s="362" t="s">
        <v>1389</v>
      </c>
      <c r="B244" s="363"/>
      <c r="C244" s="362" t="s">
        <v>1390</v>
      </c>
    </row>
    <row r="245" spans="1:3" ht="15">
      <c r="A245" s="365" t="s">
        <v>57</v>
      </c>
      <c r="B245" s="363"/>
      <c r="C245" s="365" t="s">
        <v>63</v>
      </c>
    </row>
    <row r="246" spans="1:3" ht="15">
      <c r="A246" s="362" t="s">
        <v>1391</v>
      </c>
      <c r="B246" s="363"/>
      <c r="C246" s="362" t="s">
        <v>1392</v>
      </c>
    </row>
    <row r="247" spans="1:3" ht="15">
      <c r="A247" s="362" t="s">
        <v>668</v>
      </c>
      <c r="B247" s="363"/>
      <c r="C247" s="362" t="s">
        <v>1393</v>
      </c>
    </row>
    <row r="248" spans="1:3" ht="15">
      <c r="A248" s="362" t="s">
        <v>669</v>
      </c>
      <c r="B248" s="363"/>
      <c r="C248" s="362" t="s">
        <v>1394</v>
      </c>
    </row>
    <row r="249" spans="1:3" ht="15">
      <c r="A249" s="362" t="s">
        <v>1395</v>
      </c>
      <c r="B249" s="363"/>
      <c r="C249" s="362" t="s">
        <v>1396</v>
      </c>
    </row>
    <row r="250" spans="1:3" ht="15">
      <c r="A250" s="362" t="s">
        <v>1397</v>
      </c>
      <c r="B250" s="363"/>
      <c r="C250" s="362" t="s">
        <v>1398</v>
      </c>
    </row>
    <row r="251" spans="1:3" ht="15">
      <c r="A251" s="362" t="s">
        <v>1399</v>
      </c>
      <c r="B251" s="363"/>
      <c r="C251" s="362" t="s">
        <v>1400</v>
      </c>
    </row>
    <row r="252" spans="1:3" ht="15">
      <c r="A252" s="362" t="s">
        <v>1401</v>
      </c>
      <c r="B252" s="363"/>
      <c r="C252" s="362" t="s">
        <v>1402</v>
      </c>
    </row>
    <row r="253" spans="1:3" ht="15">
      <c r="A253" s="362" t="s">
        <v>1403</v>
      </c>
      <c r="B253" s="363"/>
      <c r="C253" s="362" t="s">
        <v>1404</v>
      </c>
    </row>
    <row r="254" spans="1:3" ht="15">
      <c r="A254" s="362" t="s">
        <v>1405</v>
      </c>
      <c r="B254" s="363"/>
      <c r="C254" s="362" t="s">
        <v>1406</v>
      </c>
    </row>
    <row r="255" spans="1:3" ht="15">
      <c r="A255" s="362" t="s">
        <v>1407</v>
      </c>
      <c r="B255" s="363"/>
      <c r="C255" s="362" t="s">
        <v>1409</v>
      </c>
    </row>
    <row r="256" spans="1:3" ht="15">
      <c r="A256" s="362" t="s">
        <v>1410</v>
      </c>
      <c r="B256" s="363"/>
      <c r="C256" s="362" t="s">
        <v>1414</v>
      </c>
    </row>
    <row r="257" spans="1:3" ht="15">
      <c r="A257" s="365" t="s">
        <v>238</v>
      </c>
      <c r="B257" s="363"/>
      <c r="C257" s="365" t="s">
        <v>239</v>
      </c>
    </row>
    <row r="258" spans="1:3" ht="15">
      <c r="A258" s="362" t="s">
        <v>1415</v>
      </c>
      <c r="B258" s="363"/>
      <c r="C258" s="362" t="s">
        <v>1416</v>
      </c>
    </row>
    <row r="259" spans="1:3" ht="15">
      <c r="A259" s="362" t="s">
        <v>1417</v>
      </c>
      <c r="B259" s="363"/>
      <c r="C259" s="362" t="s">
        <v>1421</v>
      </c>
    </row>
    <row r="260" spans="1:3" ht="15">
      <c r="A260" s="362" t="s">
        <v>1424</v>
      </c>
      <c r="B260" s="363"/>
      <c r="C260" s="362" t="s">
        <v>1429</v>
      </c>
    </row>
    <row r="261" spans="1:3" ht="15">
      <c r="A261" s="362" t="s">
        <v>1430</v>
      </c>
      <c r="B261" s="363"/>
      <c r="C261" s="362" t="s">
        <v>1433</v>
      </c>
    </row>
    <row r="262" spans="1:3" ht="15">
      <c r="A262" s="362" t="s">
        <v>1434</v>
      </c>
      <c r="B262" s="363"/>
      <c r="C262" s="362" t="s">
        <v>1435</v>
      </c>
    </row>
    <row r="263" spans="1:3" ht="15">
      <c r="A263" s="362" t="s">
        <v>1436</v>
      </c>
      <c r="B263" s="363"/>
      <c r="C263" s="362" t="s">
        <v>1437</v>
      </c>
    </row>
    <row r="264" spans="1:3" ht="15">
      <c r="A264" s="362" t="s">
        <v>1438</v>
      </c>
      <c r="B264" s="363"/>
      <c r="C264" s="362" t="s">
        <v>1448</v>
      </c>
    </row>
    <row r="265" spans="1:3" ht="15">
      <c r="A265" s="362" t="s">
        <v>1450</v>
      </c>
      <c r="B265" s="363"/>
      <c r="C265" s="362" t="s">
        <v>1451</v>
      </c>
    </row>
    <row r="266" spans="1:3" ht="15">
      <c r="A266" s="362" t="s">
        <v>670</v>
      </c>
      <c r="B266" s="363"/>
      <c r="C266" s="362" t="s">
        <v>1452</v>
      </c>
    </row>
    <row r="267" spans="1:3" ht="15">
      <c r="A267" s="362" t="s">
        <v>1453</v>
      </c>
      <c r="B267" s="363"/>
      <c r="C267" s="362" t="s">
        <v>1454</v>
      </c>
    </row>
    <row r="268" spans="1:3" ht="15">
      <c r="A268" s="362" t="s">
        <v>1455</v>
      </c>
      <c r="B268" s="363"/>
      <c r="C268" s="362" t="s">
        <v>1456</v>
      </c>
    </row>
    <row r="269" spans="1:3" ht="15">
      <c r="A269" s="362" t="s">
        <v>1457</v>
      </c>
      <c r="B269" s="363"/>
      <c r="C269" s="362" t="s">
        <v>1462</v>
      </c>
    </row>
    <row r="270" spans="1:3" ht="15">
      <c r="A270" s="362" t="s">
        <v>671</v>
      </c>
      <c r="B270" s="363"/>
      <c r="C270" s="362" t="s">
        <v>1464</v>
      </c>
    </row>
    <row r="271" spans="1:3" ht="15">
      <c r="A271" s="362" t="s">
        <v>1465</v>
      </c>
      <c r="B271" s="363"/>
      <c r="C271" s="362" t="s">
        <v>1464</v>
      </c>
    </row>
    <row r="272" spans="1:3" ht="15">
      <c r="A272" s="362" t="s">
        <v>1466</v>
      </c>
      <c r="B272" s="363"/>
      <c r="C272" s="362" t="s">
        <v>1467</v>
      </c>
    </row>
    <row r="273" spans="1:3" ht="15">
      <c r="A273" s="362" t="s">
        <v>1468</v>
      </c>
      <c r="B273" s="363"/>
      <c r="C273" s="362" t="s">
        <v>1469</v>
      </c>
    </row>
    <row r="274" spans="1:3" ht="15">
      <c r="A274" s="362" t="s">
        <v>1480</v>
      </c>
      <c r="B274" s="363"/>
      <c r="C274" s="362" t="s">
        <v>1482</v>
      </c>
    </row>
    <row r="275" spans="1:3" ht="15">
      <c r="A275" s="362" t="s">
        <v>1483</v>
      </c>
      <c r="B275" s="363"/>
      <c r="C275" s="362" t="s">
        <v>1484</v>
      </c>
    </row>
    <row r="276" spans="1:3" ht="15">
      <c r="A276" s="362" t="s">
        <v>1485</v>
      </c>
      <c r="B276" s="363"/>
      <c r="C276" s="362" t="s">
        <v>1486</v>
      </c>
    </row>
    <row r="277" spans="1:3" ht="15">
      <c r="A277" s="362" t="s">
        <v>1487</v>
      </c>
      <c r="B277" s="363"/>
      <c r="C277" s="362" t="s">
        <v>1488</v>
      </c>
    </row>
    <row r="278" spans="1:3" ht="15">
      <c r="A278" s="362" t="s">
        <v>1489</v>
      </c>
      <c r="B278" s="363"/>
      <c r="C278" s="362" t="s">
        <v>1490</v>
      </c>
    </row>
    <row r="279" spans="1:3" ht="15">
      <c r="A279" s="362" t="s">
        <v>1491</v>
      </c>
      <c r="B279" s="363"/>
      <c r="C279" s="362" t="s">
        <v>1492</v>
      </c>
    </row>
    <row r="280" spans="1:3" ht="15">
      <c r="A280" s="362" t="s">
        <v>1493</v>
      </c>
      <c r="B280" s="363"/>
      <c r="C280" s="362" t="s">
        <v>1494</v>
      </c>
    </row>
    <row r="281" spans="1:3" ht="15">
      <c r="A281" s="362" t="s">
        <v>1495</v>
      </c>
      <c r="B281" s="363"/>
      <c r="C281" s="362" t="s">
        <v>1496</v>
      </c>
    </row>
    <row r="282" spans="1:3" ht="15">
      <c r="A282" s="362" t="s">
        <v>1497</v>
      </c>
      <c r="B282" s="363"/>
      <c r="C282" s="362" t="s">
        <v>1498</v>
      </c>
    </row>
    <row r="283" spans="1:3" ht="15">
      <c r="A283" s="362" t="s">
        <v>1499</v>
      </c>
      <c r="B283" s="363"/>
      <c r="C283" s="362" t="s">
        <v>1500</v>
      </c>
    </row>
    <row r="284" spans="1:3" ht="15">
      <c r="A284" s="362" t="s">
        <v>1501</v>
      </c>
      <c r="B284" s="363"/>
      <c r="C284" s="362" t="s">
        <v>1502</v>
      </c>
    </row>
    <row r="285" spans="1:3" ht="15">
      <c r="A285" s="362" t="s">
        <v>1503</v>
      </c>
      <c r="B285" s="363"/>
      <c r="C285" s="362" t="s">
        <v>1504</v>
      </c>
    </row>
    <row r="286" spans="1:3" ht="15">
      <c r="A286" s="362" t="s">
        <v>1505</v>
      </c>
      <c r="B286" s="363"/>
      <c r="C286" s="362" t="s">
        <v>1506</v>
      </c>
    </row>
    <row r="287" spans="1:3" ht="15">
      <c r="A287" s="362" t="s">
        <v>1507</v>
      </c>
      <c r="B287" s="363"/>
      <c r="C287" s="362" t="s">
        <v>1515</v>
      </c>
    </row>
    <row r="288" spans="1:3" ht="15">
      <c r="A288" s="362" t="s">
        <v>1516</v>
      </c>
      <c r="B288" s="363"/>
      <c r="C288" s="362" t="s">
        <v>1517</v>
      </c>
    </row>
    <row r="289" spans="1:3" ht="15">
      <c r="A289" s="362" t="s">
        <v>1518</v>
      </c>
      <c r="B289" s="363"/>
      <c r="C289" s="362" t="s">
        <v>1519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C95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8" customWidth="1"/>
    <col min="2" max="2" width="25.421875" style="8" customWidth="1"/>
    <col min="3" max="8" width="17.140625" style="8" customWidth="1"/>
    <col min="9" max="9" width="2.7109375" style="8" customWidth="1"/>
    <col min="10" max="10" width="16.8515625" style="8" customWidth="1"/>
    <col min="11" max="11" width="2.7109375" style="8" customWidth="1"/>
    <col min="12" max="12" width="16.28125" style="8" customWidth="1"/>
    <col min="13" max="13" width="15.421875" style="8" customWidth="1"/>
    <col min="14" max="14" width="2.7109375" style="8" customWidth="1"/>
    <col min="15" max="15" width="14.421875" style="8" customWidth="1"/>
    <col min="16" max="16" width="12.140625" style="8" customWidth="1"/>
    <col min="17" max="17" width="2.7109375" style="8" customWidth="1"/>
    <col min="18" max="18" width="13.57421875" style="8" customWidth="1"/>
    <col min="19" max="19" width="12.140625" style="8" customWidth="1"/>
    <col min="20" max="20" width="2.7109375" style="8" customWidth="1"/>
    <col min="21" max="21" width="14.57421875" style="8" bestFit="1" customWidth="1"/>
    <col min="22" max="22" width="2.7109375" style="8" customWidth="1"/>
    <col min="23" max="23" width="14.8515625" style="8" bestFit="1" customWidth="1"/>
    <col min="24" max="24" width="13.140625" style="8" bestFit="1" customWidth="1"/>
    <col min="25" max="25" width="14.7109375" style="8" customWidth="1"/>
    <col min="26" max="16384" width="9.140625" style="8" customWidth="1"/>
  </cols>
  <sheetData>
    <row r="1" spans="2:18" ht="19.5">
      <c r="B1" s="840" t="s">
        <v>1524</v>
      </c>
      <c r="C1" s="571" t="s">
        <v>1182</v>
      </c>
      <c r="D1" s="2"/>
      <c r="E1" s="2"/>
      <c r="F1" s="2"/>
      <c r="G1" s="2"/>
      <c r="H1" s="2"/>
      <c r="I1" s="3"/>
      <c r="J1" s="4" t="s">
        <v>1582</v>
      </c>
      <c r="K1" s="5"/>
      <c r="L1" s="5"/>
      <c r="M1" s="5"/>
      <c r="N1" s="6"/>
      <c r="O1" s="6"/>
      <c r="P1" s="6"/>
      <c r="Q1" s="6"/>
      <c r="R1" s="7"/>
    </row>
    <row r="2" spans="2:18" ht="19.5">
      <c r="B2" s="9"/>
      <c r="C2" s="137"/>
      <c r="D2" s="10"/>
      <c r="E2" s="10"/>
      <c r="F2" s="10"/>
      <c r="G2" s="10"/>
      <c r="H2" s="10"/>
      <c r="I2" s="3"/>
      <c r="J2" s="11"/>
      <c r="K2" s="12" t="s">
        <v>1525</v>
      </c>
      <c r="L2" s="13"/>
      <c r="M2" s="11"/>
      <c r="N2" s="12" t="s">
        <v>1526</v>
      </c>
      <c r="O2" s="13"/>
      <c r="P2" s="11"/>
      <c r="Q2" s="12" t="s">
        <v>1527</v>
      </c>
      <c r="R2" s="13"/>
    </row>
    <row r="3" spans="5:18" ht="16.5">
      <c r="E3" s="3"/>
      <c r="F3" s="3"/>
      <c r="G3" s="3"/>
      <c r="H3" s="3"/>
      <c r="I3" s="3"/>
      <c r="J3" s="14" t="s">
        <v>1528</v>
      </c>
      <c r="K3" s="15" t="s">
        <v>1529</v>
      </c>
      <c r="L3" s="16" t="s">
        <v>1530</v>
      </c>
      <c r="M3" s="14" t="s">
        <v>1528</v>
      </c>
      <c r="N3" s="15"/>
      <c r="O3" s="16" t="s">
        <v>1530</v>
      </c>
      <c r="P3" s="14" t="s">
        <v>1528</v>
      </c>
      <c r="Q3" s="15"/>
      <c r="R3" s="16" t="s">
        <v>1530</v>
      </c>
    </row>
    <row r="4" spans="1:25" ht="19.5">
      <c r="A4" s="8" t="s">
        <v>832</v>
      </c>
      <c r="B4" s="1" t="s">
        <v>1531</v>
      </c>
      <c r="C4" s="17"/>
      <c r="D4" s="18"/>
      <c r="E4" s="1" t="s">
        <v>1979</v>
      </c>
      <c r="F4" s="17"/>
      <c r="G4" s="18"/>
      <c r="H4" s="18"/>
      <c r="I4" s="3"/>
      <c r="J4" s="19">
        <v>33770326</v>
      </c>
      <c r="K4" s="20"/>
      <c r="L4" s="21">
        <v>0</v>
      </c>
      <c r="M4" s="19">
        <v>33357388</v>
      </c>
      <c r="N4" s="20"/>
      <c r="O4" s="21">
        <v>8645704</v>
      </c>
      <c r="P4" s="425">
        <v>0</v>
      </c>
      <c r="Q4" s="20"/>
      <c r="R4" s="454">
        <v>0</v>
      </c>
      <c r="S4" s="201"/>
      <c r="T4" s="201"/>
      <c r="U4" s="201"/>
      <c r="V4" s="201"/>
      <c r="W4" s="201"/>
      <c r="X4" s="201"/>
      <c r="Y4" s="201"/>
    </row>
    <row r="5" spans="2:25" ht="15">
      <c r="B5" s="485" t="s">
        <v>1532</v>
      </c>
      <c r="C5" s="23">
        <v>0.34458</v>
      </c>
      <c r="D5" s="24"/>
      <c r="E5" s="485" t="s">
        <v>1975</v>
      </c>
      <c r="F5" s="23">
        <v>0.45902</v>
      </c>
      <c r="G5" s="24"/>
      <c r="H5" s="24"/>
      <c r="I5" s="3"/>
      <c r="J5" s="19">
        <v>4496431</v>
      </c>
      <c r="K5" s="20"/>
      <c r="L5" s="21">
        <v>0</v>
      </c>
      <c r="M5" s="19">
        <v>2614572</v>
      </c>
      <c r="N5" s="20"/>
      <c r="O5" s="21">
        <v>4049506</v>
      </c>
      <c r="P5" s="425">
        <v>0</v>
      </c>
      <c r="Q5" s="20"/>
      <c r="R5" s="455">
        <v>0</v>
      </c>
      <c r="S5" s="453"/>
      <c r="T5" s="201"/>
      <c r="U5" s="201"/>
      <c r="V5" s="201"/>
      <c r="W5" s="201"/>
      <c r="X5" s="880"/>
      <c r="Y5" s="880"/>
    </row>
    <row r="6" spans="2:25" ht="15">
      <c r="B6" s="132" t="s">
        <v>1533</v>
      </c>
      <c r="C6" s="23">
        <v>0.06943</v>
      </c>
      <c r="D6" s="24"/>
      <c r="E6" s="132" t="s">
        <v>1976</v>
      </c>
      <c r="F6" s="23">
        <v>0.54098</v>
      </c>
      <c r="G6" s="24"/>
      <c r="H6" s="24"/>
      <c r="I6" s="3"/>
      <c r="J6" s="19">
        <v>0</v>
      </c>
      <c r="K6" s="20"/>
      <c r="L6" s="21">
        <v>7065325</v>
      </c>
      <c r="M6" s="19">
        <v>5623194</v>
      </c>
      <c r="N6" s="20"/>
      <c r="O6" s="21">
        <v>16127643</v>
      </c>
      <c r="P6" s="425">
        <v>0</v>
      </c>
      <c r="Q6" s="20"/>
      <c r="R6" s="455">
        <v>0</v>
      </c>
      <c r="S6" s="307"/>
      <c r="T6" s="201"/>
      <c r="U6" s="201"/>
      <c r="V6" s="201"/>
      <c r="W6" s="201"/>
      <c r="X6" s="447"/>
      <c r="Y6" s="452"/>
    </row>
    <row r="7" spans="2:25" ht="15">
      <c r="B7" s="132" t="s">
        <v>1534</v>
      </c>
      <c r="C7" s="23">
        <v>0.17686</v>
      </c>
      <c r="D7" s="24"/>
      <c r="E7" s="132" t="s">
        <v>1977</v>
      </c>
      <c r="F7" s="23">
        <v>0</v>
      </c>
      <c r="G7" s="24"/>
      <c r="H7" s="24"/>
      <c r="I7" s="3"/>
      <c r="J7" s="19">
        <v>0</v>
      </c>
      <c r="K7" s="20"/>
      <c r="L7" s="21">
        <v>30536389</v>
      </c>
      <c r="M7" s="19">
        <v>5264089</v>
      </c>
      <c r="N7" s="20"/>
      <c r="O7" s="21">
        <v>39812131</v>
      </c>
      <c r="P7" s="425">
        <v>0</v>
      </c>
      <c r="Q7" s="20"/>
      <c r="R7" s="455">
        <v>0</v>
      </c>
      <c r="S7" s="201"/>
      <c r="T7" s="201"/>
      <c r="U7" s="201"/>
      <c r="V7" s="201"/>
      <c r="W7" s="201"/>
      <c r="X7" s="447"/>
      <c r="Y7" s="452"/>
    </row>
    <row r="8" spans="2:25" ht="15">
      <c r="B8" s="132" t="s">
        <v>1536</v>
      </c>
      <c r="C8" s="23">
        <v>0.22638</v>
      </c>
      <c r="D8" s="24"/>
      <c r="E8" s="132" t="s">
        <v>1978</v>
      </c>
      <c r="F8" s="577">
        <v>0</v>
      </c>
      <c r="G8" s="24"/>
      <c r="H8" s="24"/>
      <c r="I8" s="3"/>
      <c r="J8" s="25">
        <v>0</v>
      </c>
      <c r="K8" s="20"/>
      <c r="L8" s="26">
        <v>665043</v>
      </c>
      <c r="M8" s="25">
        <v>25662436</v>
      </c>
      <c r="N8" s="20"/>
      <c r="O8" s="27">
        <v>3886695</v>
      </c>
      <c r="P8" s="426">
        <v>0</v>
      </c>
      <c r="Q8" s="20"/>
      <c r="R8" s="456">
        <v>0</v>
      </c>
      <c r="S8" s="201"/>
      <c r="T8" s="201"/>
      <c r="U8" s="201"/>
      <c r="V8" s="201"/>
      <c r="W8" s="201"/>
      <c r="X8" s="447"/>
      <c r="Y8" s="201"/>
    </row>
    <row r="9" spans="2:25" ht="15">
      <c r="B9" s="132" t="s">
        <v>1537</v>
      </c>
      <c r="C9" s="28">
        <v>0.18275</v>
      </c>
      <c r="D9" s="24" t="s">
        <v>1529</v>
      </c>
      <c r="E9" s="486" t="s">
        <v>1642</v>
      </c>
      <c r="F9" s="398">
        <f>SUM(F5:F8)</f>
        <v>1</v>
      </c>
      <c r="G9" s="24"/>
      <c r="H9" s="24"/>
      <c r="I9" s="3"/>
      <c r="J9" s="121">
        <f>SUM(J4:J8)</f>
        <v>38266757</v>
      </c>
      <c r="K9" s="29"/>
      <c r="L9" s="29">
        <f>SUM(L4:L8)</f>
        <v>38266757</v>
      </c>
      <c r="M9" s="121">
        <f>SUM(M4:M8)</f>
        <v>72521679</v>
      </c>
      <c r="N9" s="29"/>
      <c r="O9" s="29">
        <f>SUM(O4:O8)</f>
        <v>72521679</v>
      </c>
      <c r="P9" s="121">
        <f>SUM(P4:P8)</f>
        <v>0</v>
      </c>
      <c r="Q9" s="29"/>
      <c r="R9" s="122">
        <f>SUM(R4:R8)</f>
        <v>0</v>
      </c>
      <c r="S9" s="446"/>
      <c r="T9" s="201"/>
      <c r="U9" s="201"/>
      <c r="V9" s="201"/>
      <c r="W9" s="201"/>
      <c r="X9" s="201"/>
      <c r="Y9" s="201"/>
    </row>
    <row r="10" spans="2:25" ht="16.5">
      <c r="B10" s="486" t="s">
        <v>1642</v>
      </c>
      <c r="C10" s="738">
        <f>SUM(C5:C9)</f>
        <v>1</v>
      </c>
      <c r="D10" s="24"/>
      <c r="E10" s="24"/>
      <c r="F10" s="24"/>
      <c r="G10" s="24"/>
      <c r="H10" s="24"/>
      <c r="I10" s="3"/>
      <c r="J10" s="31"/>
      <c r="K10" s="32" t="s">
        <v>1538</v>
      </c>
      <c r="L10" s="33"/>
      <c r="M10" s="31"/>
      <c r="N10" s="32" t="s">
        <v>1539</v>
      </c>
      <c r="O10" s="33"/>
      <c r="P10" s="34"/>
      <c r="Q10" s="34"/>
      <c r="R10" s="34"/>
      <c r="S10" s="18"/>
      <c r="T10" s="18"/>
      <c r="U10" s="18"/>
      <c r="V10" s="18"/>
      <c r="W10" s="18"/>
      <c r="X10" s="18"/>
      <c r="Y10" s="18"/>
    </row>
    <row r="11" spans="5:25" ht="16.5">
      <c r="E11" s="3"/>
      <c r="F11" s="3"/>
      <c r="G11" s="3"/>
      <c r="H11" s="3"/>
      <c r="I11" s="3"/>
      <c r="J11" s="35" t="s">
        <v>1540</v>
      </c>
      <c r="K11" s="36"/>
      <c r="L11" s="37" t="s">
        <v>1541</v>
      </c>
      <c r="M11" s="35" t="s">
        <v>1542</v>
      </c>
      <c r="N11" s="36"/>
      <c r="O11" s="37" t="s">
        <v>1530</v>
      </c>
      <c r="P11" s="34"/>
      <c r="Q11" s="34"/>
      <c r="R11" s="34"/>
      <c r="S11" s="18"/>
      <c r="T11" s="18"/>
      <c r="U11" s="18"/>
      <c r="V11" s="18"/>
      <c r="W11" s="449"/>
      <c r="X11" s="449"/>
      <c r="Y11" s="449"/>
    </row>
    <row r="12" spans="1:25" ht="19.5">
      <c r="A12" s="8" t="s">
        <v>833</v>
      </c>
      <c r="B12" s="38" t="s">
        <v>1543</v>
      </c>
      <c r="C12" s="739">
        <v>147.96</v>
      </c>
      <c r="D12" s="433" t="s">
        <v>68</v>
      </c>
      <c r="E12" s="39"/>
      <c r="F12" s="39"/>
      <c r="G12" s="39"/>
      <c r="H12" s="39"/>
      <c r="I12" s="3"/>
      <c r="J12" s="19">
        <v>1255734</v>
      </c>
      <c r="K12" s="20"/>
      <c r="L12" s="21">
        <v>208893</v>
      </c>
      <c r="M12" s="315">
        <f>J4+M4+P4</f>
        <v>67127714</v>
      </c>
      <c r="N12" s="20"/>
      <c r="O12" s="20">
        <f>L4+O4+R4</f>
        <v>8645704</v>
      </c>
      <c r="P12" s="34"/>
      <c r="Q12" s="34"/>
      <c r="R12" s="34"/>
      <c r="S12" s="18"/>
      <c r="T12" s="18"/>
      <c r="U12" s="450"/>
      <c r="V12" s="18"/>
      <c r="W12" s="448"/>
      <c r="X12" s="448"/>
      <c r="Y12" s="448"/>
    </row>
    <row r="13" spans="2:25" ht="18" customHeight="1">
      <c r="B13" s="740" t="s">
        <v>1544</v>
      </c>
      <c r="C13" s="741">
        <v>2841.9</v>
      </c>
      <c r="D13" s="436" t="s">
        <v>67</v>
      </c>
      <c r="E13" s="39"/>
      <c r="F13" s="39"/>
      <c r="G13" s="39"/>
      <c r="H13" s="39"/>
      <c r="I13" s="3"/>
      <c r="J13" s="19">
        <v>71629</v>
      </c>
      <c r="K13" s="20"/>
      <c r="L13" s="21">
        <v>141173</v>
      </c>
      <c r="M13" s="315">
        <f>J5+M5+P5</f>
        <v>7111003</v>
      </c>
      <c r="N13" s="20"/>
      <c r="O13" s="20">
        <f>L5+O5+R5</f>
        <v>4049506</v>
      </c>
      <c r="P13" s="34"/>
      <c r="Q13" s="34"/>
      <c r="R13" s="34"/>
      <c r="S13" s="18"/>
      <c r="T13" s="18"/>
      <c r="U13" s="450"/>
      <c r="V13" s="18"/>
      <c r="W13" s="448"/>
      <c r="X13" s="448"/>
      <c r="Y13" s="448"/>
    </row>
    <row r="14" spans="2:25" ht="15">
      <c r="B14" s="40"/>
      <c r="C14" s="41"/>
      <c r="D14" s="39"/>
      <c r="E14" s="39"/>
      <c r="F14" s="39"/>
      <c r="G14" s="39"/>
      <c r="H14" s="39"/>
      <c r="I14" s="3"/>
      <c r="J14" s="19">
        <v>144424</v>
      </c>
      <c r="K14" s="20"/>
      <c r="L14" s="21">
        <v>664092</v>
      </c>
      <c r="M14" s="315">
        <f>J6+M6+P6</f>
        <v>5623194</v>
      </c>
      <c r="N14" s="20"/>
      <c r="O14" s="20">
        <f>L6+O6+R6</f>
        <v>23192968</v>
      </c>
      <c r="P14" s="34"/>
      <c r="Q14" s="34"/>
      <c r="R14" s="34"/>
      <c r="S14" s="18"/>
      <c r="T14" s="18"/>
      <c r="U14" s="450"/>
      <c r="V14" s="18"/>
      <c r="W14" s="448"/>
      <c r="X14" s="448"/>
      <c r="Y14" s="448"/>
    </row>
    <row r="15" spans="1:25" ht="19.5">
      <c r="A15" s="8" t="s">
        <v>836</v>
      </c>
      <c r="B15" s="1" t="s">
        <v>69</v>
      </c>
      <c r="C15" s="62" t="s">
        <v>68</v>
      </c>
      <c r="D15" s="62" t="s">
        <v>67</v>
      </c>
      <c r="E15" s="3"/>
      <c r="F15" s="3"/>
      <c r="G15" s="3"/>
      <c r="H15" s="3"/>
      <c r="I15" s="3"/>
      <c r="J15" s="19">
        <v>132785</v>
      </c>
      <c r="K15" s="20"/>
      <c r="L15" s="21">
        <v>1440246</v>
      </c>
      <c r="M15" s="315">
        <f>J7+M7+P7</f>
        <v>5264089</v>
      </c>
      <c r="N15" s="20"/>
      <c r="O15" s="20">
        <f>L7+O7+R7</f>
        <v>70348520</v>
      </c>
      <c r="P15" s="34"/>
      <c r="Q15" s="34"/>
      <c r="R15" s="34"/>
      <c r="S15" s="18"/>
      <c r="T15" s="18"/>
      <c r="U15" s="450"/>
      <c r="V15" s="18"/>
      <c r="W15" s="448"/>
      <c r="X15" s="448"/>
      <c r="Y15" s="448"/>
    </row>
    <row r="16" spans="2:25" ht="15">
      <c r="B16" s="22" t="s">
        <v>1532</v>
      </c>
      <c r="C16" s="489">
        <v>28.27</v>
      </c>
      <c r="D16" s="489">
        <v>0</v>
      </c>
      <c r="E16" s="39"/>
      <c r="F16" s="39"/>
      <c r="G16" s="3"/>
      <c r="H16" s="3"/>
      <c r="I16" s="3"/>
      <c r="J16" s="25">
        <v>960076</v>
      </c>
      <c r="K16" s="20"/>
      <c r="L16" s="27">
        <v>110244</v>
      </c>
      <c r="M16" s="121">
        <f>J8+M8+P8</f>
        <v>25662436</v>
      </c>
      <c r="N16" s="20"/>
      <c r="O16" s="135">
        <f>L8+O8+R8</f>
        <v>4551738</v>
      </c>
      <c r="P16" s="34"/>
      <c r="Q16" s="34"/>
      <c r="R16" s="34"/>
      <c r="S16" s="18"/>
      <c r="T16" s="18"/>
      <c r="U16" s="450"/>
      <c r="V16" s="18"/>
      <c r="W16" s="448"/>
      <c r="X16" s="448"/>
      <c r="Y16" s="448"/>
    </row>
    <row r="17" spans="2:25" ht="15">
      <c r="B17" s="22" t="s">
        <v>1533</v>
      </c>
      <c r="C17" s="489">
        <v>25.98</v>
      </c>
      <c r="D17" s="489">
        <v>0</v>
      </c>
      <c r="E17" s="39"/>
      <c r="F17" s="39"/>
      <c r="G17" s="39"/>
      <c r="H17" s="39"/>
      <c r="I17" s="3"/>
      <c r="J17" s="121">
        <f>SUM(J12:J16)</f>
        <v>2564648</v>
      </c>
      <c r="K17" s="29"/>
      <c r="L17" s="29">
        <f>SUM(L12:L16)</f>
        <v>2564648</v>
      </c>
      <c r="M17" s="121">
        <f>SUM(M12:M16)</f>
        <v>110788436</v>
      </c>
      <c r="N17" s="29"/>
      <c r="O17" s="29">
        <f>SUM(O12:O16)</f>
        <v>110788436</v>
      </c>
      <c r="P17" s="34"/>
      <c r="Q17" s="34"/>
      <c r="R17" s="34"/>
      <c r="S17" s="18"/>
      <c r="T17" s="18"/>
      <c r="U17" s="450"/>
      <c r="V17" s="18"/>
      <c r="W17" s="450"/>
      <c r="X17" s="450"/>
      <c r="Y17" s="450"/>
    </row>
    <row r="18" spans="2:25" ht="15">
      <c r="B18" s="22" t="s">
        <v>1534</v>
      </c>
      <c r="C18" s="489">
        <v>37.06</v>
      </c>
      <c r="D18" s="489">
        <v>333.87</v>
      </c>
      <c r="E18" s="39"/>
      <c r="F18" s="39"/>
      <c r="G18" s="39"/>
      <c r="H18" s="39"/>
      <c r="S18" s="18"/>
      <c r="T18" s="18"/>
      <c r="U18" s="18"/>
      <c r="V18" s="18"/>
      <c r="W18" s="18"/>
      <c r="X18" s="18"/>
      <c r="Y18" s="18"/>
    </row>
    <row r="19" spans="2:25" ht="19.5">
      <c r="B19" s="22" t="s">
        <v>1536</v>
      </c>
      <c r="C19" s="489">
        <v>30.93</v>
      </c>
      <c r="D19" s="489">
        <v>0</v>
      </c>
      <c r="E19" s="39"/>
      <c r="F19" s="39"/>
      <c r="G19" s="39"/>
      <c r="H19" s="39"/>
      <c r="J19" s="38" t="s">
        <v>1545</v>
      </c>
      <c r="K19" s="42"/>
      <c r="L19" s="42"/>
      <c r="M19" s="42"/>
      <c r="N19" s="42"/>
      <c r="O19" s="13"/>
      <c r="S19" s="18"/>
      <c r="T19" s="18"/>
      <c r="U19" s="18"/>
      <c r="V19" s="18"/>
      <c r="W19" s="451"/>
      <c r="X19" s="449"/>
      <c r="Y19" s="18"/>
    </row>
    <row r="20" spans="2:25" ht="15">
      <c r="B20" s="30" t="s">
        <v>1537</v>
      </c>
      <c r="C20" s="490">
        <v>115.4</v>
      </c>
      <c r="D20" s="490">
        <v>0</v>
      </c>
      <c r="E20" s="39"/>
      <c r="F20" s="39"/>
      <c r="G20" s="39"/>
      <c r="H20" s="39"/>
      <c r="J20" s="43" t="s">
        <v>1546</v>
      </c>
      <c r="K20" s="44"/>
      <c r="L20" s="44"/>
      <c r="M20" s="44"/>
      <c r="N20" s="44"/>
      <c r="O20" s="45"/>
      <c r="S20" s="18"/>
      <c r="T20" s="18"/>
      <c r="U20" s="18"/>
      <c r="V20" s="18"/>
      <c r="W20" s="449"/>
      <c r="X20" s="449"/>
      <c r="Y20" s="449"/>
    </row>
    <row r="21" spans="2:25" ht="15">
      <c r="B21" s="40"/>
      <c r="C21" s="41"/>
      <c r="D21" s="39"/>
      <c r="E21" s="39"/>
      <c r="F21" s="39"/>
      <c r="G21" s="39"/>
      <c r="H21" s="39"/>
      <c r="J21" s="46" t="s">
        <v>1547</v>
      </c>
      <c r="K21" s="47"/>
      <c r="L21" s="47"/>
      <c r="M21" s="47"/>
      <c r="N21" s="47"/>
      <c r="O21" s="48"/>
      <c r="S21" s="18"/>
      <c r="T21" s="18"/>
      <c r="U21" s="34"/>
      <c r="V21" s="18"/>
      <c r="W21" s="34"/>
      <c r="X21" s="445"/>
      <c r="Y21" s="34"/>
    </row>
    <row r="22" spans="1:25" ht="15.75" customHeight="1">
      <c r="A22" s="42"/>
      <c r="B22" s="1" t="s">
        <v>1554</v>
      </c>
      <c r="C22" s="56"/>
      <c r="D22" s="56"/>
      <c r="E22" s="56"/>
      <c r="F22" s="17"/>
      <c r="G22" s="8" t="s">
        <v>834</v>
      </c>
      <c r="H22" s="39"/>
      <c r="J22" s="49" t="s">
        <v>1549</v>
      </c>
      <c r="K22" s="50"/>
      <c r="L22" s="50"/>
      <c r="M22" s="50"/>
      <c r="N22" s="50"/>
      <c r="O22" s="51"/>
      <c r="S22" s="18"/>
      <c r="T22" s="18"/>
      <c r="U22" s="34"/>
      <c r="V22" s="18"/>
      <c r="W22" s="34"/>
      <c r="X22" s="445"/>
      <c r="Y22" s="34"/>
    </row>
    <row r="23" spans="1:25" ht="16.5">
      <c r="A23" s="60" t="s">
        <v>1532</v>
      </c>
      <c r="B23" s="61" t="s">
        <v>1557</v>
      </c>
      <c r="C23" s="16" t="s">
        <v>1558</v>
      </c>
      <c r="D23" s="16" t="s">
        <v>1561</v>
      </c>
      <c r="E23" s="62" t="s">
        <v>1562</v>
      </c>
      <c r="F23" s="62" t="s">
        <v>1563</v>
      </c>
      <c r="G23" s="18"/>
      <c r="H23" s="18"/>
      <c r="R23" s="171"/>
      <c r="S23" s="18"/>
      <c r="T23" s="18"/>
      <c r="U23" s="34"/>
      <c r="V23" s="18"/>
      <c r="W23" s="34"/>
      <c r="X23" s="445"/>
      <c r="Y23" s="34"/>
    </row>
    <row r="24" spans="1:25" ht="19.5">
      <c r="A24" s="63" t="s">
        <v>1564</v>
      </c>
      <c r="B24" s="64">
        <v>114052</v>
      </c>
      <c r="C24" s="64">
        <v>5760514</v>
      </c>
      <c r="D24" s="64">
        <v>4782252</v>
      </c>
      <c r="E24" s="64">
        <v>448750</v>
      </c>
      <c r="F24" s="64">
        <v>4529280</v>
      </c>
      <c r="G24" s="99"/>
      <c r="H24" s="99"/>
      <c r="I24" s="3"/>
      <c r="J24" s="38" t="s">
        <v>1550</v>
      </c>
      <c r="K24" s="42"/>
      <c r="L24" s="13"/>
      <c r="S24" s="18"/>
      <c r="T24" s="18"/>
      <c r="U24" s="34"/>
      <c r="V24" s="18"/>
      <c r="W24" s="34"/>
      <c r="X24" s="445"/>
      <c r="Y24" s="34"/>
    </row>
    <row r="25" spans="1:25" ht="16.5">
      <c r="A25" s="63" t="s">
        <v>1565</v>
      </c>
      <c r="B25" s="64">
        <v>80228</v>
      </c>
      <c r="C25" s="64">
        <v>4046457</v>
      </c>
      <c r="D25" s="64">
        <v>3114817</v>
      </c>
      <c r="E25" s="64">
        <v>446197</v>
      </c>
      <c r="F25" s="64">
        <v>3001190</v>
      </c>
      <c r="G25" s="34"/>
      <c r="H25" s="34"/>
      <c r="I25" s="3"/>
      <c r="J25" s="11"/>
      <c r="K25" s="12" t="s">
        <v>1551</v>
      </c>
      <c r="L25" s="13"/>
      <c r="M25" s="8">
        <v>460</v>
      </c>
      <c r="S25" s="18"/>
      <c r="T25" s="18"/>
      <c r="U25" s="34"/>
      <c r="V25" s="18"/>
      <c r="W25" s="34"/>
      <c r="X25" s="445"/>
      <c r="Y25" s="34"/>
    </row>
    <row r="26" spans="1:25" ht="16.5">
      <c r="A26" s="63" t="s">
        <v>1566</v>
      </c>
      <c r="B26" s="64">
        <v>167330</v>
      </c>
      <c r="C26" s="64">
        <v>6536803</v>
      </c>
      <c r="D26" s="64">
        <v>5130690</v>
      </c>
      <c r="E26" s="64">
        <v>877704</v>
      </c>
      <c r="F26" s="64">
        <v>4872143</v>
      </c>
      <c r="G26" s="34"/>
      <c r="H26" s="34"/>
      <c r="I26" s="3"/>
      <c r="J26" s="53" t="s">
        <v>1552</v>
      </c>
      <c r="K26" s="54"/>
      <c r="L26" s="55" t="s">
        <v>1553</v>
      </c>
      <c r="S26" s="18"/>
      <c r="T26" s="18"/>
      <c r="U26" s="34"/>
      <c r="V26" s="18"/>
      <c r="W26" s="34"/>
      <c r="X26" s="34"/>
      <c r="Y26" s="34"/>
    </row>
    <row r="27" spans="1:25" ht="16.5">
      <c r="A27" s="63" t="s">
        <v>1567</v>
      </c>
      <c r="B27" s="64">
        <v>187671</v>
      </c>
      <c r="C27" s="64">
        <v>8294423</v>
      </c>
      <c r="D27" s="64">
        <v>6712129</v>
      </c>
      <c r="E27" s="64">
        <v>653328</v>
      </c>
      <c r="F27" s="64">
        <v>6296351</v>
      </c>
      <c r="G27" s="34"/>
      <c r="H27" s="34"/>
      <c r="I27" s="3"/>
      <c r="J27" s="57" t="s">
        <v>586</v>
      </c>
      <c r="K27" s="58"/>
      <c r="L27" s="59" t="s">
        <v>587</v>
      </c>
      <c r="S27" s="18"/>
      <c r="T27" s="18"/>
      <c r="U27" s="18"/>
      <c r="V27" s="18"/>
      <c r="W27" s="18"/>
      <c r="X27" s="18"/>
      <c r="Y27" s="18"/>
    </row>
    <row r="28" spans="1:25" ht="15">
      <c r="A28" s="63" t="s">
        <v>1568</v>
      </c>
      <c r="B28" s="64">
        <v>785222</v>
      </c>
      <c r="C28" s="19">
        <v>24170653</v>
      </c>
      <c r="D28" s="64">
        <v>18777815</v>
      </c>
      <c r="E28" s="64">
        <v>2607587</v>
      </c>
      <c r="F28" s="64">
        <v>17954321</v>
      </c>
      <c r="G28" s="34"/>
      <c r="H28" s="34"/>
      <c r="I28" s="3"/>
      <c r="J28" s="110">
        <v>491008</v>
      </c>
      <c r="K28" s="20"/>
      <c r="L28" s="110">
        <v>519355</v>
      </c>
      <c r="O28" s="34"/>
      <c r="S28" s="18"/>
      <c r="T28" s="18"/>
      <c r="U28" s="18"/>
      <c r="V28" s="18"/>
      <c r="W28" s="449"/>
      <c r="X28" s="18"/>
      <c r="Y28" s="449"/>
    </row>
    <row r="29" spans="1:25" ht="15">
      <c r="A29" s="63" t="s">
        <v>1569</v>
      </c>
      <c r="B29" s="19">
        <v>768495</v>
      </c>
      <c r="C29" s="64">
        <v>27326479</v>
      </c>
      <c r="D29" s="64">
        <v>23677730</v>
      </c>
      <c r="E29" s="64">
        <v>1527990</v>
      </c>
      <c r="F29" s="64">
        <v>22690686</v>
      </c>
      <c r="G29" s="34"/>
      <c r="H29" s="34"/>
      <c r="I29" s="3"/>
      <c r="J29" s="64">
        <v>101598</v>
      </c>
      <c r="K29" s="20"/>
      <c r="L29" s="64">
        <v>77809</v>
      </c>
      <c r="O29" s="34"/>
      <c r="S29" s="18"/>
      <c r="T29" s="18"/>
      <c r="U29" s="448"/>
      <c r="V29" s="18"/>
      <c r="W29" s="448"/>
      <c r="X29" s="448"/>
      <c r="Y29" s="448"/>
    </row>
    <row r="30" spans="1:25" ht="15">
      <c r="A30" s="63" t="s">
        <v>1654</v>
      </c>
      <c r="B30" s="19">
        <v>5553</v>
      </c>
      <c r="C30" s="64">
        <v>739543</v>
      </c>
      <c r="D30" s="64">
        <v>407062</v>
      </c>
      <c r="E30" s="64">
        <v>91643</v>
      </c>
      <c r="F30" s="64">
        <v>392510</v>
      </c>
      <c r="G30" s="34"/>
      <c r="H30" s="34"/>
      <c r="I30" s="3"/>
      <c r="J30" s="64">
        <v>250910</v>
      </c>
      <c r="K30" s="20"/>
      <c r="L30" s="64">
        <v>192120</v>
      </c>
      <c r="O30" s="34"/>
      <c r="S30" s="18"/>
      <c r="T30" s="18"/>
      <c r="U30" s="448"/>
      <c r="V30" s="18"/>
      <c r="W30" s="448"/>
      <c r="X30" s="448"/>
      <c r="Y30" s="448"/>
    </row>
    <row r="31" spans="1:25" ht="15">
      <c r="A31" s="309" t="s">
        <v>1642</v>
      </c>
      <c r="B31" s="308">
        <f>SUM(B24:B30)</f>
        <v>2108551</v>
      </c>
      <c r="C31" s="308">
        <f>SUM(C24:C30)</f>
        <v>76874872</v>
      </c>
      <c r="D31" s="308">
        <f>SUM(D24:D30)</f>
        <v>62602495</v>
      </c>
      <c r="E31" s="308">
        <f>SUM(E24:E30)</f>
        <v>6653199</v>
      </c>
      <c r="F31" s="308">
        <f>SUM(F24:F30)</f>
        <v>59736481</v>
      </c>
      <c r="G31" s="34"/>
      <c r="H31" s="34"/>
      <c r="I31" s="3"/>
      <c r="J31" s="64">
        <v>321480</v>
      </c>
      <c r="K31" s="20"/>
      <c r="L31" s="64">
        <v>353829</v>
      </c>
      <c r="O31" s="34"/>
      <c r="S31" s="18"/>
      <c r="T31" s="18"/>
      <c r="U31" s="448"/>
      <c r="V31" s="18"/>
      <c r="W31" s="448"/>
      <c r="X31" s="448"/>
      <c r="Y31" s="448"/>
    </row>
    <row r="32" spans="1:25" ht="16.5">
      <c r="A32" s="60" t="s">
        <v>1533</v>
      </c>
      <c r="B32" s="66" t="s">
        <v>1574</v>
      </c>
      <c r="C32" s="68" t="s">
        <v>1570</v>
      </c>
      <c r="D32" s="69" t="s">
        <v>1570</v>
      </c>
      <c r="E32" s="69" t="s">
        <v>1570</v>
      </c>
      <c r="F32" s="66" t="s">
        <v>1571</v>
      </c>
      <c r="G32" s="34"/>
      <c r="H32" s="34"/>
      <c r="I32" s="3"/>
      <c r="J32" s="65">
        <v>257723</v>
      </c>
      <c r="K32" s="20"/>
      <c r="L32" s="65">
        <v>279606</v>
      </c>
      <c r="O32" s="34"/>
      <c r="S32" s="18"/>
      <c r="T32" s="18"/>
      <c r="U32" s="448"/>
      <c r="V32" s="18"/>
      <c r="W32" s="448"/>
      <c r="X32" s="448"/>
      <c r="Y32" s="448"/>
    </row>
    <row r="33" spans="1:25" ht="16.5">
      <c r="A33" s="70" t="s">
        <v>1152</v>
      </c>
      <c r="B33" s="71">
        <v>535188</v>
      </c>
      <c r="C33" s="71">
        <v>18398596</v>
      </c>
      <c r="D33" s="71">
        <v>16015259</v>
      </c>
      <c r="E33" s="71">
        <v>1221863</v>
      </c>
      <c r="F33" s="71">
        <v>15760763</v>
      </c>
      <c r="G33" s="86"/>
      <c r="H33" s="86"/>
      <c r="I33" s="3"/>
      <c r="J33" s="121">
        <f>SUM(J28:J32)</f>
        <v>1422719</v>
      </c>
      <c r="K33" s="29"/>
      <c r="L33" s="29">
        <f>SUM(L28:L32)</f>
        <v>1422719</v>
      </c>
      <c r="S33" s="18"/>
      <c r="T33" s="18"/>
      <c r="U33" s="448"/>
      <c r="V33" s="18"/>
      <c r="W33" s="448"/>
      <c r="X33" s="448"/>
      <c r="Y33" s="448"/>
    </row>
    <row r="34" spans="1:25" ht="15">
      <c r="A34" s="70" t="s">
        <v>1576</v>
      </c>
      <c r="B34" s="71">
        <v>129409</v>
      </c>
      <c r="C34" s="71">
        <v>3131979</v>
      </c>
      <c r="D34" s="71">
        <v>2887163</v>
      </c>
      <c r="E34" s="71">
        <v>127886</v>
      </c>
      <c r="F34" s="71">
        <v>2804875</v>
      </c>
      <c r="G34" s="559"/>
      <c r="H34" s="559"/>
      <c r="I34" s="3"/>
      <c r="S34" s="18"/>
      <c r="T34" s="18"/>
      <c r="U34" s="448"/>
      <c r="V34" s="18"/>
      <c r="W34" s="448"/>
      <c r="X34" s="448"/>
      <c r="Y34" s="448"/>
    </row>
    <row r="35" spans="1:21" ht="19.5">
      <c r="A35" s="70" t="s">
        <v>1577</v>
      </c>
      <c r="B35" s="71">
        <v>125461</v>
      </c>
      <c r="C35" s="71">
        <v>4241033</v>
      </c>
      <c r="D35" s="71">
        <v>2792580</v>
      </c>
      <c r="E35" s="71">
        <v>106231</v>
      </c>
      <c r="F35" s="71">
        <v>2712916</v>
      </c>
      <c r="G35" s="559"/>
      <c r="H35" s="559"/>
      <c r="I35" s="3"/>
      <c r="J35" s="38" t="s">
        <v>1572</v>
      </c>
      <c r="K35" s="42"/>
      <c r="L35" s="42"/>
      <c r="M35" s="42"/>
      <c r="N35" s="42"/>
      <c r="O35" s="13"/>
      <c r="P35" s="887" t="s">
        <v>1573</v>
      </c>
      <c r="Q35" s="888"/>
      <c r="R35" s="888"/>
      <c r="S35" s="888"/>
      <c r="T35" s="888"/>
      <c r="U35" s="889"/>
    </row>
    <row r="36" spans="1:22" ht="16.5">
      <c r="A36" s="309" t="s">
        <v>1642</v>
      </c>
      <c r="B36" s="308">
        <f>SUM(B33:B35)</f>
        <v>790058</v>
      </c>
      <c r="C36" s="308">
        <f>SUM(C33:C35)</f>
        <v>25771608</v>
      </c>
      <c r="D36" s="308">
        <f>SUM(D33:D35)</f>
        <v>21695002</v>
      </c>
      <c r="E36" s="308">
        <f>SUM(E33:E35)</f>
        <v>1455980</v>
      </c>
      <c r="F36" s="308">
        <f>SUM(F33:F35)</f>
        <v>21278554</v>
      </c>
      <c r="G36" s="559"/>
      <c r="H36" s="559"/>
      <c r="I36" s="3"/>
      <c r="J36" s="11"/>
      <c r="K36" s="12" t="s">
        <v>1551</v>
      </c>
      <c r="L36" s="13"/>
      <c r="M36" s="11"/>
      <c r="N36" s="12" t="s">
        <v>1575</v>
      </c>
      <c r="O36" s="13"/>
      <c r="P36" s="11"/>
      <c r="Q36" s="12" t="s">
        <v>1551</v>
      </c>
      <c r="R36" s="13"/>
      <c r="S36" s="11"/>
      <c r="T36" s="12" t="s">
        <v>1575</v>
      </c>
      <c r="U36" s="13"/>
      <c r="V36" s="3"/>
    </row>
    <row r="37" spans="1:23" ht="16.5">
      <c r="A37" s="60" t="s">
        <v>1534</v>
      </c>
      <c r="B37" s="73" t="s">
        <v>1574</v>
      </c>
      <c r="C37" s="73" t="s">
        <v>1570</v>
      </c>
      <c r="D37" s="73" t="s">
        <v>1570</v>
      </c>
      <c r="E37" s="73" t="s">
        <v>1570</v>
      </c>
      <c r="F37" s="66" t="s">
        <v>1571</v>
      </c>
      <c r="G37" s="34"/>
      <c r="H37" s="34"/>
      <c r="I37" s="3"/>
      <c r="J37" s="14" t="s">
        <v>1552</v>
      </c>
      <c r="K37" s="15"/>
      <c r="L37" s="16" t="s">
        <v>1553</v>
      </c>
      <c r="M37" s="14" t="s">
        <v>1528</v>
      </c>
      <c r="N37" s="15"/>
      <c r="O37" s="16" t="s">
        <v>1530</v>
      </c>
      <c r="P37" s="14" t="s">
        <v>1552</v>
      </c>
      <c r="Q37" s="89"/>
      <c r="R37" s="16" t="s">
        <v>1553</v>
      </c>
      <c r="S37" s="14" t="s">
        <v>1528</v>
      </c>
      <c r="T37" s="15"/>
      <c r="U37" s="16" t="s">
        <v>1530</v>
      </c>
      <c r="V37" s="3"/>
      <c r="W37" s="8" t="s">
        <v>432</v>
      </c>
    </row>
    <row r="38" spans="1:22" ht="16.5">
      <c r="A38" s="70" t="s">
        <v>1578</v>
      </c>
      <c r="B38" s="21">
        <v>85938</v>
      </c>
      <c r="C38" s="74" t="s">
        <v>1571</v>
      </c>
      <c r="D38" s="21">
        <v>3312704</v>
      </c>
      <c r="E38" s="72" t="s">
        <v>1579</v>
      </c>
      <c r="F38" s="21">
        <v>3131155</v>
      </c>
      <c r="G38" s="86"/>
      <c r="H38" s="86"/>
      <c r="I38" s="3"/>
      <c r="J38" s="19">
        <v>0</v>
      </c>
      <c r="K38" s="20"/>
      <c r="L38" s="21">
        <v>73</v>
      </c>
      <c r="M38" s="21">
        <v>0</v>
      </c>
      <c r="N38" s="20"/>
      <c r="O38" s="21">
        <v>5990</v>
      </c>
      <c r="P38" s="110">
        <v>0</v>
      </c>
      <c r="Q38" s="20"/>
      <c r="R38" s="75">
        <v>58</v>
      </c>
      <c r="S38" s="19">
        <v>0</v>
      </c>
      <c r="T38" s="20"/>
      <c r="U38" s="21">
        <v>5136</v>
      </c>
      <c r="V38" s="3"/>
    </row>
    <row r="39" spans="1:22" ht="16.5">
      <c r="A39" s="70" t="s">
        <v>1580</v>
      </c>
      <c r="B39" s="21">
        <v>276209</v>
      </c>
      <c r="C39" s="74" t="s">
        <v>1571</v>
      </c>
      <c r="D39" s="21">
        <v>7770367</v>
      </c>
      <c r="E39" s="72" t="s">
        <v>1579</v>
      </c>
      <c r="F39" s="21">
        <v>7154992</v>
      </c>
      <c r="G39" s="34"/>
      <c r="H39" s="34"/>
      <c r="I39" s="3"/>
      <c r="J39" s="19">
        <v>0</v>
      </c>
      <c r="K39" s="20"/>
      <c r="L39" s="21">
        <v>7</v>
      </c>
      <c r="M39" s="21">
        <v>0</v>
      </c>
      <c r="N39" s="20"/>
      <c r="O39" s="21">
        <v>994</v>
      </c>
      <c r="P39" s="64">
        <v>0</v>
      </c>
      <c r="Q39" s="20"/>
      <c r="R39" s="75">
        <v>9</v>
      </c>
      <c r="S39" s="19">
        <v>0</v>
      </c>
      <c r="T39" s="20"/>
      <c r="U39" s="21">
        <v>832</v>
      </c>
      <c r="V39" s="3"/>
    </row>
    <row r="40" spans="1:22" ht="16.5">
      <c r="A40" s="76" t="s">
        <v>1581</v>
      </c>
      <c r="B40" s="72" t="s">
        <v>1574</v>
      </c>
      <c r="C40" s="21">
        <v>13930875</v>
      </c>
      <c r="D40" s="427" t="s">
        <v>1571</v>
      </c>
      <c r="E40" s="21">
        <v>1681302</v>
      </c>
      <c r="F40" s="72" t="s">
        <v>1579</v>
      </c>
      <c r="G40" s="34"/>
      <c r="H40" s="34"/>
      <c r="I40" s="3"/>
      <c r="J40" s="19">
        <v>41</v>
      </c>
      <c r="K40" s="20"/>
      <c r="L40" s="21">
        <v>14</v>
      </c>
      <c r="M40" s="21">
        <v>3951</v>
      </c>
      <c r="N40" s="20"/>
      <c r="O40" s="21">
        <v>1685</v>
      </c>
      <c r="P40" s="64">
        <v>42</v>
      </c>
      <c r="Q40" s="20"/>
      <c r="R40" s="75">
        <v>13</v>
      </c>
      <c r="S40" s="19">
        <v>3895</v>
      </c>
      <c r="T40" s="20"/>
      <c r="U40" s="21">
        <v>1283</v>
      </c>
      <c r="V40" s="3"/>
    </row>
    <row r="41" spans="1:22" ht="16.5">
      <c r="A41" s="70" t="s">
        <v>560</v>
      </c>
      <c r="B41" s="21">
        <v>431259</v>
      </c>
      <c r="C41" s="21">
        <v>10475874</v>
      </c>
      <c r="D41" s="21">
        <v>9623368</v>
      </c>
      <c r="E41" s="21">
        <v>432222</v>
      </c>
      <c r="F41" s="21">
        <v>9348863</v>
      </c>
      <c r="G41" s="560"/>
      <c r="H41" s="560"/>
      <c r="I41" s="3"/>
      <c r="J41" s="19">
        <v>88</v>
      </c>
      <c r="K41" s="20"/>
      <c r="L41" s="21">
        <v>11</v>
      </c>
      <c r="M41" s="21">
        <v>8422.57</v>
      </c>
      <c r="N41" s="20"/>
      <c r="O41" s="21">
        <v>1087</v>
      </c>
      <c r="P41" s="64">
        <v>74</v>
      </c>
      <c r="Q41" s="20"/>
      <c r="R41" s="75">
        <v>15</v>
      </c>
      <c r="S41" s="19">
        <v>6617</v>
      </c>
      <c r="T41" s="20"/>
      <c r="U41" s="21">
        <v>1071</v>
      </c>
      <c r="V41" s="3"/>
    </row>
    <row r="42" spans="1:22" ht="15">
      <c r="A42" s="70" t="s">
        <v>557</v>
      </c>
      <c r="B42" s="21">
        <v>301921</v>
      </c>
      <c r="C42" s="21">
        <v>7307951</v>
      </c>
      <c r="D42" s="21">
        <v>6735969</v>
      </c>
      <c r="E42" s="21">
        <v>298401</v>
      </c>
      <c r="F42" s="21">
        <v>6543988</v>
      </c>
      <c r="G42" s="34"/>
      <c r="H42" s="34"/>
      <c r="I42" s="3"/>
      <c r="J42" s="25">
        <v>0</v>
      </c>
      <c r="K42" s="20"/>
      <c r="L42" s="27">
        <v>24</v>
      </c>
      <c r="M42" s="27">
        <v>0</v>
      </c>
      <c r="N42" s="20"/>
      <c r="O42" s="27">
        <v>2618</v>
      </c>
      <c r="P42" s="65">
        <v>0</v>
      </c>
      <c r="Q42" s="20"/>
      <c r="R42" s="26">
        <v>21</v>
      </c>
      <c r="S42" s="25">
        <v>0</v>
      </c>
      <c r="T42" s="20"/>
      <c r="U42" s="27">
        <v>2190</v>
      </c>
      <c r="V42" s="3"/>
    </row>
    <row r="43" spans="1:22" ht="15">
      <c r="A43" s="70" t="s">
        <v>1587</v>
      </c>
      <c r="B43" s="21">
        <v>292765</v>
      </c>
      <c r="C43" s="21">
        <v>9895743</v>
      </c>
      <c r="D43" s="21">
        <v>6516524</v>
      </c>
      <c r="E43" s="21">
        <v>247873</v>
      </c>
      <c r="F43" s="21">
        <v>6330629</v>
      </c>
      <c r="G43" s="34"/>
      <c r="H43" s="34"/>
      <c r="I43" s="3"/>
      <c r="J43" s="121">
        <f>SUM(J38:J42)</f>
        <v>129</v>
      </c>
      <c r="K43" s="29"/>
      <c r="L43" s="29">
        <f>SUM(L38:L42)</f>
        <v>129</v>
      </c>
      <c r="M43" s="121">
        <f>SUM(M38:M42)</f>
        <v>12373.57</v>
      </c>
      <c r="N43" s="29"/>
      <c r="O43" s="29">
        <f>SUM(O38:O42)</f>
        <v>12374</v>
      </c>
      <c r="P43" s="122">
        <f>SUM(P38:P42)</f>
        <v>116</v>
      </c>
      <c r="Q43" s="29"/>
      <c r="R43" s="122">
        <f>SUM(R38:R42)</f>
        <v>116</v>
      </c>
      <c r="S43" s="121">
        <f>SUM(S38:S42)</f>
        <v>10512</v>
      </c>
      <c r="T43" s="29"/>
      <c r="U43" s="29">
        <f>SUM(U38:U42)</f>
        <v>10512</v>
      </c>
      <c r="V43" s="3"/>
    </row>
    <row r="44" spans="1:24" ht="15">
      <c r="A44" s="70" t="s">
        <v>1591</v>
      </c>
      <c r="B44" s="21">
        <v>247574</v>
      </c>
      <c r="C44" s="21">
        <v>8854792</v>
      </c>
      <c r="D44" s="21">
        <v>5505479</v>
      </c>
      <c r="E44" s="21">
        <v>214800</v>
      </c>
      <c r="F44" s="21">
        <v>5348291</v>
      </c>
      <c r="G44" s="34"/>
      <c r="H44" s="34"/>
      <c r="I44" s="3"/>
      <c r="J44" s="34"/>
      <c r="K44" s="34"/>
      <c r="L44" s="34"/>
      <c r="M44" s="34"/>
      <c r="N44" s="34"/>
      <c r="O44" s="34"/>
      <c r="P44" s="3"/>
      <c r="U44" s="138"/>
      <c r="V44" s="138"/>
      <c r="W44" s="138"/>
      <c r="X44" s="138"/>
    </row>
    <row r="45" spans="1:24" ht="19.5">
      <c r="A45" s="70" t="s">
        <v>1594</v>
      </c>
      <c r="B45" s="21">
        <v>744726</v>
      </c>
      <c r="C45" s="21">
        <v>16758082</v>
      </c>
      <c r="D45" s="21">
        <v>5497239</v>
      </c>
      <c r="E45" s="21">
        <v>8392281</v>
      </c>
      <c r="F45" s="21">
        <v>5497239</v>
      </c>
      <c r="G45" s="34"/>
      <c r="H45" s="34"/>
      <c r="I45" s="3"/>
      <c r="J45" s="1" t="s">
        <v>1583</v>
      </c>
      <c r="K45" s="56"/>
      <c r="L45" s="77"/>
      <c r="M45" s="56"/>
      <c r="N45" s="56"/>
      <c r="O45" s="17"/>
      <c r="R45" s="1" t="s">
        <v>87</v>
      </c>
      <c r="S45" s="17"/>
      <c r="U45" s="890" t="s">
        <v>87</v>
      </c>
      <c r="V45" s="891"/>
      <c r="W45" s="891"/>
      <c r="X45" s="892"/>
    </row>
    <row r="46" spans="1:24" ht="16.5">
      <c r="A46" s="309" t="s">
        <v>1642</v>
      </c>
      <c r="B46" s="308">
        <f>SUM(B38:B45)</f>
        <v>2380392</v>
      </c>
      <c r="C46" s="308">
        <f>SUM(C38:C45)</f>
        <v>67223317</v>
      </c>
      <c r="D46" s="308">
        <f>SUM(D38:D45)</f>
        <v>44961650</v>
      </c>
      <c r="E46" s="308">
        <f>SUM(E38:E45)</f>
        <v>11266879</v>
      </c>
      <c r="F46" s="308">
        <f>SUM(F38:F45)</f>
        <v>43355157</v>
      </c>
      <c r="G46" s="34"/>
      <c r="H46" s="34"/>
      <c r="I46" s="3"/>
      <c r="J46" s="78" t="s">
        <v>1584</v>
      </c>
      <c r="K46" s="72"/>
      <c r="L46" s="55" t="s">
        <v>1585</v>
      </c>
      <c r="M46" s="79" t="s">
        <v>1586</v>
      </c>
      <c r="N46" s="47"/>
      <c r="O46" s="48"/>
      <c r="P46" s="557">
        <v>452</v>
      </c>
      <c r="R46" s="483" t="s">
        <v>1573</v>
      </c>
      <c r="S46" s="484"/>
      <c r="U46" s="887" t="s">
        <v>1573</v>
      </c>
      <c r="V46" s="888"/>
      <c r="W46" s="888"/>
      <c r="X46" s="889"/>
    </row>
    <row r="47" spans="1:24" ht="16.5">
      <c r="A47" s="60" t="s">
        <v>1536</v>
      </c>
      <c r="B47" s="80" t="s">
        <v>1574</v>
      </c>
      <c r="C47" s="80" t="s">
        <v>1570</v>
      </c>
      <c r="D47" s="80" t="s">
        <v>1570</v>
      </c>
      <c r="E47" s="80" t="s">
        <v>1570</v>
      </c>
      <c r="F47" s="66" t="s">
        <v>1571</v>
      </c>
      <c r="G47" s="34"/>
      <c r="H47" s="34"/>
      <c r="I47" s="3"/>
      <c r="J47" s="78" t="s">
        <v>1588</v>
      </c>
      <c r="K47" s="72"/>
      <c r="L47" s="55" t="s">
        <v>1589</v>
      </c>
      <c r="M47" s="79" t="s">
        <v>1590</v>
      </c>
      <c r="N47" s="47"/>
      <c r="O47" s="48"/>
      <c r="R47" s="479" t="s">
        <v>613</v>
      </c>
      <c r="S47" s="480"/>
      <c r="U47" s="893" t="s">
        <v>613</v>
      </c>
      <c r="V47" s="894"/>
      <c r="W47" s="894"/>
      <c r="X47" s="895"/>
    </row>
    <row r="48" spans="1:24" ht="16.5">
      <c r="A48" s="70" t="s">
        <v>1565</v>
      </c>
      <c r="B48" s="64">
        <v>87779</v>
      </c>
      <c r="C48" s="64">
        <v>4807413</v>
      </c>
      <c r="D48" s="64">
        <v>3256789</v>
      </c>
      <c r="E48" s="64">
        <v>913817</v>
      </c>
      <c r="F48" s="64">
        <v>3107947</v>
      </c>
      <c r="G48" s="86"/>
      <c r="H48" s="86"/>
      <c r="I48" s="3"/>
      <c r="J48" s="78" t="s">
        <v>1592</v>
      </c>
      <c r="K48" s="37"/>
      <c r="L48" s="16" t="s">
        <v>1528</v>
      </c>
      <c r="M48" s="79" t="s">
        <v>1593</v>
      </c>
      <c r="N48" s="47"/>
      <c r="O48" s="48"/>
      <c r="R48" s="481" t="s">
        <v>1993</v>
      </c>
      <c r="S48" s="482"/>
      <c r="U48" s="859" t="s">
        <v>1994</v>
      </c>
      <c r="V48" s="860"/>
      <c r="W48" s="860"/>
      <c r="X48" s="861"/>
    </row>
    <row r="49" spans="1:25" ht="16.5">
      <c r="A49" s="70" t="s">
        <v>1597</v>
      </c>
      <c r="B49" s="64">
        <v>641363</v>
      </c>
      <c r="C49" s="64">
        <v>20312754</v>
      </c>
      <c r="D49" s="64">
        <v>17115442</v>
      </c>
      <c r="E49" s="64">
        <v>1538707</v>
      </c>
      <c r="F49" s="64">
        <v>16791008</v>
      </c>
      <c r="G49" s="34"/>
      <c r="H49" s="34"/>
      <c r="I49" s="3"/>
      <c r="J49" s="844">
        <v>23121593</v>
      </c>
      <c r="K49" s="20"/>
      <c r="L49" s="110">
        <v>0</v>
      </c>
      <c r="M49" s="47" t="s">
        <v>579</v>
      </c>
      <c r="N49" s="47"/>
      <c r="O49" s="48"/>
      <c r="R49" s="487">
        <v>-3103</v>
      </c>
      <c r="S49" s="485"/>
      <c r="U49" s="485"/>
      <c r="V49" s="624" t="s">
        <v>1975</v>
      </c>
      <c r="W49" s="487">
        <v>4133</v>
      </c>
      <c r="X49" s="485"/>
      <c r="Y49" s="846" t="s">
        <v>803</v>
      </c>
    </row>
    <row r="50" spans="1:24" ht="15">
      <c r="A50" s="70" t="s">
        <v>1598</v>
      </c>
      <c r="B50" s="64">
        <v>115137</v>
      </c>
      <c r="C50" s="64">
        <v>7292490</v>
      </c>
      <c r="D50" s="64">
        <v>5533508</v>
      </c>
      <c r="E50" s="64">
        <v>1244377</v>
      </c>
      <c r="F50" s="64">
        <v>5373085</v>
      </c>
      <c r="G50" s="34"/>
      <c r="H50" s="34"/>
      <c r="I50" s="3"/>
      <c r="J50" s="19">
        <v>4658816</v>
      </c>
      <c r="K50" s="20"/>
      <c r="L50" s="64">
        <v>0</v>
      </c>
      <c r="M50" s="47" t="s">
        <v>1595</v>
      </c>
      <c r="N50" s="47"/>
      <c r="O50" s="48"/>
      <c r="R50" s="19">
        <v>-625</v>
      </c>
      <c r="S50" s="132"/>
      <c r="U50" s="132"/>
      <c r="V50" s="625" t="s">
        <v>1976</v>
      </c>
      <c r="W50" s="19">
        <v>4871</v>
      </c>
      <c r="X50" s="132"/>
    </row>
    <row r="51" spans="1:24" ht="15">
      <c r="A51" s="70" t="s">
        <v>1599</v>
      </c>
      <c r="B51" s="64">
        <v>442567</v>
      </c>
      <c r="C51" s="64">
        <v>14451493</v>
      </c>
      <c r="D51" s="64">
        <v>10259956</v>
      </c>
      <c r="E51" s="64">
        <v>2730977</v>
      </c>
      <c r="F51" s="64">
        <v>9726333</v>
      </c>
      <c r="G51" s="34"/>
      <c r="H51" s="34"/>
      <c r="I51" s="3"/>
      <c r="J51" s="845">
        <v>11867446</v>
      </c>
      <c r="K51" s="20"/>
      <c r="L51" s="64">
        <v>0</v>
      </c>
      <c r="M51" s="79" t="s">
        <v>1596</v>
      </c>
      <c r="N51" s="47"/>
      <c r="O51" s="48"/>
      <c r="R51" s="19">
        <v>-1592</v>
      </c>
      <c r="S51" s="132"/>
      <c r="U51" s="132"/>
      <c r="V51" s="625" t="s">
        <v>1977</v>
      </c>
      <c r="W51" s="19">
        <v>0</v>
      </c>
      <c r="X51" s="132"/>
    </row>
    <row r="52" spans="1:24" ht="15">
      <c r="A52" s="70" t="s">
        <v>1600</v>
      </c>
      <c r="B52" s="64">
        <v>882083</v>
      </c>
      <c r="C52" s="19">
        <v>24525411</v>
      </c>
      <c r="D52" s="64">
        <v>20300696</v>
      </c>
      <c r="E52" s="64">
        <v>1436414</v>
      </c>
      <c r="F52" s="64">
        <v>19689239</v>
      </c>
      <c r="G52" s="34"/>
      <c r="H52" s="34"/>
      <c r="I52" s="3"/>
      <c r="J52" s="845">
        <v>15190263</v>
      </c>
      <c r="K52" s="20"/>
      <c r="L52" s="64">
        <v>0</v>
      </c>
      <c r="M52" s="81"/>
      <c r="N52" s="81"/>
      <c r="O52" s="82"/>
      <c r="R52" s="19">
        <v>-2038</v>
      </c>
      <c r="S52" s="132"/>
      <c r="U52" s="132"/>
      <c r="V52" s="625" t="s">
        <v>1978</v>
      </c>
      <c r="W52" s="65">
        <v>0</v>
      </c>
      <c r="X52" s="132"/>
    </row>
    <row r="53" spans="1:24" ht="15">
      <c r="A53" s="70" t="s">
        <v>1568</v>
      </c>
      <c r="B53" s="19">
        <v>0</v>
      </c>
      <c r="C53" s="64">
        <v>25036</v>
      </c>
      <c r="D53" s="64">
        <f>-191634</f>
        <v>-191634</v>
      </c>
      <c r="E53" s="64">
        <v>1188248</v>
      </c>
      <c r="F53" s="64">
        <f>-214394</f>
        <v>-214394</v>
      </c>
      <c r="G53" s="34"/>
      <c r="H53" s="34"/>
      <c r="I53" s="3"/>
      <c r="J53" s="25">
        <v>12262667</v>
      </c>
      <c r="K53" s="20"/>
      <c r="L53" s="65">
        <v>0</v>
      </c>
      <c r="M53" s="81"/>
      <c r="N53" s="81"/>
      <c r="O53" s="82"/>
      <c r="R53" s="25">
        <v>-1646</v>
      </c>
      <c r="S53" s="132"/>
      <c r="U53" s="486"/>
      <c r="V53" s="626" t="s">
        <v>1642</v>
      </c>
      <c r="W53" s="121">
        <f>SUM(W49:W52)</f>
        <v>9004</v>
      </c>
      <c r="X53" s="486"/>
    </row>
    <row r="54" spans="1:24" ht="15">
      <c r="A54" s="70" t="s">
        <v>1605</v>
      </c>
      <c r="B54" s="19">
        <v>1717086</v>
      </c>
      <c r="C54" s="64">
        <v>50772460</v>
      </c>
      <c r="D54" s="64">
        <v>35904232</v>
      </c>
      <c r="E54" s="64">
        <v>2958203</v>
      </c>
      <c r="F54" s="64">
        <v>34018982</v>
      </c>
      <c r="G54" s="34"/>
      <c r="H54" s="34"/>
      <c r="I54" s="3"/>
      <c r="J54" s="121">
        <f>SUM(J49:J53)</f>
        <v>67100785</v>
      </c>
      <c r="K54" s="29"/>
      <c r="L54" s="135">
        <f>SUM(L49:L53)</f>
        <v>0</v>
      </c>
      <c r="M54" s="83"/>
      <c r="N54" s="83"/>
      <c r="O54" s="84"/>
      <c r="R54" s="121">
        <f>SUM(R49:R53)</f>
        <v>-9004</v>
      </c>
      <c r="S54" s="486"/>
      <c r="U54" s="18"/>
      <c r="V54" s="18"/>
      <c r="W54" s="34"/>
      <c r="X54" s="18"/>
    </row>
    <row r="55" spans="1:9" ht="15">
      <c r="A55" s="309" t="s">
        <v>1642</v>
      </c>
      <c r="B55" s="308">
        <f>SUM(B48:B54)</f>
        <v>3886015</v>
      </c>
      <c r="C55" s="308">
        <f>SUM(C48:C54)</f>
        <v>122187057</v>
      </c>
      <c r="D55" s="308">
        <f>SUM(D48:D54)</f>
        <v>92178989</v>
      </c>
      <c r="E55" s="308">
        <f>SUM(E48:E54)</f>
        <v>12010743</v>
      </c>
      <c r="F55" s="308">
        <f>SUM(F48:F54)</f>
        <v>88492200</v>
      </c>
      <c r="G55" s="34"/>
      <c r="H55" s="34"/>
      <c r="I55" s="3"/>
    </row>
    <row r="56" spans="1:19" ht="19.5">
      <c r="A56" s="60" t="s">
        <v>1537</v>
      </c>
      <c r="B56" s="80" t="s">
        <v>1574</v>
      </c>
      <c r="C56" s="80" t="s">
        <v>1570</v>
      </c>
      <c r="D56" s="80" t="s">
        <v>1570</v>
      </c>
      <c r="E56" s="80" t="s">
        <v>1570</v>
      </c>
      <c r="F56" s="66" t="s">
        <v>1571</v>
      </c>
      <c r="G56" s="34"/>
      <c r="H56" s="34"/>
      <c r="I56" s="3"/>
      <c r="J56" s="1" t="s">
        <v>1601</v>
      </c>
      <c r="K56" s="56"/>
      <c r="L56" s="56"/>
      <c r="M56" s="56"/>
      <c r="N56" s="56"/>
      <c r="O56" s="56"/>
      <c r="P56" s="56"/>
      <c r="Q56" s="56"/>
      <c r="R56" s="17"/>
      <c r="S56" s="3"/>
    </row>
    <row r="57" spans="1:19" ht="16.5">
      <c r="A57" s="569" t="s">
        <v>1608</v>
      </c>
      <c r="B57" s="110">
        <v>526285</v>
      </c>
      <c r="C57" s="21">
        <v>18209848</v>
      </c>
      <c r="D57" s="21">
        <v>13319787</v>
      </c>
      <c r="E57" s="21">
        <v>2306463</v>
      </c>
      <c r="F57" s="21">
        <v>12457486</v>
      </c>
      <c r="G57" s="86"/>
      <c r="H57" s="86"/>
      <c r="I57" s="3"/>
      <c r="J57" s="11"/>
      <c r="K57" s="12" t="s">
        <v>1602</v>
      </c>
      <c r="L57" s="13"/>
      <c r="M57" s="11"/>
      <c r="N57" s="12" t="s">
        <v>1603</v>
      </c>
      <c r="O57" s="13"/>
      <c r="P57" s="11"/>
      <c r="Q57" s="12" t="s">
        <v>1604</v>
      </c>
      <c r="R57" s="13"/>
      <c r="S57" s="3">
        <v>422</v>
      </c>
    </row>
    <row r="58" spans="1:23" ht="16.5">
      <c r="A58" s="569" t="s">
        <v>1609</v>
      </c>
      <c r="B58" s="64">
        <v>4807</v>
      </c>
      <c r="C58" s="21">
        <v>494671</v>
      </c>
      <c r="D58" s="21">
        <v>145517</v>
      </c>
      <c r="E58" s="21">
        <v>79794</v>
      </c>
      <c r="F58" s="21">
        <v>141970</v>
      </c>
      <c r="G58" s="34"/>
      <c r="H58" s="34"/>
      <c r="I58" s="3"/>
      <c r="J58" s="14" t="s">
        <v>1606</v>
      </c>
      <c r="K58" s="15"/>
      <c r="L58" s="16" t="s">
        <v>1607</v>
      </c>
      <c r="M58" s="14" t="s">
        <v>1606</v>
      </c>
      <c r="N58" s="15"/>
      <c r="O58" s="16" t="s">
        <v>1607</v>
      </c>
      <c r="P58" s="14" t="s">
        <v>1606</v>
      </c>
      <c r="Q58" s="15"/>
      <c r="R58" s="16" t="s">
        <v>1607</v>
      </c>
      <c r="S58" s="883" t="s">
        <v>602</v>
      </c>
      <c r="T58" s="883"/>
      <c r="U58" s="883"/>
      <c r="W58" s="433" t="s">
        <v>635</v>
      </c>
    </row>
    <row r="59" spans="1:23" ht="15">
      <c r="A59" s="569" t="s">
        <v>1610</v>
      </c>
      <c r="B59" s="64">
        <v>23851</v>
      </c>
      <c r="C59" s="21">
        <v>446159</v>
      </c>
      <c r="D59" s="21">
        <v>369971</v>
      </c>
      <c r="E59" s="21">
        <v>40500</v>
      </c>
      <c r="F59" s="21">
        <v>341542</v>
      </c>
      <c r="G59" s="34"/>
      <c r="H59" s="34"/>
      <c r="I59" s="3"/>
      <c r="J59" s="19">
        <v>251280</v>
      </c>
      <c r="K59" s="20"/>
      <c r="L59" s="21">
        <v>9297869</v>
      </c>
      <c r="M59" s="19">
        <v>89910</v>
      </c>
      <c r="N59" s="20"/>
      <c r="O59" s="21">
        <v>5137456</v>
      </c>
      <c r="P59" s="19">
        <v>268075</v>
      </c>
      <c r="Q59" s="20"/>
      <c r="R59" s="75">
        <v>13163292</v>
      </c>
      <c r="S59" s="31">
        <f aca="true" t="shared" si="0" ref="S59:S64">J59+P59</f>
        <v>519355</v>
      </c>
      <c r="T59" s="54"/>
      <c r="U59" s="375">
        <f aca="true" t="shared" si="1" ref="U59:U64">L59+R59</f>
        <v>22461161</v>
      </c>
      <c r="V59" s="428"/>
      <c r="W59" s="375">
        <f aca="true" t="shared" si="2" ref="W59:W64">M199</f>
        <v>22461161</v>
      </c>
    </row>
    <row r="60" spans="1:23" ht="15">
      <c r="A60" s="569" t="s">
        <v>1611</v>
      </c>
      <c r="B60" s="64">
        <v>309320</v>
      </c>
      <c r="C60" s="21">
        <v>6513500</v>
      </c>
      <c r="D60" s="21">
        <v>8294896</v>
      </c>
      <c r="E60" s="21">
        <f>-910797</f>
        <v>-910797</v>
      </c>
      <c r="F60" s="21">
        <v>8011354</v>
      </c>
      <c r="G60" s="34"/>
      <c r="H60" s="34"/>
      <c r="I60" s="3"/>
      <c r="J60" s="19">
        <v>37647</v>
      </c>
      <c r="K60" s="20"/>
      <c r="L60" s="21">
        <v>1207489</v>
      </c>
      <c r="M60" s="19">
        <f>1456+2333</f>
        <v>3789</v>
      </c>
      <c r="N60" s="20"/>
      <c r="O60" s="21">
        <f>35021+56717</f>
        <v>91738</v>
      </c>
      <c r="P60" s="19">
        <v>40162</v>
      </c>
      <c r="Q60" s="20"/>
      <c r="R60" s="21">
        <v>1708874</v>
      </c>
      <c r="S60" s="315">
        <f t="shared" si="0"/>
        <v>77809</v>
      </c>
      <c r="T60" s="54"/>
      <c r="U60" s="134">
        <f>L60+R60</f>
        <v>2916363</v>
      </c>
      <c r="V60" s="428"/>
      <c r="W60" s="134">
        <f>M200</f>
        <v>2916363</v>
      </c>
    </row>
    <row r="61" spans="1:23" ht="15">
      <c r="A61" s="569" t="s">
        <v>1612</v>
      </c>
      <c r="B61" s="64">
        <v>92899</v>
      </c>
      <c r="C61" s="21">
        <v>3753821</v>
      </c>
      <c r="D61" s="21">
        <v>2232664</v>
      </c>
      <c r="E61" s="21">
        <v>664566</v>
      </c>
      <c r="F61" s="21">
        <v>2097602</v>
      </c>
      <c r="G61" s="34"/>
      <c r="H61" s="34"/>
      <c r="I61" s="3"/>
      <c r="J61" s="19">
        <v>45306</v>
      </c>
      <c r="K61" s="20"/>
      <c r="L61" s="21">
        <v>1448744</v>
      </c>
      <c r="M61" s="19">
        <f>46005+3395+5437</f>
        <v>54837</v>
      </c>
      <c r="N61" s="20"/>
      <c r="O61" s="21">
        <f>2624760+81737+132269</f>
        <v>2838766</v>
      </c>
      <c r="P61" s="19">
        <v>146814</v>
      </c>
      <c r="Q61" s="20"/>
      <c r="R61" s="75">
        <v>6958127</v>
      </c>
      <c r="S61" s="315">
        <f t="shared" si="0"/>
        <v>192120</v>
      </c>
      <c r="T61" s="54"/>
      <c r="U61" s="134">
        <f t="shared" si="1"/>
        <v>8406871</v>
      </c>
      <c r="V61" s="428"/>
      <c r="W61" s="134">
        <f t="shared" si="2"/>
        <v>8406871</v>
      </c>
    </row>
    <row r="62" spans="1:23" ht="15">
      <c r="A62" s="569" t="s">
        <v>965</v>
      </c>
      <c r="B62" s="64">
        <v>29494</v>
      </c>
      <c r="C62" s="21">
        <v>1871580</v>
      </c>
      <c r="D62" s="21">
        <v>1335890</v>
      </c>
      <c r="E62" s="21">
        <v>125652</v>
      </c>
      <c r="F62" s="21">
        <v>1326002</v>
      </c>
      <c r="G62" s="34"/>
      <c r="H62" s="34"/>
      <c r="I62" s="3"/>
      <c r="J62" s="19">
        <v>236393</v>
      </c>
      <c r="K62" s="20"/>
      <c r="L62" s="21">
        <v>8408626</v>
      </c>
      <c r="M62" s="19">
        <v>266</v>
      </c>
      <c r="N62" s="20"/>
      <c r="O62" s="21">
        <v>5857</v>
      </c>
      <c r="P62" s="19">
        <v>117436</v>
      </c>
      <c r="Q62" s="20"/>
      <c r="R62" s="75">
        <v>5278617</v>
      </c>
      <c r="S62" s="315">
        <f t="shared" si="0"/>
        <v>353829</v>
      </c>
      <c r="T62" s="54"/>
      <c r="U62" s="134">
        <f t="shared" si="1"/>
        <v>13687243</v>
      </c>
      <c r="V62" s="428"/>
      <c r="W62" s="134">
        <f t="shared" si="2"/>
        <v>13687243</v>
      </c>
    </row>
    <row r="63" spans="1:23" ht="15">
      <c r="A63" s="569" t="s">
        <v>1906</v>
      </c>
      <c r="B63" s="64">
        <v>0</v>
      </c>
      <c r="C63" s="21">
        <f>-131864</f>
        <v>-131864</v>
      </c>
      <c r="D63" s="21">
        <v>12134</v>
      </c>
      <c r="E63" s="21">
        <v>87704</v>
      </c>
      <c r="F63" s="21">
        <v>928</v>
      </c>
      <c r="G63" s="34"/>
      <c r="H63" s="34"/>
      <c r="I63" s="3"/>
      <c r="J63" s="25">
        <v>184061</v>
      </c>
      <c r="K63" s="20"/>
      <c r="L63" s="27">
        <v>6427097</v>
      </c>
      <c r="M63" s="25">
        <f>112+330+568</f>
        <v>1010</v>
      </c>
      <c r="N63" s="20"/>
      <c r="O63" s="27">
        <f>2465+12517+21562</f>
        <v>36544</v>
      </c>
      <c r="P63" s="25">
        <v>95545</v>
      </c>
      <c r="Q63" s="20"/>
      <c r="R63" s="26">
        <v>4293095</v>
      </c>
      <c r="S63" s="121">
        <f t="shared" si="0"/>
        <v>279606</v>
      </c>
      <c r="T63" s="54"/>
      <c r="U63" s="135">
        <f>L63+R63</f>
        <v>10720192</v>
      </c>
      <c r="V63" s="428"/>
      <c r="W63" s="135">
        <f t="shared" si="2"/>
        <v>10720192</v>
      </c>
    </row>
    <row r="64" spans="1:23" ht="15">
      <c r="A64" s="70" t="s">
        <v>1907</v>
      </c>
      <c r="B64" s="65">
        <v>24904</v>
      </c>
      <c r="C64" s="21">
        <v>2152204</v>
      </c>
      <c r="D64" s="21">
        <v>980909</v>
      </c>
      <c r="E64" s="21">
        <v>350193</v>
      </c>
      <c r="F64" s="21">
        <v>973773</v>
      </c>
      <c r="G64" s="34"/>
      <c r="H64" s="34"/>
      <c r="I64" s="3"/>
      <c r="J64" s="121">
        <f>SUM(J59:J63)</f>
        <v>754687</v>
      </c>
      <c r="K64" s="29"/>
      <c r="L64" s="29">
        <f>SUM(L59:L63)</f>
        <v>26789825</v>
      </c>
      <c r="M64" s="121">
        <f>SUM(M59:M63)</f>
        <v>149812</v>
      </c>
      <c r="N64" s="29"/>
      <c r="O64" s="29">
        <f>SUM(O59:O63)</f>
        <v>8110361</v>
      </c>
      <c r="P64" s="121">
        <f>SUM(P59:P63)</f>
        <v>668032</v>
      </c>
      <c r="Q64" s="29"/>
      <c r="R64" s="122">
        <f>SUM(R59:R63)</f>
        <v>31402005</v>
      </c>
      <c r="S64" s="108">
        <f t="shared" si="0"/>
        <v>1422719</v>
      </c>
      <c r="T64" s="17"/>
      <c r="U64" s="97">
        <f t="shared" si="1"/>
        <v>58191830</v>
      </c>
      <c r="W64" s="135">
        <f t="shared" si="2"/>
        <v>58191830</v>
      </c>
    </row>
    <row r="65" spans="1:9" ht="16.5">
      <c r="A65" s="712" t="s">
        <v>1642</v>
      </c>
      <c r="B65" s="308">
        <f>SUM(B57:B64)</f>
        <v>1011560</v>
      </c>
      <c r="C65" s="308">
        <f>SUM(C57:C64)</f>
        <v>33309919</v>
      </c>
      <c r="D65" s="308">
        <f>SUM(D57:D64)</f>
        <v>26691768</v>
      </c>
      <c r="E65" s="308">
        <f>SUM(E57:E64)</f>
        <v>2744075</v>
      </c>
      <c r="F65" s="308">
        <f>SUM(F57:F64)</f>
        <v>25350657</v>
      </c>
      <c r="G65" s="86"/>
      <c r="H65" s="86"/>
      <c r="I65" s="3"/>
    </row>
    <row r="66" spans="1:22" ht="15.75" customHeight="1">
      <c r="A66" s="85"/>
      <c r="B66" s="34"/>
      <c r="C66" s="34"/>
      <c r="D66" s="86"/>
      <c r="E66" s="86"/>
      <c r="F66" s="86"/>
      <c r="G66" s="541"/>
      <c r="H66" s="541"/>
      <c r="I66" s="3"/>
      <c r="J66" s="1" t="s">
        <v>1422</v>
      </c>
      <c r="K66" s="56"/>
      <c r="L66" s="56"/>
      <c r="M66" s="56"/>
      <c r="N66" s="56"/>
      <c r="O66" s="17"/>
      <c r="P66" s="1" t="s">
        <v>1423</v>
      </c>
      <c r="Q66" s="56"/>
      <c r="R66" s="56"/>
      <c r="S66" s="56"/>
      <c r="T66" s="56"/>
      <c r="U66" s="17"/>
      <c r="V66" s="3"/>
    </row>
    <row r="67" spans="2:22" ht="19.5">
      <c r="B67" s="1" t="s">
        <v>1618</v>
      </c>
      <c r="C67" s="56"/>
      <c r="D67" s="56"/>
      <c r="E67" s="17"/>
      <c r="F67" s="541">
        <v>452</v>
      </c>
      <c r="G67" s="3"/>
      <c r="H67" s="3"/>
      <c r="I67" s="3"/>
      <c r="J67" s="87"/>
      <c r="K67" s="54"/>
      <c r="L67" s="88" t="s">
        <v>1606</v>
      </c>
      <c r="M67" s="88" t="s">
        <v>1528</v>
      </c>
      <c r="N67" s="89"/>
      <c r="O67" s="90" t="s">
        <v>1613</v>
      </c>
      <c r="P67" s="87"/>
      <c r="Q67" s="54"/>
      <c r="R67" s="88" t="s">
        <v>1606</v>
      </c>
      <c r="S67" s="88" t="s">
        <v>1528</v>
      </c>
      <c r="T67" s="89"/>
      <c r="U67" s="90" t="s">
        <v>1613</v>
      </c>
      <c r="V67" s="3"/>
    </row>
    <row r="68" spans="2:22" ht="16.5">
      <c r="B68" s="92" t="s">
        <v>380</v>
      </c>
      <c r="C68" s="91"/>
      <c r="D68" s="93" t="s">
        <v>376</v>
      </c>
      <c r="E68" s="91"/>
      <c r="F68" s="3"/>
      <c r="G68" s="3"/>
      <c r="H68" s="3"/>
      <c r="I68" s="3"/>
      <c r="J68" s="11" t="s">
        <v>1615</v>
      </c>
      <c r="K68" s="13"/>
      <c r="L68" s="255">
        <v>56057</v>
      </c>
      <c r="M68" s="374">
        <v>1590954</v>
      </c>
      <c r="N68" s="33"/>
      <c r="O68" s="255">
        <v>1509783</v>
      </c>
      <c r="P68" s="11" t="s">
        <v>1615</v>
      </c>
      <c r="Q68" s="13"/>
      <c r="R68" s="255">
        <v>0</v>
      </c>
      <c r="S68" s="374">
        <v>0</v>
      </c>
      <c r="T68" s="33"/>
      <c r="U68" s="255">
        <v>0</v>
      </c>
      <c r="V68" s="3"/>
    </row>
    <row r="69" spans="2:22" ht="16.5">
      <c r="B69" s="14" t="s">
        <v>1528</v>
      </c>
      <c r="C69" s="16" t="s">
        <v>1530</v>
      </c>
      <c r="D69" s="15" t="s">
        <v>1528</v>
      </c>
      <c r="E69" s="16" t="s">
        <v>1530</v>
      </c>
      <c r="F69" s="3"/>
      <c r="G69" s="3"/>
      <c r="H69" s="3"/>
      <c r="I69" s="3"/>
      <c r="J69" s="22" t="s">
        <v>1616</v>
      </c>
      <c r="K69" s="91"/>
      <c r="L69" s="21">
        <v>318158</v>
      </c>
      <c r="M69" s="75">
        <v>6762450</v>
      </c>
      <c r="N69" s="20"/>
      <c r="O69" s="21">
        <v>5794612</v>
      </c>
      <c r="P69" s="22" t="s">
        <v>1616</v>
      </c>
      <c r="Q69" s="91"/>
      <c r="R69" s="21">
        <v>0</v>
      </c>
      <c r="S69" s="75">
        <v>0</v>
      </c>
      <c r="T69" s="20"/>
      <c r="U69" s="21">
        <v>0</v>
      </c>
      <c r="V69" s="3"/>
    </row>
    <row r="70" spans="2:24" ht="15">
      <c r="B70" s="64"/>
      <c r="C70" s="847">
        <v>13492563</v>
      </c>
      <c r="D70" s="21">
        <v>0</v>
      </c>
      <c r="E70" s="21">
        <v>13327893</v>
      </c>
      <c r="F70" s="3" t="s">
        <v>835</v>
      </c>
      <c r="G70" s="3"/>
      <c r="H70" s="3"/>
      <c r="I70" s="3"/>
      <c r="J70" s="22" t="s">
        <v>1617</v>
      </c>
      <c r="K70" s="91"/>
      <c r="L70" s="21">
        <v>701996</v>
      </c>
      <c r="M70" s="75">
        <v>17736633</v>
      </c>
      <c r="N70" s="20"/>
      <c r="O70" s="21">
        <v>15985853</v>
      </c>
      <c r="P70" s="22" t="s">
        <v>1617</v>
      </c>
      <c r="Q70" s="91"/>
      <c r="R70" s="21">
        <v>0</v>
      </c>
      <c r="S70" s="75">
        <v>0</v>
      </c>
      <c r="T70" s="20"/>
      <c r="U70" s="21">
        <v>0</v>
      </c>
      <c r="V70" s="3"/>
      <c r="X70" s="8" t="s">
        <v>1529</v>
      </c>
    </row>
    <row r="71" spans="2:22" ht="15">
      <c r="B71" s="64"/>
      <c r="C71" s="847">
        <v>2718647</v>
      </c>
      <c r="D71" s="21">
        <v>0</v>
      </c>
      <c r="E71" s="21">
        <v>2685467</v>
      </c>
      <c r="F71" s="3"/>
      <c r="G71" s="3"/>
      <c r="H71" s="3"/>
      <c r="I71" s="3"/>
      <c r="J71" s="22" t="s">
        <v>1619</v>
      </c>
      <c r="K71" s="91"/>
      <c r="L71" s="27">
        <v>0</v>
      </c>
      <c r="M71" s="26">
        <v>0</v>
      </c>
      <c r="N71" s="20"/>
      <c r="O71" s="27">
        <v>0</v>
      </c>
      <c r="P71" s="22" t="s">
        <v>1619</v>
      </c>
      <c r="Q71" s="91"/>
      <c r="R71" s="27">
        <v>0</v>
      </c>
      <c r="S71" s="26">
        <v>0</v>
      </c>
      <c r="T71" s="20"/>
      <c r="U71" s="27">
        <v>0</v>
      </c>
      <c r="V71" s="3"/>
    </row>
    <row r="72" spans="2:22" ht="15">
      <c r="B72" s="64"/>
      <c r="C72" s="21">
        <v>6925226</v>
      </c>
      <c r="D72" s="21">
        <v>0</v>
      </c>
      <c r="E72" s="21">
        <v>6840707</v>
      </c>
      <c r="F72" s="3"/>
      <c r="G72" s="3"/>
      <c r="H72" s="3"/>
      <c r="I72" s="3"/>
      <c r="J72" s="30"/>
      <c r="K72" s="94"/>
      <c r="L72" s="29">
        <f>SUM(L68:L71)</f>
        <v>1076211</v>
      </c>
      <c r="M72" s="122">
        <f>SUM(M68:M71)</f>
        <v>26090037</v>
      </c>
      <c r="N72" s="29"/>
      <c r="O72" s="29">
        <f>SUM(O67:O71)</f>
        <v>23290248</v>
      </c>
      <c r="P72" s="30"/>
      <c r="Q72" s="94"/>
      <c r="R72" s="29">
        <f>SUM(R68:R71)</f>
        <v>0</v>
      </c>
      <c r="S72" s="122">
        <f>SUM(S68:S71)</f>
        <v>0</v>
      </c>
      <c r="T72" s="29"/>
      <c r="U72" s="29">
        <f>SUM(U67:U71)</f>
        <v>0</v>
      </c>
      <c r="V72" s="3"/>
    </row>
    <row r="73" spans="2:22" ht="15">
      <c r="B73" s="64"/>
      <c r="C73" s="21">
        <v>8864250</v>
      </c>
      <c r="D73" s="21">
        <v>0</v>
      </c>
      <c r="E73" s="21">
        <v>8756067</v>
      </c>
      <c r="F73" s="3"/>
      <c r="G73" s="18"/>
      <c r="H73" s="18"/>
      <c r="I73" s="3"/>
      <c r="J73" s="11" t="s">
        <v>1620</v>
      </c>
      <c r="K73" s="13"/>
      <c r="L73" s="255">
        <v>0</v>
      </c>
      <c r="M73" s="374">
        <v>0</v>
      </c>
      <c r="N73" s="33"/>
      <c r="O73" s="255">
        <v>0</v>
      </c>
      <c r="P73" s="3" t="s">
        <v>1091</v>
      </c>
      <c r="Q73" s="3"/>
      <c r="R73" s="3"/>
      <c r="S73" s="3"/>
      <c r="T73" s="3"/>
      <c r="U73" s="3"/>
      <c r="V73" s="3"/>
    </row>
    <row r="74" spans="2:22" ht="15">
      <c r="B74" s="19"/>
      <c r="C74" s="19">
        <v>7155850</v>
      </c>
      <c r="D74" s="64">
        <v>0</v>
      </c>
      <c r="E74" s="19">
        <v>7068516</v>
      </c>
      <c r="F74" s="111"/>
      <c r="G74" s="18"/>
      <c r="H74" s="18"/>
      <c r="I74" s="3"/>
      <c r="J74" s="22" t="s">
        <v>1621</v>
      </c>
      <c r="K74" s="91"/>
      <c r="L74" s="21">
        <v>2425</v>
      </c>
      <c r="M74" s="75">
        <v>51543</v>
      </c>
      <c r="N74" s="20"/>
      <c r="O74" s="21">
        <v>44166</v>
      </c>
      <c r="P74" s="3"/>
      <c r="Q74" s="3"/>
      <c r="R74" s="3"/>
      <c r="S74" s="3"/>
      <c r="T74" s="3"/>
      <c r="U74" s="3"/>
      <c r="V74" s="3"/>
    </row>
    <row r="75" spans="2:22" ht="15">
      <c r="B75" s="843">
        <v>39156536</v>
      </c>
      <c r="C75" s="27"/>
      <c r="D75" s="27">
        <v>38678650.41</v>
      </c>
      <c r="E75" s="27">
        <v>0</v>
      </c>
      <c r="F75" s="18"/>
      <c r="G75" s="3"/>
      <c r="H75" s="3"/>
      <c r="I75" s="3"/>
      <c r="J75" s="22" t="s">
        <v>1622</v>
      </c>
      <c r="K75" s="91"/>
      <c r="L75" s="21">
        <v>5488</v>
      </c>
      <c r="M75" s="75">
        <v>138660</v>
      </c>
      <c r="N75" s="20"/>
      <c r="O75" s="21">
        <v>124972</v>
      </c>
      <c r="P75" s="3"/>
      <c r="Q75" s="3"/>
      <c r="R75" s="3"/>
      <c r="S75" s="3"/>
      <c r="T75" s="3"/>
      <c r="U75" s="3"/>
      <c r="V75" s="3"/>
    </row>
    <row r="76" spans="2:22" ht="15">
      <c r="B76" s="135">
        <f>SUM(B70:B75)</f>
        <v>39156536</v>
      </c>
      <c r="C76" s="135">
        <f>SUM(C70:C75)</f>
        <v>39156536</v>
      </c>
      <c r="D76" s="135">
        <f>SUM(D70:D75)</f>
        <v>38678650.41</v>
      </c>
      <c r="E76" s="135">
        <f>SUM(E70:E75)</f>
        <v>38678650</v>
      </c>
      <c r="F76" s="3"/>
      <c r="G76" s="3"/>
      <c r="H76" s="3"/>
      <c r="I76" s="3"/>
      <c r="J76" s="22" t="s">
        <v>1623</v>
      </c>
      <c r="K76" s="91"/>
      <c r="L76" s="27">
        <v>0</v>
      </c>
      <c r="M76" s="26">
        <v>0</v>
      </c>
      <c r="N76" s="20"/>
      <c r="O76" s="27">
        <v>0</v>
      </c>
      <c r="P76" s="3"/>
      <c r="Q76" s="3"/>
      <c r="R76" s="3"/>
      <c r="S76" s="3"/>
      <c r="T76" s="3"/>
      <c r="U76" s="3"/>
      <c r="V76" s="3"/>
    </row>
    <row r="77" spans="2:22" ht="16.5">
      <c r="B77" s="34"/>
      <c r="C77" s="95"/>
      <c r="D77" s="881" t="s">
        <v>640</v>
      </c>
      <c r="E77" s="882"/>
      <c r="F77" s="3"/>
      <c r="G77" s="3"/>
      <c r="H77" s="3"/>
      <c r="I77" s="3"/>
      <c r="J77" s="30"/>
      <c r="K77" s="94"/>
      <c r="L77" s="29">
        <f>SUM(L73:L76)</f>
        <v>7913</v>
      </c>
      <c r="M77" s="122">
        <f>SUM(M73:M76)</f>
        <v>190203</v>
      </c>
      <c r="N77" s="29"/>
      <c r="O77" s="29">
        <f>SUM(O73:O76)</f>
        <v>169138</v>
      </c>
      <c r="P77" s="3"/>
      <c r="Q77" s="3"/>
      <c r="R77" s="3"/>
      <c r="S77" s="3"/>
      <c r="T77" s="3"/>
      <c r="U77" s="3"/>
      <c r="V77" s="3"/>
    </row>
    <row r="78" spans="2:22" ht="15">
      <c r="B78" s="34"/>
      <c r="C78" s="98"/>
      <c r="D78" s="21">
        <v>218857</v>
      </c>
      <c r="E78" s="21">
        <v>35280</v>
      </c>
      <c r="F78" s="3"/>
      <c r="G78" s="3"/>
      <c r="H78" s="3"/>
      <c r="I78" s="3"/>
      <c r="J78" s="11" t="s">
        <v>1624</v>
      </c>
      <c r="K78" s="13"/>
      <c r="L78" s="255">
        <v>0</v>
      </c>
      <c r="M78" s="374">
        <v>0</v>
      </c>
      <c r="N78" s="33"/>
      <c r="O78" s="255">
        <v>0</v>
      </c>
      <c r="P78" s="3"/>
      <c r="Q78" s="3"/>
      <c r="R78" s="3"/>
      <c r="S78" s="3"/>
      <c r="T78" s="3"/>
      <c r="U78" s="3"/>
      <c r="V78" s="3"/>
    </row>
    <row r="79" spans="2:22" ht="15">
      <c r="B79" s="34"/>
      <c r="C79" s="98"/>
      <c r="D79" s="21">
        <v>44098</v>
      </c>
      <c r="E79" s="21">
        <v>7108</v>
      </c>
      <c r="F79" s="3"/>
      <c r="G79" s="18"/>
      <c r="H79" s="18"/>
      <c r="I79" s="3"/>
      <c r="J79" s="22" t="s">
        <v>1625</v>
      </c>
      <c r="K79" s="91"/>
      <c r="L79" s="21">
        <v>2</v>
      </c>
      <c r="M79" s="75">
        <v>56</v>
      </c>
      <c r="N79" s="20"/>
      <c r="O79" s="21">
        <v>53</v>
      </c>
      <c r="P79" s="3"/>
      <c r="Q79" s="3"/>
      <c r="R79" s="3"/>
      <c r="S79" s="3"/>
      <c r="T79" s="3"/>
      <c r="U79" s="3"/>
      <c r="V79" s="3"/>
    </row>
    <row r="80" spans="2:22" ht="15">
      <c r="B80" s="34"/>
      <c r="C80" s="98"/>
      <c r="D80" s="21">
        <v>112331</v>
      </c>
      <c r="E80" s="21">
        <v>18108</v>
      </c>
      <c r="F80" s="18"/>
      <c r="G80" s="18"/>
      <c r="H80" s="18"/>
      <c r="I80" s="3"/>
      <c r="J80" s="22" t="s">
        <v>1626</v>
      </c>
      <c r="K80" s="91"/>
      <c r="L80" s="21">
        <v>32</v>
      </c>
      <c r="M80" s="75">
        <v>808</v>
      </c>
      <c r="N80" s="20"/>
      <c r="O80" s="21">
        <v>728</v>
      </c>
      <c r="P80" s="3"/>
      <c r="Q80" s="3"/>
      <c r="R80" s="3"/>
      <c r="S80" s="3"/>
      <c r="T80" s="3"/>
      <c r="U80" s="3"/>
      <c r="V80" s="3"/>
    </row>
    <row r="81" spans="2:22" ht="16.5">
      <c r="B81" s="34"/>
      <c r="C81" s="98"/>
      <c r="D81" s="21">
        <v>79207</v>
      </c>
      <c r="E81" s="21">
        <v>491358</v>
      </c>
      <c r="F81" s="18"/>
      <c r="G81" s="99"/>
      <c r="H81" s="99"/>
      <c r="I81" s="3"/>
      <c r="J81" s="22" t="s">
        <v>1627</v>
      </c>
      <c r="K81" s="91"/>
      <c r="L81" s="27">
        <v>0</v>
      </c>
      <c r="M81" s="26">
        <v>0</v>
      </c>
      <c r="N81" s="20"/>
      <c r="O81" s="27">
        <v>0</v>
      </c>
      <c r="P81" s="3"/>
      <c r="Q81" s="3"/>
      <c r="R81" s="3"/>
      <c r="S81" s="3"/>
      <c r="T81" s="3"/>
      <c r="U81" s="3"/>
      <c r="V81" s="3"/>
    </row>
    <row r="82" spans="2:22" ht="16.5">
      <c r="B82" s="34"/>
      <c r="C82" s="98"/>
      <c r="D82" s="27">
        <v>116072</v>
      </c>
      <c r="E82" s="27">
        <v>18711</v>
      </c>
      <c r="F82" s="99"/>
      <c r="G82" s="34"/>
      <c r="H82" s="34"/>
      <c r="I82" s="3"/>
      <c r="J82" s="30"/>
      <c r="K82" s="94"/>
      <c r="L82" s="29">
        <f>SUM(L78:L81)</f>
        <v>34</v>
      </c>
      <c r="M82" s="122">
        <f>SUM(M78:M81)</f>
        <v>864</v>
      </c>
      <c r="N82" s="29"/>
      <c r="O82" s="29">
        <f>SUM(O78:O81)</f>
        <v>781</v>
      </c>
      <c r="P82" s="3"/>
      <c r="Q82" s="3"/>
      <c r="R82" s="3"/>
      <c r="S82" s="3"/>
      <c r="T82" s="3"/>
      <c r="U82" s="3"/>
      <c r="V82" s="3"/>
    </row>
    <row r="83" spans="2:22" ht="15">
      <c r="B83" s="34"/>
      <c r="C83" s="98"/>
      <c r="D83" s="29">
        <f>SUM(D78:D82)</f>
        <v>570565</v>
      </c>
      <c r="E83" s="29">
        <f>SUM(E78:E82)</f>
        <v>570565</v>
      </c>
      <c r="F83" s="34"/>
      <c r="G83" s="34"/>
      <c r="H83" s="34"/>
      <c r="I83" s="3"/>
      <c r="J83" s="11" t="s">
        <v>1628</v>
      </c>
      <c r="K83" s="13"/>
      <c r="L83" s="255">
        <v>0</v>
      </c>
      <c r="M83" s="374">
        <v>0</v>
      </c>
      <c r="N83" s="33"/>
      <c r="O83" s="255">
        <v>0</v>
      </c>
      <c r="P83" s="3"/>
      <c r="Q83" s="3"/>
      <c r="R83" s="3"/>
      <c r="S83" s="3"/>
      <c r="T83" s="3"/>
      <c r="U83" s="3"/>
      <c r="V83" s="3"/>
    </row>
    <row r="84" spans="6:22" ht="16.5">
      <c r="F84" s="34"/>
      <c r="G84" s="560"/>
      <c r="H84" s="560"/>
      <c r="I84" s="3"/>
      <c r="J84" s="22" t="s">
        <v>1631</v>
      </c>
      <c r="K84" s="91"/>
      <c r="L84" s="21">
        <v>0</v>
      </c>
      <c r="M84" s="75">
        <v>0</v>
      </c>
      <c r="N84" s="20"/>
      <c r="O84" s="21">
        <v>0</v>
      </c>
      <c r="P84" s="3"/>
      <c r="Q84" s="3"/>
      <c r="R84" s="3"/>
      <c r="S84" s="3"/>
      <c r="T84" s="3"/>
      <c r="U84" s="3"/>
      <c r="V84" s="3"/>
    </row>
    <row r="85" spans="2:22" ht="16.5">
      <c r="B85" s="100" t="s">
        <v>1634</v>
      </c>
      <c r="C85" s="67" t="s">
        <v>1551</v>
      </c>
      <c r="D85" s="67" t="s">
        <v>1551</v>
      </c>
      <c r="E85" s="67" t="s">
        <v>1575</v>
      </c>
      <c r="F85" s="125" t="s">
        <v>1575</v>
      </c>
      <c r="G85" s="8" t="s">
        <v>839</v>
      </c>
      <c r="H85" s="560"/>
      <c r="I85" s="3"/>
      <c r="J85" s="22" t="s">
        <v>1632</v>
      </c>
      <c r="K85" s="91"/>
      <c r="L85" s="21">
        <v>0</v>
      </c>
      <c r="M85" s="75">
        <v>0</v>
      </c>
      <c r="N85" s="20"/>
      <c r="O85" s="21">
        <v>0</v>
      </c>
      <c r="P85" s="3"/>
      <c r="Q85" s="3"/>
      <c r="R85" s="3"/>
      <c r="S85" s="3"/>
      <c r="T85" s="3"/>
      <c r="U85" s="3"/>
      <c r="V85" s="3"/>
    </row>
    <row r="86" spans="2:22" ht="16.5">
      <c r="B86" s="102" t="s">
        <v>1526</v>
      </c>
      <c r="C86" s="88" t="s">
        <v>1638</v>
      </c>
      <c r="D86" s="88" t="s">
        <v>1588</v>
      </c>
      <c r="E86" s="88" t="s">
        <v>1639</v>
      </c>
      <c r="F86" s="133" t="s">
        <v>1640</v>
      </c>
      <c r="H86" s="561"/>
      <c r="I86" s="3"/>
      <c r="J86" s="22" t="s">
        <v>1633</v>
      </c>
      <c r="K86" s="91"/>
      <c r="L86" s="27">
        <v>0</v>
      </c>
      <c r="M86" s="26">
        <v>0</v>
      </c>
      <c r="N86" s="20"/>
      <c r="O86" s="27">
        <v>0</v>
      </c>
      <c r="P86" s="3"/>
      <c r="Q86" s="3"/>
      <c r="R86" s="3"/>
      <c r="S86" s="3"/>
      <c r="T86" s="3"/>
      <c r="U86" s="3"/>
      <c r="V86" s="3"/>
    </row>
    <row r="87" spans="2:22" ht="16.5">
      <c r="B87" s="103" t="s">
        <v>1637</v>
      </c>
      <c r="C87" s="717">
        <v>4470.01</v>
      </c>
      <c r="D87" s="104">
        <v>4470.006</v>
      </c>
      <c r="E87" s="717">
        <v>4470.01</v>
      </c>
      <c r="F87" s="440">
        <v>4470.006</v>
      </c>
      <c r="H87" s="561"/>
      <c r="I87" s="3"/>
      <c r="J87" s="30"/>
      <c r="K87" s="94"/>
      <c r="L87" s="29">
        <f>SUM(L83:L86)</f>
        <v>0</v>
      </c>
      <c r="M87" s="122">
        <f>SUM(M83:M86)</f>
        <v>0</v>
      </c>
      <c r="N87" s="29"/>
      <c r="O87" s="29">
        <f>SUM(O83:O86)</f>
        <v>0</v>
      </c>
      <c r="P87" s="18"/>
      <c r="Q87" s="18"/>
      <c r="R87" s="18"/>
      <c r="S87" s="18"/>
      <c r="T87" s="3"/>
      <c r="U87" s="3"/>
      <c r="V87" s="3"/>
    </row>
    <row r="88" spans="1:22" ht="16.5">
      <c r="A88" s="798"/>
      <c r="B88" s="109" t="s">
        <v>1532</v>
      </c>
      <c r="C88" s="110">
        <v>444658</v>
      </c>
      <c r="D88" s="110">
        <v>443913</v>
      </c>
      <c r="E88" s="110">
        <v>21583128</v>
      </c>
      <c r="F88" s="110">
        <v>23567320</v>
      </c>
      <c r="H88" s="561"/>
      <c r="I88" s="3"/>
      <c r="J88" s="11" t="s">
        <v>1635</v>
      </c>
      <c r="K88" s="13"/>
      <c r="L88" s="255">
        <v>0</v>
      </c>
      <c r="M88" s="374">
        <v>0</v>
      </c>
      <c r="N88" s="33"/>
      <c r="O88" s="255">
        <v>0</v>
      </c>
      <c r="P88" s="18"/>
      <c r="Q88" s="18"/>
      <c r="R88" s="18"/>
      <c r="S88" s="18"/>
      <c r="T88" s="3"/>
      <c r="U88" s="3"/>
      <c r="V88" s="3"/>
    </row>
    <row r="89" spans="2:22" ht="16.5">
      <c r="B89" s="112" t="s">
        <v>1533</v>
      </c>
      <c r="C89" s="64">
        <v>89596</v>
      </c>
      <c r="D89" s="64">
        <v>89446</v>
      </c>
      <c r="E89" s="64">
        <v>4348821</v>
      </c>
      <c r="F89" s="64">
        <v>4748618</v>
      </c>
      <c r="H89" s="561"/>
      <c r="I89" s="3"/>
      <c r="J89" s="22" t="s">
        <v>1636</v>
      </c>
      <c r="K89" s="91"/>
      <c r="L89" s="21">
        <v>50518</v>
      </c>
      <c r="M89" s="75">
        <v>1433752</v>
      </c>
      <c r="N89" s="20"/>
      <c r="O89" s="21">
        <v>1360601</v>
      </c>
      <c r="P89" s="18"/>
      <c r="Q89" s="18"/>
      <c r="R89" s="18"/>
      <c r="S89" s="18"/>
      <c r="T89" s="3"/>
      <c r="U89" s="3"/>
      <c r="V89" s="3"/>
    </row>
    <row r="90" spans="2:22" ht="16.5">
      <c r="B90" s="112" t="s">
        <v>1534</v>
      </c>
      <c r="C90" s="64">
        <v>228229</v>
      </c>
      <c r="D90" s="64">
        <v>227847</v>
      </c>
      <c r="E90" s="64">
        <v>11077811</v>
      </c>
      <c r="F90" s="64">
        <v>12096222</v>
      </c>
      <c r="H90" s="561"/>
      <c r="I90" s="3"/>
      <c r="J90" s="22" t="s">
        <v>1641</v>
      </c>
      <c r="K90" s="91"/>
      <c r="L90" s="21">
        <v>258959</v>
      </c>
      <c r="M90" s="75">
        <v>5504175</v>
      </c>
      <c r="N90" s="20"/>
      <c r="O90" s="21">
        <v>4716420</v>
      </c>
      <c r="P90" s="18"/>
      <c r="Q90" s="18"/>
      <c r="R90" s="18"/>
      <c r="S90" s="18"/>
      <c r="T90" s="3"/>
      <c r="U90" s="3"/>
      <c r="V90" s="3"/>
    </row>
    <row r="91" spans="2:22" ht="16.5">
      <c r="B91" s="112" t="s">
        <v>1536</v>
      </c>
      <c r="C91" s="64">
        <v>292131</v>
      </c>
      <c r="D91" s="64">
        <v>291636</v>
      </c>
      <c r="E91" s="64">
        <v>14179548</v>
      </c>
      <c r="F91" s="64">
        <v>15483110</v>
      </c>
      <c r="H91" s="561"/>
      <c r="I91" s="3"/>
      <c r="J91" s="22" t="s">
        <v>1643</v>
      </c>
      <c r="K91" s="91"/>
      <c r="L91" s="27">
        <v>563916</v>
      </c>
      <c r="M91" s="26">
        <v>14247903</v>
      </c>
      <c r="N91" s="20"/>
      <c r="O91" s="27">
        <v>12841495</v>
      </c>
      <c r="P91" s="18"/>
      <c r="Q91" s="18"/>
      <c r="R91" s="18"/>
      <c r="S91" s="18"/>
      <c r="T91" s="3"/>
      <c r="U91" s="3"/>
      <c r="V91" s="3"/>
    </row>
    <row r="92" spans="2:22" ht="16.5">
      <c r="B92" s="112" t="s">
        <v>1537</v>
      </c>
      <c r="C92" s="65">
        <v>235828</v>
      </c>
      <c r="D92" s="65">
        <v>235430</v>
      </c>
      <c r="E92" s="65">
        <v>11446737</v>
      </c>
      <c r="F92" s="65">
        <v>12499065</v>
      </c>
      <c r="H92" s="34"/>
      <c r="I92" s="3"/>
      <c r="J92" s="30"/>
      <c r="K92" s="94"/>
      <c r="L92" s="308">
        <f>SUM(L88:L91)</f>
        <v>873393</v>
      </c>
      <c r="M92" s="122">
        <f>SUM(M88:M91)</f>
        <v>21185830</v>
      </c>
      <c r="N92" s="29"/>
      <c r="O92" s="29">
        <f>SUM(O88:O91)</f>
        <v>18918516</v>
      </c>
      <c r="P92" s="18"/>
      <c r="Q92" s="18"/>
      <c r="R92" s="18"/>
      <c r="S92" s="18"/>
      <c r="T92" s="3"/>
      <c r="U92" s="3"/>
      <c r="V92" s="3"/>
    </row>
    <row r="93" spans="2:22" ht="16.5">
      <c r="B93" s="106" t="s">
        <v>1642</v>
      </c>
      <c r="C93" s="135">
        <f>SUM(C88:C92)</f>
        <v>1290442</v>
      </c>
      <c r="D93" s="135">
        <f>SUM(D88:D92)</f>
        <v>1288272</v>
      </c>
      <c r="E93" s="135">
        <f>SUM(E88:E92)</f>
        <v>62636045</v>
      </c>
      <c r="F93" s="135">
        <f>SUM(F88:F92)</f>
        <v>68394335</v>
      </c>
      <c r="H93" s="562"/>
      <c r="I93" s="3"/>
      <c r="J93" s="111"/>
      <c r="K93" s="18"/>
      <c r="L93" s="34"/>
      <c r="M93" s="34"/>
      <c r="N93" s="34"/>
      <c r="O93" s="34"/>
      <c r="P93" s="18"/>
      <c r="Q93" s="18"/>
      <c r="R93" s="18"/>
      <c r="S93" s="18"/>
      <c r="T93" s="3"/>
      <c r="U93" s="3"/>
      <c r="V93" s="3"/>
    </row>
    <row r="94" spans="2:21" ht="19.5">
      <c r="B94" s="107" t="s">
        <v>1644</v>
      </c>
      <c r="C94" s="108"/>
      <c r="D94" s="96"/>
      <c r="E94" s="96"/>
      <c r="F94" s="97"/>
      <c r="H94" s="538"/>
      <c r="J94" s="1" t="s">
        <v>1418</v>
      </c>
      <c r="K94" s="56"/>
      <c r="L94" s="56"/>
      <c r="M94" s="56"/>
      <c r="N94" s="96"/>
      <c r="O94" s="96"/>
      <c r="P94" s="56"/>
      <c r="Q94" s="56"/>
      <c r="R94" s="56"/>
      <c r="S94" s="56"/>
      <c r="T94" s="56"/>
      <c r="U94" s="17"/>
    </row>
    <row r="95" spans="2:21" ht="16.5">
      <c r="B95" s="109" t="s">
        <v>1532</v>
      </c>
      <c r="C95" s="110">
        <v>444553</v>
      </c>
      <c r="D95" s="110">
        <v>443825</v>
      </c>
      <c r="E95" s="110">
        <v>21623523</v>
      </c>
      <c r="F95" s="110">
        <v>23564024</v>
      </c>
      <c r="G95" s="8" t="s">
        <v>835</v>
      </c>
      <c r="H95" s="538"/>
      <c r="I95" s="3"/>
      <c r="J95" s="22"/>
      <c r="K95" s="54"/>
      <c r="L95" s="250" t="s">
        <v>1646</v>
      </c>
      <c r="M95" s="55" t="s">
        <v>1647</v>
      </c>
      <c r="N95" s="46" t="s">
        <v>1648</v>
      </c>
      <c r="O95" s="75"/>
      <c r="P95" s="81"/>
      <c r="Q95" s="81"/>
      <c r="R95" s="81"/>
      <c r="S95" s="81"/>
      <c r="T95" s="246"/>
      <c r="U95" s="247"/>
    </row>
    <row r="96" spans="2:21" ht="16.5">
      <c r="B96" s="112" t="s">
        <v>1533</v>
      </c>
      <c r="C96" s="64">
        <v>89575</v>
      </c>
      <c r="D96" s="64">
        <v>89427</v>
      </c>
      <c r="E96" s="64">
        <v>4356960</v>
      </c>
      <c r="F96" s="64">
        <v>4747954</v>
      </c>
      <c r="H96" s="538"/>
      <c r="I96" s="3"/>
      <c r="J96" s="22"/>
      <c r="K96" s="54"/>
      <c r="L96" s="61" t="s">
        <v>1649</v>
      </c>
      <c r="M96" s="16" t="s">
        <v>1649</v>
      </c>
      <c r="N96" s="46" t="s">
        <v>360</v>
      </c>
      <c r="O96" s="75"/>
      <c r="P96" s="81"/>
      <c r="Q96" s="81"/>
      <c r="R96" s="81"/>
      <c r="S96" s="81"/>
      <c r="T96" s="81"/>
      <c r="U96" s="82"/>
    </row>
    <row r="97" spans="2:21" ht="16.5">
      <c r="B97" s="112" t="s">
        <v>1534</v>
      </c>
      <c r="C97" s="64">
        <v>228174</v>
      </c>
      <c r="D97" s="64">
        <v>227797</v>
      </c>
      <c r="E97" s="64">
        <v>11098544</v>
      </c>
      <c r="F97" s="64">
        <v>12094530</v>
      </c>
      <c r="H97" s="538"/>
      <c r="I97" s="3"/>
      <c r="J97" s="22" t="s">
        <v>1204</v>
      </c>
      <c r="K97" s="54"/>
      <c r="L97" s="423">
        <v>0</v>
      </c>
      <c r="M97" s="113" t="s">
        <v>1650</v>
      </c>
      <c r="N97" s="114" t="s">
        <v>361</v>
      </c>
      <c r="O97" s="75"/>
      <c r="P97" s="81"/>
      <c r="Q97" s="81"/>
      <c r="R97" s="81"/>
      <c r="S97" s="81"/>
      <c r="T97" s="81"/>
      <c r="U97" s="82"/>
    </row>
    <row r="98" spans="2:21" ht="16.5">
      <c r="B98" s="112" t="s">
        <v>1536</v>
      </c>
      <c r="C98" s="64">
        <v>292060</v>
      </c>
      <c r="D98" s="64">
        <v>291575</v>
      </c>
      <c r="E98" s="64">
        <v>14206086</v>
      </c>
      <c r="F98" s="64">
        <v>15480944</v>
      </c>
      <c r="H98" s="538"/>
      <c r="I98" s="3"/>
      <c r="J98" s="22" t="s">
        <v>1651</v>
      </c>
      <c r="K98" s="54"/>
      <c r="L98" s="424">
        <v>0</v>
      </c>
      <c r="M98" s="113" t="s">
        <v>1650</v>
      </c>
      <c r="N98" s="46" t="s">
        <v>366</v>
      </c>
      <c r="O98" s="75"/>
      <c r="P98" s="81"/>
      <c r="Q98" s="81"/>
      <c r="R98" s="81"/>
      <c r="S98" s="81"/>
      <c r="T98" s="81"/>
      <c r="U98" s="82"/>
    </row>
    <row r="99" spans="2:21" ht="16.5">
      <c r="B99" s="112" t="s">
        <v>1537</v>
      </c>
      <c r="C99" s="65">
        <v>235770</v>
      </c>
      <c r="D99" s="65">
        <v>235379</v>
      </c>
      <c r="E99" s="65">
        <v>11468161</v>
      </c>
      <c r="F99" s="65">
        <v>12497316</v>
      </c>
      <c r="H99" s="52"/>
      <c r="I99" s="3"/>
      <c r="J99" s="22" t="s">
        <v>175</v>
      </c>
      <c r="K99" s="54"/>
      <c r="L99" s="424">
        <v>0</v>
      </c>
      <c r="M99" s="113" t="s">
        <v>1650</v>
      </c>
      <c r="N99" s="114" t="s">
        <v>1652</v>
      </c>
      <c r="O99" s="75"/>
      <c r="P99" s="81"/>
      <c r="Q99" s="81"/>
      <c r="R99" s="81"/>
      <c r="S99" s="81"/>
      <c r="T99" s="81"/>
      <c r="U99" s="82"/>
    </row>
    <row r="100" spans="2:21" ht="16.5">
      <c r="B100" s="106" t="s">
        <v>1642</v>
      </c>
      <c r="C100" s="135">
        <f>SUM(C95:C99)</f>
        <v>1290132</v>
      </c>
      <c r="D100" s="135">
        <f>SUM(D95:D99)</f>
        <v>1288003</v>
      </c>
      <c r="E100" s="135">
        <f>SUM(E95:E99)</f>
        <v>62753274</v>
      </c>
      <c r="F100" s="135">
        <f>SUM(F95:F99)</f>
        <v>68384768</v>
      </c>
      <c r="H100" s="116"/>
      <c r="I100" s="3"/>
      <c r="J100" s="22" t="s">
        <v>1028</v>
      </c>
      <c r="K100" s="54"/>
      <c r="L100" s="424">
        <v>0</v>
      </c>
      <c r="M100" s="113" t="s">
        <v>1650</v>
      </c>
      <c r="N100" s="119" t="s">
        <v>367</v>
      </c>
      <c r="O100" s="26"/>
      <c r="P100" s="83"/>
      <c r="Q100" s="83"/>
      <c r="R100" s="83"/>
      <c r="S100" s="83"/>
      <c r="T100" s="83"/>
      <c r="U100" s="84"/>
    </row>
    <row r="101" spans="3:21" ht="16.5">
      <c r="C101" s="115"/>
      <c r="D101" s="115"/>
      <c r="E101" s="116"/>
      <c r="F101" s="116"/>
      <c r="G101" s="560"/>
      <c r="H101" s="560"/>
      <c r="I101" s="3"/>
      <c r="J101" s="22" t="s">
        <v>1458</v>
      </c>
      <c r="K101" s="54"/>
      <c r="L101" s="424">
        <v>0</v>
      </c>
      <c r="M101" s="113" t="s">
        <v>1650</v>
      </c>
      <c r="N101" s="34"/>
      <c r="O101" s="34"/>
      <c r="P101" s="18"/>
      <c r="Q101" s="18"/>
      <c r="R101" s="18"/>
      <c r="S101" s="18"/>
      <c r="T101" s="3"/>
      <c r="U101" s="3"/>
    </row>
    <row r="102" spans="2:21" ht="16.5">
      <c r="B102" s="117" t="s">
        <v>359</v>
      </c>
      <c r="C102" s="100" t="s">
        <v>1551</v>
      </c>
      <c r="D102" s="67" t="s">
        <v>1551</v>
      </c>
      <c r="E102" s="67" t="s">
        <v>1575</v>
      </c>
      <c r="F102" s="101" t="s">
        <v>1575</v>
      </c>
      <c r="G102" s="8" t="s">
        <v>839</v>
      </c>
      <c r="H102" s="561"/>
      <c r="I102" s="3"/>
      <c r="J102" s="22" t="s">
        <v>1655</v>
      </c>
      <c r="K102" s="54"/>
      <c r="L102" s="301">
        <v>0</v>
      </c>
      <c r="M102" s="302">
        <f>L102</f>
        <v>0</v>
      </c>
      <c r="N102" s="34"/>
      <c r="O102" s="34"/>
      <c r="P102" s="18"/>
      <c r="Q102" s="18"/>
      <c r="R102" s="18"/>
      <c r="S102" s="18"/>
      <c r="T102" s="3"/>
      <c r="U102" s="3"/>
    </row>
    <row r="103" spans="2:21" ht="16.5">
      <c r="B103" s="120" t="s">
        <v>1637</v>
      </c>
      <c r="C103" s="103" t="s">
        <v>1638</v>
      </c>
      <c r="D103" s="104" t="s">
        <v>1588</v>
      </c>
      <c r="E103" s="104" t="s">
        <v>1639</v>
      </c>
      <c r="F103" s="105" t="s">
        <v>1640</v>
      </c>
      <c r="G103" s="561"/>
      <c r="H103" s="561"/>
      <c r="I103" s="3"/>
      <c r="J103" s="22" t="s">
        <v>1656</v>
      </c>
      <c r="K103" s="54"/>
      <c r="L103" s="301">
        <v>0</v>
      </c>
      <c r="M103" s="123">
        <f>L103</f>
        <v>0</v>
      </c>
      <c r="N103" s="34"/>
      <c r="O103" s="34"/>
      <c r="P103" s="18"/>
      <c r="Q103" s="18"/>
      <c r="R103" s="18"/>
      <c r="S103" s="18"/>
      <c r="T103" s="3"/>
      <c r="U103" s="3"/>
    </row>
    <row r="104" spans="2:21" ht="16.5">
      <c r="B104" s="313" t="s">
        <v>1532</v>
      </c>
      <c r="C104" s="19">
        <v>0</v>
      </c>
      <c r="D104" s="110">
        <v>0</v>
      </c>
      <c r="E104" s="110">
        <v>0</v>
      </c>
      <c r="F104" s="110">
        <v>0</v>
      </c>
      <c r="G104" s="561"/>
      <c r="H104" s="561"/>
      <c r="I104" s="3"/>
      <c r="J104" s="22" t="s">
        <v>1657</v>
      </c>
      <c r="K104" s="54"/>
      <c r="L104" s="301">
        <v>0</v>
      </c>
      <c r="M104" s="123" t="s">
        <v>1650</v>
      </c>
      <c r="N104" s="34"/>
      <c r="O104" s="34"/>
      <c r="P104" s="18"/>
      <c r="Q104" s="18"/>
      <c r="R104" s="18"/>
      <c r="S104" s="18"/>
      <c r="T104" s="3"/>
      <c r="U104" s="3"/>
    </row>
    <row r="105" spans="2:21" ht="16.5">
      <c r="B105" s="92" t="s">
        <v>1533</v>
      </c>
      <c r="C105" s="19">
        <v>0</v>
      </c>
      <c r="D105" s="64">
        <v>0</v>
      </c>
      <c r="E105" s="64">
        <v>0</v>
      </c>
      <c r="F105" s="64">
        <v>0</v>
      </c>
      <c r="G105" s="561"/>
      <c r="H105" s="561"/>
      <c r="I105" s="3"/>
      <c r="J105" s="30" t="s">
        <v>1654</v>
      </c>
      <c r="K105" s="58"/>
      <c r="L105" s="249">
        <v>0</v>
      </c>
      <c r="M105" s="303">
        <f>L105*0.0811</f>
        <v>0</v>
      </c>
      <c r="N105" s="34"/>
      <c r="O105" s="34"/>
      <c r="P105" s="18"/>
      <c r="Q105" s="18"/>
      <c r="R105" s="18"/>
      <c r="S105" s="18"/>
      <c r="T105" s="3"/>
      <c r="U105" s="3"/>
    </row>
    <row r="106" spans="2:24" ht="16.5">
      <c r="B106" s="92" t="s">
        <v>1534</v>
      </c>
      <c r="C106" s="19">
        <v>0</v>
      </c>
      <c r="D106" s="64">
        <v>0</v>
      </c>
      <c r="E106" s="64">
        <v>0</v>
      </c>
      <c r="F106" s="64">
        <v>0</v>
      </c>
      <c r="G106" s="561"/>
      <c r="H106" s="561"/>
      <c r="I106" s="3"/>
      <c r="J106" s="18"/>
      <c r="K106" s="18"/>
      <c r="L106" s="124"/>
      <c r="M106" s="52"/>
      <c r="N106" s="34"/>
      <c r="O106" s="99"/>
      <c r="P106" s="18"/>
      <c r="Q106" s="18"/>
      <c r="R106" s="18"/>
      <c r="S106" s="18"/>
      <c r="T106" s="3"/>
      <c r="U106" s="99"/>
      <c r="V106" s="18"/>
      <c r="W106" s="18"/>
      <c r="X106" s="18"/>
    </row>
    <row r="107" spans="2:24" ht="19.5">
      <c r="B107" s="92" t="s">
        <v>1536</v>
      </c>
      <c r="C107" s="19">
        <v>0</v>
      </c>
      <c r="D107" s="64">
        <v>0</v>
      </c>
      <c r="E107" s="64">
        <v>0</v>
      </c>
      <c r="F107" s="64">
        <v>0</v>
      </c>
      <c r="G107" s="561"/>
      <c r="H107" s="561"/>
      <c r="I107" s="3"/>
      <c r="J107" s="38" t="s">
        <v>1645</v>
      </c>
      <c r="K107" s="42"/>
      <c r="L107" s="530" t="s">
        <v>1658</v>
      </c>
      <c r="M107" s="491" t="s">
        <v>1637</v>
      </c>
      <c r="N107" s="67"/>
      <c r="O107" s="250" t="s">
        <v>1659</v>
      </c>
      <c r="U107" s="99"/>
      <c r="V107" s="18"/>
      <c r="W107" s="18"/>
      <c r="X107" s="18"/>
    </row>
    <row r="108" spans="2:24" ht="16.5">
      <c r="B108" s="112" t="s">
        <v>1537</v>
      </c>
      <c r="C108" s="65">
        <v>0</v>
      </c>
      <c r="D108" s="65">
        <v>0</v>
      </c>
      <c r="E108" s="65">
        <v>0</v>
      </c>
      <c r="F108" s="65">
        <v>0</v>
      </c>
      <c r="G108" s="34"/>
      <c r="H108" s="34"/>
      <c r="J108" s="22"/>
      <c r="K108" s="54"/>
      <c r="L108" s="531" t="s">
        <v>1642</v>
      </c>
      <c r="M108" s="35" t="s">
        <v>1660</v>
      </c>
      <c r="N108" s="15"/>
      <c r="O108" s="61" t="s">
        <v>1661</v>
      </c>
      <c r="P108" s="3"/>
      <c r="U108" s="99"/>
      <c r="V108" s="18"/>
      <c r="W108" s="18"/>
      <c r="X108" s="18"/>
    </row>
    <row r="109" spans="2:24" ht="16.5">
      <c r="B109" s="106" t="s">
        <v>1642</v>
      </c>
      <c r="C109" s="135">
        <f>SUM(C104:C108)</f>
        <v>0</v>
      </c>
      <c r="D109" s="135">
        <f>SUM(D104:D108)</f>
        <v>0</v>
      </c>
      <c r="E109" s="135">
        <f>SUM(E104:E108)</f>
        <v>0</v>
      </c>
      <c r="F109" s="135">
        <f>SUM(F104:F108)</f>
        <v>0</v>
      </c>
      <c r="G109" s="34"/>
      <c r="H109" s="34"/>
      <c r="I109" s="3"/>
      <c r="J109" s="30"/>
      <c r="K109" s="58"/>
      <c r="L109" s="301"/>
      <c r="M109" s="248"/>
      <c r="N109" s="94"/>
      <c r="O109" s="16" t="s">
        <v>68</v>
      </c>
      <c r="P109" s="3"/>
      <c r="R109" s="884" t="s">
        <v>530</v>
      </c>
      <c r="S109" s="886"/>
      <c r="T109" s="886"/>
      <c r="U109" s="885"/>
      <c r="V109" s="18"/>
      <c r="W109" s="18"/>
      <c r="X109" s="18"/>
    </row>
    <row r="110" spans="2:24" ht="16.5">
      <c r="B110" s="107" t="s">
        <v>1644</v>
      </c>
      <c r="C110" s="108"/>
      <c r="D110" s="96"/>
      <c r="E110" s="96"/>
      <c r="F110" s="97"/>
      <c r="G110" s="34"/>
      <c r="H110" s="34"/>
      <c r="I110" s="3"/>
      <c r="J110" s="126" t="s">
        <v>528</v>
      </c>
      <c r="K110" s="54"/>
      <c r="L110" s="572">
        <v>22661</v>
      </c>
      <c r="M110" s="127">
        <v>420770</v>
      </c>
      <c r="N110" s="252"/>
      <c r="O110" s="128">
        <v>2521</v>
      </c>
      <c r="P110" s="3" t="s">
        <v>1092</v>
      </c>
      <c r="R110" s="243"/>
      <c r="S110" s="678" t="s">
        <v>1103</v>
      </c>
      <c r="T110" s="662"/>
      <c r="U110" s="660" t="s">
        <v>1104</v>
      </c>
      <c r="V110" s="18"/>
      <c r="X110" s="18"/>
    </row>
    <row r="111" spans="2:24" ht="16.5">
      <c r="B111" s="109" t="s">
        <v>1532</v>
      </c>
      <c r="C111" s="110">
        <v>0</v>
      </c>
      <c r="D111" s="110">
        <v>0</v>
      </c>
      <c r="E111" s="110">
        <v>0</v>
      </c>
      <c r="F111" s="110">
        <v>0</v>
      </c>
      <c r="G111" s="8" t="s">
        <v>835</v>
      </c>
      <c r="H111" s="34"/>
      <c r="I111" s="3"/>
      <c r="J111" s="126" t="s">
        <v>529</v>
      </c>
      <c r="K111" s="54"/>
      <c r="L111" s="573">
        <v>22449</v>
      </c>
      <c r="M111" s="127">
        <v>364452</v>
      </c>
      <c r="N111" s="253"/>
      <c r="O111" s="128">
        <v>2217</v>
      </c>
      <c r="P111" s="3"/>
      <c r="R111" s="433" t="s">
        <v>1532</v>
      </c>
      <c r="S111" s="674">
        <v>0</v>
      </c>
      <c r="T111" s="676"/>
      <c r="U111" s="774">
        <f>IF(ISNUMBER(S111/S113*U113),S111/S113*U113,0)</f>
        <v>0</v>
      </c>
      <c r="V111" s="18"/>
      <c r="W111" s="41"/>
      <c r="X111" s="18"/>
    </row>
    <row r="112" spans="2:24" ht="16.5">
      <c r="B112" s="112" t="s">
        <v>1533</v>
      </c>
      <c r="C112" s="64">
        <v>0</v>
      </c>
      <c r="D112" s="64">
        <v>0</v>
      </c>
      <c r="E112" s="64">
        <v>0</v>
      </c>
      <c r="F112" s="64">
        <v>0</v>
      </c>
      <c r="G112" s="34"/>
      <c r="H112" s="34"/>
      <c r="I112" s="3"/>
      <c r="J112" s="126" t="s">
        <v>530</v>
      </c>
      <c r="K112" s="54"/>
      <c r="L112" s="681">
        <f>S111</f>
        <v>0</v>
      </c>
      <c r="M112" s="679">
        <f>U111</f>
        <v>0</v>
      </c>
      <c r="N112" s="253"/>
      <c r="O112" s="128">
        <v>0</v>
      </c>
      <c r="P112" s="3"/>
      <c r="R112" s="433" t="s">
        <v>1688</v>
      </c>
      <c r="S112" s="674">
        <v>0</v>
      </c>
      <c r="T112" s="676"/>
      <c r="U112" s="675">
        <f>U113-U111</f>
        <v>0</v>
      </c>
      <c r="V112" s="18"/>
      <c r="W112" s="18"/>
      <c r="X112" s="18"/>
    </row>
    <row r="113" spans="2:24" ht="16.5">
      <c r="B113" s="112" t="s">
        <v>1534</v>
      </c>
      <c r="C113" s="64">
        <v>0</v>
      </c>
      <c r="D113" s="64">
        <v>0</v>
      </c>
      <c r="E113" s="64">
        <v>0</v>
      </c>
      <c r="F113" s="64">
        <v>0</v>
      </c>
      <c r="G113" s="34"/>
      <c r="H113" s="34"/>
      <c r="I113" s="3"/>
      <c r="J113" s="126" t="s">
        <v>141</v>
      </c>
      <c r="K113" s="54"/>
      <c r="L113" s="573">
        <v>275</v>
      </c>
      <c r="M113" s="127">
        <v>910</v>
      </c>
      <c r="N113" s="253"/>
      <c r="O113" s="128">
        <v>0</v>
      </c>
      <c r="P113" s="3"/>
      <c r="R113" s="433" t="s">
        <v>1687</v>
      </c>
      <c r="S113" s="675">
        <f>SUM(S111:S112)</f>
        <v>0</v>
      </c>
      <c r="T113" s="677"/>
      <c r="U113" s="674"/>
      <c r="V113" s="18"/>
      <c r="W113" s="451"/>
      <c r="X113" s="18"/>
    </row>
    <row r="114" spans="2:24" ht="16.5">
      <c r="B114" s="112" t="s">
        <v>1536</v>
      </c>
      <c r="C114" s="64">
        <v>0</v>
      </c>
      <c r="D114" s="64">
        <v>0</v>
      </c>
      <c r="E114" s="64">
        <v>0</v>
      </c>
      <c r="F114" s="64">
        <v>0</v>
      </c>
      <c r="G114" s="34"/>
      <c r="H114" s="34"/>
      <c r="I114" s="3"/>
      <c r="J114" s="126" t="s">
        <v>142</v>
      </c>
      <c r="K114" s="54"/>
      <c r="L114" s="573">
        <v>276</v>
      </c>
      <c r="M114" s="127">
        <v>914</v>
      </c>
      <c r="N114" s="253"/>
      <c r="O114" s="128">
        <v>0</v>
      </c>
      <c r="P114" s="3"/>
      <c r="U114" s="457"/>
      <c r="V114" s="18"/>
      <c r="W114" s="18"/>
      <c r="X114" s="18"/>
    </row>
    <row r="115" spans="2:24" ht="16.5">
      <c r="B115" s="112" t="s">
        <v>1537</v>
      </c>
      <c r="C115" s="65">
        <v>0</v>
      </c>
      <c r="D115" s="65">
        <v>0</v>
      </c>
      <c r="E115" s="65">
        <v>0</v>
      </c>
      <c r="F115" s="65">
        <v>0</v>
      </c>
      <c r="G115" s="34"/>
      <c r="H115" s="34"/>
      <c r="I115" s="3"/>
      <c r="J115" s="126" t="s">
        <v>143</v>
      </c>
      <c r="K115" s="54"/>
      <c r="L115" s="573">
        <v>278</v>
      </c>
      <c r="M115" s="127">
        <v>917</v>
      </c>
      <c r="N115" s="253"/>
      <c r="O115" s="128">
        <v>0</v>
      </c>
      <c r="P115" s="3"/>
      <c r="U115" s="457"/>
      <c r="V115" s="18"/>
      <c r="W115" s="18"/>
      <c r="X115" s="18"/>
    </row>
    <row r="116" spans="2:24" ht="16.5">
      <c r="B116" s="106" t="s">
        <v>1642</v>
      </c>
      <c r="C116" s="135">
        <f>SUM(C111:C115)</f>
        <v>0</v>
      </c>
      <c r="D116" s="135">
        <f>SUM(D111:D115)</f>
        <v>0</v>
      </c>
      <c r="E116" s="135">
        <f>SUM(E111:E115)</f>
        <v>0</v>
      </c>
      <c r="F116" s="135">
        <f>SUM(F111:F115)</f>
        <v>0</v>
      </c>
      <c r="G116" s="116"/>
      <c r="H116" s="116"/>
      <c r="I116" s="3"/>
      <c r="J116" s="126" t="s">
        <v>144</v>
      </c>
      <c r="K116" s="54"/>
      <c r="L116" s="573">
        <v>282</v>
      </c>
      <c r="M116" s="127">
        <v>935</v>
      </c>
      <c r="N116" s="253"/>
      <c r="O116" s="128">
        <v>0</v>
      </c>
      <c r="P116" s="3"/>
      <c r="R116" s="115"/>
      <c r="U116" s="457"/>
      <c r="V116" s="18"/>
      <c r="W116" s="451"/>
      <c r="X116" s="18"/>
    </row>
    <row r="117" spans="3:24" ht="15">
      <c r="C117" s="115"/>
      <c r="D117" s="115"/>
      <c r="E117" s="116" t="s">
        <v>1529</v>
      </c>
      <c r="F117" s="116"/>
      <c r="G117" s="3"/>
      <c r="H117" s="3"/>
      <c r="I117" s="3"/>
      <c r="J117" s="126" t="s">
        <v>145</v>
      </c>
      <c r="K117" s="54"/>
      <c r="L117" s="573">
        <v>289</v>
      </c>
      <c r="M117" s="127">
        <v>940</v>
      </c>
      <c r="N117" s="253"/>
      <c r="O117" s="128">
        <v>0</v>
      </c>
      <c r="P117" s="3"/>
      <c r="U117" s="684"/>
      <c r="V117" s="18"/>
      <c r="W117" s="18"/>
      <c r="X117" s="18"/>
    </row>
    <row r="118" spans="1:24" ht="16.5">
      <c r="A118" s="242" t="s">
        <v>1606</v>
      </c>
      <c r="B118" s="242" t="s">
        <v>595</v>
      </c>
      <c r="D118" s="242" t="s">
        <v>199</v>
      </c>
      <c r="E118" s="3"/>
      <c r="F118" s="3"/>
      <c r="G118" s="560"/>
      <c r="H118" s="560"/>
      <c r="J118" s="126" t="s">
        <v>146</v>
      </c>
      <c r="K118" s="54"/>
      <c r="L118" s="573">
        <v>293</v>
      </c>
      <c r="M118" s="127">
        <v>937</v>
      </c>
      <c r="N118" s="253"/>
      <c r="O118" s="128">
        <v>0</v>
      </c>
      <c r="P118" s="3"/>
      <c r="U118" s="683"/>
      <c r="V118" s="18"/>
      <c r="W118" s="451"/>
      <c r="X118" s="18"/>
    </row>
    <row r="119" spans="1:24" ht="16.5">
      <c r="A119" s="62" t="s">
        <v>64</v>
      </c>
      <c r="B119" s="244" t="s">
        <v>1638</v>
      </c>
      <c r="C119" s="244" t="s">
        <v>1592</v>
      </c>
      <c r="D119" s="62" t="s">
        <v>64</v>
      </c>
      <c r="E119" s="244" t="s">
        <v>1638</v>
      </c>
      <c r="F119" s="244" t="s">
        <v>1592</v>
      </c>
      <c r="G119" s="8" t="s">
        <v>837</v>
      </c>
      <c r="H119" s="560"/>
      <c r="J119" s="126" t="s">
        <v>531</v>
      </c>
      <c r="K119" s="54"/>
      <c r="L119" s="573">
        <v>21955</v>
      </c>
      <c r="M119" s="127">
        <v>85818</v>
      </c>
      <c r="N119" s="253"/>
      <c r="O119" s="128">
        <v>406</v>
      </c>
      <c r="P119" s="3"/>
      <c r="R119" s="884" t="s">
        <v>1891</v>
      </c>
      <c r="S119" s="885"/>
      <c r="U119" s="457"/>
      <c r="V119" s="18"/>
      <c r="W119" s="18"/>
      <c r="X119" s="18"/>
    </row>
    <row r="120" spans="1:24" ht="16.5">
      <c r="A120" s="477"/>
      <c r="B120" s="110">
        <v>33907</v>
      </c>
      <c r="C120" s="110">
        <v>33900</v>
      </c>
      <c r="D120" s="477"/>
      <c r="E120" s="110">
        <v>1390947</v>
      </c>
      <c r="F120" s="110">
        <v>1468935</v>
      </c>
      <c r="G120" s="560"/>
      <c r="H120" s="560"/>
      <c r="J120" s="126" t="s">
        <v>532</v>
      </c>
      <c r="K120" s="54"/>
      <c r="L120" s="573">
        <v>9760</v>
      </c>
      <c r="M120" s="127">
        <v>24001</v>
      </c>
      <c r="N120" s="253"/>
      <c r="O120" s="128">
        <v>114</v>
      </c>
      <c r="P120" s="3"/>
      <c r="R120" s="418">
        <v>2222</v>
      </c>
      <c r="S120" s="439">
        <v>7561</v>
      </c>
      <c r="U120" s="457"/>
      <c r="V120" s="18"/>
      <c r="W120" s="18"/>
      <c r="X120" s="18"/>
    </row>
    <row r="121" spans="1:24" ht="16.5">
      <c r="A121" s="478"/>
      <c r="B121" s="64">
        <v>6832</v>
      </c>
      <c r="C121" s="64">
        <v>6831</v>
      </c>
      <c r="D121" s="478"/>
      <c r="E121" s="64">
        <v>280264</v>
      </c>
      <c r="F121" s="64">
        <v>295978</v>
      </c>
      <c r="G121" s="560"/>
      <c r="H121" s="560"/>
      <c r="J121" s="126" t="s">
        <v>533</v>
      </c>
      <c r="K121" s="54"/>
      <c r="L121" s="573">
        <v>18464</v>
      </c>
      <c r="M121" s="127">
        <v>77852</v>
      </c>
      <c r="N121" s="253"/>
      <c r="O121" s="128">
        <v>344</v>
      </c>
      <c r="P121" s="3"/>
      <c r="R121" s="433" t="s">
        <v>1103</v>
      </c>
      <c r="S121" s="436" t="s">
        <v>1104</v>
      </c>
      <c r="U121" s="457"/>
      <c r="V121" s="18"/>
      <c r="W121" s="18"/>
      <c r="X121" s="18"/>
    </row>
    <row r="122" spans="1:24" ht="16.5">
      <c r="A122" s="478"/>
      <c r="B122" s="64">
        <v>17403</v>
      </c>
      <c r="C122" s="64">
        <v>17399</v>
      </c>
      <c r="D122" s="478"/>
      <c r="E122" s="64">
        <v>713921</v>
      </c>
      <c r="F122" s="64">
        <v>753950</v>
      </c>
      <c r="G122" s="560"/>
      <c r="H122" s="560"/>
      <c r="J122" s="126" t="s">
        <v>534</v>
      </c>
      <c r="K122" s="54"/>
      <c r="L122" s="434">
        <f>R122</f>
        <v>900.0506329113924</v>
      </c>
      <c r="M122" s="435">
        <f>S122</f>
        <v>3062.6835443037976</v>
      </c>
      <c r="N122" s="253"/>
      <c r="O122" s="128">
        <v>32</v>
      </c>
      <c r="P122" s="3"/>
      <c r="R122" s="301">
        <f>O122/(O122+O123)*R120</f>
        <v>900.0506329113924</v>
      </c>
      <c r="S122" s="437">
        <f>O122/(O122+O123)*S120</f>
        <v>3062.6835443037976</v>
      </c>
      <c r="U122" s="457"/>
      <c r="V122" s="18"/>
      <c r="W122" s="18"/>
      <c r="X122" s="18"/>
    </row>
    <row r="123" spans="1:24" ht="16.5">
      <c r="A123" s="478"/>
      <c r="B123" s="64">
        <v>22275</v>
      </c>
      <c r="C123" s="64">
        <v>22271</v>
      </c>
      <c r="D123" s="478"/>
      <c r="E123" s="64">
        <v>913815</v>
      </c>
      <c r="F123" s="64">
        <v>965052</v>
      </c>
      <c r="G123" s="560"/>
      <c r="H123" s="560"/>
      <c r="J123" s="126" t="s">
        <v>535</v>
      </c>
      <c r="K123" s="54"/>
      <c r="L123" s="434">
        <f>R123</f>
        <v>1321.9493670886075</v>
      </c>
      <c r="M123" s="435">
        <f>S123</f>
        <v>4498.316455696202</v>
      </c>
      <c r="N123" s="253"/>
      <c r="O123" s="128">
        <v>47</v>
      </c>
      <c r="P123" s="3"/>
      <c r="R123" s="249">
        <f>O123/(O122+O123)*R120</f>
        <v>1321.9493670886075</v>
      </c>
      <c r="S123" s="438">
        <f>O123/(O122+O123)*S120</f>
        <v>4498.316455696202</v>
      </c>
      <c r="U123" s="457"/>
      <c r="V123" s="18"/>
      <c r="W123" s="18"/>
      <c r="X123" s="18"/>
    </row>
    <row r="124" spans="1:24" ht="15">
      <c r="A124" s="476"/>
      <c r="B124" s="65">
        <v>17983</v>
      </c>
      <c r="C124" s="65">
        <v>17978</v>
      </c>
      <c r="D124" s="476"/>
      <c r="E124" s="65">
        <v>737696</v>
      </c>
      <c r="F124" s="65">
        <v>779058</v>
      </c>
      <c r="G124" s="34"/>
      <c r="H124" s="34"/>
      <c r="J124" s="126" t="s">
        <v>536</v>
      </c>
      <c r="K124" s="54"/>
      <c r="L124" s="573">
        <v>51706</v>
      </c>
      <c r="M124" s="127">
        <v>106491</v>
      </c>
      <c r="N124" s="253"/>
      <c r="O124" s="128">
        <v>721</v>
      </c>
      <c r="P124" s="3"/>
      <c r="R124" s="135">
        <f>SUM(R122:R123)</f>
        <v>2222</v>
      </c>
      <c r="S124" s="29">
        <f>SUM(S122:S123)</f>
        <v>7561</v>
      </c>
      <c r="U124" s="457"/>
      <c r="V124" s="18"/>
      <c r="W124" s="18"/>
      <c r="X124" s="18"/>
    </row>
    <row r="125" spans="1:24" ht="15">
      <c r="A125" s="135">
        <f aca="true" t="shared" si="3" ref="A125:F125">SUM(A120:A124)</f>
        <v>0</v>
      </c>
      <c r="B125" s="135">
        <f t="shared" si="3"/>
        <v>98400</v>
      </c>
      <c r="C125" s="135">
        <f t="shared" si="3"/>
        <v>98379</v>
      </c>
      <c r="D125" s="135">
        <f t="shared" si="3"/>
        <v>0</v>
      </c>
      <c r="E125" s="135">
        <f t="shared" si="3"/>
        <v>4036643</v>
      </c>
      <c r="F125" s="135">
        <f t="shared" si="3"/>
        <v>4262973</v>
      </c>
      <c r="G125" s="34"/>
      <c r="H125" s="34"/>
      <c r="J125" s="126" t="s">
        <v>537</v>
      </c>
      <c r="K125" s="54"/>
      <c r="L125" s="573">
        <v>40075</v>
      </c>
      <c r="M125" s="127">
        <v>109467</v>
      </c>
      <c r="N125" s="253"/>
      <c r="O125" s="128">
        <v>724</v>
      </c>
      <c r="P125" s="3"/>
      <c r="U125" s="457"/>
      <c r="V125" s="18"/>
      <c r="W125" s="18"/>
      <c r="X125" s="18"/>
    </row>
    <row r="126" spans="1:24" ht="16.5" customHeight="1">
      <c r="A126" s="107" t="s">
        <v>1644</v>
      </c>
      <c r="B126" s="417"/>
      <c r="C126" s="96"/>
      <c r="D126" s="96"/>
      <c r="E126" s="96"/>
      <c r="F126" s="97"/>
      <c r="G126" s="34"/>
      <c r="H126" s="34"/>
      <c r="J126" s="126" t="s">
        <v>538</v>
      </c>
      <c r="K126" s="54"/>
      <c r="L126" s="573">
        <v>13099</v>
      </c>
      <c r="M126" s="127">
        <v>57863</v>
      </c>
      <c r="N126" s="253"/>
      <c r="O126" s="128">
        <v>365</v>
      </c>
      <c r="P126" s="3"/>
      <c r="U126" s="457"/>
      <c r="V126" s="18"/>
      <c r="W126" s="18"/>
      <c r="X126" s="18"/>
    </row>
    <row r="127" spans="1:24" ht="16.5" customHeight="1">
      <c r="A127" s="477"/>
      <c r="B127" s="75">
        <v>33899</v>
      </c>
      <c r="C127" s="19">
        <v>33899</v>
      </c>
      <c r="D127" s="478"/>
      <c r="E127" s="21">
        <v>1390271</v>
      </c>
      <c r="F127" s="64">
        <v>1469443</v>
      </c>
      <c r="G127" s="34" t="s">
        <v>835</v>
      </c>
      <c r="H127" s="34"/>
      <c r="J127" s="126" t="s">
        <v>539</v>
      </c>
      <c r="K127" s="54"/>
      <c r="L127" s="573">
        <v>26565</v>
      </c>
      <c r="M127" s="127">
        <v>768495</v>
      </c>
      <c r="N127" s="253"/>
      <c r="O127" s="128">
        <v>171</v>
      </c>
      <c r="P127" s="3"/>
      <c r="U127" s="457"/>
      <c r="V127" s="18"/>
      <c r="W127" s="18"/>
      <c r="X127" s="18"/>
    </row>
    <row r="128" spans="1:24" ht="15">
      <c r="A128" s="478"/>
      <c r="B128" s="75">
        <v>6830</v>
      </c>
      <c r="C128" s="19">
        <v>6831</v>
      </c>
      <c r="D128" s="478"/>
      <c r="E128" s="21">
        <v>280128</v>
      </c>
      <c r="F128" s="64">
        <v>296081</v>
      </c>
      <c r="G128" s="34"/>
      <c r="H128" s="34"/>
      <c r="J128" s="126" t="s">
        <v>540</v>
      </c>
      <c r="K128" s="54"/>
      <c r="L128" s="573">
        <v>5417</v>
      </c>
      <c r="M128" s="127">
        <v>18029</v>
      </c>
      <c r="N128" s="253"/>
      <c r="O128" s="128">
        <v>129</v>
      </c>
      <c r="P128" s="3"/>
      <c r="U128" s="457"/>
      <c r="V128" s="18"/>
      <c r="W128" s="18"/>
      <c r="X128" s="18"/>
    </row>
    <row r="129" spans="1:24" ht="16.5">
      <c r="A129" s="478"/>
      <c r="B129" s="75">
        <v>17398</v>
      </c>
      <c r="C129" s="19">
        <v>17399</v>
      </c>
      <c r="D129" s="478"/>
      <c r="E129" s="21">
        <v>713574</v>
      </c>
      <c r="F129" s="64">
        <v>754210</v>
      </c>
      <c r="G129" s="34"/>
      <c r="H129" s="34"/>
      <c r="J129" s="126" t="s">
        <v>541</v>
      </c>
      <c r="K129" s="54"/>
      <c r="L129" s="261"/>
      <c r="M129" s="262"/>
      <c r="N129" s="253"/>
      <c r="O129" s="263"/>
      <c r="P129" s="266" t="s">
        <v>603</v>
      </c>
      <c r="U129" s="457"/>
      <c r="V129" s="495"/>
      <c r="W129" s="495"/>
      <c r="X129" s="18"/>
    </row>
    <row r="130" spans="1:24" ht="15">
      <c r="A130" s="478"/>
      <c r="B130" s="75">
        <v>22270</v>
      </c>
      <c r="C130" s="19">
        <v>22269</v>
      </c>
      <c r="D130" s="478"/>
      <c r="E130" s="21">
        <v>913371</v>
      </c>
      <c r="F130" s="64">
        <v>965385</v>
      </c>
      <c r="G130" s="34"/>
      <c r="H130" s="34"/>
      <c r="J130" s="126" t="s">
        <v>542</v>
      </c>
      <c r="K130" s="54"/>
      <c r="L130" s="573">
        <v>4609</v>
      </c>
      <c r="M130" s="127">
        <v>62199</v>
      </c>
      <c r="N130" s="253"/>
      <c r="O130" s="128">
        <v>550</v>
      </c>
      <c r="P130" s="308">
        <f>SUM(O110:O130)</f>
        <v>8341</v>
      </c>
      <c r="U130" s="457"/>
      <c r="V130" s="34"/>
      <c r="W130" s="34"/>
      <c r="X130" s="18"/>
    </row>
    <row r="131" spans="1:24" ht="16.5" customHeight="1">
      <c r="A131" s="476"/>
      <c r="B131" s="75">
        <v>17979</v>
      </c>
      <c r="C131" s="19">
        <v>17978</v>
      </c>
      <c r="D131" s="476"/>
      <c r="E131" s="27">
        <v>737338</v>
      </c>
      <c r="F131" s="65">
        <v>779327</v>
      </c>
      <c r="G131" s="34"/>
      <c r="H131" s="34"/>
      <c r="J131" s="126" t="s">
        <v>543</v>
      </c>
      <c r="K131" s="54"/>
      <c r="L131" s="261"/>
      <c r="M131" s="262"/>
      <c r="N131" s="253"/>
      <c r="O131" s="263"/>
      <c r="P131" s="266" t="s">
        <v>603</v>
      </c>
      <c r="U131" s="457"/>
      <c r="V131" s="495"/>
      <c r="W131" s="495"/>
      <c r="X131" s="18"/>
    </row>
    <row r="132" spans="1:24" ht="16.5" customHeight="1">
      <c r="A132" s="135">
        <f aca="true" t="shared" si="4" ref="A132:F132">SUM(A127:A131)</f>
        <v>0</v>
      </c>
      <c r="B132" s="308">
        <f t="shared" si="4"/>
        <v>98376</v>
      </c>
      <c r="C132" s="308">
        <f t="shared" si="4"/>
        <v>98376</v>
      </c>
      <c r="D132" s="135">
        <f t="shared" si="4"/>
        <v>0</v>
      </c>
      <c r="E132" s="29">
        <f t="shared" si="4"/>
        <v>4034682</v>
      </c>
      <c r="F132" s="135">
        <f t="shared" si="4"/>
        <v>4264446</v>
      </c>
      <c r="G132" s="3"/>
      <c r="H132" s="3"/>
      <c r="J132" s="129" t="s">
        <v>544</v>
      </c>
      <c r="K132" s="58"/>
      <c r="L132" s="689"/>
      <c r="M132" s="265"/>
      <c r="N132" s="254"/>
      <c r="O132" s="264"/>
      <c r="P132" s="266" t="s">
        <v>603</v>
      </c>
      <c r="U132" s="457"/>
      <c r="V132" s="495"/>
      <c r="W132" s="495"/>
      <c r="X132" s="18"/>
    </row>
    <row r="133" spans="5:24" ht="16.5">
      <c r="E133" s="3"/>
      <c r="F133" s="3"/>
      <c r="G133" s="560"/>
      <c r="H133" s="560"/>
      <c r="J133" s="275" t="s">
        <v>545</v>
      </c>
      <c r="K133" s="13"/>
      <c r="L133" s="572">
        <v>15356</v>
      </c>
      <c r="M133" s="276">
        <v>95847</v>
      </c>
      <c r="N133" s="252"/>
      <c r="O133" s="277">
        <v>567</v>
      </c>
      <c r="P133" s="3"/>
      <c r="U133" s="457"/>
      <c r="V133" s="18"/>
      <c r="W133" s="18"/>
      <c r="X133" s="18"/>
    </row>
    <row r="134" spans="2:24" ht="16.5">
      <c r="B134" s="242" t="s">
        <v>375</v>
      </c>
      <c r="C134" s="243" t="s">
        <v>601</v>
      </c>
      <c r="D134" s="244" t="s">
        <v>414</v>
      </c>
      <c r="E134" s="244" t="s">
        <v>1638</v>
      </c>
      <c r="F134" s="244" t="s">
        <v>1588</v>
      </c>
      <c r="G134" s="8" t="s">
        <v>837</v>
      </c>
      <c r="H134" s="560"/>
      <c r="J134" s="126" t="s">
        <v>546</v>
      </c>
      <c r="K134" s="91"/>
      <c r="L134" s="573">
        <v>22291</v>
      </c>
      <c r="M134" s="127">
        <v>439341</v>
      </c>
      <c r="N134" s="253"/>
      <c r="O134" s="128">
        <v>2577</v>
      </c>
      <c r="P134" s="3"/>
      <c r="U134" s="457"/>
      <c r="V134" s="18"/>
      <c r="W134" s="18"/>
      <c r="X134" s="18"/>
    </row>
    <row r="135" spans="2:24" ht="16.5">
      <c r="B135" s="109" t="s">
        <v>1532</v>
      </c>
      <c r="C135" s="31"/>
      <c r="D135" s="110"/>
      <c r="E135" s="110">
        <v>31953</v>
      </c>
      <c r="F135" s="110">
        <v>-30196</v>
      </c>
      <c r="G135" s="560"/>
      <c r="H135" s="560"/>
      <c r="J135" s="126" t="s">
        <v>557</v>
      </c>
      <c r="K135" s="91"/>
      <c r="L135" s="573">
        <v>1456</v>
      </c>
      <c r="M135" s="127">
        <v>129409</v>
      </c>
      <c r="N135" s="253"/>
      <c r="O135" s="128">
        <v>381</v>
      </c>
      <c r="P135" s="3"/>
      <c r="U135" s="457"/>
      <c r="V135" s="18"/>
      <c r="W135" s="18"/>
      <c r="X135" s="18"/>
    </row>
    <row r="136" spans="2:24" ht="16.5">
      <c r="B136" s="112" t="s">
        <v>1533</v>
      </c>
      <c r="C136" s="315"/>
      <c r="D136" s="64"/>
      <c r="E136" s="64">
        <v>6435</v>
      </c>
      <c r="F136" s="64">
        <v>-6079</v>
      </c>
      <c r="G136" s="560"/>
      <c r="H136" s="560"/>
      <c r="J136" s="129" t="s">
        <v>1587</v>
      </c>
      <c r="K136" s="94"/>
      <c r="L136" s="574">
        <v>2333</v>
      </c>
      <c r="M136" s="130">
        <v>125461</v>
      </c>
      <c r="N136" s="254"/>
      <c r="O136" s="131">
        <v>368</v>
      </c>
      <c r="P136" s="308">
        <f>SUM(O133:O136)</f>
        <v>3893</v>
      </c>
      <c r="U136" s="457"/>
      <c r="V136" s="34"/>
      <c r="W136" s="34"/>
      <c r="X136" s="18"/>
    </row>
    <row r="137" spans="2:24" ht="16.5">
      <c r="B137" s="112" t="s">
        <v>1534</v>
      </c>
      <c r="C137" s="315"/>
      <c r="D137" s="64"/>
      <c r="E137" s="64">
        <v>16397</v>
      </c>
      <c r="F137" s="64">
        <v>-15495</v>
      </c>
      <c r="G137" s="560"/>
      <c r="H137" s="560"/>
      <c r="J137" s="126" t="s">
        <v>1576</v>
      </c>
      <c r="K137" s="91"/>
      <c r="L137" s="573">
        <v>4854</v>
      </c>
      <c r="M137" s="127">
        <v>431259</v>
      </c>
      <c r="N137" s="253"/>
      <c r="O137" s="128">
        <v>1270</v>
      </c>
      <c r="P137" s="34"/>
      <c r="U137" s="457"/>
      <c r="V137" s="34"/>
      <c r="W137" s="34"/>
      <c r="X137" s="18"/>
    </row>
    <row r="138" spans="2:24" ht="16.5">
      <c r="B138" s="112" t="s">
        <v>1536</v>
      </c>
      <c r="C138" s="315"/>
      <c r="D138" s="64"/>
      <c r="E138" s="64">
        <v>20988</v>
      </c>
      <c r="F138" s="64">
        <v>-19830</v>
      </c>
      <c r="G138" s="560"/>
      <c r="H138" s="560"/>
      <c r="J138" s="126" t="s">
        <v>557</v>
      </c>
      <c r="K138" s="91"/>
      <c r="L138" s="573">
        <v>3395</v>
      </c>
      <c r="M138" s="127">
        <v>301921</v>
      </c>
      <c r="N138" s="253"/>
      <c r="O138" s="128">
        <v>889</v>
      </c>
      <c r="P138" s="34"/>
      <c r="U138" s="457"/>
      <c r="V138" s="34"/>
      <c r="W138" s="34"/>
      <c r="X138" s="18"/>
    </row>
    <row r="139" spans="2:24" ht="16.5">
      <c r="B139" s="112" t="s">
        <v>1537</v>
      </c>
      <c r="C139" s="315"/>
      <c r="D139" s="65"/>
      <c r="E139" s="65">
        <v>16941</v>
      </c>
      <c r="F139" s="65">
        <v>-16012</v>
      </c>
      <c r="G139" s="34"/>
      <c r="H139" s="34"/>
      <c r="J139" s="126" t="s">
        <v>1577</v>
      </c>
      <c r="K139" s="91"/>
      <c r="L139" s="573">
        <v>4403</v>
      </c>
      <c r="M139" s="127">
        <v>247574</v>
      </c>
      <c r="N139" s="253"/>
      <c r="O139" s="128">
        <v>727</v>
      </c>
      <c r="P139" s="3"/>
      <c r="Q139" s="3"/>
      <c r="U139" s="457"/>
      <c r="V139" s="18"/>
      <c r="W139" s="18"/>
      <c r="X139" s="18"/>
    </row>
    <row r="140" spans="2:24" ht="16.5">
      <c r="B140" s="106" t="s">
        <v>1642</v>
      </c>
      <c r="C140" s="121"/>
      <c r="D140" s="308">
        <f>SUM(D135:D139)</f>
        <v>0</v>
      </c>
      <c r="E140" s="29">
        <f>SUM(E135:E139)</f>
        <v>92714</v>
      </c>
      <c r="F140" s="29">
        <f>SUM(F135:F139)</f>
        <v>-87612</v>
      </c>
      <c r="G140" s="34"/>
      <c r="H140" s="34"/>
      <c r="J140" s="126" t="s">
        <v>1587</v>
      </c>
      <c r="K140" s="91"/>
      <c r="L140" s="573">
        <v>5437</v>
      </c>
      <c r="M140" s="127">
        <v>292765</v>
      </c>
      <c r="N140" s="253"/>
      <c r="O140" s="128">
        <v>860</v>
      </c>
      <c r="P140" s="3"/>
      <c r="Q140" s="3"/>
      <c r="U140" s="457"/>
      <c r="V140" s="18"/>
      <c r="W140" s="18"/>
      <c r="X140" s="18"/>
    </row>
    <row r="141" spans="2:24" ht="16.5">
      <c r="B141" s="107" t="s">
        <v>1644</v>
      </c>
      <c r="C141" s="31"/>
      <c r="D141" s="308"/>
      <c r="E141" s="96"/>
      <c r="F141" s="97"/>
      <c r="G141" s="34"/>
      <c r="H141" s="34"/>
      <c r="J141" s="126" t="s">
        <v>547</v>
      </c>
      <c r="K141" s="91"/>
      <c r="L141" s="573">
        <v>2747</v>
      </c>
      <c r="M141" s="127">
        <v>11023</v>
      </c>
      <c r="N141" s="253"/>
      <c r="O141" s="128">
        <v>52</v>
      </c>
      <c r="P141" s="3" t="s">
        <v>2026</v>
      </c>
      <c r="Q141" s="3"/>
      <c r="R141" s="394">
        <v>502</v>
      </c>
      <c r="U141" s="457"/>
      <c r="V141" s="18"/>
      <c r="W141" s="18"/>
      <c r="X141" s="18"/>
    </row>
    <row r="142" spans="2:24" ht="16.5">
      <c r="B142" s="313" t="s">
        <v>1532</v>
      </c>
      <c r="C142" s="31"/>
      <c r="D142" s="110"/>
      <c r="E142" s="255">
        <v>24299</v>
      </c>
      <c r="F142" s="110">
        <v>-25648</v>
      </c>
      <c r="G142" s="34" t="s">
        <v>835</v>
      </c>
      <c r="H142" s="34"/>
      <c r="J142" s="126" t="s">
        <v>548</v>
      </c>
      <c r="K142" s="91"/>
      <c r="L142" s="573">
        <v>4021</v>
      </c>
      <c r="M142" s="127">
        <v>14192</v>
      </c>
      <c r="N142" s="253"/>
      <c r="O142" s="128">
        <v>70</v>
      </c>
      <c r="P142" s="3"/>
      <c r="Q142" s="3"/>
      <c r="R142" s="115"/>
      <c r="U142" s="457"/>
      <c r="V142" s="18"/>
      <c r="W142" s="18"/>
      <c r="X142" s="18"/>
    </row>
    <row r="143" spans="2:24" ht="16.5">
      <c r="B143" s="92" t="s">
        <v>1533</v>
      </c>
      <c r="C143" s="315"/>
      <c r="D143" s="64"/>
      <c r="E143" s="21">
        <v>4897</v>
      </c>
      <c r="F143" s="64">
        <v>-5164</v>
      </c>
      <c r="G143" s="34"/>
      <c r="H143" s="34"/>
      <c r="J143" s="126" t="s">
        <v>549</v>
      </c>
      <c r="K143" s="91"/>
      <c r="L143" s="573">
        <v>11640</v>
      </c>
      <c r="M143" s="127">
        <v>60723</v>
      </c>
      <c r="N143" s="253"/>
      <c r="O143" s="128">
        <v>325</v>
      </c>
      <c r="P143" s="3"/>
      <c r="U143" s="457"/>
      <c r="V143" s="18"/>
      <c r="W143" s="18"/>
      <c r="X143" s="18"/>
    </row>
    <row r="144" spans="2:24" ht="16.5">
      <c r="B144" s="112" t="s">
        <v>1534</v>
      </c>
      <c r="C144" s="315"/>
      <c r="D144" s="64"/>
      <c r="E144" s="21">
        <v>12476</v>
      </c>
      <c r="F144" s="64">
        <v>-13164</v>
      </c>
      <c r="G144" s="34"/>
      <c r="H144" s="34"/>
      <c r="J144" s="129" t="s">
        <v>1580</v>
      </c>
      <c r="K144" s="94"/>
      <c r="L144" s="574">
        <v>17641</v>
      </c>
      <c r="M144" s="130">
        <v>276209</v>
      </c>
      <c r="N144" s="254"/>
      <c r="O144" s="131">
        <v>1784</v>
      </c>
      <c r="P144" s="308">
        <f>SUM(O137:O144)+R141</f>
        <v>6479</v>
      </c>
      <c r="U144" s="457"/>
      <c r="V144" s="18"/>
      <c r="W144" s="18"/>
      <c r="X144" s="18"/>
    </row>
    <row r="145" spans="2:24" ht="16.5">
      <c r="B145" s="112" t="s">
        <v>1536</v>
      </c>
      <c r="C145" s="315"/>
      <c r="D145" s="64"/>
      <c r="E145" s="21">
        <v>15970</v>
      </c>
      <c r="F145" s="64">
        <v>-16851</v>
      </c>
      <c r="G145" s="34"/>
      <c r="H145" s="34"/>
      <c r="J145" s="126" t="s">
        <v>530</v>
      </c>
      <c r="K145" s="91"/>
      <c r="L145" s="458">
        <f>S112</f>
        <v>0</v>
      </c>
      <c r="M145" s="680">
        <f>U112</f>
        <v>0</v>
      </c>
      <c r="N145" s="253"/>
      <c r="O145" s="128">
        <v>0</v>
      </c>
      <c r="P145" s="3"/>
      <c r="S145" s="884" t="s">
        <v>168</v>
      </c>
      <c r="T145" s="886"/>
      <c r="U145" s="886"/>
      <c r="V145" s="886"/>
      <c r="W145" s="885"/>
      <c r="X145" s="18"/>
    </row>
    <row r="146" spans="2:24" ht="16.5">
      <c r="B146" s="92" t="s">
        <v>1537</v>
      </c>
      <c r="C146" s="315"/>
      <c r="D146" s="65"/>
      <c r="E146" s="27">
        <v>12889</v>
      </c>
      <c r="F146" s="65">
        <v>-13601</v>
      </c>
      <c r="G146" s="34"/>
      <c r="H146" s="34"/>
      <c r="J146" s="126" t="s">
        <v>1662</v>
      </c>
      <c r="K146" s="91"/>
      <c r="L146" s="573">
        <v>3120</v>
      </c>
      <c r="M146" s="127">
        <v>361035</v>
      </c>
      <c r="N146" s="253"/>
      <c r="O146" s="128">
        <v>264</v>
      </c>
      <c r="S146" s="433" t="s">
        <v>1103</v>
      </c>
      <c r="T146" s="485"/>
      <c r="U146" s="436" t="s">
        <v>1104</v>
      </c>
      <c r="V146" s="655"/>
      <c r="W146" s="657" t="s">
        <v>169</v>
      </c>
      <c r="X146" s="18"/>
    </row>
    <row r="147" spans="2:25" ht="16.5">
      <c r="B147" s="314" t="s">
        <v>1642</v>
      </c>
      <c r="C147" s="121"/>
      <c r="D147" s="135">
        <f>SUM(D142:D146)</f>
        <v>0</v>
      </c>
      <c r="E147" s="29">
        <f>SUM(E142:E146)</f>
        <v>70531</v>
      </c>
      <c r="F147" s="135">
        <f>SUM(F142:F146)</f>
        <v>-74428</v>
      </c>
      <c r="G147" s="34"/>
      <c r="H147" s="34"/>
      <c r="J147" s="126" t="s">
        <v>1663</v>
      </c>
      <c r="K147" s="91"/>
      <c r="L147" s="434">
        <f>S151</f>
        <v>14757</v>
      </c>
      <c r="M147" s="435">
        <f>L147</f>
        <v>14757</v>
      </c>
      <c r="N147" s="253"/>
      <c r="O147" s="546">
        <f>W151</f>
        <v>130.61968267480077</v>
      </c>
      <c r="P147" s="3" t="s">
        <v>1790</v>
      </c>
      <c r="R147" s="433" t="s">
        <v>1663</v>
      </c>
      <c r="S147" s="661">
        <v>14757</v>
      </c>
      <c r="T147" s="662"/>
      <c r="U147" s="663">
        <v>253746</v>
      </c>
      <c r="V147" s="132"/>
      <c r="W147" s="656">
        <v>2246</v>
      </c>
      <c r="X147" s="18"/>
      <c r="Y147" s="115"/>
    </row>
    <row r="148" spans="2:25" ht="16.5">
      <c r="B148" s="495"/>
      <c r="C148" s="34"/>
      <c r="D148" s="34"/>
      <c r="E148" s="34"/>
      <c r="F148" s="34"/>
      <c r="G148" s="34"/>
      <c r="H148" s="34"/>
      <c r="J148" s="126" t="s">
        <v>558</v>
      </c>
      <c r="K148" s="91"/>
      <c r="L148" s="434">
        <f>S152</f>
        <v>16756</v>
      </c>
      <c r="M148" s="435">
        <f>L148</f>
        <v>16756</v>
      </c>
      <c r="N148" s="253"/>
      <c r="O148" s="546">
        <f>W152</f>
        <v>107.64034633242333</v>
      </c>
      <c r="P148" s="3" t="s">
        <v>1790</v>
      </c>
      <c r="R148" s="660" t="s">
        <v>558</v>
      </c>
      <c r="S148" s="664">
        <v>16756</v>
      </c>
      <c r="T148" s="660"/>
      <c r="U148" s="665">
        <v>401464</v>
      </c>
      <c r="V148" s="486"/>
      <c r="W148" s="656">
        <v>2579</v>
      </c>
      <c r="X148" s="18"/>
      <c r="Y148" s="115"/>
    </row>
    <row r="149" spans="2:24" ht="16.5">
      <c r="B149" s="117" t="s">
        <v>1370</v>
      </c>
      <c r="C149" s="250" t="s">
        <v>1575</v>
      </c>
      <c r="D149" s="250" t="s">
        <v>1575</v>
      </c>
      <c r="E149" s="250" t="s">
        <v>1575</v>
      </c>
      <c r="F149" s="34"/>
      <c r="G149" s="34"/>
      <c r="H149" s="34"/>
      <c r="J149" s="126" t="s">
        <v>1664</v>
      </c>
      <c r="K149" s="91"/>
      <c r="L149" s="573">
        <v>18145</v>
      </c>
      <c r="M149" s="127">
        <v>857311</v>
      </c>
      <c r="N149" s="253"/>
      <c r="O149" s="128">
        <v>1222</v>
      </c>
      <c r="R149" s="658"/>
      <c r="S149" s="863" t="s">
        <v>170</v>
      </c>
      <c r="T149" s="864"/>
      <c r="U149" s="864"/>
      <c r="V149" s="864"/>
      <c r="W149" s="865"/>
      <c r="X149" s="18"/>
    </row>
    <row r="150" spans="2:23" ht="16.5">
      <c r="B150" s="242" t="s">
        <v>1637</v>
      </c>
      <c r="C150" s="242">
        <v>5550.099</v>
      </c>
      <c r="D150" s="242">
        <v>4470.143</v>
      </c>
      <c r="E150" s="242">
        <v>4470.082</v>
      </c>
      <c r="F150" s="8" t="s">
        <v>838</v>
      </c>
      <c r="G150" s="34"/>
      <c r="H150" s="34"/>
      <c r="J150" s="126" t="s">
        <v>1665</v>
      </c>
      <c r="K150" s="91"/>
      <c r="L150" s="573">
        <v>16394</v>
      </c>
      <c r="M150" s="127">
        <v>859775</v>
      </c>
      <c r="N150" s="253"/>
      <c r="O150" s="128">
        <v>958</v>
      </c>
      <c r="R150" s="449"/>
      <c r="S150" s="666" t="s">
        <v>1103</v>
      </c>
      <c r="T150" s="667"/>
      <c r="U150" s="668" t="s">
        <v>841</v>
      </c>
      <c r="V150" s="667"/>
      <c r="W150" s="666" t="s">
        <v>169</v>
      </c>
    </row>
    <row r="151" spans="2:23" ht="16.5">
      <c r="B151" s="109" t="s">
        <v>1532</v>
      </c>
      <c r="C151" s="110">
        <v>911279</v>
      </c>
      <c r="D151" s="110">
        <v>301591</v>
      </c>
      <c r="E151" s="110">
        <v>-2758777</v>
      </c>
      <c r="F151" s="34"/>
      <c r="G151" s="34"/>
      <c r="H151" s="34"/>
      <c r="J151" s="126" t="s">
        <v>1666</v>
      </c>
      <c r="K151" s="91"/>
      <c r="L151" s="573">
        <v>704</v>
      </c>
      <c r="M151" s="127">
        <v>2975</v>
      </c>
      <c r="N151" s="253"/>
      <c r="O151" s="128">
        <v>31</v>
      </c>
      <c r="R151" s="666" t="s">
        <v>1663</v>
      </c>
      <c r="S151" s="668">
        <f>S147</f>
        <v>14757</v>
      </c>
      <c r="T151" s="669"/>
      <c r="U151" s="668">
        <f>U147-S147</f>
        <v>238989</v>
      </c>
      <c r="V151" s="670"/>
      <c r="W151" s="659">
        <f>IF(ISNUMBER(W147*(S147/U147)),W147*(S147/U147),0)</f>
        <v>130.61968267480077</v>
      </c>
    </row>
    <row r="152" spans="2:24" ht="16.5">
      <c r="B152" s="112" t="s">
        <v>1533</v>
      </c>
      <c r="C152" s="64">
        <v>183615</v>
      </c>
      <c r="D152" s="64">
        <v>60768</v>
      </c>
      <c r="E152" s="64">
        <v>-555871</v>
      </c>
      <c r="F152" s="34"/>
      <c r="G152" s="34"/>
      <c r="H152" s="34"/>
      <c r="J152" s="126" t="s">
        <v>1667</v>
      </c>
      <c r="K152" s="91"/>
      <c r="L152" s="573">
        <v>56803</v>
      </c>
      <c r="M152" s="127">
        <v>98491</v>
      </c>
      <c r="N152" s="253"/>
      <c r="O152" s="128">
        <v>897</v>
      </c>
      <c r="R152" s="666" t="s">
        <v>558</v>
      </c>
      <c r="S152" s="668">
        <f>S148</f>
        <v>16756</v>
      </c>
      <c r="T152" s="671"/>
      <c r="U152" s="668">
        <f>U148-S148</f>
        <v>384708</v>
      </c>
      <c r="V152" s="672"/>
      <c r="W152" s="659">
        <f>IF(ISNUMBER(W148*(S148/U148)),W148*(S148/U148),0)</f>
        <v>107.64034633242333</v>
      </c>
      <c r="X152" s="34"/>
    </row>
    <row r="153" spans="2:24" ht="16.5">
      <c r="B153" s="112" t="s">
        <v>1534</v>
      </c>
      <c r="C153" s="64">
        <v>467726</v>
      </c>
      <c r="D153" s="64">
        <v>154795</v>
      </c>
      <c r="E153" s="64">
        <v>-1415977</v>
      </c>
      <c r="F153" s="34"/>
      <c r="G153" s="34"/>
      <c r="H153" s="34"/>
      <c r="J153" s="126" t="s">
        <v>1668</v>
      </c>
      <c r="K153" s="91"/>
      <c r="L153" s="573">
        <v>6567</v>
      </c>
      <c r="M153" s="127">
        <v>13671</v>
      </c>
      <c r="N153" s="253"/>
      <c r="O153" s="128">
        <v>128</v>
      </c>
      <c r="W153" s="18"/>
      <c r="X153" s="18"/>
    </row>
    <row r="154" spans="2:24" ht="16.5">
      <c r="B154" s="112" t="s">
        <v>1536</v>
      </c>
      <c r="C154" s="64">
        <v>598686</v>
      </c>
      <c r="D154" s="64">
        <v>198137</v>
      </c>
      <c r="E154" s="64">
        <v>-1812444</v>
      </c>
      <c r="F154" s="34"/>
      <c r="G154" s="34"/>
      <c r="H154" s="34"/>
      <c r="J154" s="126" t="s">
        <v>1669</v>
      </c>
      <c r="K154" s="91"/>
      <c r="L154" s="573">
        <v>6192</v>
      </c>
      <c r="M154" s="127">
        <v>424866</v>
      </c>
      <c r="N154" s="253"/>
      <c r="O154" s="128">
        <v>165</v>
      </c>
      <c r="W154" s="18"/>
      <c r="X154" s="18"/>
    </row>
    <row r="155" spans="2:24" ht="16.5">
      <c r="B155" s="112" t="s">
        <v>1537</v>
      </c>
      <c r="C155" s="65">
        <v>483302</v>
      </c>
      <c r="D155" s="65">
        <v>159950</v>
      </c>
      <c r="E155" s="65">
        <v>-1463134</v>
      </c>
      <c r="F155" s="34"/>
      <c r="G155" s="34"/>
      <c r="H155" s="34"/>
      <c r="J155" s="126" t="s">
        <v>1670</v>
      </c>
      <c r="K155" s="91"/>
      <c r="L155" s="573">
        <v>1841</v>
      </c>
      <c r="M155" s="127">
        <v>457217</v>
      </c>
      <c r="N155" s="253"/>
      <c r="O155" s="128">
        <v>110</v>
      </c>
      <c r="W155" s="18"/>
      <c r="X155" s="18"/>
    </row>
    <row r="156" spans="2:24" ht="16.5">
      <c r="B156" s="106" t="s">
        <v>1642</v>
      </c>
      <c r="C156" s="135">
        <f>SUM(C151:C155)</f>
        <v>2644608</v>
      </c>
      <c r="D156" s="135">
        <f>SUM(D151:D155)</f>
        <v>875241</v>
      </c>
      <c r="E156" s="135">
        <f>SUM(E151:E155)</f>
        <v>-8006203</v>
      </c>
      <c r="F156" s="34"/>
      <c r="G156" s="34"/>
      <c r="H156" s="34"/>
      <c r="J156" s="126" t="s">
        <v>1671</v>
      </c>
      <c r="K156" s="91"/>
      <c r="L156" s="573">
        <v>12649</v>
      </c>
      <c r="M156" s="127">
        <v>45890</v>
      </c>
      <c r="N156" s="253"/>
      <c r="O156" s="128">
        <v>947</v>
      </c>
      <c r="U156" s="457"/>
      <c r="V156" s="18"/>
      <c r="W156" s="18"/>
      <c r="X156" s="18"/>
    </row>
    <row r="157" spans="2:22" ht="16.5">
      <c r="B157" s="107" t="s">
        <v>1644</v>
      </c>
      <c r="C157" s="308"/>
      <c r="D157" s="308"/>
      <c r="E157" s="308"/>
      <c r="F157" s="34"/>
      <c r="G157" s="34"/>
      <c r="H157" s="34"/>
      <c r="J157" s="126" t="s">
        <v>1672</v>
      </c>
      <c r="K157" s="91"/>
      <c r="L157" s="573">
        <v>16536</v>
      </c>
      <c r="M157" s="127">
        <v>57566</v>
      </c>
      <c r="N157" s="253"/>
      <c r="O157" s="128">
        <v>1206</v>
      </c>
      <c r="U157" s="457"/>
      <c r="V157" s="18"/>
    </row>
    <row r="158" spans="2:24" ht="16.5">
      <c r="B158" s="109" t="s">
        <v>1532</v>
      </c>
      <c r="C158" s="110">
        <v>911281</v>
      </c>
      <c r="D158" s="110">
        <v>294830</v>
      </c>
      <c r="E158" s="110">
        <v>-2758232</v>
      </c>
      <c r="F158" s="34" t="s">
        <v>835</v>
      </c>
      <c r="G158" s="34"/>
      <c r="H158" s="34"/>
      <c r="J158" s="126" t="s">
        <v>1673</v>
      </c>
      <c r="K158" s="91"/>
      <c r="L158" s="573">
        <v>16874</v>
      </c>
      <c r="M158" s="127">
        <v>114015</v>
      </c>
      <c r="N158" s="253"/>
      <c r="O158" s="128">
        <v>2274</v>
      </c>
      <c r="U158" s="457"/>
      <c r="V158" s="18"/>
      <c r="W158" s="18"/>
      <c r="X158" s="18"/>
    </row>
    <row r="159" spans="2:22" ht="16.5">
      <c r="B159" s="112" t="s">
        <v>1533</v>
      </c>
      <c r="C159" s="64">
        <v>183615</v>
      </c>
      <c r="D159" s="64">
        <v>59406</v>
      </c>
      <c r="E159" s="64">
        <v>-555761</v>
      </c>
      <c r="F159" s="34"/>
      <c r="G159" s="34"/>
      <c r="H159" s="34"/>
      <c r="J159" s="126" t="s">
        <v>1674</v>
      </c>
      <c r="K159" s="91"/>
      <c r="L159" s="573">
        <v>17282</v>
      </c>
      <c r="M159" s="127">
        <v>97343</v>
      </c>
      <c r="N159" s="253"/>
      <c r="O159" s="128">
        <v>1926</v>
      </c>
      <c r="U159" s="457"/>
      <c r="V159" s="18"/>
    </row>
    <row r="160" spans="2:24" ht="16.5">
      <c r="B160" s="112" t="s">
        <v>1534</v>
      </c>
      <c r="C160" s="64">
        <v>467726</v>
      </c>
      <c r="D160" s="64">
        <v>151325</v>
      </c>
      <c r="E160" s="64">
        <v>-1415697</v>
      </c>
      <c r="F160" s="34"/>
      <c r="G160" s="34"/>
      <c r="H160" s="34"/>
      <c r="J160" s="126" t="s">
        <v>1675</v>
      </c>
      <c r="K160" s="91"/>
      <c r="L160" s="573">
        <v>15402</v>
      </c>
      <c r="M160" s="127">
        <v>326549</v>
      </c>
      <c r="N160" s="253"/>
      <c r="O160" s="128">
        <v>1981</v>
      </c>
      <c r="U160" s="457"/>
      <c r="V160" s="18"/>
      <c r="W160" s="18"/>
      <c r="X160" s="18"/>
    </row>
    <row r="161" spans="2:24" ht="16.5">
      <c r="B161" s="112" t="s">
        <v>1536</v>
      </c>
      <c r="C161" s="64">
        <v>598687</v>
      </c>
      <c r="D161" s="64">
        <v>193695</v>
      </c>
      <c r="E161" s="64">
        <v>-1812086</v>
      </c>
      <c r="F161" s="34"/>
      <c r="G161" s="34"/>
      <c r="H161" s="34"/>
      <c r="J161" s="126" t="s">
        <v>540</v>
      </c>
      <c r="K161" s="91"/>
      <c r="L161" s="261">
        <v>0</v>
      </c>
      <c r="M161" s="262">
        <v>0</v>
      </c>
      <c r="N161" s="253"/>
      <c r="O161" s="407">
        <v>0</v>
      </c>
      <c r="P161" s="266" t="s">
        <v>603</v>
      </c>
      <c r="U161" s="457"/>
      <c r="V161" s="495"/>
      <c r="W161" s="495"/>
      <c r="X161" s="18"/>
    </row>
    <row r="162" spans="2:24" ht="16.5">
      <c r="B162" s="112" t="s">
        <v>1537</v>
      </c>
      <c r="C162" s="65">
        <v>483303</v>
      </c>
      <c r="D162" s="65">
        <v>156365</v>
      </c>
      <c r="E162" s="65">
        <v>-1462845</v>
      </c>
      <c r="F162" s="34"/>
      <c r="G162" s="34"/>
      <c r="H162" s="34"/>
      <c r="J162" s="126" t="s">
        <v>541</v>
      </c>
      <c r="K162" s="91"/>
      <c r="L162" s="573">
        <v>4553</v>
      </c>
      <c r="M162" s="127">
        <v>17082</v>
      </c>
      <c r="N162" s="253"/>
      <c r="O162" s="128">
        <v>115</v>
      </c>
      <c r="U162" s="457"/>
      <c r="V162" s="18"/>
      <c r="W162" s="18"/>
      <c r="X162" s="18"/>
    </row>
    <row r="163" spans="2:24" ht="16.5">
      <c r="B163" s="106" t="s">
        <v>1642</v>
      </c>
      <c r="C163" s="135">
        <f>SUM(C158:C162)</f>
        <v>2644612</v>
      </c>
      <c r="D163" s="135">
        <f>SUM(D158:D162)</f>
        <v>855621</v>
      </c>
      <c r="E163" s="135">
        <f>SUM(E158:E162)</f>
        <v>-8004621</v>
      </c>
      <c r="F163" s="34"/>
      <c r="G163" s="34"/>
      <c r="H163" s="34"/>
      <c r="J163" s="126" t="s">
        <v>542</v>
      </c>
      <c r="K163" s="91"/>
      <c r="L163" s="261">
        <v>0</v>
      </c>
      <c r="M163" s="262">
        <v>0</v>
      </c>
      <c r="N163" s="253"/>
      <c r="O163" s="263">
        <v>0</v>
      </c>
      <c r="P163" s="266" t="s">
        <v>603</v>
      </c>
      <c r="U163" s="457"/>
      <c r="V163" s="495"/>
      <c r="W163" s="495"/>
      <c r="X163" s="18"/>
    </row>
    <row r="164" spans="6:24" ht="15.75" thickBot="1">
      <c r="F164" s="34"/>
      <c r="G164" s="34"/>
      <c r="H164" s="34"/>
      <c r="J164" s="126" t="s">
        <v>543</v>
      </c>
      <c r="K164" s="91"/>
      <c r="L164" s="573">
        <v>4192</v>
      </c>
      <c r="M164" s="127">
        <v>15317</v>
      </c>
      <c r="N164" s="253"/>
      <c r="O164" s="128">
        <v>100</v>
      </c>
      <c r="U164" s="457"/>
      <c r="V164" s="18"/>
      <c r="W164" s="18"/>
      <c r="X164" s="18"/>
    </row>
    <row r="165" spans="1:24" ht="16.5">
      <c r="A165" s="798"/>
      <c r="C165" s="812" t="s">
        <v>1304</v>
      </c>
      <c r="D165" s="813"/>
      <c r="E165" s="814"/>
      <c r="F165" s="138"/>
      <c r="G165" s="811"/>
      <c r="H165" s="8" t="s">
        <v>838</v>
      </c>
      <c r="J165" s="129" t="s">
        <v>544</v>
      </c>
      <c r="K165" s="94"/>
      <c r="L165" s="574">
        <v>7626</v>
      </c>
      <c r="M165" s="130">
        <v>55380</v>
      </c>
      <c r="N165" s="254"/>
      <c r="O165" s="131">
        <v>381</v>
      </c>
      <c r="P165" s="308">
        <f>SUM(O145:O165)-O147-O148</f>
        <v>12705</v>
      </c>
      <c r="U165" s="457"/>
      <c r="V165" s="34"/>
      <c r="W165" s="34"/>
      <c r="X165" s="18"/>
    </row>
    <row r="166" spans="1:24" ht="16.5">
      <c r="A166" s="100" t="s">
        <v>1551</v>
      </c>
      <c r="B166" s="100" t="s">
        <v>1303</v>
      </c>
      <c r="C166" s="809" t="s">
        <v>1551</v>
      </c>
      <c r="D166" s="100" t="s">
        <v>1551</v>
      </c>
      <c r="E166" s="100" t="s">
        <v>1551</v>
      </c>
      <c r="F166" s="100" t="s">
        <v>1551</v>
      </c>
      <c r="G166" s="100" t="s">
        <v>1551</v>
      </c>
      <c r="H166" s="736" t="s">
        <v>414</v>
      </c>
      <c r="J166" s="126" t="s">
        <v>1676</v>
      </c>
      <c r="K166" s="91"/>
      <c r="L166" s="573">
        <v>2906</v>
      </c>
      <c r="M166" s="127">
        <v>23851</v>
      </c>
      <c r="N166" s="253"/>
      <c r="O166" s="128">
        <v>285</v>
      </c>
      <c r="U166" s="457"/>
      <c r="V166" s="18"/>
      <c r="W166" s="18"/>
      <c r="X166" s="18"/>
    </row>
    <row r="167" spans="1:24" ht="16.5">
      <c r="A167" s="103">
        <v>5550.001</v>
      </c>
      <c r="B167" s="103">
        <v>5550.001</v>
      </c>
      <c r="C167" s="810">
        <v>5550.035</v>
      </c>
      <c r="D167" s="103">
        <v>5550.099</v>
      </c>
      <c r="E167" s="103">
        <v>4470.131</v>
      </c>
      <c r="F167" s="103">
        <v>4470.112</v>
      </c>
      <c r="G167" s="807">
        <v>4470.17</v>
      </c>
      <c r="H167" s="737">
        <v>5550.007</v>
      </c>
      <c r="J167" s="126" t="s">
        <v>1677</v>
      </c>
      <c r="K167" s="91"/>
      <c r="L167" s="573">
        <v>0</v>
      </c>
      <c r="M167" s="127">
        <v>0</v>
      </c>
      <c r="N167" s="253"/>
      <c r="O167" s="128">
        <v>0</v>
      </c>
      <c r="U167" s="457"/>
      <c r="V167" s="18"/>
      <c r="W167" s="18"/>
      <c r="X167" s="18"/>
    </row>
    <row r="168" spans="1:24" ht="15">
      <c r="A168" s="64">
        <v>0</v>
      </c>
      <c r="B168" s="19">
        <f>-1505</f>
        <v>-1505</v>
      </c>
      <c r="C168" s="732">
        <v>0</v>
      </c>
      <c r="D168" s="64">
        <v>157860</v>
      </c>
      <c r="E168" s="64">
        <v>13907</v>
      </c>
      <c r="F168" s="19">
        <v>14097</v>
      </c>
      <c r="G168" s="19">
        <v>155418</v>
      </c>
      <c r="H168" s="732">
        <v>16281</v>
      </c>
      <c r="J168" s="126" t="s">
        <v>1678</v>
      </c>
      <c r="K168" s="91"/>
      <c r="L168" s="573">
        <v>0</v>
      </c>
      <c r="M168" s="127">
        <v>0</v>
      </c>
      <c r="N168" s="253"/>
      <c r="O168" s="128">
        <v>0</v>
      </c>
      <c r="U168" s="457"/>
      <c r="V168" s="18"/>
      <c r="W168" s="18"/>
      <c r="X168" s="18"/>
    </row>
    <row r="169" spans="1:24" ht="15">
      <c r="A169" s="64">
        <v>0</v>
      </c>
      <c r="B169" s="19">
        <f>-303</f>
        <v>-303</v>
      </c>
      <c r="C169" s="732">
        <v>0</v>
      </c>
      <c r="D169" s="64">
        <v>31808</v>
      </c>
      <c r="E169" s="64">
        <v>2802</v>
      </c>
      <c r="F169" s="19">
        <v>2840</v>
      </c>
      <c r="G169" s="19">
        <v>31314</v>
      </c>
      <c r="H169" s="732">
        <v>3281</v>
      </c>
      <c r="J169" s="126" t="s">
        <v>1679</v>
      </c>
      <c r="K169" s="91"/>
      <c r="L169" s="573">
        <v>13213</v>
      </c>
      <c r="M169" s="127">
        <v>50840</v>
      </c>
      <c r="N169" s="253"/>
      <c r="O169" s="128">
        <v>1139</v>
      </c>
      <c r="U169" s="457"/>
      <c r="V169" s="18"/>
      <c r="W169" s="18"/>
      <c r="X169" s="18"/>
    </row>
    <row r="170" spans="1:24" ht="15">
      <c r="A170" s="64">
        <v>0</v>
      </c>
      <c r="B170" s="19">
        <f>-772</f>
        <v>-772</v>
      </c>
      <c r="C170" s="732">
        <v>0</v>
      </c>
      <c r="D170" s="64">
        <v>81024</v>
      </c>
      <c r="E170" s="64">
        <v>7137</v>
      </c>
      <c r="F170" s="19">
        <v>7234</v>
      </c>
      <c r="G170" s="19">
        <v>79768</v>
      </c>
      <c r="H170" s="732">
        <v>8357</v>
      </c>
      <c r="J170" s="126" t="s">
        <v>1680</v>
      </c>
      <c r="K170" s="91"/>
      <c r="L170" s="573">
        <v>13846</v>
      </c>
      <c r="M170" s="127">
        <v>91890</v>
      </c>
      <c r="N170" s="253"/>
      <c r="O170" s="128">
        <v>1823</v>
      </c>
      <c r="U170" s="457"/>
      <c r="V170" s="18"/>
      <c r="W170" s="18"/>
      <c r="X170" s="18"/>
    </row>
    <row r="171" spans="1:24" ht="15">
      <c r="A171" s="64">
        <v>0</v>
      </c>
      <c r="B171" s="19">
        <f>-989</f>
        <v>-989</v>
      </c>
      <c r="C171" s="732">
        <v>0</v>
      </c>
      <c r="D171" s="64">
        <v>103711</v>
      </c>
      <c r="E171" s="64">
        <v>9136</v>
      </c>
      <c r="F171" s="19">
        <v>9259</v>
      </c>
      <c r="G171" s="19">
        <v>102102</v>
      </c>
      <c r="H171" s="732">
        <v>10696</v>
      </c>
      <c r="J171" s="126" t="s">
        <v>551</v>
      </c>
      <c r="K171" s="91"/>
      <c r="L171" s="573">
        <v>44227</v>
      </c>
      <c r="M171" s="127">
        <v>199412</v>
      </c>
      <c r="N171" s="253"/>
      <c r="O171" s="128">
        <v>235</v>
      </c>
      <c r="U171" s="457"/>
      <c r="V171" s="18"/>
      <c r="W171" s="18"/>
      <c r="X171" s="18"/>
    </row>
    <row r="172" spans="1:24" ht="15">
      <c r="A172" s="65">
        <v>0</v>
      </c>
      <c r="B172" s="25">
        <f>-798</f>
        <v>-798</v>
      </c>
      <c r="C172" s="733">
        <v>0</v>
      </c>
      <c r="D172" s="65">
        <v>83722</v>
      </c>
      <c r="E172" s="65">
        <v>7375</v>
      </c>
      <c r="F172" s="25">
        <v>7475</v>
      </c>
      <c r="G172" s="25">
        <v>82424</v>
      </c>
      <c r="H172" s="733">
        <v>8635</v>
      </c>
      <c r="J172" s="126" t="s">
        <v>552</v>
      </c>
      <c r="K172" s="91"/>
      <c r="L172" s="573">
        <v>38246</v>
      </c>
      <c r="M172" s="127">
        <v>184143</v>
      </c>
      <c r="N172" s="253"/>
      <c r="O172" s="128">
        <v>212</v>
      </c>
      <c r="U172" s="457"/>
      <c r="V172" s="18"/>
      <c r="W172" s="18"/>
      <c r="X172" s="18"/>
    </row>
    <row r="173" spans="1:24" ht="15">
      <c r="A173" s="308">
        <f aca="true" t="shared" si="5" ref="A173:H173">SUM(A168:A172)</f>
        <v>0</v>
      </c>
      <c r="B173" s="108">
        <f t="shared" si="5"/>
        <v>-4367</v>
      </c>
      <c r="C173" s="734">
        <f t="shared" si="5"/>
        <v>0</v>
      </c>
      <c r="D173" s="308">
        <f t="shared" si="5"/>
        <v>458125</v>
      </c>
      <c r="E173" s="308">
        <f t="shared" si="5"/>
        <v>40357</v>
      </c>
      <c r="F173" s="108">
        <f t="shared" si="5"/>
        <v>40905</v>
      </c>
      <c r="G173" s="108">
        <f t="shared" si="5"/>
        <v>451026</v>
      </c>
      <c r="H173" s="734">
        <f t="shared" si="5"/>
        <v>47250</v>
      </c>
      <c r="J173" s="126" t="s">
        <v>1909</v>
      </c>
      <c r="K173" s="91"/>
      <c r="L173" s="573">
        <v>0</v>
      </c>
      <c r="M173" s="127">
        <v>0</v>
      </c>
      <c r="N173" s="253"/>
      <c r="O173" s="128">
        <v>0</v>
      </c>
      <c r="U173" s="457"/>
      <c r="V173" s="18"/>
      <c r="W173" s="18"/>
      <c r="X173" s="18"/>
    </row>
    <row r="174" spans="1:24" ht="16.5">
      <c r="A174" s="547" t="s">
        <v>1644</v>
      </c>
      <c r="B174" s="547"/>
      <c r="C174" s="808"/>
      <c r="D174" s="17"/>
      <c r="E174" s="547"/>
      <c r="F174" s="96"/>
      <c r="G174" s="96"/>
      <c r="H174" s="734"/>
      <c r="J174" s="126" t="s">
        <v>1910</v>
      </c>
      <c r="K174" s="91"/>
      <c r="L174" s="573">
        <v>0</v>
      </c>
      <c r="M174" s="127">
        <v>0</v>
      </c>
      <c r="N174" s="253"/>
      <c r="O174" s="128">
        <v>0</v>
      </c>
      <c r="U174" s="457"/>
      <c r="V174" s="18"/>
      <c r="W174" s="18"/>
      <c r="X174" s="18"/>
    </row>
    <row r="175" spans="1:24" ht="15">
      <c r="A175" s="64">
        <v>0</v>
      </c>
      <c r="B175" s="19">
        <v>-1505</v>
      </c>
      <c r="C175" s="732">
        <v>0</v>
      </c>
      <c r="D175" s="64">
        <v>158273</v>
      </c>
      <c r="E175" s="64">
        <v>13882</v>
      </c>
      <c r="F175" s="19">
        <v>14350</v>
      </c>
      <c r="G175" s="19">
        <v>155067</v>
      </c>
      <c r="H175" s="732">
        <v>0</v>
      </c>
      <c r="J175" s="126" t="s">
        <v>1911</v>
      </c>
      <c r="K175" s="91"/>
      <c r="L175" s="573">
        <v>0</v>
      </c>
      <c r="M175" s="127">
        <v>0</v>
      </c>
      <c r="N175" s="253"/>
      <c r="O175" s="128">
        <v>0</v>
      </c>
      <c r="U175" s="457"/>
      <c r="V175" s="18"/>
      <c r="W175" s="18"/>
      <c r="X175" s="18"/>
    </row>
    <row r="176" spans="1:24" ht="15">
      <c r="A176" s="64">
        <v>0</v>
      </c>
      <c r="B176" s="19">
        <v>-303</v>
      </c>
      <c r="C176" s="732">
        <v>0</v>
      </c>
      <c r="D176" s="64">
        <v>31891</v>
      </c>
      <c r="E176" s="64">
        <v>2798</v>
      </c>
      <c r="F176" s="19">
        <v>2891</v>
      </c>
      <c r="G176" s="19">
        <v>31246</v>
      </c>
      <c r="H176" s="732">
        <v>0</v>
      </c>
      <c r="J176" s="126" t="s">
        <v>1912</v>
      </c>
      <c r="K176" s="91"/>
      <c r="L176" s="573">
        <v>0</v>
      </c>
      <c r="M176" s="127">
        <v>0</v>
      </c>
      <c r="N176" s="253"/>
      <c r="O176" s="128">
        <v>0</v>
      </c>
      <c r="U176" s="457"/>
      <c r="V176" s="18"/>
      <c r="W176" s="18"/>
      <c r="X176" s="18"/>
    </row>
    <row r="177" spans="1:24" ht="15">
      <c r="A177" s="64">
        <v>0</v>
      </c>
      <c r="B177" s="19">
        <v>-772</v>
      </c>
      <c r="C177" s="732">
        <v>0</v>
      </c>
      <c r="D177" s="64">
        <v>81236</v>
      </c>
      <c r="E177" s="64">
        <v>7125</v>
      </c>
      <c r="F177" s="19">
        <v>7367</v>
      </c>
      <c r="G177" s="19">
        <v>79592</v>
      </c>
      <c r="H177" s="732">
        <v>0</v>
      </c>
      <c r="J177" s="126" t="s">
        <v>1913</v>
      </c>
      <c r="K177" s="91"/>
      <c r="L177" s="573">
        <v>0</v>
      </c>
      <c r="M177" s="127">
        <v>0</v>
      </c>
      <c r="N177" s="253"/>
      <c r="O177" s="128">
        <v>0</v>
      </c>
      <c r="U177" s="457"/>
      <c r="V177" s="18"/>
      <c r="W177" s="18"/>
      <c r="X177" s="18"/>
    </row>
    <row r="178" spans="1:24" ht="15">
      <c r="A178" s="64">
        <v>0</v>
      </c>
      <c r="B178" s="19">
        <v>-989</v>
      </c>
      <c r="C178" s="732">
        <v>0</v>
      </c>
      <c r="D178" s="64">
        <v>103982</v>
      </c>
      <c r="E178" s="64">
        <v>9120</v>
      </c>
      <c r="F178" s="19">
        <v>9427</v>
      </c>
      <c r="G178" s="19">
        <v>101874</v>
      </c>
      <c r="H178" s="732">
        <v>0</v>
      </c>
      <c r="J178" s="126" t="s">
        <v>1914</v>
      </c>
      <c r="K178" s="91"/>
      <c r="L178" s="573">
        <v>0</v>
      </c>
      <c r="M178" s="127">
        <v>0</v>
      </c>
      <c r="N178" s="253"/>
      <c r="O178" s="128">
        <v>0</v>
      </c>
      <c r="U178" s="457"/>
      <c r="V178" s="18"/>
      <c r="W178" s="18"/>
      <c r="X178" s="18"/>
    </row>
    <row r="179" spans="1:24" ht="15">
      <c r="A179" s="65">
        <v>0</v>
      </c>
      <c r="B179" s="25">
        <v>-798</v>
      </c>
      <c r="C179" s="733">
        <v>0</v>
      </c>
      <c r="D179" s="65">
        <v>83942</v>
      </c>
      <c r="E179" s="65">
        <v>7363</v>
      </c>
      <c r="F179" s="25">
        <v>7611</v>
      </c>
      <c r="G179" s="25">
        <v>82241</v>
      </c>
      <c r="H179" s="733">
        <v>0</v>
      </c>
      <c r="J179" s="126" t="s">
        <v>59</v>
      </c>
      <c r="K179" s="91"/>
      <c r="L179" s="573">
        <v>330</v>
      </c>
      <c r="M179" s="127">
        <v>12992</v>
      </c>
      <c r="N179" s="253"/>
      <c r="O179" s="128">
        <v>0</v>
      </c>
      <c r="U179" s="457"/>
      <c r="V179" s="18"/>
      <c r="W179" s="18"/>
      <c r="X179" s="18"/>
    </row>
    <row r="180" spans="1:23" ht="15">
      <c r="A180" s="308">
        <f aca="true" t="shared" si="6" ref="A180:H180">SUM(A175:A179)</f>
        <v>0</v>
      </c>
      <c r="B180" s="108">
        <f t="shared" si="6"/>
        <v>-4367</v>
      </c>
      <c r="C180" s="734">
        <f t="shared" si="6"/>
        <v>0</v>
      </c>
      <c r="D180" s="308">
        <f t="shared" si="6"/>
        <v>459324</v>
      </c>
      <c r="E180" s="308">
        <f>SUM(E175:E179)</f>
        <v>40288</v>
      </c>
      <c r="F180" s="121">
        <f t="shared" si="6"/>
        <v>41646</v>
      </c>
      <c r="G180" s="121">
        <f t="shared" si="6"/>
        <v>450020</v>
      </c>
      <c r="H180" s="735">
        <f t="shared" si="6"/>
        <v>0</v>
      </c>
      <c r="J180" s="126" t="s">
        <v>60</v>
      </c>
      <c r="K180" s="91"/>
      <c r="L180" s="573">
        <v>568</v>
      </c>
      <c r="M180" s="127">
        <v>11912</v>
      </c>
      <c r="N180" s="253"/>
      <c r="O180" s="128">
        <v>0</v>
      </c>
      <c r="U180" s="457"/>
      <c r="V180" s="18"/>
      <c r="W180" s="18"/>
    </row>
    <row r="181" spans="2:23" ht="16.5">
      <c r="B181" s="538"/>
      <c r="C181" s="538"/>
      <c r="D181" s="538"/>
      <c r="E181" s="538"/>
      <c r="F181" s="34"/>
      <c r="G181" s="99"/>
      <c r="H181" s="99"/>
      <c r="J181" s="126" t="s">
        <v>1681</v>
      </c>
      <c r="K181" s="91"/>
      <c r="L181" s="573">
        <v>2150</v>
      </c>
      <c r="M181" s="127">
        <v>4807</v>
      </c>
      <c r="N181" s="253"/>
      <c r="O181" s="128">
        <v>79</v>
      </c>
      <c r="U181" s="457"/>
      <c r="V181" s="18"/>
      <c r="W181" s="18"/>
    </row>
    <row r="182" spans="1:27" ht="16.5">
      <c r="A182" s="719" t="s">
        <v>939</v>
      </c>
      <c r="B182" s="719"/>
      <c r="C182" s="719"/>
      <c r="D182" s="719"/>
      <c r="E182" s="719"/>
      <c r="F182" s="80"/>
      <c r="G182" s="719"/>
      <c r="H182" s="719"/>
      <c r="J182" s="126" t="s">
        <v>1683</v>
      </c>
      <c r="K182" s="91"/>
      <c r="L182" s="573">
        <v>13309</v>
      </c>
      <c r="M182" s="127">
        <v>73291</v>
      </c>
      <c r="N182" s="253"/>
      <c r="O182" s="128">
        <v>409</v>
      </c>
      <c r="U182" s="457"/>
      <c r="V182" s="18"/>
      <c r="W182" s="18"/>
      <c r="Z182" s="3"/>
      <c r="AA182" s="3"/>
    </row>
    <row r="183" spans="1:23" ht="16.5">
      <c r="A183" s="67" t="s">
        <v>937</v>
      </c>
      <c r="B183" s="67" t="s">
        <v>937</v>
      </c>
      <c r="C183" s="558" t="s">
        <v>937</v>
      </c>
      <c r="D183" s="558" t="s">
        <v>937</v>
      </c>
      <c r="E183" s="558" t="s">
        <v>937</v>
      </c>
      <c r="F183" s="101" t="s">
        <v>937</v>
      </c>
      <c r="G183" s="101" t="s">
        <v>937</v>
      </c>
      <c r="H183" s="101" t="s">
        <v>938</v>
      </c>
      <c r="J183" s="126" t="s">
        <v>1684</v>
      </c>
      <c r="K183" s="91"/>
      <c r="L183" s="573">
        <v>6922</v>
      </c>
      <c r="M183" s="127">
        <v>78925</v>
      </c>
      <c r="N183" s="253"/>
      <c r="O183" s="128">
        <v>225</v>
      </c>
      <c r="R183" s="8">
        <f>12402597-12496528</f>
        <v>-93931</v>
      </c>
      <c r="S183" s="8">
        <f>93931/2</f>
        <v>46965.5</v>
      </c>
      <c r="U183" s="457"/>
      <c r="V183" s="18"/>
      <c r="W183" s="18"/>
    </row>
    <row r="184" spans="1:29" ht="16.5">
      <c r="A184" s="104">
        <v>5550.035</v>
      </c>
      <c r="B184" s="104">
        <v>5550.088</v>
      </c>
      <c r="C184" s="716">
        <v>5550.099</v>
      </c>
      <c r="D184" s="815">
        <v>5550.1</v>
      </c>
      <c r="E184" s="716">
        <v>5614.008</v>
      </c>
      <c r="F184" s="718">
        <v>4470.131</v>
      </c>
      <c r="G184" s="718">
        <v>4470.099</v>
      </c>
      <c r="H184" s="718">
        <v>4470.112</v>
      </c>
      <c r="J184" s="126" t="s">
        <v>1686</v>
      </c>
      <c r="K184" s="91"/>
      <c r="L184" s="573">
        <v>7518</v>
      </c>
      <c r="M184" s="127">
        <v>90479</v>
      </c>
      <c r="N184" s="253"/>
      <c r="O184" s="128">
        <v>290</v>
      </c>
      <c r="U184" s="457"/>
      <c r="V184" s="18"/>
      <c r="W184" s="18"/>
      <c r="Y184" s="3"/>
      <c r="AB184" s="3"/>
      <c r="AC184" s="3"/>
    </row>
    <row r="185" spans="1:29" s="3" customFormat="1" ht="15">
      <c r="A185" s="64">
        <v>0</v>
      </c>
      <c r="B185" s="64">
        <v>10919</v>
      </c>
      <c r="C185" s="19">
        <v>6346362</v>
      </c>
      <c r="D185" s="19">
        <v>1088755</v>
      </c>
      <c r="E185" s="110">
        <v>0</v>
      </c>
      <c r="F185" s="110">
        <v>475097</v>
      </c>
      <c r="G185" s="110">
        <v>139177</v>
      </c>
      <c r="H185" s="110">
        <v>911552</v>
      </c>
      <c r="I185" s="8"/>
      <c r="J185" s="126" t="s">
        <v>1690</v>
      </c>
      <c r="K185" s="91"/>
      <c r="L185" s="573">
        <v>6529</v>
      </c>
      <c r="M185" s="127">
        <v>66625</v>
      </c>
      <c r="N185" s="253"/>
      <c r="O185" s="128">
        <v>475</v>
      </c>
      <c r="Q185" s="8"/>
      <c r="R185" s="8"/>
      <c r="S185" s="8"/>
      <c r="T185" s="8"/>
      <c r="U185" s="457"/>
      <c r="V185" s="34"/>
      <c r="W185" s="34"/>
      <c r="X185" s="8"/>
      <c r="Y185" s="8"/>
      <c r="Z185" s="8"/>
      <c r="AA185" s="8"/>
      <c r="AB185" s="8"/>
      <c r="AC185" s="8"/>
    </row>
    <row r="186" spans="1:23" ht="15">
      <c r="A186" s="64">
        <v>0</v>
      </c>
      <c r="B186" s="64">
        <v>2334</v>
      </c>
      <c r="C186" s="19">
        <v>1278739</v>
      </c>
      <c r="D186" s="19">
        <v>219375</v>
      </c>
      <c r="E186" s="64">
        <v>0</v>
      </c>
      <c r="F186" s="64">
        <v>95728</v>
      </c>
      <c r="G186" s="64">
        <v>28043</v>
      </c>
      <c r="H186" s="64">
        <v>183670</v>
      </c>
      <c r="J186" s="126" t="s">
        <v>147</v>
      </c>
      <c r="K186" s="91"/>
      <c r="L186" s="573">
        <v>4119</v>
      </c>
      <c r="M186" s="127">
        <v>28867</v>
      </c>
      <c r="N186" s="253"/>
      <c r="O186" s="128">
        <v>0</v>
      </c>
      <c r="U186" s="18"/>
      <c r="V186" s="18"/>
      <c r="W186" s="18"/>
    </row>
    <row r="187" spans="1:18" ht="15">
      <c r="A187" s="64">
        <v>0</v>
      </c>
      <c r="B187" s="64">
        <v>6300</v>
      </c>
      <c r="C187" s="19">
        <v>3257350</v>
      </c>
      <c r="D187" s="19">
        <v>558817</v>
      </c>
      <c r="E187" s="64">
        <v>0</v>
      </c>
      <c r="F187" s="64">
        <v>243849</v>
      </c>
      <c r="G187" s="64">
        <v>71434</v>
      </c>
      <c r="H187" s="64">
        <v>467865</v>
      </c>
      <c r="I187" s="3"/>
      <c r="J187" s="129" t="s">
        <v>555</v>
      </c>
      <c r="K187" s="94"/>
      <c r="L187" s="574">
        <v>31076</v>
      </c>
      <c r="M187" s="130">
        <v>92899</v>
      </c>
      <c r="N187" s="254"/>
      <c r="O187" s="131">
        <v>357</v>
      </c>
      <c r="P187" s="308">
        <f>SUM(O166:O187)</f>
        <v>5529</v>
      </c>
      <c r="R187" s="141" t="s">
        <v>381</v>
      </c>
    </row>
    <row r="188" spans="1:18" ht="15">
      <c r="A188" s="64">
        <v>0</v>
      </c>
      <c r="B188" s="64">
        <v>7640</v>
      </c>
      <c r="C188" s="19">
        <v>4169392</v>
      </c>
      <c r="D188" s="19">
        <v>715283</v>
      </c>
      <c r="E188" s="64">
        <v>0</v>
      </c>
      <c r="F188" s="64">
        <v>312126</v>
      </c>
      <c r="G188" s="64">
        <v>91435</v>
      </c>
      <c r="H188" s="64">
        <v>598866</v>
      </c>
      <c r="J188" s="461" t="s">
        <v>351</v>
      </c>
      <c r="K188" s="462"/>
      <c r="L188" s="458">
        <f>M188</f>
        <v>170951</v>
      </c>
      <c r="M188" s="827">
        <v>170951</v>
      </c>
      <c r="N188" s="468"/>
      <c r="O188" s="457"/>
      <c r="R188" s="141" t="s">
        <v>381</v>
      </c>
    </row>
    <row r="189" spans="1:15" ht="15">
      <c r="A189" s="65">
        <v>0</v>
      </c>
      <c r="B189" s="65">
        <v>6557</v>
      </c>
      <c r="C189" s="25">
        <v>3365829</v>
      </c>
      <c r="D189" s="25">
        <v>577427</v>
      </c>
      <c r="E189" s="65">
        <v>0</v>
      </c>
      <c r="F189" s="65">
        <v>251970</v>
      </c>
      <c r="G189" s="65">
        <v>73813</v>
      </c>
      <c r="H189" s="65">
        <v>483448</v>
      </c>
      <c r="J189" s="463" t="s">
        <v>1663</v>
      </c>
      <c r="K189" s="464"/>
      <c r="L189" s="458">
        <v>0</v>
      </c>
      <c r="M189" s="673">
        <f>U151</f>
        <v>238989</v>
      </c>
      <c r="N189" s="470"/>
      <c r="O189" s="457" t="s">
        <v>356</v>
      </c>
    </row>
    <row r="190" spans="1:24" ht="15">
      <c r="A190" s="308">
        <f aca="true" t="shared" si="7" ref="A190:H190">SUM(A185:A189)</f>
        <v>0</v>
      </c>
      <c r="B190" s="308">
        <f>SUM(B185:B189)</f>
        <v>33750</v>
      </c>
      <c r="C190" s="308">
        <f t="shared" si="7"/>
        <v>18417672</v>
      </c>
      <c r="D190" s="308">
        <f t="shared" si="7"/>
        <v>3159657</v>
      </c>
      <c r="E190" s="308">
        <f t="shared" si="7"/>
        <v>0</v>
      </c>
      <c r="F190" s="308">
        <f t="shared" si="7"/>
        <v>1378770</v>
      </c>
      <c r="G190" s="308">
        <f t="shared" si="7"/>
        <v>403902</v>
      </c>
      <c r="H190" s="308">
        <f t="shared" si="7"/>
        <v>2645401</v>
      </c>
      <c r="J190" s="463" t="s">
        <v>558</v>
      </c>
      <c r="K190" s="464"/>
      <c r="L190" s="458">
        <v>0</v>
      </c>
      <c r="M190" s="673">
        <f>U152</f>
        <v>384708</v>
      </c>
      <c r="N190" s="464"/>
      <c r="O190" s="457" t="s">
        <v>356</v>
      </c>
      <c r="X190" s="3"/>
    </row>
    <row r="191" spans="1:14" ht="15">
      <c r="A191" s="96"/>
      <c r="B191" s="96"/>
      <c r="C191" s="96"/>
      <c r="D191" s="96"/>
      <c r="E191" s="118"/>
      <c r="F191" s="33"/>
      <c r="G191" s="118"/>
      <c r="H191" s="118"/>
      <c r="J191" s="463" t="s">
        <v>352</v>
      </c>
      <c r="K191" s="464"/>
      <c r="L191" s="458">
        <v>0</v>
      </c>
      <c r="M191" s="469">
        <v>0</v>
      </c>
      <c r="N191" s="464"/>
    </row>
    <row r="192" spans="1:18" ht="15">
      <c r="A192" s="64">
        <v>0</v>
      </c>
      <c r="B192" s="64">
        <v>10919</v>
      </c>
      <c r="C192" s="110">
        <v>6354537</v>
      </c>
      <c r="D192" s="110">
        <v>1051419</v>
      </c>
      <c r="E192" s="110">
        <v>0</v>
      </c>
      <c r="F192" s="110">
        <v>519111</v>
      </c>
      <c r="G192" s="110">
        <v>84558</v>
      </c>
      <c r="H192" s="110">
        <v>878722</v>
      </c>
      <c r="J192" s="463" t="s">
        <v>353</v>
      </c>
      <c r="K192" s="464"/>
      <c r="L192" s="459">
        <v>0</v>
      </c>
      <c r="M192" s="471">
        <v>744726</v>
      </c>
      <c r="N192" s="464"/>
      <c r="R192" s="115"/>
    </row>
    <row r="193" spans="1:15" ht="15">
      <c r="A193" s="64">
        <v>0</v>
      </c>
      <c r="B193" s="64">
        <v>2334</v>
      </c>
      <c r="C193" s="64">
        <v>1280386</v>
      </c>
      <c r="D193" s="64">
        <v>211852</v>
      </c>
      <c r="E193" s="64">
        <v>0</v>
      </c>
      <c r="F193" s="64">
        <v>104596</v>
      </c>
      <c r="G193" s="64">
        <v>17038</v>
      </c>
      <c r="H193" s="64">
        <v>177055</v>
      </c>
      <c r="J193" s="465" t="s">
        <v>354</v>
      </c>
      <c r="K193" s="466"/>
      <c r="L193" s="575">
        <v>10605</v>
      </c>
      <c r="M193" s="472">
        <v>31762</v>
      </c>
      <c r="N193" s="466"/>
      <c r="O193" s="115"/>
    </row>
    <row r="194" spans="1:16" ht="15">
      <c r="A194" s="64">
        <v>0</v>
      </c>
      <c r="B194" s="64">
        <v>6300</v>
      </c>
      <c r="C194" s="64">
        <v>3261546</v>
      </c>
      <c r="D194" s="64">
        <v>539654</v>
      </c>
      <c r="E194" s="64">
        <v>0</v>
      </c>
      <c r="F194" s="64">
        <v>266440</v>
      </c>
      <c r="G194" s="64">
        <v>43400</v>
      </c>
      <c r="H194" s="64">
        <v>451015</v>
      </c>
      <c r="J194" s="467" t="s">
        <v>355</v>
      </c>
      <c r="K194" s="460"/>
      <c r="L194" s="459">
        <f>SUM(L110:L193)</f>
        <v>939157</v>
      </c>
      <c r="M194" s="459">
        <f>SUM(M110:M193)</f>
        <v>10952340</v>
      </c>
      <c r="N194" s="467"/>
      <c r="P194" s="500"/>
    </row>
    <row r="195" spans="1:13" ht="15">
      <c r="A195" s="64">
        <v>0</v>
      </c>
      <c r="B195" s="64">
        <v>7640</v>
      </c>
      <c r="C195" s="64">
        <v>4174764</v>
      </c>
      <c r="D195" s="64">
        <v>690755</v>
      </c>
      <c r="E195" s="64">
        <v>0</v>
      </c>
      <c r="F195" s="64">
        <v>341042</v>
      </c>
      <c r="G195" s="64">
        <v>55552</v>
      </c>
      <c r="H195" s="64">
        <v>577298</v>
      </c>
      <c r="J195" s="862">
        <v>422</v>
      </c>
      <c r="K195" s="862"/>
      <c r="L195" s="862"/>
      <c r="M195" s="52">
        <v>460</v>
      </c>
    </row>
    <row r="196" spans="1:15" ht="19.5">
      <c r="A196" s="65">
        <v>0</v>
      </c>
      <c r="B196" s="65">
        <v>6557</v>
      </c>
      <c r="C196" s="65">
        <v>3370165</v>
      </c>
      <c r="D196" s="65">
        <v>557626</v>
      </c>
      <c r="E196" s="65">
        <v>0</v>
      </c>
      <c r="F196" s="65">
        <v>275313</v>
      </c>
      <c r="G196" s="65">
        <v>44846</v>
      </c>
      <c r="H196" s="65">
        <v>466036</v>
      </c>
      <c r="J196" s="1" t="s">
        <v>1419</v>
      </c>
      <c r="K196" s="56"/>
      <c r="L196" s="56"/>
      <c r="M196" s="56"/>
      <c r="N196" s="56"/>
      <c r="O196" s="17"/>
    </row>
    <row r="197" spans="1:23" ht="16.5">
      <c r="A197" s="135">
        <f aca="true" t="shared" si="8" ref="A197:H197">SUM(A192:A196)</f>
        <v>0</v>
      </c>
      <c r="B197" s="135">
        <f t="shared" si="8"/>
        <v>33750</v>
      </c>
      <c r="C197" s="108">
        <f t="shared" si="8"/>
        <v>18441398</v>
      </c>
      <c r="D197" s="108">
        <f t="shared" si="8"/>
        <v>3051306</v>
      </c>
      <c r="E197" s="308">
        <f t="shared" si="8"/>
        <v>0</v>
      </c>
      <c r="F197" s="308">
        <f t="shared" si="8"/>
        <v>1506502</v>
      </c>
      <c r="G197" s="308">
        <f t="shared" si="8"/>
        <v>245394</v>
      </c>
      <c r="H197" s="308">
        <f t="shared" si="8"/>
        <v>2550126</v>
      </c>
      <c r="J197" s="102" t="s">
        <v>77</v>
      </c>
      <c r="K197" s="132"/>
      <c r="L197" s="494" t="s">
        <v>78</v>
      </c>
      <c r="M197" s="133" t="s">
        <v>1726</v>
      </c>
      <c r="N197" s="485"/>
      <c r="O197" s="250" t="s">
        <v>67</v>
      </c>
      <c r="P197" s="3"/>
      <c r="Q197" s="3"/>
      <c r="R197" s="3"/>
      <c r="S197" s="3"/>
      <c r="T197" s="3"/>
      <c r="U197" s="3"/>
      <c r="V197" s="3"/>
      <c r="W197" s="3"/>
    </row>
    <row r="198" spans="1:15" ht="16.5">
      <c r="A198" s="34"/>
      <c r="B198" s="34"/>
      <c r="C198" s="34"/>
      <c r="D198" s="34"/>
      <c r="E198" s="34"/>
      <c r="F198" s="34"/>
      <c r="G198" s="99"/>
      <c r="H198" s="99"/>
      <c r="J198" s="14" t="s">
        <v>1727</v>
      </c>
      <c r="K198" s="61"/>
      <c r="L198" s="61" t="s">
        <v>1727</v>
      </c>
      <c r="M198" s="16" t="s">
        <v>1728</v>
      </c>
      <c r="N198" s="132"/>
      <c r="O198" s="61" t="s">
        <v>1123</v>
      </c>
    </row>
    <row r="199" spans="1:15" ht="16.5">
      <c r="A199" s="719"/>
      <c r="B199" s="80"/>
      <c r="C199" s="80"/>
      <c r="E199" s="34"/>
      <c r="F199" s="34"/>
      <c r="G199" s="99"/>
      <c r="H199" s="99"/>
      <c r="J199" s="19">
        <v>175737</v>
      </c>
      <c r="K199" s="134"/>
      <c r="L199" s="64">
        <v>697297.51</v>
      </c>
      <c r="M199" s="21">
        <v>22461161</v>
      </c>
      <c r="N199" s="132"/>
      <c r="O199" s="64">
        <v>0</v>
      </c>
    </row>
    <row r="200" spans="1:15" ht="16.5">
      <c r="A200" s="101" t="s">
        <v>938</v>
      </c>
      <c r="B200" s="101" t="s">
        <v>938</v>
      </c>
      <c r="C200" s="101" t="s">
        <v>938</v>
      </c>
      <c r="E200" s="34"/>
      <c r="F200" s="34"/>
      <c r="G200" s="99"/>
      <c r="H200" s="99"/>
      <c r="J200" s="19">
        <v>32797</v>
      </c>
      <c r="K200" s="134"/>
      <c r="L200" s="493">
        <v>91855</v>
      </c>
      <c r="M200" s="21">
        <v>2916363</v>
      </c>
      <c r="N200" s="132"/>
      <c r="O200" s="493">
        <v>0</v>
      </c>
    </row>
    <row r="201" spans="1:15" ht="16.5">
      <c r="A201" s="815">
        <v>4470.17</v>
      </c>
      <c r="B201" s="718">
        <v>4470.167</v>
      </c>
      <c r="C201" s="718">
        <v>4470.169</v>
      </c>
      <c r="E201" s="34"/>
      <c r="F201" s="34"/>
      <c r="G201" s="99"/>
      <c r="H201" s="99"/>
      <c r="J201" s="19">
        <v>34901</v>
      </c>
      <c r="K201" s="134"/>
      <c r="L201" s="64">
        <v>168478</v>
      </c>
      <c r="M201" s="21">
        <v>8406871</v>
      </c>
      <c r="N201" s="132"/>
      <c r="O201" s="64">
        <v>19106</v>
      </c>
    </row>
    <row r="202" spans="1:15" ht="16.5">
      <c r="A202" s="64">
        <v>11708711</v>
      </c>
      <c r="B202" s="110">
        <v>2124</v>
      </c>
      <c r="C202" s="110">
        <v>0</v>
      </c>
      <c r="E202" s="34"/>
      <c r="F202" s="34"/>
      <c r="G202" s="99"/>
      <c r="H202" s="99"/>
      <c r="J202" s="19">
        <v>313623</v>
      </c>
      <c r="K202" s="134"/>
      <c r="L202" s="64">
        <v>701810</v>
      </c>
      <c r="M202" s="21">
        <v>13687243</v>
      </c>
      <c r="N202" s="132"/>
      <c r="O202" s="64">
        <v>0</v>
      </c>
    </row>
    <row r="203" spans="1:15" ht="16.5">
      <c r="A203" s="64">
        <v>2359208</v>
      </c>
      <c r="B203" s="64">
        <v>428</v>
      </c>
      <c r="C203" s="64">
        <v>0</v>
      </c>
      <c r="E203" s="34"/>
      <c r="F203" s="34"/>
      <c r="G203" s="99"/>
      <c r="H203" s="99"/>
      <c r="J203" s="25">
        <v>132330</v>
      </c>
      <c r="K203" s="134"/>
      <c r="L203" s="65">
        <v>1086511</v>
      </c>
      <c r="M203" s="27">
        <v>10720192</v>
      </c>
      <c r="N203" s="132"/>
      <c r="O203" s="65">
        <v>0</v>
      </c>
    </row>
    <row r="204" spans="1:15" ht="16.5">
      <c r="A204" s="64">
        <v>6009642</v>
      </c>
      <c r="B204" s="64">
        <v>1090</v>
      </c>
      <c r="C204" s="64">
        <v>0</v>
      </c>
      <c r="E204" s="34"/>
      <c r="F204" s="34"/>
      <c r="G204" s="99"/>
      <c r="H204" s="99"/>
      <c r="J204" s="121">
        <f>SUM(J199:J203)</f>
        <v>689388</v>
      </c>
      <c r="K204" s="135"/>
      <c r="L204" s="135">
        <f>SUM(L199:L203)</f>
        <v>2745951.51</v>
      </c>
      <c r="M204" s="29">
        <f>SUM(M199:M203)</f>
        <v>58191830</v>
      </c>
      <c r="N204" s="486"/>
      <c r="O204" s="29">
        <f>SUM(O199:O203)</f>
        <v>19106</v>
      </c>
    </row>
    <row r="205" spans="1:13" ht="16.5">
      <c r="A205" s="64">
        <v>7692315</v>
      </c>
      <c r="B205" s="64">
        <v>1396</v>
      </c>
      <c r="C205" s="64">
        <v>0</v>
      </c>
      <c r="E205" s="34"/>
      <c r="F205" s="34"/>
      <c r="G205" s="99"/>
      <c r="H205" s="99"/>
      <c r="J205" s="34"/>
      <c r="K205" s="34"/>
      <c r="L205" s="34"/>
      <c r="M205" s="3"/>
    </row>
    <row r="206" spans="1:13" ht="16.5">
      <c r="A206" s="65">
        <v>6209782</v>
      </c>
      <c r="B206" s="65">
        <v>1127</v>
      </c>
      <c r="C206" s="65">
        <v>0</v>
      </c>
      <c r="E206" s="34"/>
      <c r="F206" s="34"/>
      <c r="G206" s="99"/>
      <c r="H206" s="99"/>
      <c r="J206" s="40" t="s">
        <v>1529</v>
      </c>
      <c r="K206" s="40"/>
      <c r="L206" s="40"/>
      <c r="M206" s="52"/>
    </row>
    <row r="207" spans="1:13" ht="19.5">
      <c r="A207" s="308">
        <f>SUM(A202:A206)</f>
        <v>33979658</v>
      </c>
      <c r="B207" s="308">
        <f>SUM(B202:B206)</f>
        <v>6165</v>
      </c>
      <c r="C207" s="308">
        <f>SUM(C202:C206)</f>
        <v>0</v>
      </c>
      <c r="E207" s="34"/>
      <c r="F207" s="34"/>
      <c r="G207" s="99"/>
      <c r="H207" s="99"/>
      <c r="J207" s="1" t="s">
        <v>1041</v>
      </c>
      <c r="K207" s="56"/>
      <c r="L207" s="17"/>
      <c r="M207" s="3"/>
    </row>
    <row r="208" spans="1:12" ht="16.5">
      <c r="A208" s="96"/>
      <c r="B208" s="33"/>
      <c r="C208" s="33"/>
      <c r="E208" s="34"/>
      <c r="F208" s="34"/>
      <c r="G208" s="99"/>
      <c r="H208" s="99"/>
      <c r="J208" s="547" t="s">
        <v>1573</v>
      </c>
      <c r="K208" s="56"/>
      <c r="L208" s="17"/>
    </row>
    <row r="209" spans="1:12" ht="16.5">
      <c r="A209" s="19">
        <v>11672012</v>
      </c>
      <c r="B209" s="110">
        <v>2105</v>
      </c>
      <c r="C209" s="110">
        <v>0</v>
      </c>
      <c r="E209" s="34"/>
      <c r="F209" s="34"/>
      <c r="G209" s="99"/>
      <c r="H209" s="99"/>
      <c r="J209" s="102" t="s">
        <v>667</v>
      </c>
      <c r="K209" s="132"/>
      <c r="L209" s="494" t="s">
        <v>1793</v>
      </c>
    </row>
    <row r="210" spans="1:12" ht="16.5">
      <c r="A210" s="19">
        <v>2351813</v>
      </c>
      <c r="B210" s="64">
        <v>424</v>
      </c>
      <c r="C210" s="64">
        <v>0</v>
      </c>
      <c r="E210" s="34"/>
      <c r="F210" s="34"/>
      <c r="G210" s="99"/>
      <c r="H210" s="99"/>
      <c r="J210" s="14" t="s">
        <v>443</v>
      </c>
      <c r="K210" s="61"/>
      <c r="L210" s="61" t="s">
        <v>443</v>
      </c>
    </row>
    <row r="211" spans="1:12" ht="16.5">
      <c r="A211" s="19">
        <v>5990807</v>
      </c>
      <c r="B211" s="64">
        <v>1081</v>
      </c>
      <c r="C211" s="64">
        <v>0</v>
      </c>
      <c r="E211" s="34"/>
      <c r="F211" s="34"/>
      <c r="G211" s="99"/>
      <c r="H211" s="99"/>
      <c r="J211" s="19">
        <v>2514150</v>
      </c>
      <c r="K211" s="134"/>
      <c r="L211" s="64">
        <v>1397194</v>
      </c>
    </row>
    <row r="212" spans="1:12" ht="16.5">
      <c r="A212" s="19">
        <v>7668205</v>
      </c>
      <c r="B212" s="64">
        <v>1383</v>
      </c>
      <c r="C212" s="64">
        <v>0</v>
      </c>
      <c r="E212" s="34"/>
      <c r="F212" s="34"/>
      <c r="G212" s="99"/>
      <c r="H212" s="99"/>
      <c r="J212" s="258">
        <v>509634</v>
      </c>
      <c r="K212" s="134"/>
      <c r="L212" s="493">
        <v>281695</v>
      </c>
    </row>
    <row r="213" spans="1:12" ht="16.5">
      <c r="A213" s="25">
        <v>6190319</v>
      </c>
      <c r="B213" s="65">
        <v>1117</v>
      </c>
      <c r="C213" s="65">
        <v>0</v>
      </c>
      <c r="E213" s="34"/>
      <c r="F213" s="34"/>
      <c r="G213" s="99"/>
      <c r="H213" s="99"/>
      <c r="J213" s="19">
        <v>1321158</v>
      </c>
      <c r="K213" s="134"/>
      <c r="L213" s="64">
        <v>718351</v>
      </c>
    </row>
    <row r="214" spans="1:12" ht="16.5">
      <c r="A214" s="135">
        <f>SUM(A209:A213)</f>
        <v>33873156</v>
      </c>
      <c r="B214" s="308">
        <f>SUM(B209:B213)</f>
        <v>6110</v>
      </c>
      <c r="C214" s="308">
        <f>SUM(C209:C213)</f>
        <v>0</v>
      </c>
      <c r="E214" s="34"/>
      <c r="F214" s="34"/>
      <c r="G214" s="99"/>
      <c r="H214" s="99"/>
      <c r="J214" s="19">
        <v>1688723</v>
      </c>
      <c r="K214" s="134"/>
      <c r="L214" s="64">
        <v>920002</v>
      </c>
    </row>
    <row r="215" spans="1:12" ht="16.5">
      <c r="A215" s="34"/>
      <c r="B215" s="731"/>
      <c r="C215" s="34"/>
      <c r="D215" s="816"/>
      <c r="E215" s="143"/>
      <c r="F215" s="34"/>
      <c r="G215" s="99"/>
      <c r="H215" s="562"/>
      <c r="J215" s="25">
        <v>1323274</v>
      </c>
      <c r="K215" s="134"/>
      <c r="L215" s="65">
        <v>740440</v>
      </c>
    </row>
    <row r="216" spans="2:12" ht="16.5">
      <c r="B216" s="117" t="s">
        <v>1371</v>
      </c>
      <c r="C216" s="100"/>
      <c r="D216" s="53" t="s">
        <v>1181</v>
      </c>
      <c r="E216" s="806" t="s">
        <v>1376</v>
      </c>
      <c r="F216" s="250" t="s">
        <v>1378</v>
      </c>
      <c r="G216" s="562"/>
      <c r="H216" s="34"/>
      <c r="J216" s="121">
        <f>SUM(J211:J215)</f>
        <v>7356939</v>
      </c>
      <c r="K216" s="135"/>
      <c r="L216" s="135">
        <f>SUM(L211:L215)</f>
        <v>4057682</v>
      </c>
    </row>
    <row r="217" spans="2:8" ht="16.5">
      <c r="B217" s="120" t="s">
        <v>1637</v>
      </c>
      <c r="C217" s="103"/>
      <c r="D217" s="120" t="s">
        <v>1653</v>
      </c>
      <c r="E217" s="120" t="s">
        <v>1377</v>
      </c>
      <c r="F217" s="120" t="s">
        <v>231</v>
      </c>
      <c r="G217" s="34"/>
      <c r="H217" s="34"/>
    </row>
    <row r="218" spans="2:12" ht="19.5">
      <c r="B218" s="106" t="s">
        <v>1642</v>
      </c>
      <c r="C218" s="135"/>
      <c r="D218" s="476">
        <v>0</v>
      </c>
      <c r="E218" s="476">
        <v>0</v>
      </c>
      <c r="F218" s="476">
        <v>0</v>
      </c>
      <c r="G218" s="34"/>
      <c r="H218" s="34"/>
      <c r="J218" s="1" t="s">
        <v>1470</v>
      </c>
      <c r="K218" s="56"/>
      <c r="L218" s="17"/>
    </row>
    <row r="219" spans="2:12" ht="16.5">
      <c r="B219" s="107" t="s">
        <v>1644</v>
      </c>
      <c r="C219" s="108"/>
      <c r="D219" s="108"/>
      <c r="E219" s="96"/>
      <c r="F219" s="97"/>
      <c r="G219" s="34"/>
      <c r="H219" s="34"/>
      <c r="J219" s="547" t="s">
        <v>1573</v>
      </c>
      <c r="K219" s="56"/>
      <c r="L219" s="17"/>
    </row>
    <row r="220" spans="2:12" ht="16.5">
      <c r="B220" s="109" t="s">
        <v>1532</v>
      </c>
      <c r="C220" s="375"/>
      <c r="D220" s="477">
        <v>0</v>
      </c>
      <c r="E220" s="477">
        <v>0</v>
      </c>
      <c r="F220" s="477">
        <v>0</v>
      </c>
      <c r="G220" s="34"/>
      <c r="H220" s="34"/>
      <c r="J220" s="102" t="s">
        <v>667</v>
      </c>
      <c r="K220" s="132"/>
      <c r="L220" s="494" t="s">
        <v>444</v>
      </c>
    </row>
    <row r="221" spans="2:12" ht="16.5">
      <c r="B221" s="112" t="s">
        <v>1533</v>
      </c>
      <c r="C221" s="134"/>
      <c r="D221" s="478">
        <v>0</v>
      </c>
      <c r="E221" s="478">
        <v>0</v>
      </c>
      <c r="F221" s="478">
        <v>0</v>
      </c>
      <c r="G221" s="34"/>
      <c r="H221" s="34"/>
      <c r="J221" s="14" t="s">
        <v>445</v>
      </c>
      <c r="K221" s="61"/>
      <c r="L221" s="61" t="s">
        <v>446</v>
      </c>
    </row>
    <row r="222" spans="2:14" ht="16.5">
      <c r="B222" s="112" t="s">
        <v>1534</v>
      </c>
      <c r="C222" s="134"/>
      <c r="D222" s="478">
        <v>0</v>
      </c>
      <c r="E222" s="478">
        <v>0</v>
      </c>
      <c r="F222" s="478">
        <v>0</v>
      </c>
      <c r="G222" s="34"/>
      <c r="H222" s="34"/>
      <c r="J222" s="110">
        <f>-2988211</f>
        <v>-2988211</v>
      </c>
      <c r="K222" s="134"/>
      <c r="L222" s="110">
        <v>0</v>
      </c>
      <c r="N222" s="34"/>
    </row>
    <row r="223" spans="2:14" ht="16.5">
      <c r="B223" s="112" t="s">
        <v>1536</v>
      </c>
      <c r="C223" s="134"/>
      <c r="D223" s="478">
        <v>0</v>
      </c>
      <c r="E223" s="478">
        <v>0</v>
      </c>
      <c r="F223" s="478">
        <v>0</v>
      </c>
      <c r="G223" s="34"/>
      <c r="H223" s="34"/>
      <c r="J223" s="493">
        <f>-607234</f>
        <v>-607234</v>
      </c>
      <c r="K223" s="134"/>
      <c r="L223" s="493">
        <v>0</v>
      </c>
      <c r="N223" s="34"/>
    </row>
    <row r="224" spans="2:14" ht="16.5">
      <c r="B224" s="112" t="s">
        <v>1537</v>
      </c>
      <c r="C224" s="135"/>
      <c r="D224" s="476">
        <v>0</v>
      </c>
      <c r="E224" s="476">
        <v>0</v>
      </c>
      <c r="F224" s="476">
        <v>0</v>
      </c>
      <c r="G224" s="34"/>
      <c r="H224" s="3"/>
      <c r="J224" s="64">
        <f>-1534962</f>
        <v>-1534962</v>
      </c>
      <c r="K224" s="134"/>
      <c r="L224" s="64">
        <v>0</v>
      </c>
      <c r="N224" s="34"/>
    </row>
    <row r="225" spans="2:14" ht="16.5">
      <c r="B225" s="106" t="s">
        <v>1642</v>
      </c>
      <c r="C225" s="135"/>
      <c r="D225" s="135">
        <f>SUM(D220:D224)</f>
        <v>0</v>
      </c>
      <c r="E225" s="135">
        <f>SUM(E220:E224)</f>
        <v>0</v>
      </c>
      <c r="F225" s="135">
        <f>SUM(F220:F224)</f>
        <v>0</v>
      </c>
      <c r="G225" s="3"/>
      <c r="H225" s="560"/>
      <c r="J225" s="64">
        <f>-1964592</f>
        <v>-1964592</v>
      </c>
      <c r="K225" s="134"/>
      <c r="L225" s="64">
        <v>0</v>
      </c>
      <c r="N225" s="34"/>
    </row>
    <row r="226" spans="5:14" ht="16.5">
      <c r="E226" s="3"/>
      <c r="F226" s="3"/>
      <c r="G226" s="560"/>
      <c r="H226" s="561"/>
      <c r="J226" s="65">
        <f>-1586578</f>
        <v>-1586578</v>
      </c>
      <c r="K226" s="134"/>
      <c r="L226" s="65">
        <v>0</v>
      </c>
      <c r="N226" s="34"/>
    </row>
    <row r="227" spans="2:12" ht="16.5">
      <c r="B227" s="117" t="s">
        <v>1372</v>
      </c>
      <c r="C227" s="100" t="s">
        <v>1379</v>
      </c>
      <c r="D227" s="67" t="s">
        <v>1379</v>
      </c>
      <c r="E227" s="67" t="s">
        <v>1575</v>
      </c>
      <c r="F227" s="101" t="s">
        <v>1575</v>
      </c>
      <c r="G227" s="561"/>
      <c r="H227" s="34"/>
      <c r="J227" s="121">
        <f>SUM(J222:J226)</f>
        <v>-8681577</v>
      </c>
      <c r="K227" s="135"/>
      <c r="L227" s="135">
        <f>SUM(L222:L226)</f>
        <v>0</v>
      </c>
    </row>
    <row r="228" spans="2:8" ht="16.5">
      <c r="B228" s="120" t="s">
        <v>1637</v>
      </c>
      <c r="C228" s="103" t="s">
        <v>1638</v>
      </c>
      <c r="D228" s="104" t="s">
        <v>1588</v>
      </c>
      <c r="E228" s="104" t="s">
        <v>1638</v>
      </c>
      <c r="F228" s="105" t="s">
        <v>1588</v>
      </c>
      <c r="G228" s="34"/>
      <c r="H228" s="34"/>
    </row>
    <row r="229" spans="2:8" ht="16.5">
      <c r="B229" s="106" t="s">
        <v>1642</v>
      </c>
      <c r="C229" s="476">
        <v>0</v>
      </c>
      <c r="D229" s="476">
        <v>0</v>
      </c>
      <c r="E229" s="476">
        <v>0</v>
      </c>
      <c r="F229" s="476">
        <v>0</v>
      </c>
      <c r="G229" s="34"/>
      <c r="H229" s="34"/>
    </row>
    <row r="230" spans="2:8" ht="16.5">
      <c r="B230" s="107" t="s">
        <v>1644</v>
      </c>
      <c r="C230" s="108"/>
      <c r="D230" s="96"/>
      <c r="E230" s="96"/>
      <c r="F230" s="97"/>
      <c r="G230" s="34"/>
      <c r="H230" s="34"/>
    </row>
    <row r="231" spans="2:8" ht="16.5">
      <c r="B231" s="109" t="s">
        <v>1532</v>
      </c>
      <c r="C231" s="477">
        <v>0</v>
      </c>
      <c r="D231" s="477">
        <v>0</v>
      </c>
      <c r="E231" s="477">
        <v>0</v>
      </c>
      <c r="F231" s="477">
        <v>0</v>
      </c>
      <c r="G231" s="34"/>
      <c r="H231" s="34"/>
    </row>
    <row r="232" spans="2:8" ht="16.5">
      <c r="B232" s="112" t="s">
        <v>1533</v>
      </c>
      <c r="C232" s="478">
        <v>0</v>
      </c>
      <c r="D232" s="478">
        <v>0</v>
      </c>
      <c r="E232" s="478">
        <v>0</v>
      </c>
      <c r="F232" s="478">
        <v>0</v>
      </c>
      <c r="G232" s="34"/>
      <c r="H232" s="34"/>
    </row>
    <row r="233" spans="2:8" ht="16.5">
      <c r="B233" s="112" t="s">
        <v>1534</v>
      </c>
      <c r="C233" s="478">
        <v>0</v>
      </c>
      <c r="D233" s="478">
        <v>0</v>
      </c>
      <c r="E233" s="478">
        <v>0</v>
      </c>
      <c r="F233" s="478">
        <v>0</v>
      </c>
      <c r="G233" s="34"/>
      <c r="H233" s="34"/>
    </row>
    <row r="234" spans="2:8" ht="16.5">
      <c r="B234" s="112" t="s">
        <v>1536</v>
      </c>
      <c r="C234" s="478">
        <v>0</v>
      </c>
      <c r="D234" s="478">
        <v>0</v>
      </c>
      <c r="E234" s="478">
        <v>0</v>
      </c>
      <c r="F234" s="478">
        <v>0</v>
      </c>
      <c r="G234" s="34"/>
      <c r="H234" s="34"/>
    </row>
    <row r="235" spans="2:8" ht="16.5">
      <c r="B235" s="112" t="s">
        <v>1537</v>
      </c>
      <c r="C235" s="476">
        <v>0</v>
      </c>
      <c r="D235" s="476">
        <v>0</v>
      </c>
      <c r="E235" s="476">
        <v>0</v>
      </c>
      <c r="F235" s="476">
        <v>0</v>
      </c>
      <c r="G235" s="34"/>
      <c r="H235" s="3"/>
    </row>
    <row r="236" spans="2:8" ht="16.5">
      <c r="B236" s="106" t="s">
        <v>1642</v>
      </c>
      <c r="C236" s="135">
        <f>SUM(C231:C235)</f>
        <v>0</v>
      </c>
      <c r="D236" s="135">
        <f>SUM(D231:D235)</f>
        <v>0</v>
      </c>
      <c r="E236" s="135">
        <f>SUM(E231:E235)</f>
        <v>0</v>
      </c>
      <c r="F236" s="135">
        <f>SUM(F231:F235)</f>
        <v>0</v>
      </c>
      <c r="G236" s="3"/>
      <c r="H236" s="560"/>
    </row>
    <row r="237" spans="5:8" ht="16.5">
      <c r="E237" s="3"/>
      <c r="F237" s="3"/>
      <c r="G237" s="560"/>
      <c r="H237" s="561"/>
    </row>
    <row r="238" spans="2:8" ht="16.5">
      <c r="B238" s="117" t="s">
        <v>1373</v>
      </c>
      <c r="C238" s="100" t="s">
        <v>1380</v>
      </c>
      <c r="D238" s="67" t="s">
        <v>1381</v>
      </c>
      <c r="E238" s="67"/>
      <c r="F238" s="101"/>
      <c r="G238" s="561"/>
      <c r="H238" s="34"/>
    </row>
    <row r="239" spans="2:8" ht="16.5">
      <c r="B239" s="120" t="s">
        <v>1637</v>
      </c>
      <c r="C239" s="103" t="s">
        <v>1377</v>
      </c>
      <c r="D239" s="104" t="s">
        <v>231</v>
      </c>
      <c r="E239" s="104"/>
      <c r="F239" s="105"/>
      <c r="G239" s="34"/>
      <c r="H239" s="34"/>
    </row>
    <row r="240" spans="2:8" ht="16.5">
      <c r="B240" s="106" t="s">
        <v>1642</v>
      </c>
      <c r="C240" s="476">
        <v>0</v>
      </c>
      <c r="D240" s="476">
        <v>0</v>
      </c>
      <c r="E240" s="135"/>
      <c r="F240" s="135"/>
      <c r="G240" s="34"/>
      <c r="H240" s="34"/>
    </row>
    <row r="241" spans="2:8" ht="16.5">
      <c r="B241" s="107" t="s">
        <v>1644</v>
      </c>
      <c r="C241" s="108"/>
      <c r="D241" s="96"/>
      <c r="E241" s="96"/>
      <c r="F241" s="97"/>
      <c r="G241" s="34"/>
      <c r="H241" s="34"/>
    </row>
    <row r="242" spans="2:8" ht="16.5">
      <c r="B242" s="109" t="s">
        <v>1532</v>
      </c>
      <c r="C242" s="477">
        <v>0</v>
      </c>
      <c r="D242" s="477">
        <v>0</v>
      </c>
      <c r="E242" s="375"/>
      <c r="F242" s="375"/>
      <c r="G242" s="34"/>
      <c r="H242" s="34"/>
    </row>
    <row r="243" spans="2:8" ht="16.5">
      <c r="B243" s="112" t="s">
        <v>1533</v>
      </c>
      <c r="C243" s="478">
        <v>0</v>
      </c>
      <c r="D243" s="478">
        <v>0</v>
      </c>
      <c r="E243" s="134"/>
      <c r="F243" s="134"/>
      <c r="G243" s="34"/>
      <c r="H243" s="34"/>
    </row>
    <row r="244" spans="2:8" ht="16.5">
      <c r="B244" s="112" t="s">
        <v>1534</v>
      </c>
      <c r="C244" s="478">
        <v>0</v>
      </c>
      <c r="D244" s="478">
        <v>0</v>
      </c>
      <c r="E244" s="134"/>
      <c r="F244" s="134"/>
      <c r="G244" s="34"/>
      <c r="H244" s="34"/>
    </row>
    <row r="245" spans="2:8" ht="16.5">
      <c r="B245" s="112" t="s">
        <v>1536</v>
      </c>
      <c r="C245" s="478">
        <v>0</v>
      </c>
      <c r="D245" s="478">
        <v>0</v>
      </c>
      <c r="E245" s="134"/>
      <c r="F245" s="134"/>
      <c r="G245" s="34"/>
      <c r="H245" s="34"/>
    </row>
    <row r="246" spans="2:8" ht="16.5">
      <c r="B246" s="112" t="s">
        <v>1537</v>
      </c>
      <c r="C246" s="476">
        <v>0</v>
      </c>
      <c r="D246" s="476">
        <v>0</v>
      </c>
      <c r="E246" s="135"/>
      <c r="F246" s="135"/>
      <c r="G246" s="34"/>
      <c r="H246" s="3"/>
    </row>
    <row r="247" spans="2:8" ht="16.5">
      <c r="B247" s="106" t="s">
        <v>1642</v>
      </c>
      <c r="C247" s="135">
        <f>SUM(C242:C246)</f>
        <v>0</v>
      </c>
      <c r="D247" s="135">
        <f>SUM(D242:D246)</f>
        <v>0</v>
      </c>
      <c r="E247" s="135"/>
      <c r="F247" s="135"/>
      <c r="G247" s="3"/>
      <c r="H247" s="99"/>
    </row>
    <row r="248" spans="1:8" ht="16.5">
      <c r="A248" s="3"/>
      <c r="E248" s="3"/>
      <c r="F248" s="3"/>
      <c r="G248" s="99"/>
      <c r="H248" s="99"/>
    </row>
    <row r="249" spans="3:8" ht="16.5">
      <c r="C249" s="887" t="s">
        <v>1384</v>
      </c>
      <c r="D249" s="889"/>
      <c r="E249" s="887" t="s">
        <v>1385</v>
      </c>
      <c r="F249" s="889"/>
      <c r="G249" s="99"/>
      <c r="H249" s="562"/>
    </row>
    <row r="250" spans="2:8" ht="16.5">
      <c r="B250" s="117" t="s">
        <v>1374</v>
      </c>
      <c r="C250" s="100" t="s">
        <v>1382</v>
      </c>
      <c r="D250" s="125" t="s">
        <v>1382</v>
      </c>
      <c r="E250" s="100" t="s">
        <v>1382</v>
      </c>
      <c r="F250" s="125" t="s">
        <v>1382</v>
      </c>
      <c r="G250" s="562"/>
      <c r="H250" s="34"/>
    </row>
    <row r="251" spans="2:8" ht="16.5">
      <c r="B251" s="120" t="s">
        <v>1637</v>
      </c>
      <c r="C251" s="103" t="s">
        <v>1383</v>
      </c>
      <c r="D251" s="440" t="s">
        <v>1592</v>
      </c>
      <c r="E251" s="103" t="s">
        <v>1383</v>
      </c>
      <c r="F251" s="440" t="s">
        <v>1592</v>
      </c>
      <c r="G251" s="34"/>
      <c r="H251" s="34"/>
    </row>
    <row r="252" spans="2:8" ht="16.5">
      <c r="B252" s="106" t="s">
        <v>1642</v>
      </c>
      <c r="C252" s="476">
        <v>0</v>
      </c>
      <c r="D252" s="476">
        <v>0</v>
      </c>
      <c r="E252" s="476">
        <v>0</v>
      </c>
      <c r="F252" s="476">
        <v>0</v>
      </c>
      <c r="G252" s="34"/>
      <c r="H252" s="34"/>
    </row>
    <row r="253" spans="2:8" ht="16.5">
      <c r="B253" s="107" t="s">
        <v>1644</v>
      </c>
      <c r="C253" s="108"/>
      <c r="D253" s="96"/>
      <c r="E253" s="96"/>
      <c r="F253" s="97"/>
      <c r="G253" s="34"/>
      <c r="H253" s="34"/>
    </row>
    <row r="254" spans="2:8" ht="16.5">
      <c r="B254" s="109" t="s">
        <v>1532</v>
      </c>
      <c r="C254" s="477">
        <v>0</v>
      </c>
      <c r="D254" s="477">
        <v>0</v>
      </c>
      <c r="E254" s="477">
        <v>0</v>
      </c>
      <c r="F254" s="477">
        <v>0</v>
      </c>
      <c r="G254" s="34"/>
      <c r="H254" s="34"/>
    </row>
    <row r="255" spans="2:8" ht="16.5">
      <c r="B255" s="112" t="s">
        <v>1533</v>
      </c>
      <c r="C255" s="478">
        <v>0</v>
      </c>
      <c r="D255" s="478">
        <v>0</v>
      </c>
      <c r="E255" s="478">
        <v>0</v>
      </c>
      <c r="F255" s="478">
        <v>0</v>
      </c>
      <c r="G255" s="34"/>
      <c r="H255" s="34"/>
    </row>
    <row r="256" spans="2:8" ht="16.5">
      <c r="B256" s="112" t="s">
        <v>1534</v>
      </c>
      <c r="C256" s="478">
        <v>0</v>
      </c>
      <c r="D256" s="478">
        <v>0</v>
      </c>
      <c r="E256" s="478">
        <v>0</v>
      </c>
      <c r="F256" s="478">
        <v>0</v>
      </c>
      <c r="G256" s="34"/>
      <c r="H256" s="34"/>
    </row>
    <row r="257" spans="2:8" ht="16.5">
      <c r="B257" s="112" t="s">
        <v>1536</v>
      </c>
      <c r="C257" s="478">
        <v>0</v>
      </c>
      <c r="D257" s="478">
        <v>0</v>
      </c>
      <c r="E257" s="478">
        <v>0</v>
      </c>
      <c r="F257" s="478">
        <v>0</v>
      </c>
      <c r="G257" s="34"/>
      <c r="H257" s="34"/>
    </row>
    <row r="258" spans="2:8" ht="16.5">
      <c r="B258" s="112" t="s">
        <v>1537</v>
      </c>
      <c r="C258" s="476">
        <v>0</v>
      </c>
      <c r="D258" s="476">
        <v>0</v>
      </c>
      <c r="E258" s="476">
        <v>0</v>
      </c>
      <c r="F258" s="476">
        <v>0</v>
      </c>
      <c r="G258" s="34"/>
      <c r="H258" s="3"/>
    </row>
    <row r="259" spans="2:8" ht="16.5">
      <c r="B259" s="106" t="s">
        <v>1642</v>
      </c>
      <c r="C259" s="135">
        <f>SUM(C254:C258)</f>
        <v>0</v>
      </c>
      <c r="D259" s="135">
        <f>SUM(D254:D258)</f>
        <v>0</v>
      </c>
      <c r="E259" s="135">
        <f>SUM(E254:E258)</f>
        <v>0</v>
      </c>
      <c r="F259" s="135">
        <f>SUM(F254:F258)</f>
        <v>0</v>
      </c>
      <c r="G259" s="3"/>
      <c r="H259" s="99"/>
    </row>
    <row r="260" spans="5:8" ht="16.5">
      <c r="E260" s="3"/>
      <c r="F260" s="3"/>
      <c r="G260" s="99"/>
      <c r="H260" s="99"/>
    </row>
    <row r="261" spans="2:8" ht="16.5">
      <c r="B261" s="3"/>
      <c r="C261" s="887" t="s">
        <v>1384</v>
      </c>
      <c r="D261" s="889"/>
      <c r="E261" s="887" t="s">
        <v>1385</v>
      </c>
      <c r="F261" s="889"/>
      <c r="G261" s="99"/>
      <c r="H261" s="562"/>
    </row>
    <row r="262" spans="2:8" ht="16.5">
      <c r="B262" s="117" t="s">
        <v>1375</v>
      </c>
      <c r="C262" s="100" t="s">
        <v>1382</v>
      </c>
      <c r="D262" s="125" t="s">
        <v>1382</v>
      </c>
      <c r="E262" s="100" t="s">
        <v>1382</v>
      </c>
      <c r="F262" s="125" t="s">
        <v>1382</v>
      </c>
      <c r="G262" s="562"/>
      <c r="H262" s="34"/>
    </row>
    <row r="263" spans="2:8" ht="16.5">
      <c r="B263" s="120" t="s">
        <v>1637</v>
      </c>
      <c r="C263" s="103" t="s">
        <v>1383</v>
      </c>
      <c r="D263" s="440" t="s">
        <v>1592</v>
      </c>
      <c r="E263" s="103" t="s">
        <v>1383</v>
      </c>
      <c r="F263" s="440" t="s">
        <v>1592</v>
      </c>
      <c r="G263" s="34"/>
      <c r="H263" s="34"/>
    </row>
    <row r="264" spans="2:8" ht="16.5">
      <c r="B264" s="106" t="s">
        <v>1642</v>
      </c>
      <c r="C264" s="135"/>
      <c r="D264" s="135"/>
      <c r="E264" s="476">
        <v>0</v>
      </c>
      <c r="F264" s="476">
        <v>0</v>
      </c>
      <c r="G264" s="34"/>
      <c r="H264" s="34"/>
    </row>
    <row r="265" spans="2:8" ht="16.5">
      <c r="B265" s="107" t="s">
        <v>1644</v>
      </c>
      <c r="C265" s="108"/>
      <c r="D265" s="96"/>
      <c r="E265" s="96"/>
      <c r="F265" s="97"/>
      <c r="G265" s="34"/>
      <c r="H265" s="34"/>
    </row>
    <row r="266" spans="2:8" ht="16.5">
      <c r="B266" s="109" t="s">
        <v>1532</v>
      </c>
      <c r="C266" s="375"/>
      <c r="D266" s="375"/>
      <c r="E266" s="477">
        <v>0</v>
      </c>
      <c r="F266" s="477">
        <v>0</v>
      </c>
      <c r="G266" s="34"/>
      <c r="H266" s="34"/>
    </row>
    <row r="267" spans="2:8" ht="16.5">
      <c r="B267" s="112" t="s">
        <v>1533</v>
      </c>
      <c r="C267" s="134"/>
      <c r="D267" s="134"/>
      <c r="E267" s="478">
        <v>0</v>
      </c>
      <c r="F267" s="478">
        <v>0</v>
      </c>
      <c r="G267" s="34"/>
      <c r="H267" s="34"/>
    </row>
    <row r="268" spans="2:8" ht="16.5">
      <c r="B268" s="112" t="s">
        <v>1534</v>
      </c>
      <c r="C268" s="134"/>
      <c r="D268" s="134"/>
      <c r="E268" s="478">
        <v>0</v>
      </c>
      <c r="F268" s="478">
        <v>0</v>
      </c>
      <c r="G268" s="34"/>
      <c r="H268" s="34"/>
    </row>
    <row r="269" spans="2:8" ht="16.5">
      <c r="B269" s="112" t="s">
        <v>1536</v>
      </c>
      <c r="C269" s="134"/>
      <c r="D269" s="134"/>
      <c r="E269" s="478">
        <v>0</v>
      </c>
      <c r="F269" s="478">
        <v>0</v>
      </c>
      <c r="G269" s="34"/>
      <c r="H269" s="34"/>
    </row>
    <row r="270" spans="2:8" ht="16.5">
      <c r="B270" s="112" t="s">
        <v>1537</v>
      </c>
      <c r="C270" s="135"/>
      <c r="D270" s="135"/>
      <c r="E270" s="476">
        <v>0</v>
      </c>
      <c r="F270" s="476">
        <v>0</v>
      </c>
      <c r="G270" s="34"/>
      <c r="H270" s="3"/>
    </row>
    <row r="271" spans="2:8" ht="16.5">
      <c r="B271" s="106" t="s">
        <v>1642</v>
      </c>
      <c r="C271" s="135">
        <f>SUM(C266:C270)</f>
        <v>0</v>
      </c>
      <c r="D271" s="135">
        <f>SUM(D266:D270)</f>
        <v>0</v>
      </c>
      <c r="E271" s="135">
        <f>SUM(E266:E270)</f>
        <v>0</v>
      </c>
      <c r="F271" s="135">
        <f>SUM(F266:F270)</f>
        <v>0</v>
      </c>
      <c r="G271" s="3"/>
      <c r="H271" s="3"/>
    </row>
    <row r="272" spans="5:8" ht="15">
      <c r="E272" s="3"/>
      <c r="F272" s="3"/>
      <c r="G272" s="3"/>
      <c r="H272" s="3"/>
    </row>
    <row r="273" spans="5:8" ht="15">
      <c r="E273" s="3"/>
      <c r="F273" s="3"/>
      <c r="G273" s="3"/>
      <c r="H273" s="3"/>
    </row>
    <row r="274" spans="5:8" ht="15">
      <c r="E274" s="3"/>
      <c r="F274" s="3"/>
      <c r="G274" s="3"/>
      <c r="H274" s="3"/>
    </row>
    <row r="275" spans="5:8" ht="15">
      <c r="E275" s="3"/>
      <c r="F275" s="3"/>
      <c r="G275" s="3"/>
      <c r="H275" s="3"/>
    </row>
    <row r="276" spans="5:8" ht="15">
      <c r="E276" s="3"/>
      <c r="F276" s="3"/>
      <c r="G276" s="3"/>
      <c r="H276" s="3"/>
    </row>
    <row r="277" spans="5:8" ht="15">
      <c r="E277" s="3"/>
      <c r="F277" s="3"/>
      <c r="G277" s="3"/>
      <c r="H277" s="3"/>
    </row>
    <row r="278" spans="5:8" ht="15">
      <c r="E278" s="3"/>
      <c r="F278" s="3"/>
      <c r="G278" s="3"/>
      <c r="H278" s="3"/>
    </row>
    <row r="279" spans="5:8" ht="15">
      <c r="E279" s="3"/>
      <c r="F279" s="3"/>
      <c r="G279" s="3"/>
      <c r="H279" s="3"/>
    </row>
    <row r="280" spans="5:8" ht="15">
      <c r="E280" s="3"/>
      <c r="F280" s="3"/>
      <c r="G280" s="3"/>
      <c r="H280" s="3"/>
    </row>
    <row r="281" spans="5:8" ht="15">
      <c r="E281" s="3"/>
      <c r="F281" s="3"/>
      <c r="G281" s="3"/>
      <c r="H281" s="3"/>
    </row>
    <row r="282" spans="5:8" ht="15">
      <c r="E282" s="3"/>
      <c r="F282" s="3"/>
      <c r="G282" s="3"/>
      <c r="H282" s="3"/>
    </row>
    <row r="283" spans="5:8" ht="15">
      <c r="E283" s="3"/>
      <c r="F283" s="3"/>
      <c r="G283" s="3"/>
      <c r="H283" s="3"/>
    </row>
    <row r="284" spans="5:8" ht="15">
      <c r="E284" s="3"/>
      <c r="F284" s="3"/>
      <c r="G284" s="3"/>
      <c r="H284" s="3"/>
    </row>
    <row r="285" spans="5:8" ht="15">
      <c r="E285" s="3"/>
      <c r="F285" s="3"/>
      <c r="G285" s="3"/>
      <c r="H285" s="3"/>
    </row>
    <row r="286" spans="5:8" ht="15">
      <c r="E286" s="3"/>
      <c r="F286" s="3"/>
      <c r="G286" s="3"/>
      <c r="H286" s="3"/>
    </row>
    <row r="287" spans="5:8" ht="15">
      <c r="E287" s="3"/>
      <c r="F287" s="3"/>
      <c r="G287" s="3"/>
      <c r="H287" s="3"/>
    </row>
    <row r="288" spans="5:8" ht="15">
      <c r="E288" s="3"/>
      <c r="F288" s="3"/>
      <c r="G288" s="3"/>
      <c r="H288" s="3"/>
    </row>
    <row r="289" spans="5:8" ht="15">
      <c r="E289" s="3"/>
      <c r="F289" s="3"/>
      <c r="G289" s="3"/>
      <c r="H289" s="3"/>
    </row>
    <row r="290" spans="5:8" ht="15">
      <c r="E290" s="3"/>
      <c r="F290" s="3"/>
      <c r="G290" s="3"/>
      <c r="H290" s="3"/>
    </row>
    <row r="291" spans="5:8" ht="15">
      <c r="E291" s="3"/>
      <c r="F291" s="3"/>
      <c r="G291" s="3"/>
      <c r="H291" s="3"/>
    </row>
    <row r="292" spans="5:8" ht="15">
      <c r="E292" s="3"/>
      <c r="F292" s="3"/>
      <c r="G292" s="3"/>
      <c r="H292" s="3"/>
    </row>
    <row r="293" spans="5:8" ht="15">
      <c r="E293" s="3"/>
      <c r="F293" s="3"/>
      <c r="G293" s="3"/>
      <c r="H293" s="3"/>
    </row>
    <row r="294" spans="5:8" ht="15">
      <c r="E294" s="3"/>
      <c r="F294" s="3"/>
      <c r="G294" s="3"/>
      <c r="H294" s="3"/>
    </row>
    <row r="295" spans="5:8" ht="15">
      <c r="E295" s="3"/>
      <c r="F295" s="3"/>
      <c r="G295" s="3"/>
      <c r="H295" s="3"/>
    </row>
    <row r="296" spans="5:8" ht="15">
      <c r="E296" s="3"/>
      <c r="F296" s="3"/>
      <c r="G296" s="3"/>
      <c r="H296" s="3"/>
    </row>
    <row r="297" spans="5:8" ht="15">
      <c r="E297" s="3"/>
      <c r="F297" s="3"/>
      <c r="G297" s="3"/>
      <c r="H297" s="3"/>
    </row>
    <row r="298" spans="5:8" ht="15">
      <c r="E298" s="3"/>
      <c r="F298" s="3"/>
      <c r="G298" s="3"/>
      <c r="H298" s="3"/>
    </row>
    <row r="299" spans="5:8" ht="15">
      <c r="E299" s="3"/>
      <c r="F299" s="3"/>
      <c r="G299" s="3"/>
      <c r="H299" s="3"/>
    </row>
    <row r="300" spans="5:8" ht="15">
      <c r="E300" s="3"/>
      <c r="F300" s="3"/>
      <c r="G300" s="3"/>
      <c r="H300" s="3"/>
    </row>
    <row r="301" spans="5:8" ht="15">
      <c r="E301" s="3"/>
      <c r="F301" s="3"/>
      <c r="G301" s="3"/>
      <c r="H301" s="3"/>
    </row>
    <row r="302" spans="5:8" ht="15">
      <c r="E302" s="3"/>
      <c r="F302" s="3"/>
      <c r="G302" s="3"/>
      <c r="H302" s="3"/>
    </row>
    <row r="303" spans="5:8" ht="15">
      <c r="E303" s="3"/>
      <c r="F303" s="3"/>
      <c r="G303" s="3"/>
      <c r="H303" s="3"/>
    </row>
    <row r="304" spans="5:8" ht="15">
      <c r="E304" s="3"/>
      <c r="F304" s="3"/>
      <c r="G304" s="3"/>
      <c r="H304" s="3"/>
    </row>
    <row r="305" spans="5:8" ht="15">
      <c r="E305" s="3"/>
      <c r="F305" s="3"/>
      <c r="G305" s="3"/>
      <c r="H305" s="3"/>
    </row>
    <row r="306" spans="5:8" ht="15">
      <c r="E306" s="3"/>
      <c r="F306" s="3"/>
      <c r="G306" s="3"/>
      <c r="H306" s="3"/>
    </row>
    <row r="307" spans="5:8" ht="15">
      <c r="E307" s="3"/>
      <c r="F307" s="3"/>
      <c r="G307" s="3"/>
      <c r="H307" s="3"/>
    </row>
    <row r="308" spans="5:8" ht="15">
      <c r="E308" s="3"/>
      <c r="F308" s="3"/>
      <c r="G308" s="3"/>
      <c r="H308" s="3"/>
    </row>
    <row r="309" spans="5:8" ht="15">
      <c r="E309" s="3"/>
      <c r="F309" s="3"/>
      <c r="G309" s="3"/>
      <c r="H309" s="3"/>
    </row>
    <row r="310" spans="5:8" ht="15">
      <c r="E310" s="3"/>
      <c r="F310" s="3"/>
      <c r="G310" s="3"/>
      <c r="H310" s="3"/>
    </row>
    <row r="311" spans="5:8" ht="15">
      <c r="E311" s="3"/>
      <c r="F311" s="3"/>
      <c r="G311" s="3"/>
      <c r="H311" s="3"/>
    </row>
    <row r="312" spans="5:8" ht="15">
      <c r="E312" s="3"/>
      <c r="F312" s="3"/>
      <c r="G312" s="3"/>
      <c r="H312" s="3"/>
    </row>
    <row r="313" spans="5:8" ht="15">
      <c r="E313" s="3"/>
      <c r="F313" s="3"/>
      <c r="G313" s="3"/>
      <c r="H313" s="3"/>
    </row>
    <row r="314" spans="5:8" ht="15">
      <c r="E314" s="3"/>
      <c r="F314" s="3"/>
      <c r="G314" s="3"/>
      <c r="H314" s="3"/>
    </row>
    <row r="315" spans="5:8" ht="15">
      <c r="E315" s="3"/>
      <c r="F315" s="3"/>
      <c r="G315" s="3"/>
      <c r="H315" s="3"/>
    </row>
    <row r="316" spans="5:8" ht="15">
      <c r="E316" s="3"/>
      <c r="F316" s="3"/>
      <c r="G316" s="3"/>
      <c r="H316" s="3"/>
    </row>
    <row r="317" spans="5:8" ht="15">
      <c r="E317" s="3"/>
      <c r="F317" s="3"/>
      <c r="G317" s="3"/>
      <c r="H317" s="3"/>
    </row>
    <row r="318" spans="5:8" ht="15">
      <c r="E318" s="3"/>
      <c r="F318" s="3"/>
      <c r="G318" s="3"/>
      <c r="H318" s="3"/>
    </row>
    <row r="319" spans="5:8" ht="15">
      <c r="E319" s="3"/>
      <c r="F319" s="3"/>
      <c r="G319" s="3"/>
      <c r="H319" s="3"/>
    </row>
    <row r="320" spans="5:8" ht="15">
      <c r="E320" s="3"/>
      <c r="F320" s="3"/>
      <c r="G320" s="3"/>
      <c r="H320" s="3"/>
    </row>
    <row r="321" spans="5:8" ht="15">
      <c r="E321" s="3"/>
      <c r="F321" s="3"/>
      <c r="G321" s="3"/>
      <c r="H321" s="3"/>
    </row>
    <row r="322" spans="5:8" ht="15">
      <c r="E322" s="3"/>
      <c r="F322" s="3"/>
      <c r="G322" s="3"/>
      <c r="H322" s="3"/>
    </row>
    <row r="323" spans="5:8" ht="15">
      <c r="E323" s="3"/>
      <c r="F323" s="3"/>
      <c r="G323" s="3"/>
      <c r="H323" s="3"/>
    </row>
    <row r="324" spans="5:8" ht="15">
      <c r="E324" s="3"/>
      <c r="F324" s="3"/>
      <c r="G324" s="3"/>
      <c r="H324" s="3"/>
    </row>
    <row r="325" spans="5:8" ht="15">
      <c r="E325" s="3"/>
      <c r="F325" s="3"/>
      <c r="G325" s="3"/>
      <c r="H325" s="3"/>
    </row>
    <row r="326" spans="5:8" ht="15">
      <c r="E326" s="3"/>
      <c r="F326" s="3"/>
      <c r="G326" s="3"/>
      <c r="H326" s="3"/>
    </row>
    <row r="327" spans="5:8" ht="15">
      <c r="E327" s="3"/>
      <c r="F327" s="3"/>
      <c r="G327" s="3"/>
      <c r="H327" s="3"/>
    </row>
    <row r="328" spans="5:8" ht="15">
      <c r="E328" s="3"/>
      <c r="F328" s="3"/>
      <c r="G328" s="3"/>
      <c r="H328" s="3"/>
    </row>
    <row r="329" spans="5:8" ht="15">
      <c r="E329" s="3"/>
      <c r="F329" s="3"/>
      <c r="G329" s="3"/>
      <c r="H329" s="3"/>
    </row>
    <row r="330" spans="5:8" ht="15">
      <c r="E330" s="3"/>
      <c r="F330" s="3"/>
      <c r="G330" s="3"/>
      <c r="H330" s="3"/>
    </row>
    <row r="331" spans="5:8" ht="15">
      <c r="E331" s="3"/>
      <c r="F331" s="3"/>
      <c r="G331" s="3"/>
      <c r="H331" s="3"/>
    </row>
    <row r="332" spans="5:8" ht="15">
      <c r="E332" s="3"/>
      <c r="F332" s="3"/>
      <c r="G332" s="3"/>
      <c r="H332" s="3"/>
    </row>
    <row r="333" spans="5:8" ht="15">
      <c r="E333" s="3"/>
      <c r="F333" s="3"/>
      <c r="G333" s="3"/>
      <c r="H333" s="3"/>
    </row>
    <row r="334" spans="5:8" ht="15">
      <c r="E334" s="3"/>
      <c r="F334" s="3"/>
      <c r="G334" s="3"/>
      <c r="H334" s="3"/>
    </row>
    <row r="335" spans="5:8" ht="15">
      <c r="E335" s="3"/>
      <c r="F335" s="3"/>
      <c r="G335" s="3"/>
      <c r="H335" s="3"/>
    </row>
    <row r="336" spans="5:8" ht="15">
      <c r="E336" s="3"/>
      <c r="F336" s="3"/>
      <c r="G336" s="3"/>
      <c r="H336" s="3"/>
    </row>
    <row r="337" spans="5:8" ht="15">
      <c r="E337" s="3"/>
      <c r="F337" s="3"/>
      <c r="G337" s="3"/>
      <c r="H337" s="3"/>
    </row>
    <row r="338" spans="5:8" ht="15">
      <c r="E338" s="3"/>
      <c r="F338" s="3"/>
      <c r="G338" s="3"/>
      <c r="H338" s="3"/>
    </row>
    <row r="339" spans="5:8" ht="15">
      <c r="E339" s="3"/>
      <c r="F339" s="3"/>
      <c r="G339" s="3"/>
      <c r="H339" s="3"/>
    </row>
    <row r="340" spans="5:8" ht="15">
      <c r="E340" s="3"/>
      <c r="F340" s="3"/>
      <c r="G340" s="3"/>
      <c r="H340" s="3"/>
    </row>
    <row r="341" spans="5:8" ht="15">
      <c r="E341" s="3"/>
      <c r="F341" s="3"/>
      <c r="G341" s="3"/>
      <c r="H341" s="3"/>
    </row>
    <row r="342" spans="5:8" ht="15">
      <c r="E342" s="3"/>
      <c r="F342" s="3"/>
      <c r="G342" s="3"/>
      <c r="H342" s="3"/>
    </row>
    <row r="343" spans="5:8" ht="15">
      <c r="E343" s="3"/>
      <c r="F343" s="3"/>
      <c r="G343" s="3"/>
      <c r="H343" s="3"/>
    </row>
    <row r="344" spans="5:8" ht="15">
      <c r="E344" s="3"/>
      <c r="F344" s="3"/>
      <c r="G344" s="3"/>
      <c r="H344" s="3"/>
    </row>
    <row r="345" spans="5:8" ht="15">
      <c r="E345" s="3"/>
      <c r="F345" s="3"/>
      <c r="G345" s="3"/>
      <c r="H345" s="3"/>
    </row>
    <row r="346" spans="5:8" ht="15">
      <c r="E346" s="3"/>
      <c r="F346" s="3"/>
      <c r="G346" s="3"/>
      <c r="H346" s="3"/>
    </row>
    <row r="347" spans="5:8" ht="15">
      <c r="E347" s="3"/>
      <c r="F347" s="3"/>
      <c r="G347" s="3"/>
      <c r="H347" s="3"/>
    </row>
    <row r="348" spans="5:8" ht="15">
      <c r="E348" s="3"/>
      <c r="F348" s="3"/>
      <c r="G348" s="3"/>
      <c r="H348" s="3"/>
    </row>
    <row r="349" spans="5:8" ht="15">
      <c r="E349" s="3"/>
      <c r="F349" s="3"/>
      <c r="G349" s="3"/>
      <c r="H349" s="3"/>
    </row>
    <row r="350" spans="5:8" ht="15">
      <c r="E350" s="3"/>
      <c r="F350" s="3"/>
      <c r="G350" s="3"/>
      <c r="H350" s="3"/>
    </row>
    <row r="351" spans="5:8" ht="15">
      <c r="E351" s="3"/>
      <c r="F351" s="3"/>
      <c r="G351" s="3"/>
      <c r="H351" s="3"/>
    </row>
    <row r="352" spans="5:8" ht="15">
      <c r="E352" s="3"/>
      <c r="F352" s="3"/>
      <c r="G352" s="3"/>
      <c r="H352" s="3"/>
    </row>
    <row r="353" spans="5:8" ht="15">
      <c r="E353" s="3"/>
      <c r="F353" s="3"/>
      <c r="G353" s="3"/>
      <c r="H353" s="3"/>
    </row>
    <row r="354" spans="5:8" ht="15">
      <c r="E354" s="3"/>
      <c r="F354" s="3"/>
      <c r="G354" s="3"/>
      <c r="H354" s="3"/>
    </row>
    <row r="355" spans="5:8" ht="15">
      <c r="E355" s="3"/>
      <c r="F355" s="3"/>
      <c r="G355" s="3"/>
      <c r="H355" s="3"/>
    </row>
    <row r="356" spans="5:8" ht="15">
      <c r="E356" s="3"/>
      <c r="F356" s="3"/>
      <c r="G356" s="3"/>
      <c r="H356" s="3"/>
    </row>
    <row r="357" spans="5:8" ht="15">
      <c r="E357" s="3"/>
      <c r="F357" s="3"/>
      <c r="G357" s="3"/>
      <c r="H357" s="3"/>
    </row>
    <row r="358" spans="5:8" ht="15">
      <c r="E358" s="3"/>
      <c r="F358" s="3"/>
      <c r="G358" s="3"/>
      <c r="H358" s="3"/>
    </row>
    <row r="359" spans="5:8" ht="15">
      <c r="E359" s="3"/>
      <c r="F359" s="3"/>
      <c r="G359" s="3"/>
      <c r="H359" s="3"/>
    </row>
    <row r="360" spans="5:8" ht="15">
      <c r="E360" s="3"/>
      <c r="F360" s="3"/>
      <c r="G360" s="3"/>
      <c r="H360" s="3"/>
    </row>
    <row r="361" spans="5:8" ht="15">
      <c r="E361" s="3"/>
      <c r="F361" s="3"/>
      <c r="G361" s="3"/>
      <c r="H361" s="3"/>
    </row>
    <row r="362" spans="5:8" ht="15">
      <c r="E362" s="3"/>
      <c r="F362" s="3"/>
      <c r="G362" s="3"/>
      <c r="H362" s="3"/>
    </row>
    <row r="363" spans="5:8" ht="15">
      <c r="E363" s="3"/>
      <c r="F363" s="3"/>
      <c r="G363" s="3"/>
      <c r="H363" s="3"/>
    </row>
    <row r="364" spans="5:8" ht="15">
      <c r="E364" s="3"/>
      <c r="F364" s="3"/>
      <c r="G364" s="3"/>
      <c r="H364" s="3"/>
    </row>
    <row r="365" spans="5:8" ht="15">
      <c r="E365" s="3"/>
      <c r="F365" s="3"/>
      <c r="G365" s="3"/>
      <c r="H365" s="3"/>
    </row>
    <row r="366" spans="5:8" ht="15">
      <c r="E366" s="3"/>
      <c r="F366" s="3"/>
      <c r="G366" s="3"/>
      <c r="H366" s="3"/>
    </row>
    <row r="367" spans="5:8" ht="15">
      <c r="E367" s="3"/>
      <c r="F367" s="3"/>
      <c r="G367" s="3"/>
      <c r="H367" s="3"/>
    </row>
    <row r="368" spans="5:8" ht="15">
      <c r="E368" s="3"/>
      <c r="F368" s="3"/>
      <c r="G368" s="3"/>
      <c r="H368" s="3"/>
    </row>
    <row r="369" spans="5:8" ht="15">
      <c r="E369" s="3"/>
      <c r="F369" s="3"/>
      <c r="G369" s="3"/>
      <c r="H369" s="3"/>
    </row>
    <row r="370" spans="5:8" ht="15">
      <c r="E370" s="3"/>
      <c r="F370" s="3"/>
      <c r="G370" s="3"/>
      <c r="H370" s="3"/>
    </row>
    <row r="371" spans="5:8" ht="15">
      <c r="E371" s="3"/>
      <c r="F371" s="3"/>
      <c r="G371" s="3"/>
      <c r="H371" s="3"/>
    </row>
    <row r="372" spans="5:8" ht="15">
      <c r="E372" s="3"/>
      <c r="F372" s="3"/>
      <c r="G372" s="3"/>
      <c r="H372" s="3"/>
    </row>
    <row r="373" spans="5:8" ht="15">
      <c r="E373" s="3"/>
      <c r="F373" s="3"/>
      <c r="G373" s="3"/>
      <c r="H373" s="3"/>
    </row>
    <row r="374" spans="5:8" ht="15">
      <c r="E374" s="3"/>
      <c r="F374" s="3"/>
      <c r="G374" s="3"/>
      <c r="H374" s="3"/>
    </row>
    <row r="375" spans="5:8" ht="15">
      <c r="E375" s="3"/>
      <c r="F375" s="3"/>
      <c r="G375" s="3"/>
      <c r="H375" s="3"/>
    </row>
    <row r="376" spans="5:8" ht="15">
      <c r="E376" s="3"/>
      <c r="F376" s="3"/>
      <c r="G376" s="3"/>
      <c r="H376" s="3"/>
    </row>
    <row r="377" spans="5:8" ht="15">
      <c r="E377" s="3"/>
      <c r="F377" s="3"/>
      <c r="G377" s="3"/>
      <c r="H377" s="3"/>
    </row>
    <row r="378" spans="5:8" ht="15">
      <c r="E378" s="3"/>
      <c r="F378" s="3"/>
      <c r="G378" s="3"/>
      <c r="H378" s="3"/>
    </row>
    <row r="379" spans="5:8" ht="15">
      <c r="E379" s="3"/>
      <c r="F379" s="3"/>
      <c r="G379" s="3"/>
      <c r="H379" s="3"/>
    </row>
    <row r="380" spans="5:8" ht="15">
      <c r="E380" s="3"/>
      <c r="F380" s="3"/>
      <c r="G380" s="3"/>
      <c r="H380" s="3"/>
    </row>
    <row r="381" spans="5:8" ht="15">
      <c r="E381" s="3"/>
      <c r="F381" s="3"/>
      <c r="G381" s="3"/>
      <c r="H381" s="3"/>
    </row>
    <row r="382" spans="5:8" ht="15">
      <c r="E382" s="3"/>
      <c r="F382" s="3"/>
      <c r="G382" s="3"/>
      <c r="H382" s="3"/>
    </row>
    <row r="383" spans="5:8" ht="15">
      <c r="E383" s="3"/>
      <c r="F383" s="3"/>
      <c r="G383" s="3"/>
      <c r="H383" s="3"/>
    </row>
    <row r="384" spans="5:8" ht="15">
      <c r="E384" s="3"/>
      <c r="F384" s="3"/>
      <c r="G384" s="3"/>
      <c r="H384" s="3"/>
    </row>
    <row r="385" spans="5:8" ht="15">
      <c r="E385" s="3"/>
      <c r="F385" s="3"/>
      <c r="G385" s="3"/>
      <c r="H385" s="3"/>
    </row>
    <row r="386" spans="5:8" ht="15">
      <c r="E386" s="3"/>
      <c r="F386" s="3"/>
      <c r="G386" s="3"/>
      <c r="H386" s="3"/>
    </row>
    <row r="387" spans="5:8" ht="15">
      <c r="E387" s="3"/>
      <c r="F387" s="3"/>
      <c r="G387" s="3"/>
      <c r="H387" s="3"/>
    </row>
    <row r="388" spans="5:8" ht="15">
      <c r="E388" s="3"/>
      <c r="F388" s="3"/>
      <c r="G388" s="3"/>
      <c r="H388" s="3"/>
    </row>
    <row r="389" spans="5:8" ht="15">
      <c r="E389" s="3"/>
      <c r="F389" s="3"/>
      <c r="G389" s="3"/>
      <c r="H389" s="3"/>
    </row>
    <row r="390" spans="5:8" ht="15">
      <c r="E390" s="3"/>
      <c r="F390" s="3"/>
      <c r="G390" s="3"/>
      <c r="H390" s="3"/>
    </row>
    <row r="391" spans="5:8" ht="15">
      <c r="E391" s="3"/>
      <c r="F391" s="3"/>
      <c r="G391" s="3"/>
      <c r="H391" s="3"/>
    </row>
    <row r="392" spans="5:8" ht="15">
      <c r="E392" s="3"/>
      <c r="F392" s="3"/>
      <c r="G392" s="3"/>
      <c r="H392" s="3"/>
    </row>
    <row r="393" spans="5:8" ht="15">
      <c r="E393" s="3"/>
      <c r="F393" s="3"/>
      <c r="G393" s="3"/>
      <c r="H393" s="3"/>
    </row>
    <row r="394" spans="5:8" ht="15">
      <c r="E394" s="3"/>
      <c r="F394" s="3"/>
      <c r="G394" s="3"/>
      <c r="H394" s="3"/>
    </row>
    <row r="395" spans="5:8" ht="15">
      <c r="E395" s="3"/>
      <c r="F395" s="3"/>
      <c r="G395" s="3"/>
      <c r="H395" s="3"/>
    </row>
    <row r="396" spans="5:8" ht="15">
      <c r="E396" s="3"/>
      <c r="F396" s="3"/>
      <c r="G396" s="3"/>
      <c r="H396" s="3"/>
    </row>
    <row r="397" spans="5:8" ht="15">
      <c r="E397" s="3"/>
      <c r="F397" s="3"/>
      <c r="G397" s="3"/>
      <c r="H397" s="3"/>
    </row>
    <row r="398" spans="5:8" ht="15">
      <c r="E398" s="3"/>
      <c r="F398" s="3"/>
      <c r="G398" s="3"/>
      <c r="H398" s="3"/>
    </row>
    <row r="399" spans="5:8" ht="15">
      <c r="E399" s="3"/>
      <c r="F399" s="3"/>
      <c r="G399" s="3"/>
      <c r="H399" s="3"/>
    </row>
    <row r="400" spans="5:8" ht="15">
      <c r="E400" s="3"/>
      <c r="F400" s="3"/>
      <c r="G400" s="3"/>
      <c r="H400" s="3"/>
    </row>
    <row r="401" spans="5:8" ht="15">
      <c r="E401" s="3"/>
      <c r="F401" s="3"/>
      <c r="G401" s="3"/>
      <c r="H401" s="3"/>
    </row>
    <row r="402" spans="5:8" ht="15">
      <c r="E402" s="3"/>
      <c r="F402" s="3"/>
      <c r="G402" s="3"/>
      <c r="H402" s="3"/>
    </row>
    <row r="403" spans="5:8" ht="15">
      <c r="E403" s="3"/>
      <c r="F403" s="3"/>
      <c r="G403" s="3"/>
      <c r="H403" s="3"/>
    </row>
    <row r="404" spans="5:8" ht="15">
      <c r="E404" s="3"/>
      <c r="F404" s="3"/>
      <c r="G404" s="3"/>
      <c r="H404" s="3"/>
    </row>
    <row r="405" spans="5:8" ht="15">
      <c r="E405" s="3"/>
      <c r="F405" s="3"/>
      <c r="G405" s="3"/>
      <c r="H405" s="3"/>
    </row>
    <row r="406" spans="5:8" ht="15">
      <c r="E406" s="3"/>
      <c r="F406" s="3"/>
      <c r="G406" s="3"/>
      <c r="H406" s="3"/>
    </row>
    <row r="407" spans="5:8" ht="15">
      <c r="E407" s="3"/>
      <c r="F407" s="3"/>
      <c r="G407" s="3"/>
      <c r="H407" s="3"/>
    </row>
    <row r="408" spans="5:8" ht="15">
      <c r="E408" s="3"/>
      <c r="F408" s="3"/>
      <c r="G408" s="3"/>
      <c r="H408" s="3"/>
    </row>
    <row r="409" spans="5:8" ht="15">
      <c r="E409" s="3"/>
      <c r="F409" s="3"/>
      <c r="G409" s="3"/>
      <c r="H409" s="3"/>
    </row>
    <row r="410" spans="5:8" ht="15">
      <c r="E410" s="3"/>
      <c r="F410" s="3"/>
      <c r="G410" s="3"/>
      <c r="H410" s="3"/>
    </row>
    <row r="411" spans="5:8" ht="15">
      <c r="E411" s="3"/>
      <c r="F411" s="3"/>
      <c r="G411" s="3"/>
      <c r="H411" s="3"/>
    </row>
    <row r="412" spans="5:8" ht="15">
      <c r="E412" s="3"/>
      <c r="F412" s="3"/>
      <c r="G412" s="3"/>
      <c r="H412" s="3"/>
    </row>
    <row r="413" spans="5:8" ht="15">
      <c r="E413" s="3"/>
      <c r="F413" s="3"/>
      <c r="G413" s="3"/>
      <c r="H413" s="3"/>
    </row>
    <row r="414" spans="5:8" ht="15">
      <c r="E414" s="3"/>
      <c r="F414" s="3"/>
      <c r="G414" s="3"/>
      <c r="H414" s="3"/>
    </row>
    <row r="415" spans="5:8" ht="15">
      <c r="E415" s="3"/>
      <c r="F415" s="3"/>
      <c r="G415" s="3"/>
      <c r="H415" s="3"/>
    </row>
    <row r="416" spans="5:8" ht="15">
      <c r="E416" s="3"/>
      <c r="F416" s="3"/>
      <c r="G416" s="3"/>
      <c r="H416" s="3"/>
    </row>
    <row r="417" spans="5:8" ht="15">
      <c r="E417" s="3"/>
      <c r="F417" s="3"/>
      <c r="G417" s="3"/>
      <c r="H417" s="3"/>
    </row>
    <row r="418" spans="5:8" ht="15">
      <c r="E418" s="3"/>
      <c r="F418" s="3"/>
      <c r="G418" s="3"/>
      <c r="H418" s="3"/>
    </row>
    <row r="419" spans="5:8" ht="15">
      <c r="E419" s="3"/>
      <c r="F419" s="3"/>
      <c r="G419" s="3"/>
      <c r="H419" s="3"/>
    </row>
    <row r="420" spans="5:8" ht="15">
      <c r="E420" s="3"/>
      <c r="F420" s="3"/>
      <c r="G420" s="3"/>
      <c r="H420" s="3"/>
    </row>
    <row r="421" spans="5:8" ht="15">
      <c r="E421" s="3"/>
      <c r="F421" s="3"/>
      <c r="G421" s="3"/>
      <c r="H421" s="3"/>
    </row>
    <row r="422" spans="5:8" ht="15">
      <c r="E422" s="3"/>
      <c r="F422" s="3"/>
      <c r="G422" s="3"/>
      <c r="H422" s="3"/>
    </row>
    <row r="423" spans="5:8" ht="15">
      <c r="E423" s="3"/>
      <c r="F423" s="3"/>
      <c r="G423" s="3"/>
      <c r="H423" s="3"/>
    </row>
    <row r="424" spans="5:8" ht="15">
      <c r="E424" s="3"/>
      <c r="F424" s="3"/>
      <c r="G424" s="3"/>
      <c r="H424" s="3"/>
    </row>
    <row r="425" spans="5:8" ht="15">
      <c r="E425" s="3"/>
      <c r="F425" s="3"/>
      <c r="G425" s="3"/>
      <c r="H425" s="3"/>
    </row>
    <row r="426" spans="5:8" ht="15">
      <c r="E426" s="3"/>
      <c r="F426" s="3"/>
      <c r="G426" s="3"/>
      <c r="H426" s="3"/>
    </row>
    <row r="427" spans="5:8" ht="15">
      <c r="E427" s="3"/>
      <c r="F427" s="3"/>
      <c r="G427" s="3"/>
      <c r="H427" s="3"/>
    </row>
    <row r="428" spans="5:8" ht="15">
      <c r="E428" s="3"/>
      <c r="F428" s="3"/>
      <c r="G428" s="3"/>
      <c r="H428" s="3"/>
    </row>
    <row r="429" spans="5:8" ht="15">
      <c r="E429" s="3"/>
      <c r="F429" s="3"/>
      <c r="G429" s="3"/>
      <c r="H429" s="3"/>
    </row>
    <row r="430" spans="5:8" ht="15">
      <c r="E430" s="3"/>
      <c r="F430" s="3"/>
      <c r="G430" s="3"/>
      <c r="H430" s="3"/>
    </row>
    <row r="431" spans="5:8" ht="15">
      <c r="E431" s="3"/>
      <c r="F431" s="3"/>
      <c r="G431" s="3"/>
      <c r="H431" s="3"/>
    </row>
    <row r="432" spans="5:8" ht="15">
      <c r="E432" s="3"/>
      <c r="F432" s="3"/>
      <c r="G432" s="3"/>
      <c r="H432" s="3"/>
    </row>
    <row r="433" spans="5:8" ht="15">
      <c r="E433" s="3"/>
      <c r="F433" s="3"/>
      <c r="G433" s="3"/>
      <c r="H433" s="3"/>
    </row>
    <row r="434" spans="5:8" ht="15">
      <c r="E434" s="3"/>
      <c r="F434" s="3"/>
      <c r="G434" s="3"/>
      <c r="H434" s="3"/>
    </row>
    <row r="435" spans="5:8" ht="15">
      <c r="E435" s="3"/>
      <c r="F435" s="3"/>
      <c r="G435" s="3"/>
      <c r="H435" s="3"/>
    </row>
    <row r="436" spans="5:8" ht="15">
      <c r="E436" s="3"/>
      <c r="F436" s="3"/>
      <c r="G436" s="3"/>
      <c r="H436" s="3"/>
    </row>
    <row r="437" spans="5:8" ht="15">
      <c r="E437" s="3"/>
      <c r="F437" s="3"/>
      <c r="G437" s="3"/>
      <c r="H437" s="3"/>
    </row>
    <row r="438" spans="5:8" ht="15">
      <c r="E438" s="3"/>
      <c r="F438" s="3"/>
      <c r="G438" s="3"/>
      <c r="H438" s="3"/>
    </row>
    <row r="439" spans="5:8" ht="15">
      <c r="E439" s="3"/>
      <c r="F439" s="3"/>
      <c r="G439" s="3"/>
      <c r="H439" s="3"/>
    </row>
    <row r="440" spans="5:8" ht="15">
      <c r="E440" s="3"/>
      <c r="F440" s="3"/>
      <c r="G440" s="3"/>
      <c r="H440" s="3"/>
    </row>
    <row r="441" spans="5:8" ht="15">
      <c r="E441" s="3"/>
      <c r="F441" s="3"/>
      <c r="G441" s="3"/>
      <c r="H441" s="3"/>
    </row>
    <row r="442" spans="5:8" ht="15">
      <c r="E442" s="3"/>
      <c r="F442" s="3"/>
      <c r="G442" s="3"/>
      <c r="H442" s="3"/>
    </row>
    <row r="443" spans="5:8" ht="15">
      <c r="E443" s="3"/>
      <c r="F443" s="3"/>
      <c r="G443" s="3"/>
      <c r="H443" s="3"/>
    </row>
    <row r="444" spans="5:8" ht="15">
      <c r="E444" s="3"/>
      <c r="F444" s="3"/>
      <c r="G444" s="3"/>
      <c r="H444" s="3"/>
    </row>
    <row r="445" spans="5:8" ht="15">
      <c r="E445" s="3"/>
      <c r="F445" s="3"/>
      <c r="G445" s="3"/>
      <c r="H445" s="3"/>
    </row>
    <row r="446" spans="5:8" ht="15">
      <c r="E446" s="3"/>
      <c r="F446" s="3"/>
      <c r="G446" s="3"/>
      <c r="H446" s="3"/>
    </row>
    <row r="447" spans="5:8" ht="15">
      <c r="E447" s="3"/>
      <c r="F447" s="3"/>
      <c r="G447" s="3"/>
      <c r="H447" s="3"/>
    </row>
    <row r="448" spans="5:8" ht="15">
      <c r="E448" s="3"/>
      <c r="F448" s="3"/>
      <c r="G448" s="3"/>
      <c r="H448" s="3"/>
    </row>
    <row r="449" spans="5:8" ht="15">
      <c r="E449" s="3"/>
      <c r="F449" s="3"/>
      <c r="G449" s="3"/>
      <c r="H449" s="3"/>
    </row>
    <row r="450" spans="5:8" ht="15">
      <c r="E450" s="3"/>
      <c r="F450" s="3"/>
      <c r="G450" s="3"/>
      <c r="H450" s="3"/>
    </row>
    <row r="451" spans="5:8" ht="15">
      <c r="E451" s="3"/>
      <c r="F451" s="3"/>
      <c r="G451" s="3"/>
      <c r="H451" s="3"/>
    </row>
    <row r="452" spans="5:8" ht="15">
      <c r="E452" s="3"/>
      <c r="F452" s="3"/>
      <c r="G452" s="3"/>
      <c r="H452" s="3"/>
    </row>
    <row r="453" spans="5:8" ht="15">
      <c r="E453" s="3"/>
      <c r="F453" s="3"/>
      <c r="G453" s="3"/>
      <c r="H453" s="3"/>
    </row>
    <row r="454" spans="5:8" ht="15">
      <c r="E454" s="3"/>
      <c r="F454" s="3"/>
      <c r="G454" s="3"/>
      <c r="H454" s="3"/>
    </row>
    <row r="455" spans="5:8" ht="15">
      <c r="E455" s="3"/>
      <c r="F455" s="3"/>
      <c r="G455" s="3"/>
      <c r="H455" s="3"/>
    </row>
    <row r="456" spans="5:8" ht="15">
      <c r="E456" s="3"/>
      <c r="F456" s="3"/>
      <c r="G456" s="3"/>
      <c r="H456" s="3"/>
    </row>
    <row r="457" spans="5:8" ht="15">
      <c r="E457" s="3"/>
      <c r="F457" s="3"/>
      <c r="G457" s="3"/>
      <c r="H457" s="3"/>
    </row>
    <row r="458" spans="5:8" ht="15">
      <c r="E458" s="3"/>
      <c r="F458" s="3"/>
      <c r="G458" s="3"/>
      <c r="H458" s="3"/>
    </row>
    <row r="459" spans="5:8" ht="15">
      <c r="E459" s="3"/>
      <c r="F459" s="3"/>
      <c r="G459" s="3"/>
      <c r="H459" s="3"/>
    </row>
    <row r="460" spans="5:8" ht="15">
      <c r="E460" s="3"/>
      <c r="F460" s="3"/>
      <c r="G460" s="3"/>
      <c r="H460" s="3"/>
    </row>
    <row r="461" spans="5:8" ht="15">
      <c r="E461" s="3"/>
      <c r="F461" s="3"/>
      <c r="G461" s="3"/>
      <c r="H461" s="3"/>
    </row>
    <row r="462" spans="5:8" ht="15">
      <c r="E462" s="3"/>
      <c r="F462" s="3"/>
      <c r="G462" s="3"/>
      <c r="H462" s="3"/>
    </row>
    <row r="463" spans="5:8" ht="15">
      <c r="E463" s="3"/>
      <c r="F463" s="3"/>
      <c r="G463" s="3"/>
      <c r="H463" s="3"/>
    </row>
    <row r="464" spans="5:8" ht="15">
      <c r="E464" s="3"/>
      <c r="F464" s="3"/>
      <c r="G464" s="3"/>
      <c r="H464" s="3"/>
    </row>
    <row r="465" spans="5:8" ht="15">
      <c r="E465" s="3"/>
      <c r="F465" s="3"/>
      <c r="G465" s="3"/>
      <c r="H465" s="3"/>
    </row>
    <row r="466" spans="5:8" ht="15">
      <c r="E466" s="3"/>
      <c r="F466" s="3"/>
      <c r="G466" s="3"/>
      <c r="H466" s="3"/>
    </row>
    <row r="467" spans="5:8" ht="15">
      <c r="E467" s="3"/>
      <c r="F467" s="3"/>
      <c r="G467" s="3"/>
      <c r="H467" s="3"/>
    </row>
    <row r="468" spans="5:8" ht="15">
      <c r="E468" s="3"/>
      <c r="F468" s="3"/>
      <c r="G468" s="3"/>
      <c r="H468" s="3"/>
    </row>
    <row r="469" spans="5:8" ht="15">
      <c r="E469" s="3"/>
      <c r="F469" s="3"/>
      <c r="G469" s="3"/>
      <c r="H469" s="3"/>
    </row>
    <row r="470" spans="5:8" ht="15">
      <c r="E470" s="3"/>
      <c r="F470" s="3"/>
      <c r="G470" s="3"/>
      <c r="H470" s="3"/>
    </row>
    <row r="471" spans="5:8" ht="15">
      <c r="E471" s="3"/>
      <c r="F471" s="3"/>
      <c r="G471" s="3"/>
      <c r="H471" s="3"/>
    </row>
    <row r="472" spans="5:8" ht="15">
      <c r="E472" s="3"/>
      <c r="F472" s="3"/>
      <c r="G472" s="3"/>
      <c r="H472" s="3"/>
    </row>
    <row r="473" spans="5:8" ht="15">
      <c r="E473" s="3"/>
      <c r="F473" s="3"/>
      <c r="G473" s="3"/>
      <c r="H473" s="3"/>
    </row>
    <row r="474" spans="5:8" ht="15">
      <c r="E474" s="3"/>
      <c r="F474" s="3"/>
      <c r="G474" s="3"/>
      <c r="H474" s="3"/>
    </row>
    <row r="475" spans="5:8" ht="15">
      <c r="E475" s="3"/>
      <c r="F475" s="3"/>
      <c r="G475" s="3"/>
      <c r="H475" s="3"/>
    </row>
    <row r="476" spans="5:8" ht="15">
      <c r="E476" s="3"/>
      <c r="F476" s="3"/>
      <c r="G476" s="3"/>
      <c r="H476" s="3"/>
    </row>
    <row r="477" spans="5:8" ht="15">
      <c r="E477" s="3"/>
      <c r="F477" s="3"/>
      <c r="G477" s="3"/>
      <c r="H477" s="3"/>
    </row>
    <row r="478" spans="5:8" ht="15">
      <c r="E478" s="3"/>
      <c r="F478" s="3"/>
      <c r="G478" s="3"/>
      <c r="H478" s="3"/>
    </row>
    <row r="479" spans="5:8" ht="15">
      <c r="E479" s="3"/>
      <c r="F479" s="3"/>
      <c r="G479" s="3"/>
      <c r="H479" s="3"/>
    </row>
    <row r="480" spans="5:8" ht="15">
      <c r="E480" s="3"/>
      <c r="F480" s="3"/>
      <c r="G480" s="3"/>
      <c r="H480" s="3"/>
    </row>
    <row r="481" spans="5:8" ht="15">
      <c r="E481" s="3"/>
      <c r="F481" s="3"/>
      <c r="G481" s="3"/>
      <c r="H481" s="3"/>
    </row>
    <row r="482" spans="5:8" ht="15">
      <c r="E482" s="3"/>
      <c r="F482" s="3"/>
      <c r="G482" s="3"/>
      <c r="H482" s="3"/>
    </row>
    <row r="483" spans="5:8" ht="15">
      <c r="E483" s="3"/>
      <c r="F483" s="3"/>
      <c r="G483" s="3"/>
      <c r="H483" s="3"/>
    </row>
    <row r="484" spans="5:8" ht="15">
      <c r="E484" s="3"/>
      <c r="F484" s="3"/>
      <c r="G484" s="3"/>
      <c r="H484" s="3"/>
    </row>
    <row r="485" spans="5:8" ht="15">
      <c r="E485" s="3"/>
      <c r="F485" s="3"/>
      <c r="G485" s="3"/>
      <c r="H485" s="3"/>
    </row>
    <row r="486" spans="5:8" ht="15">
      <c r="E486" s="3"/>
      <c r="F486" s="3"/>
      <c r="G486" s="3"/>
      <c r="H486" s="3"/>
    </row>
    <row r="487" spans="5:8" ht="15">
      <c r="E487" s="3"/>
      <c r="F487" s="3"/>
      <c r="G487" s="3"/>
      <c r="H487" s="3"/>
    </row>
    <row r="488" spans="5:8" ht="15">
      <c r="E488" s="3"/>
      <c r="F488" s="3"/>
      <c r="G488" s="3"/>
      <c r="H488" s="3"/>
    </row>
    <row r="489" spans="5:8" ht="15">
      <c r="E489" s="3"/>
      <c r="F489" s="3"/>
      <c r="G489" s="3"/>
      <c r="H489" s="3"/>
    </row>
    <row r="490" spans="5:8" ht="15">
      <c r="E490" s="3"/>
      <c r="F490" s="3"/>
      <c r="G490" s="3"/>
      <c r="H490" s="3"/>
    </row>
    <row r="491" spans="5:8" ht="15">
      <c r="E491" s="3"/>
      <c r="F491" s="3"/>
      <c r="G491" s="3"/>
      <c r="H491" s="3"/>
    </row>
    <row r="492" spans="5:8" ht="15">
      <c r="E492" s="3"/>
      <c r="F492" s="3"/>
      <c r="G492" s="3"/>
      <c r="H492" s="3"/>
    </row>
    <row r="493" spans="5:8" ht="15">
      <c r="E493" s="3"/>
      <c r="F493" s="3"/>
      <c r="G493" s="3"/>
      <c r="H493" s="3"/>
    </row>
    <row r="494" spans="5:8" ht="15">
      <c r="E494" s="3"/>
      <c r="F494" s="3"/>
      <c r="G494" s="3"/>
      <c r="H494" s="3"/>
    </row>
    <row r="495" spans="5:8" ht="15">
      <c r="E495" s="3"/>
      <c r="F495" s="3"/>
      <c r="G495" s="3"/>
      <c r="H495" s="3"/>
    </row>
    <row r="496" spans="5:8" ht="15">
      <c r="E496" s="3"/>
      <c r="F496" s="3"/>
      <c r="G496" s="3"/>
      <c r="H496" s="3"/>
    </row>
    <row r="497" spans="5:8" ht="15">
      <c r="E497" s="3"/>
      <c r="F497" s="3"/>
      <c r="G497" s="3"/>
      <c r="H497" s="3"/>
    </row>
    <row r="498" spans="5:8" ht="15">
      <c r="E498" s="3"/>
      <c r="F498" s="3"/>
      <c r="G498" s="3"/>
      <c r="H498" s="3"/>
    </row>
    <row r="499" spans="5:8" ht="15">
      <c r="E499" s="3"/>
      <c r="F499" s="3"/>
      <c r="G499" s="3"/>
      <c r="H499" s="3"/>
    </row>
    <row r="500" spans="5:8" ht="15">
      <c r="E500" s="3"/>
      <c r="F500" s="3"/>
      <c r="G500" s="3"/>
      <c r="H500" s="3"/>
    </row>
    <row r="501" spans="5:8" ht="15">
      <c r="E501" s="3"/>
      <c r="F501" s="3"/>
      <c r="G501" s="3"/>
      <c r="H501" s="3"/>
    </row>
    <row r="502" spans="5:8" ht="15">
      <c r="E502" s="3"/>
      <c r="F502" s="3"/>
      <c r="G502" s="3"/>
      <c r="H502" s="3"/>
    </row>
    <row r="503" spans="5:8" ht="15">
      <c r="E503" s="3"/>
      <c r="F503" s="3"/>
      <c r="G503" s="3"/>
      <c r="H503" s="3"/>
    </row>
    <row r="504" spans="5:8" ht="15">
      <c r="E504" s="3"/>
      <c r="F504" s="3"/>
      <c r="G504" s="3"/>
      <c r="H504" s="3"/>
    </row>
    <row r="505" spans="5:8" ht="15">
      <c r="E505" s="3"/>
      <c r="F505" s="3"/>
      <c r="G505" s="3"/>
      <c r="H505" s="3"/>
    </row>
    <row r="506" spans="5:8" ht="15">
      <c r="E506" s="3"/>
      <c r="F506" s="3"/>
      <c r="G506" s="3"/>
      <c r="H506" s="3"/>
    </row>
    <row r="507" spans="5:8" ht="15">
      <c r="E507" s="3"/>
      <c r="F507" s="3"/>
      <c r="G507" s="3"/>
      <c r="H507" s="3"/>
    </row>
    <row r="508" spans="5:8" ht="15">
      <c r="E508" s="3"/>
      <c r="F508" s="3"/>
      <c r="G508" s="3"/>
      <c r="H508" s="3"/>
    </row>
    <row r="509" spans="5:8" ht="15">
      <c r="E509" s="3"/>
      <c r="F509" s="3"/>
      <c r="G509" s="3"/>
      <c r="H509" s="3"/>
    </row>
    <row r="510" spans="5:8" ht="15">
      <c r="E510" s="3"/>
      <c r="F510" s="3"/>
      <c r="G510" s="3"/>
      <c r="H510" s="3"/>
    </row>
    <row r="511" spans="5:8" ht="15">
      <c r="E511" s="3"/>
      <c r="F511" s="3"/>
      <c r="G511" s="3"/>
      <c r="H511" s="3"/>
    </row>
    <row r="512" spans="5:8" ht="15">
      <c r="E512" s="3"/>
      <c r="F512" s="3"/>
      <c r="G512" s="3"/>
      <c r="H512" s="3"/>
    </row>
    <row r="513" spans="5:8" ht="15">
      <c r="E513" s="3"/>
      <c r="F513" s="3"/>
      <c r="G513" s="3"/>
      <c r="H513" s="3"/>
    </row>
    <row r="514" spans="5:8" ht="15">
      <c r="E514" s="3"/>
      <c r="F514" s="3"/>
      <c r="G514" s="3"/>
      <c r="H514" s="3"/>
    </row>
    <row r="515" spans="5:8" ht="15">
      <c r="E515" s="3"/>
      <c r="F515" s="3"/>
      <c r="G515" s="3"/>
      <c r="H515" s="3"/>
    </row>
    <row r="516" spans="5:8" ht="15">
      <c r="E516" s="3"/>
      <c r="F516" s="3"/>
      <c r="G516" s="3"/>
      <c r="H516" s="3"/>
    </row>
    <row r="517" spans="5:8" ht="15">
      <c r="E517" s="3"/>
      <c r="F517" s="3"/>
      <c r="G517" s="3"/>
      <c r="H517" s="3"/>
    </row>
    <row r="518" spans="5:8" ht="15">
      <c r="E518" s="3"/>
      <c r="F518" s="3"/>
      <c r="G518" s="3"/>
      <c r="H518" s="3"/>
    </row>
    <row r="519" spans="5:8" ht="15">
      <c r="E519" s="3"/>
      <c r="F519" s="3"/>
      <c r="G519" s="3"/>
      <c r="H519" s="3"/>
    </row>
    <row r="520" spans="5:8" ht="15">
      <c r="E520" s="3"/>
      <c r="F520" s="3"/>
      <c r="G520" s="3"/>
      <c r="H520" s="3"/>
    </row>
    <row r="521" spans="5:8" ht="15">
      <c r="E521" s="3"/>
      <c r="F521" s="3"/>
      <c r="G521" s="3"/>
      <c r="H521" s="3"/>
    </row>
    <row r="522" spans="5:8" ht="15">
      <c r="E522" s="3"/>
      <c r="F522" s="3"/>
      <c r="G522" s="3"/>
      <c r="H522" s="3"/>
    </row>
    <row r="523" spans="5:8" ht="15">
      <c r="E523" s="3"/>
      <c r="F523" s="3"/>
      <c r="G523" s="3"/>
      <c r="H523" s="3"/>
    </row>
    <row r="524" spans="5:8" ht="15">
      <c r="E524" s="3"/>
      <c r="F524" s="3"/>
      <c r="G524" s="3"/>
      <c r="H524" s="3"/>
    </row>
    <row r="525" spans="5:8" ht="15">
      <c r="E525" s="3"/>
      <c r="F525" s="3"/>
      <c r="G525" s="3"/>
      <c r="H525" s="3"/>
    </row>
    <row r="526" spans="5:8" ht="15">
      <c r="E526" s="3"/>
      <c r="F526" s="3"/>
      <c r="G526" s="3"/>
      <c r="H526" s="3"/>
    </row>
    <row r="527" spans="5:8" ht="15">
      <c r="E527" s="3"/>
      <c r="F527" s="3"/>
      <c r="G527" s="3"/>
      <c r="H527" s="3"/>
    </row>
    <row r="528" spans="5:8" ht="15">
      <c r="E528" s="3"/>
      <c r="F528" s="3"/>
      <c r="G528" s="3"/>
      <c r="H528" s="3"/>
    </row>
    <row r="529" spans="5:8" ht="15">
      <c r="E529" s="3"/>
      <c r="F529" s="3"/>
      <c r="G529" s="3"/>
      <c r="H529" s="3"/>
    </row>
    <row r="530" spans="5:8" ht="15">
      <c r="E530" s="3"/>
      <c r="F530" s="3"/>
      <c r="G530" s="3"/>
      <c r="H530" s="3"/>
    </row>
    <row r="531" spans="5:8" ht="15">
      <c r="E531" s="3"/>
      <c r="F531" s="3"/>
      <c r="G531" s="3"/>
      <c r="H531" s="3"/>
    </row>
    <row r="532" spans="5:8" ht="15">
      <c r="E532" s="3"/>
      <c r="F532" s="3"/>
      <c r="G532" s="3"/>
      <c r="H532" s="3"/>
    </row>
    <row r="533" spans="5:8" ht="15">
      <c r="E533" s="3"/>
      <c r="F533" s="3"/>
      <c r="G533" s="3"/>
      <c r="H533" s="3"/>
    </row>
    <row r="534" spans="5:8" ht="15">
      <c r="E534" s="3"/>
      <c r="F534" s="3"/>
      <c r="G534" s="3"/>
      <c r="H534" s="3"/>
    </row>
    <row r="535" spans="5:8" ht="15">
      <c r="E535" s="3"/>
      <c r="F535" s="3"/>
      <c r="G535" s="3"/>
      <c r="H535" s="3"/>
    </row>
    <row r="536" spans="5:8" ht="15">
      <c r="E536" s="3"/>
      <c r="F536" s="3"/>
      <c r="G536" s="3"/>
      <c r="H536" s="3"/>
    </row>
    <row r="537" spans="5:8" ht="15">
      <c r="E537" s="3"/>
      <c r="F537" s="3"/>
      <c r="G537" s="3"/>
      <c r="H537" s="3"/>
    </row>
    <row r="538" spans="5:8" ht="15">
      <c r="E538" s="3"/>
      <c r="F538" s="3"/>
      <c r="G538" s="3"/>
      <c r="H538" s="3"/>
    </row>
    <row r="539" spans="5:8" ht="15">
      <c r="E539" s="3"/>
      <c r="F539" s="3"/>
      <c r="G539" s="3"/>
      <c r="H539" s="3"/>
    </row>
    <row r="540" spans="5:8" ht="15">
      <c r="E540" s="3"/>
      <c r="F540" s="3"/>
      <c r="G540" s="3"/>
      <c r="H540" s="3"/>
    </row>
    <row r="541" spans="5:8" ht="15">
      <c r="E541" s="3"/>
      <c r="F541" s="3"/>
      <c r="G541" s="3"/>
      <c r="H541" s="3"/>
    </row>
    <row r="542" spans="5:8" ht="15">
      <c r="E542" s="3"/>
      <c r="F542" s="3"/>
      <c r="G542" s="3"/>
      <c r="H542" s="3"/>
    </row>
    <row r="543" spans="5:8" ht="15">
      <c r="E543" s="3"/>
      <c r="F543" s="3"/>
      <c r="G543" s="3"/>
      <c r="H543" s="3"/>
    </row>
    <row r="544" spans="5:8" ht="15">
      <c r="E544" s="3"/>
      <c r="F544" s="3"/>
      <c r="G544" s="3"/>
      <c r="H544" s="3"/>
    </row>
    <row r="545" spans="5:8" ht="15">
      <c r="E545" s="3"/>
      <c r="F545" s="3"/>
      <c r="G545" s="3"/>
      <c r="H545" s="3"/>
    </row>
    <row r="546" spans="5:8" ht="15">
      <c r="E546" s="3"/>
      <c r="F546" s="3"/>
      <c r="G546" s="3"/>
      <c r="H546" s="3"/>
    </row>
    <row r="547" spans="5:8" ht="15">
      <c r="E547" s="3"/>
      <c r="F547" s="3"/>
      <c r="G547" s="3"/>
      <c r="H547" s="3"/>
    </row>
    <row r="548" spans="5:8" ht="15">
      <c r="E548" s="3"/>
      <c r="F548" s="3"/>
      <c r="G548" s="3"/>
      <c r="H548" s="3"/>
    </row>
    <row r="549" spans="5:8" ht="15">
      <c r="E549" s="3"/>
      <c r="F549" s="3"/>
      <c r="G549" s="3"/>
      <c r="H549" s="3"/>
    </row>
    <row r="550" spans="5:8" ht="15">
      <c r="E550" s="3"/>
      <c r="F550" s="3"/>
      <c r="G550" s="3"/>
      <c r="H550" s="3"/>
    </row>
    <row r="551" spans="5:8" ht="15">
      <c r="E551" s="3"/>
      <c r="F551" s="3"/>
      <c r="G551" s="3"/>
      <c r="H551" s="3"/>
    </row>
    <row r="552" spans="5:8" ht="15">
      <c r="E552" s="3"/>
      <c r="F552" s="3"/>
      <c r="G552" s="3"/>
      <c r="H552" s="3"/>
    </row>
    <row r="553" spans="5:8" ht="15">
      <c r="E553" s="3"/>
      <c r="F553" s="3"/>
      <c r="G553" s="3"/>
      <c r="H553" s="3"/>
    </row>
    <row r="554" spans="5:8" ht="15">
      <c r="E554" s="3"/>
      <c r="F554" s="3"/>
      <c r="G554" s="3"/>
      <c r="H554" s="3"/>
    </row>
    <row r="555" spans="5:8" ht="15">
      <c r="E555" s="3"/>
      <c r="F555" s="3"/>
      <c r="G555" s="3"/>
      <c r="H555" s="3"/>
    </row>
    <row r="556" spans="5:8" ht="15">
      <c r="E556" s="3"/>
      <c r="F556" s="3"/>
      <c r="G556" s="3"/>
      <c r="H556" s="3"/>
    </row>
    <row r="557" spans="5:8" ht="15">
      <c r="E557" s="3"/>
      <c r="F557" s="3"/>
      <c r="G557" s="3"/>
      <c r="H557" s="3"/>
    </row>
    <row r="558" spans="5:8" ht="15">
      <c r="E558" s="3"/>
      <c r="F558" s="3"/>
      <c r="G558" s="3"/>
      <c r="H558" s="3"/>
    </row>
    <row r="559" spans="5:8" ht="15">
      <c r="E559" s="3"/>
      <c r="F559" s="3"/>
      <c r="G559" s="3"/>
      <c r="H559" s="3"/>
    </row>
    <row r="560" spans="5:8" ht="15">
      <c r="E560" s="3"/>
      <c r="F560" s="3"/>
      <c r="G560" s="3"/>
      <c r="H560" s="3"/>
    </row>
    <row r="561" spans="5:8" ht="15">
      <c r="E561" s="3"/>
      <c r="F561" s="3"/>
      <c r="G561" s="3"/>
      <c r="H561" s="3"/>
    </row>
    <row r="562" spans="5:8" ht="15">
      <c r="E562" s="3"/>
      <c r="F562" s="3"/>
      <c r="G562" s="3"/>
      <c r="H562" s="3"/>
    </row>
    <row r="563" spans="5:8" ht="15">
      <c r="E563" s="3"/>
      <c r="F563" s="3"/>
      <c r="G563" s="3"/>
      <c r="H563" s="3"/>
    </row>
    <row r="564" spans="5:8" ht="15">
      <c r="E564" s="3"/>
      <c r="F564" s="3"/>
      <c r="G564" s="3"/>
      <c r="H564" s="3"/>
    </row>
    <row r="565" spans="5:8" ht="15">
      <c r="E565" s="3"/>
      <c r="F565" s="3"/>
      <c r="G565" s="3"/>
      <c r="H565" s="3"/>
    </row>
    <row r="566" spans="5:8" ht="15">
      <c r="E566" s="3"/>
      <c r="F566" s="3"/>
      <c r="G566" s="3"/>
      <c r="H566" s="3"/>
    </row>
    <row r="567" spans="5:8" ht="15">
      <c r="E567" s="3"/>
      <c r="F567" s="3"/>
      <c r="G567" s="3"/>
      <c r="H567" s="3"/>
    </row>
    <row r="568" spans="5:8" ht="15">
      <c r="E568" s="3"/>
      <c r="F568" s="3"/>
      <c r="G568" s="3"/>
      <c r="H568" s="3"/>
    </row>
    <row r="569" spans="5:8" ht="15">
      <c r="E569" s="3"/>
      <c r="F569" s="3"/>
      <c r="G569" s="3"/>
      <c r="H569" s="3"/>
    </row>
    <row r="570" spans="5:8" ht="15">
      <c r="E570" s="3"/>
      <c r="F570" s="3"/>
      <c r="G570" s="3"/>
      <c r="H570" s="3"/>
    </row>
    <row r="571" spans="5:8" ht="15">
      <c r="E571" s="3"/>
      <c r="F571" s="3"/>
      <c r="G571" s="3"/>
      <c r="H571" s="3"/>
    </row>
    <row r="572" spans="5:8" ht="15">
      <c r="E572" s="3"/>
      <c r="F572" s="3"/>
      <c r="G572" s="3"/>
      <c r="H572" s="3"/>
    </row>
    <row r="573" spans="5:8" ht="15">
      <c r="E573" s="3"/>
      <c r="F573" s="3"/>
      <c r="G573" s="3"/>
      <c r="H573" s="3"/>
    </row>
    <row r="574" spans="5:8" ht="15">
      <c r="E574" s="3"/>
      <c r="F574" s="3"/>
      <c r="G574" s="3"/>
      <c r="H574" s="3"/>
    </row>
    <row r="575" spans="5:8" ht="15">
      <c r="E575" s="3"/>
      <c r="F575" s="3"/>
      <c r="G575" s="3"/>
      <c r="H575" s="3"/>
    </row>
    <row r="576" spans="5:8" ht="15">
      <c r="E576" s="3"/>
      <c r="F576" s="3"/>
      <c r="G576" s="3"/>
      <c r="H576" s="3"/>
    </row>
    <row r="577" spans="5:8" ht="15">
      <c r="E577" s="3"/>
      <c r="F577" s="3"/>
      <c r="G577" s="3"/>
      <c r="H577" s="3"/>
    </row>
    <row r="578" spans="5:8" ht="15">
      <c r="E578" s="3"/>
      <c r="F578" s="3"/>
      <c r="G578" s="3"/>
      <c r="H578" s="3"/>
    </row>
    <row r="579" spans="5:8" ht="15">
      <c r="E579" s="3"/>
      <c r="F579" s="3"/>
      <c r="G579" s="3"/>
      <c r="H579" s="3"/>
    </row>
    <row r="580" spans="5:8" ht="15">
      <c r="E580" s="3"/>
      <c r="F580" s="3"/>
      <c r="G580" s="3"/>
      <c r="H580" s="3"/>
    </row>
    <row r="581" spans="5:8" ht="15">
      <c r="E581" s="3"/>
      <c r="F581" s="3"/>
      <c r="G581" s="3"/>
      <c r="H581" s="3"/>
    </row>
    <row r="582" spans="5:8" ht="15">
      <c r="E582" s="3"/>
      <c r="F582" s="3"/>
      <c r="G582" s="3"/>
      <c r="H582" s="3"/>
    </row>
    <row r="583" spans="5:8" ht="15">
      <c r="E583" s="3"/>
      <c r="F583" s="3"/>
      <c r="G583" s="3"/>
      <c r="H583" s="3"/>
    </row>
    <row r="584" spans="5:8" ht="15">
      <c r="E584" s="3"/>
      <c r="F584" s="3"/>
      <c r="G584" s="3"/>
      <c r="H584" s="3"/>
    </row>
    <row r="585" spans="5:8" ht="15">
      <c r="E585" s="3"/>
      <c r="F585" s="3"/>
      <c r="G585" s="3"/>
      <c r="H585" s="3"/>
    </row>
    <row r="586" spans="5:8" ht="15">
      <c r="E586" s="3"/>
      <c r="F586" s="3"/>
      <c r="G586" s="3"/>
      <c r="H586" s="3"/>
    </row>
    <row r="587" spans="5:8" ht="15">
      <c r="E587" s="3"/>
      <c r="F587" s="3"/>
      <c r="G587" s="3"/>
      <c r="H587" s="3"/>
    </row>
    <row r="588" spans="5:8" ht="15">
      <c r="E588" s="3"/>
      <c r="F588" s="3"/>
      <c r="G588" s="3"/>
      <c r="H588" s="3"/>
    </row>
    <row r="589" spans="5:8" ht="15">
      <c r="E589" s="3"/>
      <c r="F589" s="3"/>
      <c r="G589" s="3"/>
      <c r="H589" s="3"/>
    </row>
    <row r="590" spans="5:8" ht="15">
      <c r="E590" s="3"/>
      <c r="F590" s="3"/>
      <c r="G590" s="3"/>
      <c r="H590" s="3"/>
    </row>
    <row r="591" spans="5:8" ht="15">
      <c r="E591" s="3"/>
      <c r="F591" s="3"/>
      <c r="G591" s="3"/>
      <c r="H591" s="3"/>
    </row>
    <row r="592" spans="5:8" ht="15">
      <c r="E592" s="3"/>
      <c r="F592" s="3"/>
      <c r="G592" s="3"/>
      <c r="H592" s="3"/>
    </row>
    <row r="593" spans="5:8" ht="15">
      <c r="E593" s="3"/>
      <c r="F593" s="3"/>
      <c r="G593" s="3"/>
      <c r="H593" s="3"/>
    </row>
    <row r="594" spans="5:8" ht="15">
      <c r="E594" s="3"/>
      <c r="F594" s="3"/>
      <c r="G594" s="3"/>
      <c r="H594" s="3"/>
    </row>
    <row r="595" spans="5:8" ht="15">
      <c r="E595" s="3"/>
      <c r="F595" s="3"/>
      <c r="G595" s="3"/>
      <c r="H595" s="3"/>
    </row>
    <row r="596" spans="5:8" ht="15">
      <c r="E596" s="3"/>
      <c r="F596" s="3"/>
      <c r="G596" s="3"/>
      <c r="H596" s="3"/>
    </row>
    <row r="597" spans="5:8" ht="15">
      <c r="E597" s="3"/>
      <c r="F597" s="3"/>
      <c r="G597" s="3"/>
      <c r="H597" s="3"/>
    </row>
    <row r="598" spans="5:8" ht="15">
      <c r="E598" s="3"/>
      <c r="F598" s="3"/>
      <c r="G598" s="3"/>
      <c r="H598" s="3"/>
    </row>
    <row r="599" spans="5:8" ht="15">
      <c r="E599" s="3"/>
      <c r="F599" s="3"/>
      <c r="G599" s="3"/>
      <c r="H599" s="3"/>
    </row>
    <row r="600" spans="5:8" ht="15">
      <c r="E600" s="3"/>
      <c r="F600" s="3"/>
      <c r="G600" s="3"/>
      <c r="H600" s="3"/>
    </row>
    <row r="601" spans="5:8" ht="15">
      <c r="E601" s="3"/>
      <c r="F601" s="3"/>
      <c r="G601" s="3"/>
      <c r="H601" s="3"/>
    </row>
    <row r="602" spans="5:8" ht="15">
      <c r="E602" s="3"/>
      <c r="F602" s="3"/>
      <c r="G602" s="3"/>
      <c r="H602" s="3"/>
    </row>
    <row r="603" spans="5:8" ht="15">
      <c r="E603" s="3"/>
      <c r="F603" s="3"/>
      <c r="G603" s="3"/>
      <c r="H603" s="3"/>
    </row>
    <row r="604" spans="5:8" ht="15">
      <c r="E604" s="3"/>
      <c r="F604" s="3"/>
      <c r="G604" s="3"/>
      <c r="H604" s="3"/>
    </row>
    <row r="605" spans="5:8" ht="15">
      <c r="E605" s="3"/>
      <c r="F605" s="3"/>
      <c r="G605" s="3"/>
      <c r="H605" s="3"/>
    </row>
    <row r="606" spans="5:8" ht="15">
      <c r="E606" s="3"/>
      <c r="F606" s="3"/>
      <c r="G606" s="3"/>
      <c r="H606" s="3"/>
    </row>
    <row r="607" spans="5:8" ht="15">
      <c r="E607" s="3"/>
      <c r="F607" s="3"/>
      <c r="G607" s="3"/>
      <c r="H607" s="3"/>
    </row>
    <row r="608" spans="5:8" ht="15">
      <c r="E608" s="3"/>
      <c r="F608" s="3"/>
      <c r="G608" s="3"/>
      <c r="H608" s="3"/>
    </row>
    <row r="609" spans="5:8" ht="15">
      <c r="E609" s="3"/>
      <c r="F609" s="3"/>
      <c r="G609" s="3"/>
      <c r="H609" s="3"/>
    </row>
    <row r="610" spans="5:8" ht="15">
      <c r="E610" s="3"/>
      <c r="F610" s="3"/>
      <c r="G610" s="3"/>
      <c r="H610" s="3"/>
    </row>
    <row r="611" spans="5:8" ht="15">
      <c r="E611" s="3"/>
      <c r="F611" s="3"/>
      <c r="G611" s="3"/>
      <c r="H611" s="3"/>
    </row>
    <row r="612" spans="5:8" ht="15">
      <c r="E612" s="3"/>
      <c r="F612" s="3"/>
      <c r="G612" s="3"/>
      <c r="H612" s="3"/>
    </row>
    <row r="613" spans="5:8" ht="15">
      <c r="E613" s="3"/>
      <c r="F613" s="3"/>
      <c r="G613" s="3"/>
      <c r="H613" s="3"/>
    </row>
    <row r="614" spans="5:8" ht="15">
      <c r="E614" s="3"/>
      <c r="F614" s="3"/>
      <c r="G614" s="3"/>
      <c r="H614" s="3"/>
    </row>
    <row r="615" spans="5:8" ht="15">
      <c r="E615" s="3"/>
      <c r="F615" s="3"/>
      <c r="G615" s="3"/>
      <c r="H615" s="3"/>
    </row>
    <row r="616" spans="5:8" ht="15">
      <c r="E616" s="3"/>
      <c r="F616" s="3"/>
      <c r="G616" s="3"/>
      <c r="H616" s="3"/>
    </row>
    <row r="617" spans="5:8" ht="15">
      <c r="E617" s="3"/>
      <c r="F617" s="3"/>
      <c r="G617" s="3"/>
      <c r="H617" s="3"/>
    </row>
    <row r="618" spans="5:8" ht="15">
      <c r="E618" s="3"/>
      <c r="F618" s="3"/>
      <c r="G618" s="3"/>
      <c r="H618" s="3"/>
    </row>
    <row r="619" spans="5:8" ht="15">
      <c r="E619" s="3"/>
      <c r="F619" s="3"/>
      <c r="G619" s="3"/>
      <c r="H619" s="3"/>
    </row>
    <row r="620" spans="5:8" ht="15">
      <c r="E620" s="3"/>
      <c r="F620" s="3"/>
      <c r="G620" s="3"/>
      <c r="H620" s="3"/>
    </row>
    <row r="621" spans="5:8" ht="15">
      <c r="E621" s="3"/>
      <c r="F621" s="3"/>
      <c r="G621" s="3"/>
      <c r="H621" s="3"/>
    </row>
    <row r="622" spans="5:8" ht="15">
      <c r="E622" s="3"/>
      <c r="F622" s="3"/>
      <c r="G622" s="3"/>
      <c r="H622" s="3"/>
    </row>
    <row r="623" spans="5:8" ht="15">
      <c r="E623" s="3"/>
      <c r="F623" s="3"/>
      <c r="G623" s="3"/>
      <c r="H623" s="3"/>
    </row>
    <row r="624" spans="5:8" ht="15">
      <c r="E624" s="3"/>
      <c r="F624" s="3"/>
      <c r="G624" s="3"/>
      <c r="H624" s="3"/>
    </row>
    <row r="625" spans="5:8" ht="15">
      <c r="E625" s="3"/>
      <c r="F625" s="3"/>
      <c r="G625" s="3"/>
      <c r="H625" s="3"/>
    </row>
    <row r="626" spans="5:8" ht="15">
      <c r="E626" s="3"/>
      <c r="F626" s="3"/>
      <c r="G626" s="3"/>
      <c r="H626" s="3"/>
    </row>
    <row r="627" spans="5:8" ht="15">
      <c r="E627" s="3"/>
      <c r="F627" s="3"/>
      <c r="G627" s="3"/>
      <c r="H627" s="3"/>
    </row>
    <row r="628" spans="5:8" ht="15">
      <c r="E628" s="3"/>
      <c r="F628" s="3"/>
      <c r="G628" s="3"/>
      <c r="H628" s="3"/>
    </row>
    <row r="629" spans="5:8" ht="15">
      <c r="E629" s="3"/>
      <c r="F629" s="3"/>
      <c r="G629" s="3"/>
      <c r="H629" s="3"/>
    </row>
    <row r="630" spans="5:8" ht="15">
      <c r="E630" s="3"/>
      <c r="F630" s="3"/>
      <c r="G630" s="3"/>
      <c r="H630" s="3"/>
    </row>
    <row r="631" spans="5:8" ht="15">
      <c r="E631" s="3"/>
      <c r="F631" s="3"/>
      <c r="G631" s="3"/>
      <c r="H631" s="3"/>
    </row>
    <row r="632" spans="5:8" ht="15">
      <c r="E632" s="3"/>
      <c r="F632" s="3"/>
      <c r="G632" s="3"/>
      <c r="H632" s="3"/>
    </row>
    <row r="633" spans="5:8" ht="15">
      <c r="E633" s="3"/>
      <c r="F633" s="3"/>
      <c r="G633" s="3"/>
      <c r="H633" s="3"/>
    </row>
    <row r="634" spans="5:8" ht="15">
      <c r="E634" s="3"/>
      <c r="F634" s="3"/>
      <c r="G634" s="3"/>
      <c r="H634" s="3"/>
    </row>
    <row r="635" spans="5:8" ht="15">
      <c r="E635" s="3"/>
      <c r="F635" s="3"/>
      <c r="G635" s="3"/>
      <c r="H635" s="3"/>
    </row>
    <row r="636" spans="5:8" ht="15">
      <c r="E636" s="3"/>
      <c r="F636" s="3"/>
      <c r="G636" s="3"/>
      <c r="H636" s="3"/>
    </row>
    <row r="637" spans="5:8" ht="15">
      <c r="E637" s="3"/>
      <c r="F637" s="3"/>
      <c r="G637" s="3"/>
      <c r="H637" s="3"/>
    </row>
    <row r="638" spans="5:8" ht="15">
      <c r="E638" s="3"/>
      <c r="F638" s="3"/>
      <c r="G638" s="3"/>
      <c r="H638" s="3"/>
    </row>
    <row r="639" spans="5:8" ht="15">
      <c r="E639" s="3"/>
      <c r="F639" s="3"/>
      <c r="G639" s="3"/>
      <c r="H639" s="3"/>
    </row>
    <row r="640" spans="5:8" ht="15">
      <c r="E640" s="3"/>
      <c r="F640" s="3"/>
      <c r="G640" s="3"/>
      <c r="H640" s="3"/>
    </row>
    <row r="641" spans="5:8" ht="15">
      <c r="E641" s="3"/>
      <c r="F641" s="3"/>
      <c r="G641" s="3"/>
      <c r="H641" s="3"/>
    </row>
    <row r="642" spans="5:8" ht="15">
      <c r="E642" s="3"/>
      <c r="F642" s="3"/>
      <c r="G642" s="3"/>
      <c r="H642" s="3"/>
    </row>
    <row r="643" spans="5:8" ht="15">
      <c r="E643" s="3"/>
      <c r="F643" s="3"/>
      <c r="G643" s="3"/>
      <c r="H643" s="3"/>
    </row>
    <row r="644" spans="5:8" ht="15">
      <c r="E644" s="3"/>
      <c r="F644" s="3"/>
      <c r="G644" s="3"/>
      <c r="H644" s="3"/>
    </row>
    <row r="645" spans="5:8" ht="15">
      <c r="E645" s="3"/>
      <c r="F645" s="3"/>
      <c r="G645" s="3"/>
      <c r="H645" s="3"/>
    </row>
    <row r="646" spans="5:8" ht="15">
      <c r="E646" s="3"/>
      <c r="F646" s="3"/>
      <c r="G646" s="3"/>
      <c r="H646" s="3"/>
    </row>
    <row r="647" spans="5:8" ht="15">
      <c r="E647" s="3"/>
      <c r="F647" s="3"/>
      <c r="G647" s="3"/>
      <c r="H647" s="3"/>
    </row>
    <row r="648" spans="5:8" ht="15">
      <c r="E648" s="3"/>
      <c r="F648" s="3"/>
      <c r="G648" s="3"/>
      <c r="H648" s="3"/>
    </row>
    <row r="649" spans="5:8" ht="15">
      <c r="E649" s="3"/>
      <c r="F649" s="3"/>
      <c r="G649" s="3"/>
      <c r="H649" s="3"/>
    </row>
    <row r="650" spans="5:8" ht="15">
      <c r="E650" s="3"/>
      <c r="F650" s="3"/>
      <c r="G650" s="3"/>
      <c r="H650" s="3"/>
    </row>
    <row r="651" spans="5:8" ht="15">
      <c r="E651" s="3"/>
      <c r="F651" s="3"/>
      <c r="G651" s="3"/>
      <c r="H651" s="3"/>
    </row>
    <row r="652" spans="5:8" ht="15">
      <c r="E652" s="3"/>
      <c r="F652" s="3"/>
      <c r="G652" s="3"/>
      <c r="H652" s="3"/>
    </row>
    <row r="653" spans="5:8" ht="15">
      <c r="E653" s="3"/>
      <c r="F653" s="3"/>
      <c r="G653" s="3"/>
      <c r="H653" s="3"/>
    </row>
    <row r="654" spans="5:8" ht="15">
      <c r="E654" s="3"/>
      <c r="F654" s="3"/>
      <c r="G654" s="3"/>
      <c r="H654" s="3"/>
    </row>
    <row r="655" spans="5:8" ht="15">
      <c r="E655" s="3"/>
      <c r="F655" s="3"/>
      <c r="G655" s="3"/>
      <c r="H655" s="3"/>
    </row>
    <row r="656" spans="5:8" ht="15">
      <c r="E656" s="3"/>
      <c r="F656" s="3"/>
      <c r="G656" s="3"/>
      <c r="H656" s="3"/>
    </row>
    <row r="657" spans="5:8" ht="15">
      <c r="E657" s="3"/>
      <c r="F657" s="3"/>
      <c r="G657" s="3"/>
      <c r="H657" s="3"/>
    </row>
    <row r="658" spans="5:8" ht="15">
      <c r="E658" s="3"/>
      <c r="F658" s="3"/>
      <c r="G658" s="3"/>
      <c r="H658" s="3"/>
    </row>
    <row r="659" spans="5:8" ht="15">
      <c r="E659" s="3"/>
      <c r="F659" s="3"/>
      <c r="G659" s="3"/>
      <c r="H659" s="3"/>
    </row>
    <row r="660" spans="5:8" ht="15">
      <c r="E660" s="3"/>
      <c r="F660" s="3"/>
      <c r="G660" s="3"/>
      <c r="H660" s="3"/>
    </row>
    <row r="661" spans="5:8" ht="15">
      <c r="E661" s="3"/>
      <c r="F661" s="3"/>
      <c r="G661" s="3"/>
      <c r="H661" s="3"/>
    </row>
    <row r="662" spans="5:8" ht="15">
      <c r="E662" s="3"/>
      <c r="F662" s="3"/>
      <c r="G662" s="3"/>
      <c r="H662" s="3"/>
    </row>
    <row r="663" spans="5:8" ht="15">
      <c r="E663" s="3"/>
      <c r="F663" s="3"/>
      <c r="G663" s="3"/>
      <c r="H663" s="3"/>
    </row>
    <row r="664" spans="5:8" ht="15">
      <c r="E664" s="3"/>
      <c r="F664" s="3"/>
      <c r="G664" s="3"/>
      <c r="H664" s="3"/>
    </row>
    <row r="665" spans="5:8" ht="15">
      <c r="E665" s="3"/>
      <c r="F665" s="3"/>
      <c r="G665" s="3"/>
      <c r="H665" s="3"/>
    </row>
    <row r="666" spans="5:8" ht="15">
      <c r="E666" s="3"/>
      <c r="F666" s="3"/>
      <c r="G666" s="3"/>
      <c r="H666" s="3"/>
    </row>
    <row r="667" spans="5:8" ht="15">
      <c r="E667" s="3"/>
      <c r="F667" s="3"/>
      <c r="G667" s="3"/>
      <c r="H667" s="3"/>
    </row>
    <row r="668" spans="5:8" ht="15">
      <c r="E668" s="3"/>
      <c r="F668" s="3"/>
      <c r="G668" s="3"/>
      <c r="H668" s="3"/>
    </row>
    <row r="669" spans="5:8" ht="15">
      <c r="E669" s="3"/>
      <c r="F669" s="3"/>
      <c r="G669" s="3"/>
      <c r="H669" s="3"/>
    </row>
    <row r="670" spans="5:8" ht="15">
      <c r="E670" s="3"/>
      <c r="F670" s="3"/>
      <c r="G670" s="3"/>
      <c r="H670" s="3"/>
    </row>
    <row r="671" spans="5:8" ht="15">
      <c r="E671" s="3"/>
      <c r="F671" s="3"/>
      <c r="G671" s="3"/>
      <c r="H671" s="3"/>
    </row>
    <row r="672" spans="5:8" ht="15">
      <c r="E672" s="3"/>
      <c r="F672" s="3"/>
      <c r="G672" s="3"/>
      <c r="H672" s="3"/>
    </row>
    <row r="673" spans="5:8" ht="15">
      <c r="E673" s="3"/>
      <c r="F673" s="3"/>
      <c r="G673" s="3"/>
      <c r="H673" s="3"/>
    </row>
    <row r="674" spans="5:8" ht="15">
      <c r="E674" s="3"/>
      <c r="F674" s="3"/>
      <c r="G674" s="3"/>
      <c r="H674" s="3"/>
    </row>
    <row r="675" spans="5:8" ht="15">
      <c r="E675" s="3"/>
      <c r="F675" s="3"/>
      <c r="G675" s="3"/>
      <c r="H675" s="3"/>
    </row>
    <row r="676" spans="5:8" ht="15">
      <c r="E676" s="3"/>
      <c r="F676" s="3"/>
      <c r="G676" s="3"/>
      <c r="H676" s="3"/>
    </row>
    <row r="677" spans="5:8" ht="15">
      <c r="E677" s="3"/>
      <c r="F677" s="3"/>
      <c r="G677" s="3"/>
      <c r="H677" s="3"/>
    </row>
    <row r="678" spans="5:8" ht="15">
      <c r="E678" s="3"/>
      <c r="F678" s="3"/>
      <c r="G678" s="3"/>
      <c r="H678" s="3"/>
    </row>
    <row r="679" spans="5:8" ht="15">
      <c r="E679" s="3"/>
      <c r="F679" s="3"/>
      <c r="G679" s="3"/>
      <c r="H679" s="3"/>
    </row>
    <row r="680" spans="5:8" ht="15">
      <c r="E680" s="3"/>
      <c r="F680" s="3"/>
      <c r="G680" s="3"/>
      <c r="H680" s="3"/>
    </row>
    <row r="681" spans="5:8" ht="15">
      <c r="E681" s="3"/>
      <c r="F681" s="3"/>
      <c r="G681" s="3"/>
      <c r="H681" s="3"/>
    </row>
    <row r="682" spans="5:8" ht="15">
      <c r="E682" s="3"/>
      <c r="F682" s="3"/>
      <c r="G682" s="3"/>
      <c r="H682" s="3"/>
    </row>
    <row r="683" spans="5:8" ht="15">
      <c r="E683" s="3"/>
      <c r="F683" s="3"/>
      <c r="G683" s="3"/>
      <c r="H683" s="3"/>
    </row>
    <row r="684" spans="5:8" ht="15">
      <c r="E684" s="3"/>
      <c r="F684" s="3"/>
      <c r="G684" s="3"/>
      <c r="H684" s="3"/>
    </row>
    <row r="685" spans="5:8" ht="15">
      <c r="E685" s="3"/>
      <c r="F685" s="3"/>
      <c r="G685" s="3"/>
      <c r="H685" s="3"/>
    </row>
    <row r="686" spans="5:8" ht="15">
      <c r="E686" s="3"/>
      <c r="F686" s="3"/>
      <c r="G686" s="3"/>
      <c r="H686" s="3"/>
    </row>
    <row r="687" spans="5:8" ht="15">
      <c r="E687" s="3"/>
      <c r="F687" s="3"/>
      <c r="G687" s="3"/>
      <c r="H687" s="3"/>
    </row>
    <row r="688" spans="5:8" ht="15">
      <c r="E688" s="3"/>
      <c r="F688" s="3"/>
      <c r="G688" s="3"/>
      <c r="H688" s="3"/>
    </row>
    <row r="689" spans="5:8" ht="15">
      <c r="E689" s="3"/>
      <c r="F689" s="3"/>
      <c r="G689" s="3"/>
      <c r="H689" s="3"/>
    </row>
    <row r="690" spans="5:8" ht="15">
      <c r="E690" s="3"/>
      <c r="F690" s="3"/>
      <c r="G690" s="3"/>
      <c r="H690" s="3"/>
    </row>
    <row r="691" spans="5:8" ht="15">
      <c r="E691" s="3"/>
      <c r="F691" s="3"/>
      <c r="G691" s="3"/>
      <c r="H691" s="3"/>
    </row>
    <row r="692" spans="5:8" ht="15">
      <c r="E692" s="3"/>
      <c r="F692" s="3"/>
      <c r="G692" s="3"/>
      <c r="H692" s="3"/>
    </row>
    <row r="693" spans="5:8" ht="15">
      <c r="E693" s="3"/>
      <c r="F693" s="3"/>
      <c r="G693" s="3"/>
      <c r="H693" s="3"/>
    </row>
    <row r="694" spans="5:8" ht="15">
      <c r="E694" s="3"/>
      <c r="F694" s="3"/>
      <c r="G694" s="3"/>
      <c r="H694" s="3"/>
    </row>
    <row r="695" spans="5:8" ht="15">
      <c r="E695" s="3"/>
      <c r="F695" s="3"/>
      <c r="G695" s="3"/>
      <c r="H695" s="3"/>
    </row>
    <row r="696" spans="5:8" ht="15">
      <c r="E696" s="3"/>
      <c r="F696" s="3"/>
      <c r="G696" s="3"/>
      <c r="H696" s="3"/>
    </row>
    <row r="697" spans="5:8" ht="15">
      <c r="E697" s="3"/>
      <c r="F697" s="3"/>
      <c r="G697" s="3"/>
      <c r="H697" s="3"/>
    </row>
    <row r="698" spans="5:8" ht="15">
      <c r="E698" s="3"/>
      <c r="F698" s="3"/>
      <c r="G698" s="3"/>
      <c r="H698" s="3"/>
    </row>
    <row r="699" spans="5:8" ht="15">
      <c r="E699" s="3"/>
      <c r="F699" s="3"/>
      <c r="G699" s="3"/>
      <c r="H699" s="3"/>
    </row>
    <row r="700" spans="5:8" ht="15">
      <c r="E700" s="3"/>
      <c r="F700" s="3"/>
      <c r="G700" s="3"/>
      <c r="H700" s="3"/>
    </row>
    <row r="701" spans="5:8" ht="15">
      <c r="E701" s="3"/>
      <c r="F701" s="3"/>
      <c r="G701" s="3"/>
      <c r="H701" s="3"/>
    </row>
    <row r="702" spans="5:8" ht="15">
      <c r="E702" s="3"/>
      <c r="F702" s="3"/>
      <c r="G702" s="3"/>
      <c r="H702" s="3"/>
    </row>
    <row r="703" spans="5:8" ht="15">
      <c r="E703" s="3"/>
      <c r="F703" s="3"/>
      <c r="G703" s="3"/>
      <c r="H703" s="3"/>
    </row>
    <row r="704" spans="5:8" ht="15">
      <c r="E704" s="3"/>
      <c r="F704" s="3"/>
      <c r="G704" s="3"/>
      <c r="H704" s="3"/>
    </row>
    <row r="705" spans="5:8" ht="15">
      <c r="E705" s="3"/>
      <c r="F705" s="3"/>
      <c r="G705" s="3"/>
      <c r="H705" s="3"/>
    </row>
    <row r="706" spans="5:8" ht="15">
      <c r="E706" s="3"/>
      <c r="F706" s="3"/>
      <c r="G706" s="3"/>
      <c r="H706" s="3"/>
    </row>
    <row r="707" spans="5:8" ht="15">
      <c r="E707" s="3"/>
      <c r="F707" s="3"/>
      <c r="G707" s="3"/>
      <c r="H707" s="3"/>
    </row>
    <row r="708" spans="5:8" ht="15">
      <c r="E708" s="3"/>
      <c r="F708" s="3"/>
      <c r="G708" s="3"/>
      <c r="H708" s="3"/>
    </row>
    <row r="709" spans="5:8" ht="15">
      <c r="E709" s="3"/>
      <c r="F709" s="3"/>
      <c r="G709" s="3"/>
      <c r="H709" s="3"/>
    </row>
    <row r="710" spans="5:8" ht="15">
      <c r="E710" s="3"/>
      <c r="F710" s="3"/>
      <c r="G710" s="3"/>
      <c r="H710" s="3"/>
    </row>
    <row r="711" spans="5:8" ht="15">
      <c r="E711" s="3"/>
      <c r="F711" s="3"/>
      <c r="G711" s="3"/>
      <c r="H711" s="3"/>
    </row>
    <row r="712" spans="5:8" ht="15">
      <c r="E712" s="3"/>
      <c r="F712" s="3"/>
      <c r="G712" s="3"/>
      <c r="H712" s="3"/>
    </row>
    <row r="713" spans="5:8" ht="15">
      <c r="E713" s="3"/>
      <c r="F713" s="3"/>
      <c r="G713" s="3"/>
      <c r="H713" s="3"/>
    </row>
    <row r="714" spans="5:8" ht="15">
      <c r="E714" s="3"/>
      <c r="F714" s="3"/>
      <c r="G714" s="3"/>
      <c r="H714" s="3"/>
    </row>
    <row r="715" spans="5:8" ht="15">
      <c r="E715" s="3"/>
      <c r="F715" s="3"/>
      <c r="G715" s="3"/>
      <c r="H715" s="3"/>
    </row>
    <row r="716" spans="5:8" ht="15">
      <c r="E716" s="3"/>
      <c r="F716" s="3"/>
      <c r="G716" s="3"/>
      <c r="H716" s="3"/>
    </row>
    <row r="717" spans="5:8" ht="15">
      <c r="E717" s="3"/>
      <c r="F717" s="3"/>
      <c r="G717" s="3"/>
      <c r="H717" s="3"/>
    </row>
    <row r="718" spans="5:8" ht="15">
      <c r="E718" s="3"/>
      <c r="F718" s="3"/>
      <c r="G718" s="3"/>
      <c r="H718" s="3"/>
    </row>
    <row r="719" spans="5:8" ht="15">
      <c r="E719" s="3"/>
      <c r="F719" s="3"/>
      <c r="G719" s="3"/>
      <c r="H719" s="3"/>
    </row>
    <row r="720" spans="5:8" ht="15">
      <c r="E720" s="3"/>
      <c r="F720" s="3"/>
      <c r="G720" s="3"/>
      <c r="H720" s="3"/>
    </row>
    <row r="721" spans="5:8" ht="15">
      <c r="E721" s="3"/>
      <c r="F721" s="3"/>
      <c r="G721" s="3"/>
      <c r="H721" s="3"/>
    </row>
    <row r="722" spans="5:8" ht="15">
      <c r="E722" s="3"/>
      <c r="F722" s="3"/>
      <c r="G722" s="3"/>
      <c r="H722" s="3"/>
    </row>
    <row r="723" spans="5:8" ht="15">
      <c r="E723" s="3"/>
      <c r="F723" s="3"/>
      <c r="G723" s="3"/>
      <c r="H723" s="3"/>
    </row>
    <row r="724" spans="5:8" ht="15">
      <c r="E724" s="3"/>
      <c r="F724" s="3"/>
      <c r="G724" s="3"/>
      <c r="H724" s="3"/>
    </row>
    <row r="725" spans="5:8" ht="15">
      <c r="E725" s="3"/>
      <c r="F725" s="3"/>
      <c r="G725" s="3"/>
      <c r="H725" s="3"/>
    </row>
    <row r="726" spans="5:8" ht="15">
      <c r="E726" s="3"/>
      <c r="F726" s="3"/>
      <c r="G726" s="3"/>
      <c r="H726" s="3"/>
    </row>
    <row r="727" spans="5:8" ht="15">
      <c r="E727" s="3"/>
      <c r="F727" s="3"/>
      <c r="G727" s="3"/>
      <c r="H727" s="3"/>
    </row>
    <row r="728" spans="5:8" ht="15">
      <c r="E728" s="3"/>
      <c r="F728" s="3"/>
      <c r="G728" s="3"/>
      <c r="H728" s="3"/>
    </row>
    <row r="729" spans="5:8" ht="15">
      <c r="E729" s="3"/>
      <c r="F729" s="3"/>
      <c r="G729" s="3"/>
      <c r="H729" s="3"/>
    </row>
    <row r="730" spans="5:8" ht="15">
      <c r="E730" s="3"/>
      <c r="F730" s="3"/>
      <c r="G730" s="3"/>
      <c r="H730" s="3"/>
    </row>
    <row r="731" spans="5:8" ht="15">
      <c r="E731" s="3"/>
      <c r="F731" s="3"/>
      <c r="G731" s="3"/>
      <c r="H731" s="3"/>
    </row>
    <row r="732" spans="5:8" ht="15">
      <c r="E732" s="3"/>
      <c r="F732" s="3"/>
      <c r="G732" s="3"/>
      <c r="H732" s="3"/>
    </row>
    <row r="733" spans="5:8" ht="15">
      <c r="E733" s="3"/>
      <c r="F733" s="3"/>
      <c r="G733" s="3"/>
      <c r="H733" s="3"/>
    </row>
    <row r="734" spans="5:8" ht="15">
      <c r="E734" s="3"/>
      <c r="F734" s="3"/>
      <c r="G734" s="3"/>
      <c r="H734" s="3"/>
    </row>
    <row r="735" spans="5:8" ht="15">
      <c r="E735" s="3"/>
      <c r="F735" s="3"/>
      <c r="G735" s="3"/>
      <c r="H735" s="3"/>
    </row>
    <row r="736" spans="5:8" ht="15">
      <c r="E736" s="3"/>
      <c r="F736" s="3"/>
      <c r="G736" s="3"/>
      <c r="H736" s="3"/>
    </row>
    <row r="737" spans="5:8" ht="15">
      <c r="E737" s="3"/>
      <c r="F737" s="3"/>
      <c r="G737" s="3"/>
      <c r="H737" s="3"/>
    </row>
    <row r="738" spans="5:8" ht="15">
      <c r="E738" s="3"/>
      <c r="F738" s="3"/>
      <c r="G738" s="3"/>
      <c r="H738" s="3"/>
    </row>
    <row r="739" spans="5:8" ht="15">
      <c r="E739" s="3"/>
      <c r="F739" s="3"/>
      <c r="G739" s="3"/>
      <c r="H739" s="3"/>
    </row>
    <row r="740" spans="5:8" ht="15">
      <c r="E740" s="3"/>
      <c r="F740" s="3"/>
      <c r="G740" s="3"/>
      <c r="H740" s="3"/>
    </row>
    <row r="741" spans="5:8" ht="15">
      <c r="E741" s="3"/>
      <c r="F741" s="3"/>
      <c r="G741" s="3"/>
      <c r="H741" s="3"/>
    </row>
    <row r="742" spans="5:8" ht="15">
      <c r="E742" s="3"/>
      <c r="F742" s="3"/>
      <c r="G742" s="3"/>
      <c r="H742" s="3"/>
    </row>
    <row r="743" spans="5:8" ht="15">
      <c r="E743" s="3"/>
      <c r="F743" s="3"/>
      <c r="G743" s="3"/>
      <c r="H743" s="3"/>
    </row>
    <row r="744" spans="5:8" ht="15">
      <c r="E744" s="3"/>
      <c r="F744" s="3"/>
      <c r="G744" s="3"/>
      <c r="H744" s="3"/>
    </row>
    <row r="745" spans="5:8" ht="15">
      <c r="E745" s="3"/>
      <c r="F745" s="3"/>
      <c r="G745" s="3"/>
      <c r="H745" s="3"/>
    </row>
    <row r="746" spans="5:8" ht="15">
      <c r="E746" s="3"/>
      <c r="F746" s="3"/>
      <c r="G746" s="3"/>
      <c r="H746" s="3"/>
    </row>
    <row r="747" spans="5:8" ht="15">
      <c r="E747" s="3"/>
      <c r="F747" s="3"/>
      <c r="G747" s="3"/>
      <c r="H747" s="3"/>
    </row>
    <row r="748" spans="5:8" ht="15">
      <c r="E748" s="3"/>
      <c r="F748" s="3"/>
      <c r="G748" s="3"/>
      <c r="H748" s="3"/>
    </row>
    <row r="749" spans="5:8" ht="15">
      <c r="E749" s="3"/>
      <c r="F749" s="3"/>
      <c r="G749" s="3"/>
      <c r="H749" s="3"/>
    </row>
    <row r="750" spans="5:8" ht="15">
      <c r="E750" s="3"/>
      <c r="F750" s="3"/>
      <c r="G750" s="3"/>
      <c r="H750" s="3"/>
    </row>
    <row r="751" spans="5:8" ht="15">
      <c r="E751" s="3"/>
      <c r="F751" s="3"/>
      <c r="G751" s="3"/>
      <c r="H751" s="3"/>
    </row>
    <row r="752" spans="5:8" ht="15">
      <c r="E752" s="3"/>
      <c r="F752" s="3"/>
      <c r="G752" s="3"/>
      <c r="H752" s="3"/>
    </row>
    <row r="753" spans="5:8" ht="15">
      <c r="E753" s="3"/>
      <c r="F753" s="3"/>
      <c r="G753" s="3"/>
      <c r="H753" s="3"/>
    </row>
    <row r="754" spans="5:8" ht="15">
      <c r="E754" s="3"/>
      <c r="F754" s="3"/>
      <c r="G754" s="3"/>
      <c r="H754" s="3"/>
    </row>
    <row r="755" spans="5:8" ht="15">
      <c r="E755" s="3"/>
      <c r="F755" s="3"/>
      <c r="G755" s="3"/>
      <c r="H755" s="3"/>
    </row>
    <row r="756" spans="5:8" ht="15">
      <c r="E756" s="3"/>
      <c r="F756" s="3"/>
      <c r="G756" s="3"/>
      <c r="H756" s="3"/>
    </row>
    <row r="757" spans="5:8" ht="15">
      <c r="E757" s="3"/>
      <c r="F757" s="3"/>
      <c r="G757" s="3"/>
      <c r="H757" s="3"/>
    </row>
    <row r="758" spans="5:8" ht="15">
      <c r="E758" s="3"/>
      <c r="F758" s="3"/>
      <c r="G758" s="3"/>
      <c r="H758" s="3"/>
    </row>
    <row r="759" spans="5:8" ht="15">
      <c r="E759" s="3"/>
      <c r="F759" s="3"/>
      <c r="G759" s="3"/>
      <c r="H759" s="3"/>
    </row>
    <row r="760" spans="5:8" ht="15">
      <c r="E760" s="3"/>
      <c r="F760" s="3"/>
      <c r="G760" s="3"/>
      <c r="H760" s="3"/>
    </row>
    <row r="761" spans="5:8" ht="15">
      <c r="E761" s="3"/>
      <c r="F761" s="3"/>
      <c r="G761" s="3"/>
      <c r="H761" s="3"/>
    </row>
    <row r="762" spans="5:8" ht="15">
      <c r="E762" s="3"/>
      <c r="F762" s="3"/>
      <c r="G762" s="3"/>
      <c r="H762" s="3"/>
    </row>
    <row r="763" spans="5:8" ht="15">
      <c r="E763" s="3"/>
      <c r="F763" s="3"/>
      <c r="G763" s="3"/>
      <c r="H763" s="3"/>
    </row>
    <row r="764" spans="5:8" ht="15">
      <c r="E764" s="3"/>
      <c r="F764" s="3"/>
      <c r="G764" s="3"/>
      <c r="H764" s="3"/>
    </row>
    <row r="765" spans="5:8" ht="15">
      <c r="E765" s="3"/>
      <c r="F765" s="3"/>
      <c r="G765" s="3"/>
      <c r="H765" s="3"/>
    </row>
    <row r="766" spans="5:8" ht="15">
      <c r="E766" s="3"/>
      <c r="F766" s="3"/>
      <c r="G766" s="3"/>
      <c r="H766" s="3"/>
    </row>
    <row r="767" spans="5:8" ht="15">
      <c r="E767" s="3"/>
      <c r="F767" s="3"/>
      <c r="G767" s="3"/>
      <c r="H767" s="3"/>
    </row>
    <row r="768" spans="5:8" ht="15">
      <c r="E768" s="3"/>
      <c r="F768" s="3"/>
      <c r="G768" s="3"/>
      <c r="H768" s="3"/>
    </row>
    <row r="769" spans="5:8" ht="15">
      <c r="E769" s="3"/>
      <c r="F769" s="3"/>
      <c r="G769" s="3"/>
      <c r="H769" s="3"/>
    </row>
    <row r="770" spans="5:8" ht="15">
      <c r="E770" s="3"/>
      <c r="F770" s="3"/>
      <c r="G770" s="3"/>
      <c r="H770" s="3"/>
    </row>
    <row r="771" spans="5:8" ht="15">
      <c r="E771" s="3"/>
      <c r="F771" s="3"/>
      <c r="G771" s="3"/>
      <c r="H771" s="3"/>
    </row>
    <row r="772" spans="5:8" ht="15">
      <c r="E772" s="3"/>
      <c r="F772" s="3"/>
      <c r="G772" s="3"/>
      <c r="H772" s="3"/>
    </row>
    <row r="773" spans="5:8" ht="15">
      <c r="E773" s="3"/>
      <c r="F773" s="3"/>
      <c r="G773" s="3"/>
      <c r="H773" s="3"/>
    </row>
    <row r="774" spans="5:8" ht="15">
      <c r="E774" s="3"/>
      <c r="F774" s="3"/>
      <c r="G774" s="3"/>
      <c r="H774" s="3"/>
    </row>
    <row r="775" spans="5:8" ht="15">
      <c r="E775" s="3"/>
      <c r="F775" s="3"/>
      <c r="G775" s="3"/>
      <c r="H775" s="3"/>
    </row>
    <row r="776" spans="5:8" ht="15">
      <c r="E776" s="3"/>
      <c r="F776" s="3"/>
      <c r="G776" s="3"/>
      <c r="H776" s="3"/>
    </row>
    <row r="777" spans="5:8" ht="15">
      <c r="E777" s="3"/>
      <c r="F777" s="3"/>
      <c r="G777" s="3"/>
      <c r="H777" s="3"/>
    </row>
    <row r="778" spans="5:8" ht="15">
      <c r="E778" s="3"/>
      <c r="F778" s="3"/>
      <c r="G778" s="3"/>
      <c r="H778" s="3"/>
    </row>
    <row r="779" spans="5:8" ht="15">
      <c r="E779" s="3"/>
      <c r="F779" s="3"/>
      <c r="G779" s="3"/>
      <c r="H779" s="3"/>
    </row>
    <row r="780" spans="5:8" ht="15">
      <c r="E780" s="3"/>
      <c r="F780" s="3"/>
      <c r="G780" s="3"/>
      <c r="H780" s="3"/>
    </row>
    <row r="781" spans="5:8" ht="15">
      <c r="E781" s="3"/>
      <c r="F781" s="3"/>
      <c r="G781" s="3"/>
      <c r="H781" s="3"/>
    </row>
    <row r="782" spans="5:8" ht="15">
      <c r="E782" s="3"/>
      <c r="F782" s="3"/>
      <c r="G782" s="3"/>
      <c r="H782" s="3"/>
    </row>
    <row r="783" spans="5:8" ht="15">
      <c r="E783" s="3"/>
      <c r="F783" s="3"/>
      <c r="G783" s="3"/>
      <c r="H783" s="3"/>
    </row>
    <row r="784" spans="5:8" ht="15">
      <c r="E784" s="3"/>
      <c r="F784" s="3"/>
      <c r="G784" s="3"/>
      <c r="H784" s="3"/>
    </row>
    <row r="785" spans="5:8" ht="15">
      <c r="E785" s="3"/>
      <c r="F785" s="3"/>
      <c r="G785" s="3"/>
      <c r="H785" s="3"/>
    </row>
    <row r="786" spans="5:8" ht="15">
      <c r="E786" s="3"/>
      <c r="F786" s="3"/>
      <c r="G786" s="3"/>
      <c r="H786" s="3"/>
    </row>
    <row r="787" spans="5:8" ht="15">
      <c r="E787" s="3"/>
      <c r="F787" s="3"/>
      <c r="G787" s="3"/>
      <c r="H787" s="3"/>
    </row>
    <row r="788" spans="5:8" ht="15">
      <c r="E788" s="3"/>
      <c r="F788" s="3"/>
      <c r="G788" s="3"/>
      <c r="H788" s="3"/>
    </row>
    <row r="789" spans="5:8" ht="15">
      <c r="E789" s="3"/>
      <c r="F789" s="3"/>
      <c r="G789" s="3"/>
      <c r="H789" s="3"/>
    </row>
    <row r="790" spans="5:8" ht="15">
      <c r="E790" s="3"/>
      <c r="F790" s="3"/>
      <c r="G790" s="3"/>
      <c r="H790" s="3"/>
    </row>
    <row r="791" spans="5:8" ht="15">
      <c r="E791" s="3"/>
      <c r="F791" s="3"/>
      <c r="G791" s="3"/>
      <c r="H791" s="3"/>
    </row>
    <row r="792" spans="5:8" ht="15">
      <c r="E792" s="3"/>
      <c r="F792" s="3"/>
      <c r="G792" s="3"/>
      <c r="H792" s="3"/>
    </row>
    <row r="793" spans="5:8" ht="15">
      <c r="E793" s="3"/>
      <c r="F793" s="3"/>
      <c r="G793" s="3"/>
      <c r="H793" s="3"/>
    </row>
    <row r="794" spans="5:8" ht="15">
      <c r="E794" s="3"/>
      <c r="F794" s="3"/>
      <c r="G794" s="3"/>
      <c r="H794" s="3"/>
    </row>
    <row r="795" spans="5:8" ht="15">
      <c r="E795" s="3"/>
      <c r="F795" s="3"/>
      <c r="G795" s="3"/>
      <c r="H795" s="3"/>
    </row>
    <row r="796" spans="5:8" ht="15">
      <c r="E796" s="3"/>
      <c r="F796" s="3"/>
      <c r="G796" s="3"/>
      <c r="H796" s="3"/>
    </row>
    <row r="797" spans="5:8" ht="15">
      <c r="E797" s="3"/>
      <c r="F797" s="3"/>
      <c r="G797" s="3"/>
      <c r="H797" s="3"/>
    </row>
    <row r="798" spans="5:8" ht="15">
      <c r="E798" s="3"/>
      <c r="F798" s="3"/>
      <c r="G798" s="3"/>
      <c r="H798" s="3"/>
    </row>
    <row r="799" spans="5:8" ht="15">
      <c r="E799" s="3"/>
      <c r="F799" s="3"/>
      <c r="G799" s="3"/>
      <c r="H799" s="3"/>
    </row>
    <row r="800" spans="5:8" ht="15">
      <c r="E800" s="3"/>
      <c r="F800" s="3"/>
      <c r="G800" s="3"/>
      <c r="H800" s="3"/>
    </row>
    <row r="801" spans="5:8" ht="15">
      <c r="E801" s="3"/>
      <c r="F801" s="3"/>
      <c r="G801" s="3"/>
      <c r="H801" s="3"/>
    </row>
    <row r="802" spans="5:8" ht="15">
      <c r="E802" s="3"/>
      <c r="F802" s="3"/>
      <c r="G802" s="3"/>
      <c r="H802" s="3"/>
    </row>
    <row r="803" spans="5:8" ht="15">
      <c r="E803" s="3"/>
      <c r="F803" s="3"/>
      <c r="G803" s="3"/>
      <c r="H803" s="3"/>
    </row>
    <row r="804" spans="5:8" ht="15">
      <c r="E804" s="3"/>
      <c r="F804" s="3"/>
      <c r="G804" s="3"/>
      <c r="H804" s="3"/>
    </row>
    <row r="805" spans="5:8" ht="15">
      <c r="E805" s="3"/>
      <c r="F805" s="3"/>
      <c r="G805" s="3"/>
      <c r="H805" s="3"/>
    </row>
    <row r="806" spans="5:8" ht="15">
      <c r="E806" s="3"/>
      <c r="F806" s="3"/>
      <c r="G806" s="3"/>
      <c r="H806" s="3"/>
    </row>
    <row r="807" spans="5:8" ht="15">
      <c r="E807" s="3"/>
      <c r="F807" s="3"/>
      <c r="G807" s="3"/>
      <c r="H807" s="3"/>
    </row>
    <row r="808" spans="5:8" ht="15">
      <c r="E808" s="3"/>
      <c r="F808" s="3"/>
      <c r="G808" s="3"/>
      <c r="H808" s="3"/>
    </row>
    <row r="809" spans="5:8" ht="15">
      <c r="E809" s="3"/>
      <c r="F809" s="3"/>
      <c r="G809" s="3"/>
      <c r="H809" s="3"/>
    </row>
    <row r="810" spans="5:8" ht="15">
      <c r="E810" s="3"/>
      <c r="F810" s="3"/>
      <c r="G810" s="3"/>
      <c r="H810" s="3"/>
    </row>
    <row r="811" spans="5:8" ht="15">
      <c r="E811" s="3"/>
      <c r="F811" s="3"/>
      <c r="G811" s="3"/>
      <c r="H811" s="3"/>
    </row>
    <row r="812" spans="5:8" ht="15">
      <c r="E812" s="3"/>
      <c r="F812" s="3"/>
      <c r="G812" s="3"/>
      <c r="H812" s="3"/>
    </row>
    <row r="813" spans="5:8" ht="15">
      <c r="E813" s="3"/>
      <c r="F813" s="3"/>
      <c r="G813" s="3"/>
      <c r="H813" s="3"/>
    </row>
    <row r="814" spans="5:8" ht="15">
      <c r="E814" s="3"/>
      <c r="F814" s="3"/>
      <c r="G814" s="3"/>
      <c r="H814" s="3"/>
    </row>
    <row r="815" spans="5:8" ht="15">
      <c r="E815" s="3"/>
      <c r="F815" s="3"/>
      <c r="G815" s="3"/>
      <c r="H815" s="3"/>
    </row>
    <row r="816" spans="5:8" ht="15">
      <c r="E816" s="3"/>
      <c r="F816" s="3"/>
      <c r="G816" s="3"/>
      <c r="H816" s="3"/>
    </row>
    <row r="817" spans="5:8" ht="15">
      <c r="E817" s="3"/>
      <c r="F817" s="3"/>
      <c r="G817" s="3"/>
      <c r="H817" s="3"/>
    </row>
    <row r="818" spans="5:8" ht="15">
      <c r="E818" s="3"/>
      <c r="F818" s="3"/>
      <c r="G818" s="3"/>
      <c r="H818" s="3"/>
    </row>
    <row r="819" spans="5:8" ht="15">
      <c r="E819" s="3"/>
      <c r="F819" s="3"/>
      <c r="G819" s="3"/>
      <c r="H819" s="3"/>
    </row>
    <row r="820" spans="5:8" ht="15">
      <c r="E820" s="3"/>
      <c r="F820" s="3"/>
      <c r="G820" s="3"/>
      <c r="H820" s="3"/>
    </row>
    <row r="821" spans="5:8" ht="15">
      <c r="E821" s="3"/>
      <c r="F821" s="3"/>
      <c r="G821" s="3"/>
      <c r="H821" s="3"/>
    </row>
    <row r="822" spans="5:8" ht="15">
      <c r="E822" s="3"/>
      <c r="F822" s="3"/>
      <c r="G822" s="3"/>
      <c r="H822" s="3"/>
    </row>
    <row r="823" spans="5:8" ht="15">
      <c r="E823" s="3"/>
      <c r="F823" s="3"/>
      <c r="G823" s="3"/>
      <c r="H823" s="3"/>
    </row>
    <row r="824" spans="5:8" ht="15">
      <c r="E824" s="3"/>
      <c r="F824" s="3"/>
      <c r="G824" s="3"/>
      <c r="H824" s="3"/>
    </row>
    <row r="825" spans="5:8" ht="15">
      <c r="E825" s="3"/>
      <c r="F825" s="3"/>
      <c r="G825" s="3"/>
      <c r="H825" s="3"/>
    </row>
    <row r="826" spans="5:8" ht="15">
      <c r="E826" s="3"/>
      <c r="F826" s="3"/>
      <c r="G826" s="3"/>
      <c r="H826" s="3"/>
    </row>
    <row r="827" spans="5:8" ht="15">
      <c r="E827" s="3"/>
      <c r="F827" s="3"/>
      <c r="G827" s="3"/>
      <c r="H827" s="3"/>
    </row>
    <row r="828" spans="5:8" ht="15">
      <c r="E828" s="3"/>
      <c r="F828" s="3"/>
      <c r="G828" s="3"/>
      <c r="H828" s="3"/>
    </row>
    <row r="829" spans="5:8" ht="15">
      <c r="E829" s="3"/>
      <c r="F829" s="3"/>
      <c r="G829" s="3"/>
      <c r="H829" s="3"/>
    </row>
    <row r="830" spans="5:8" ht="15">
      <c r="E830" s="3"/>
      <c r="F830" s="3"/>
      <c r="G830" s="3"/>
      <c r="H830" s="3"/>
    </row>
    <row r="831" spans="5:8" ht="15">
      <c r="E831" s="3"/>
      <c r="F831" s="3"/>
      <c r="G831" s="3"/>
      <c r="H831" s="3"/>
    </row>
    <row r="832" spans="5:8" ht="15">
      <c r="E832" s="3"/>
      <c r="F832" s="3"/>
      <c r="G832" s="3"/>
      <c r="H832" s="3"/>
    </row>
    <row r="833" spans="5:8" ht="15">
      <c r="E833" s="3"/>
      <c r="F833" s="3"/>
      <c r="G833" s="3"/>
      <c r="H833" s="3"/>
    </row>
    <row r="834" spans="5:8" ht="15">
      <c r="E834" s="3"/>
      <c r="F834" s="3"/>
      <c r="G834" s="3"/>
      <c r="H834" s="3"/>
    </row>
    <row r="835" spans="5:8" ht="15">
      <c r="E835" s="3"/>
      <c r="F835" s="3"/>
      <c r="G835" s="3"/>
      <c r="H835" s="3"/>
    </row>
    <row r="836" spans="5:8" ht="15">
      <c r="E836" s="3"/>
      <c r="F836" s="3"/>
      <c r="G836" s="3"/>
      <c r="H836" s="3"/>
    </row>
    <row r="837" spans="5:8" ht="15">
      <c r="E837" s="3"/>
      <c r="F837" s="3"/>
      <c r="G837" s="3"/>
      <c r="H837" s="3"/>
    </row>
    <row r="838" spans="5:8" ht="15">
      <c r="E838" s="3"/>
      <c r="F838" s="3"/>
      <c r="G838" s="3"/>
      <c r="H838" s="3"/>
    </row>
    <row r="839" spans="5:8" ht="15">
      <c r="E839" s="3"/>
      <c r="F839" s="3"/>
      <c r="G839" s="3"/>
      <c r="H839" s="3"/>
    </row>
    <row r="840" spans="5:8" ht="15">
      <c r="E840" s="3"/>
      <c r="F840" s="3"/>
      <c r="G840" s="3"/>
      <c r="H840" s="3"/>
    </row>
    <row r="841" spans="5:8" ht="15">
      <c r="E841" s="3"/>
      <c r="F841" s="3"/>
      <c r="G841" s="3"/>
      <c r="H841" s="3"/>
    </row>
    <row r="842" spans="5:8" ht="15">
      <c r="E842" s="3"/>
      <c r="F842" s="3"/>
      <c r="G842" s="3"/>
      <c r="H842" s="3"/>
    </row>
    <row r="843" spans="5:8" ht="15">
      <c r="E843" s="3"/>
      <c r="F843" s="3"/>
      <c r="G843" s="3"/>
      <c r="H843" s="3"/>
    </row>
    <row r="844" spans="5:8" ht="15">
      <c r="E844" s="3"/>
      <c r="F844" s="3"/>
      <c r="G844" s="3"/>
      <c r="H844" s="3"/>
    </row>
    <row r="845" spans="5:8" ht="15">
      <c r="E845" s="3"/>
      <c r="F845" s="3"/>
      <c r="G845" s="3"/>
      <c r="H845" s="3"/>
    </row>
    <row r="846" spans="5:8" ht="15">
      <c r="E846" s="3"/>
      <c r="F846" s="3"/>
      <c r="G846" s="3"/>
      <c r="H846" s="3"/>
    </row>
    <row r="847" spans="5:8" ht="15">
      <c r="E847" s="3"/>
      <c r="F847" s="3"/>
      <c r="G847" s="3"/>
      <c r="H847" s="3"/>
    </row>
    <row r="848" spans="5:8" ht="15">
      <c r="E848" s="3"/>
      <c r="F848" s="3"/>
      <c r="G848" s="3"/>
      <c r="H848" s="3"/>
    </row>
    <row r="849" spans="5:8" ht="15">
      <c r="E849" s="3"/>
      <c r="F849" s="3"/>
      <c r="G849" s="3"/>
      <c r="H849" s="3"/>
    </row>
    <row r="850" spans="5:8" ht="15">
      <c r="E850" s="3"/>
      <c r="F850" s="3"/>
      <c r="G850" s="3"/>
      <c r="H850" s="3"/>
    </row>
    <row r="851" spans="5:8" ht="15">
      <c r="E851" s="3"/>
      <c r="F851" s="3"/>
      <c r="G851" s="3"/>
      <c r="H851" s="3"/>
    </row>
    <row r="852" spans="5:8" ht="15">
      <c r="E852" s="3"/>
      <c r="F852" s="3"/>
      <c r="G852" s="3"/>
      <c r="H852" s="3"/>
    </row>
    <row r="853" spans="5:8" ht="15">
      <c r="E853" s="3"/>
      <c r="F853" s="3"/>
      <c r="G853" s="3"/>
      <c r="H853" s="3"/>
    </row>
    <row r="854" spans="5:8" ht="15">
      <c r="E854" s="3"/>
      <c r="F854" s="3"/>
      <c r="G854" s="3"/>
      <c r="H854" s="3"/>
    </row>
    <row r="855" spans="5:8" ht="15">
      <c r="E855" s="3"/>
      <c r="F855" s="3"/>
      <c r="G855" s="3"/>
      <c r="H855" s="3"/>
    </row>
    <row r="856" spans="5:8" ht="15">
      <c r="E856" s="3"/>
      <c r="F856" s="3"/>
      <c r="G856" s="3"/>
      <c r="H856" s="3"/>
    </row>
    <row r="857" spans="5:8" ht="15">
      <c r="E857" s="3"/>
      <c r="F857" s="3"/>
      <c r="G857" s="3"/>
      <c r="H857" s="3"/>
    </row>
    <row r="858" spans="5:8" ht="15">
      <c r="E858" s="3"/>
      <c r="F858" s="3"/>
      <c r="G858" s="3"/>
      <c r="H858" s="3"/>
    </row>
    <row r="859" spans="5:8" ht="15">
      <c r="E859" s="3"/>
      <c r="F859" s="3"/>
      <c r="G859" s="3"/>
      <c r="H859" s="3"/>
    </row>
    <row r="860" spans="5:8" ht="15">
      <c r="E860" s="3"/>
      <c r="F860" s="3"/>
      <c r="G860" s="3"/>
      <c r="H860" s="3"/>
    </row>
    <row r="861" spans="5:8" ht="15">
      <c r="E861" s="3"/>
      <c r="F861" s="3"/>
      <c r="G861" s="3"/>
      <c r="H861" s="3"/>
    </row>
    <row r="862" spans="5:8" ht="15">
      <c r="E862" s="3"/>
      <c r="F862" s="3"/>
      <c r="G862" s="3"/>
      <c r="H862" s="3"/>
    </row>
    <row r="863" spans="5:8" ht="15">
      <c r="E863" s="3"/>
      <c r="F863" s="3"/>
      <c r="G863" s="3"/>
      <c r="H863" s="3"/>
    </row>
    <row r="864" spans="5:8" ht="15">
      <c r="E864" s="3"/>
      <c r="F864" s="3"/>
      <c r="G864" s="3"/>
      <c r="H864" s="3"/>
    </row>
    <row r="865" spans="5:8" ht="15">
      <c r="E865" s="3"/>
      <c r="F865" s="3"/>
      <c r="G865" s="3"/>
      <c r="H865" s="3"/>
    </row>
    <row r="866" spans="5:8" ht="15">
      <c r="E866" s="3"/>
      <c r="F866" s="3"/>
      <c r="G866" s="3"/>
      <c r="H866" s="3"/>
    </row>
    <row r="867" spans="5:8" ht="15">
      <c r="E867" s="3"/>
      <c r="F867" s="3"/>
      <c r="G867" s="3"/>
      <c r="H867" s="3"/>
    </row>
    <row r="868" spans="5:8" ht="15">
      <c r="E868" s="3"/>
      <c r="F868" s="3"/>
      <c r="G868" s="3"/>
      <c r="H868" s="3"/>
    </row>
    <row r="869" spans="5:8" ht="15">
      <c r="E869" s="3"/>
      <c r="F869" s="3"/>
      <c r="G869" s="3"/>
      <c r="H869" s="3"/>
    </row>
    <row r="870" spans="5:8" ht="15">
      <c r="E870" s="3"/>
      <c r="F870" s="3"/>
      <c r="G870" s="3"/>
      <c r="H870" s="3"/>
    </row>
    <row r="871" spans="5:8" ht="15">
      <c r="E871" s="3"/>
      <c r="F871" s="3"/>
      <c r="G871" s="3"/>
      <c r="H871" s="3"/>
    </row>
    <row r="872" spans="5:8" ht="15">
      <c r="E872" s="3"/>
      <c r="F872" s="3"/>
      <c r="G872" s="3"/>
      <c r="H872" s="3"/>
    </row>
    <row r="873" spans="5:8" ht="15">
      <c r="E873" s="3"/>
      <c r="F873" s="3"/>
      <c r="G873" s="3"/>
      <c r="H873" s="3"/>
    </row>
    <row r="874" spans="5:8" ht="15">
      <c r="E874" s="3"/>
      <c r="F874" s="3"/>
      <c r="G874" s="3"/>
      <c r="H874" s="3"/>
    </row>
    <row r="875" spans="5:8" ht="15">
      <c r="E875" s="3"/>
      <c r="F875" s="3"/>
      <c r="G875" s="3"/>
      <c r="H875" s="3"/>
    </row>
    <row r="876" spans="5:8" ht="15">
      <c r="E876" s="3"/>
      <c r="F876" s="3"/>
      <c r="G876" s="3"/>
      <c r="H876" s="3"/>
    </row>
    <row r="877" spans="5:8" ht="15">
      <c r="E877" s="3"/>
      <c r="F877" s="3"/>
      <c r="G877" s="3"/>
      <c r="H877" s="3"/>
    </row>
    <row r="878" spans="5:8" ht="15">
      <c r="E878" s="3"/>
      <c r="F878" s="3"/>
      <c r="G878" s="3"/>
      <c r="H878" s="3"/>
    </row>
    <row r="879" spans="5:8" ht="15">
      <c r="E879" s="3"/>
      <c r="F879" s="3"/>
      <c r="G879" s="3"/>
      <c r="H879" s="3"/>
    </row>
    <row r="880" spans="5:8" ht="15">
      <c r="E880" s="3"/>
      <c r="F880" s="3"/>
      <c r="G880" s="3"/>
      <c r="H880" s="3"/>
    </row>
    <row r="881" spans="5:8" ht="15">
      <c r="E881" s="3"/>
      <c r="F881" s="3"/>
      <c r="G881" s="3"/>
      <c r="H881" s="3"/>
    </row>
    <row r="882" spans="5:8" ht="15">
      <c r="E882" s="3"/>
      <c r="F882" s="3"/>
      <c r="G882" s="3"/>
      <c r="H882" s="3"/>
    </row>
    <row r="883" spans="5:8" ht="15">
      <c r="E883" s="3"/>
      <c r="F883" s="3"/>
      <c r="G883" s="3"/>
      <c r="H883" s="3"/>
    </row>
    <row r="884" spans="5:8" ht="15">
      <c r="E884" s="3"/>
      <c r="F884" s="3"/>
      <c r="G884" s="3"/>
      <c r="H884" s="3"/>
    </row>
    <row r="885" spans="5:8" ht="15">
      <c r="E885" s="3"/>
      <c r="F885" s="3"/>
      <c r="G885" s="3"/>
      <c r="H885" s="3"/>
    </row>
    <row r="886" spans="5:8" ht="15">
      <c r="E886" s="3"/>
      <c r="F886" s="3"/>
      <c r="G886" s="3"/>
      <c r="H886" s="3"/>
    </row>
    <row r="887" spans="5:8" ht="15">
      <c r="E887" s="3"/>
      <c r="F887" s="3"/>
      <c r="G887" s="3"/>
      <c r="H887" s="3"/>
    </row>
    <row r="888" spans="5:8" ht="15">
      <c r="E888" s="3"/>
      <c r="F888" s="3"/>
      <c r="G888" s="3"/>
      <c r="H888" s="3"/>
    </row>
    <row r="889" spans="5:8" ht="15">
      <c r="E889" s="3"/>
      <c r="F889" s="3"/>
      <c r="G889" s="3"/>
      <c r="H889" s="3"/>
    </row>
    <row r="890" spans="5:8" ht="15">
      <c r="E890" s="3"/>
      <c r="F890" s="3"/>
      <c r="G890" s="3"/>
      <c r="H890" s="3"/>
    </row>
    <row r="891" spans="5:8" ht="15">
      <c r="E891" s="3"/>
      <c r="F891" s="3"/>
      <c r="G891" s="3"/>
      <c r="H891" s="3"/>
    </row>
    <row r="892" spans="5:8" ht="15">
      <c r="E892" s="3"/>
      <c r="F892" s="3"/>
      <c r="G892" s="3"/>
      <c r="H892" s="3"/>
    </row>
    <row r="893" spans="5:8" ht="15">
      <c r="E893" s="3"/>
      <c r="F893" s="3"/>
      <c r="G893" s="3"/>
      <c r="H893" s="3"/>
    </row>
    <row r="894" spans="5:8" ht="15">
      <c r="E894" s="3"/>
      <c r="F894" s="3"/>
      <c r="G894" s="3"/>
      <c r="H894" s="3"/>
    </row>
    <row r="895" spans="5:8" ht="15">
      <c r="E895" s="3"/>
      <c r="F895" s="3"/>
      <c r="G895" s="3"/>
      <c r="H895" s="3"/>
    </row>
    <row r="896" spans="5:8" ht="15">
      <c r="E896" s="3"/>
      <c r="F896" s="3"/>
      <c r="G896" s="3"/>
      <c r="H896" s="3"/>
    </row>
    <row r="897" spans="5:8" ht="15">
      <c r="E897" s="3"/>
      <c r="F897" s="3"/>
      <c r="G897" s="3"/>
      <c r="H897" s="3"/>
    </row>
    <row r="898" spans="5:8" ht="15">
      <c r="E898" s="3"/>
      <c r="F898" s="3"/>
      <c r="G898" s="3"/>
      <c r="H898" s="3"/>
    </row>
    <row r="899" spans="5:8" ht="15">
      <c r="E899" s="3"/>
      <c r="F899" s="3"/>
      <c r="G899" s="3"/>
      <c r="H899" s="3"/>
    </row>
    <row r="900" spans="5:8" ht="15">
      <c r="E900" s="3"/>
      <c r="F900" s="3"/>
      <c r="G900" s="3"/>
      <c r="H900" s="3"/>
    </row>
    <row r="901" spans="5:8" ht="15">
      <c r="E901" s="3"/>
      <c r="F901" s="3"/>
      <c r="G901" s="3"/>
      <c r="H901" s="3"/>
    </row>
    <row r="902" spans="5:8" ht="15">
      <c r="E902" s="3"/>
      <c r="F902" s="3"/>
      <c r="G902" s="3"/>
      <c r="H902" s="3"/>
    </row>
    <row r="903" spans="5:8" ht="15">
      <c r="E903" s="3"/>
      <c r="F903" s="3"/>
      <c r="G903" s="3"/>
      <c r="H903" s="3"/>
    </row>
    <row r="904" spans="5:8" ht="15">
      <c r="E904" s="3"/>
      <c r="F904" s="3"/>
      <c r="G904" s="3"/>
      <c r="H904" s="3"/>
    </row>
    <row r="905" spans="5:8" ht="15">
      <c r="E905" s="3"/>
      <c r="F905" s="3"/>
      <c r="G905" s="3"/>
      <c r="H905" s="3"/>
    </row>
    <row r="906" spans="5:8" ht="15">
      <c r="E906" s="3"/>
      <c r="F906" s="3"/>
      <c r="G906" s="3"/>
      <c r="H906" s="3"/>
    </row>
    <row r="907" spans="5:8" ht="15">
      <c r="E907" s="3"/>
      <c r="F907" s="3"/>
      <c r="G907" s="3"/>
      <c r="H907" s="3"/>
    </row>
    <row r="908" spans="5:8" ht="15">
      <c r="E908" s="3"/>
      <c r="F908" s="3"/>
      <c r="G908" s="3"/>
      <c r="H908" s="3"/>
    </row>
    <row r="909" spans="5:8" ht="15">
      <c r="E909" s="3"/>
      <c r="F909" s="3"/>
      <c r="G909" s="3"/>
      <c r="H909" s="3"/>
    </row>
    <row r="910" spans="5:8" ht="15">
      <c r="E910" s="3"/>
      <c r="F910" s="3"/>
      <c r="G910" s="3"/>
      <c r="H910" s="3"/>
    </row>
    <row r="911" spans="5:8" ht="15">
      <c r="E911" s="3"/>
      <c r="F911" s="3"/>
      <c r="G911" s="3"/>
      <c r="H911" s="3"/>
    </row>
    <row r="912" spans="5:8" ht="15">
      <c r="E912" s="3"/>
      <c r="F912" s="3"/>
      <c r="G912" s="3"/>
      <c r="H912" s="3"/>
    </row>
    <row r="913" spans="5:8" ht="15">
      <c r="E913" s="3"/>
      <c r="F913" s="3"/>
      <c r="G913" s="3"/>
      <c r="H913" s="3"/>
    </row>
    <row r="914" spans="5:8" ht="15">
      <c r="E914" s="3"/>
      <c r="F914" s="3"/>
      <c r="G914" s="3"/>
      <c r="H914" s="3"/>
    </row>
    <row r="915" spans="5:8" ht="15">
      <c r="E915" s="3"/>
      <c r="F915" s="3"/>
      <c r="G915" s="3"/>
      <c r="H915" s="3"/>
    </row>
    <row r="916" spans="5:8" ht="15">
      <c r="E916" s="3"/>
      <c r="F916" s="3"/>
      <c r="G916" s="3"/>
      <c r="H916" s="3"/>
    </row>
    <row r="917" spans="5:8" ht="15">
      <c r="E917" s="3"/>
      <c r="F917" s="3"/>
      <c r="G917" s="3"/>
      <c r="H917" s="3"/>
    </row>
    <row r="918" spans="5:8" ht="15">
      <c r="E918" s="3"/>
      <c r="F918" s="3"/>
      <c r="G918" s="3"/>
      <c r="H918" s="3"/>
    </row>
    <row r="919" spans="5:8" ht="15">
      <c r="E919" s="3"/>
      <c r="F919" s="3"/>
      <c r="G919" s="3"/>
      <c r="H919" s="3"/>
    </row>
    <row r="920" spans="5:8" ht="15">
      <c r="E920" s="3"/>
      <c r="F920" s="3"/>
      <c r="G920" s="3"/>
      <c r="H920" s="3"/>
    </row>
    <row r="921" spans="5:8" ht="15">
      <c r="E921" s="3"/>
      <c r="F921" s="3"/>
      <c r="G921" s="3"/>
      <c r="H921" s="3"/>
    </row>
    <row r="922" spans="5:8" ht="15">
      <c r="E922" s="3"/>
      <c r="F922" s="3"/>
      <c r="G922" s="3"/>
      <c r="H922" s="3"/>
    </row>
    <row r="923" spans="5:8" ht="15">
      <c r="E923" s="3"/>
      <c r="F923" s="3"/>
      <c r="G923" s="3"/>
      <c r="H923" s="3"/>
    </row>
    <row r="924" spans="5:8" ht="15">
      <c r="E924" s="3"/>
      <c r="F924" s="3"/>
      <c r="G924" s="3"/>
      <c r="H924" s="3"/>
    </row>
    <row r="925" spans="5:8" ht="15">
      <c r="E925" s="3"/>
      <c r="F925" s="3"/>
      <c r="G925" s="3"/>
      <c r="H925" s="3"/>
    </row>
    <row r="926" spans="5:8" ht="15">
      <c r="E926" s="3"/>
      <c r="F926" s="3"/>
      <c r="G926" s="3"/>
      <c r="H926" s="3"/>
    </row>
    <row r="927" spans="5:8" ht="15">
      <c r="E927" s="3"/>
      <c r="F927" s="3"/>
      <c r="G927" s="3"/>
      <c r="H927" s="3"/>
    </row>
    <row r="928" spans="5:8" ht="15">
      <c r="E928" s="3"/>
      <c r="F928" s="3"/>
      <c r="G928" s="3"/>
      <c r="H928" s="3"/>
    </row>
    <row r="929" spans="5:8" ht="15">
      <c r="E929" s="3"/>
      <c r="F929" s="3"/>
      <c r="G929" s="3"/>
      <c r="H929" s="3"/>
    </row>
    <row r="930" spans="5:8" ht="15">
      <c r="E930" s="3"/>
      <c r="F930" s="3"/>
      <c r="G930" s="3"/>
      <c r="H930" s="3"/>
    </row>
    <row r="931" spans="5:8" ht="15">
      <c r="E931" s="3"/>
      <c r="F931" s="3"/>
      <c r="G931" s="3"/>
      <c r="H931" s="3"/>
    </row>
    <row r="932" spans="5:8" ht="15">
      <c r="E932" s="3"/>
      <c r="F932" s="3"/>
      <c r="G932" s="3"/>
      <c r="H932" s="3"/>
    </row>
    <row r="933" spans="5:8" ht="15">
      <c r="E933" s="3"/>
      <c r="F933" s="3"/>
      <c r="G933" s="3"/>
      <c r="H933" s="3"/>
    </row>
    <row r="934" spans="5:8" ht="15">
      <c r="E934" s="3"/>
      <c r="F934" s="3"/>
      <c r="G934" s="3"/>
      <c r="H934" s="3"/>
    </row>
    <row r="935" spans="5:8" ht="15">
      <c r="E935" s="3"/>
      <c r="F935" s="3"/>
      <c r="G935" s="3"/>
      <c r="H935" s="3"/>
    </row>
    <row r="936" spans="5:8" ht="15">
      <c r="E936" s="3"/>
      <c r="F936" s="3"/>
      <c r="G936" s="3"/>
      <c r="H936" s="3"/>
    </row>
    <row r="937" spans="5:8" ht="15">
      <c r="E937" s="3"/>
      <c r="F937" s="3"/>
      <c r="G937" s="3"/>
      <c r="H937" s="3"/>
    </row>
    <row r="938" spans="5:8" ht="15">
      <c r="E938" s="3"/>
      <c r="F938" s="3"/>
      <c r="G938" s="3"/>
      <c r="H938" s="3"/>
    </row>
    <row r="939" spans="5:8" ht="15">
      <c r="E939" s="3"/>
      <c r="F939" s="3"/>
      <c r="G939" s="3"/>
      <c r="H939" s="3"/>
    </row>
    <row r="940" spans="5:8" ht="15">
      <c r="E940" s="3"/>
      <c r="F940" s="3"/>
      <c r="G940" s="3"/>
      <c r="H940" s="3"/>
    </row>
    <row r="941" spans="5:8" ht="15">
      <c r="E941" s="3"/>
      <c r="F941" s="3"/>
      <c r="G941" s="3"/>
      <c r="H941" s="3"/>
    </row>
    <row r="942" spans="5:8" ht="15">
      <c r="E942" s="3"/>
      <c r="F942" s="3"/>
      <c r="G942" s="3"/>
      <c r="H942" s="3"/>
    </row>
    <row r="943" spans="5:8" ht="15">
      <c r="E943" s="3"/>
      <c r="F943" s="3"/>
      <c r="G943" s="3"/>
      <c r="H943" s="3"/>
    </row>
    <row r="944" spans="5:8" ht="15">
      <c r="E944" s="3"/>
      <c r="F944" s="3"/>
      <c r="G944" s="3"/>
      <c r="H944" s="3"/>
    </row>
    <row r="945" spans="5:8" ht="15">
      <c r="E945" s="3"/>
      <c r="F945" s="3"/>
      <c r="G945" s="3"/>
      <c r="H945" s="3"/>
    </row>
    <row r="946" spans="5:8" ht="15">
      <c r="E946" s="3"/>
      <c r="F946" s="3"/>
      <c r="G946" s="3"/>
      <c r="H946" s="3"/>
    </row>
    <row r="947" spans="5:8" ht="15">
      <c r="E947" s="3"/>
      <c r="F947" s="3"/>
      <c r="G947" s="3"/>
      <c r="H947" s="3"/>
    </row>
    <row r="948" spans="5:8" ht="15">
      <c r="E948" s="3"/>
      <c r="F948" s="3"/>
      <c r="G948" s="3"/>
      <c r="H948" s="3"/>
    </row>
    <row r="949" spans="5:8" ht="15">
      <c r="E949" s="3"/>
      <c r="F949" s="3"/>
      <c r="G949" s="3"/>
      <c r="H949" s="3"/>
    </row>
    <row r="950" spans="6:8" ht="15">
      <c r="F950" s="3"/>
      <c r="G950" s="3"/>
      <c r="H950" s="3"/>
    </row>
    <row r="951" spans="6:8" ht="15">
      <c r="F951" s="3"/>
      <c r="G951" s="3"/>
      <c r="H951" s="3"/>
    </row>
    <row r="952" spans="6:7" ht="15">
      <c r="F952" s="3"/>
      <c r="G952" s="3"/>
    </row>
    <row r="953" ht="15">
      <c r="F953" s="3"/>
    </row>
  </sheetData>
  <sheetProtection/>
  <mergeCells count="17">
    <mergeCell ref="E261:F261"/>
    <mergeCell ref="C249:D249"/>
    <mergeCell ref="C261:D261"/>
    <mergeCell ref="U46:X46"/>
    <mergeCell ref="U47:X47"/>
    <mergeCell ref="U48:X48"/>
    <mergeCell ref="E249:F249"/>
    <mergeCell ref="J195:L195"/>
    <mergeCell ref="S149:W149"/>
    <mergeCell ref="S145:W145"/>
    <mergeCell ref="X5:Y5"/>
    <mergeCell ref="D77:E77"/>
    <mergeCell ref="S58:U58"/>
    <mergeCell ref="R119:S119"/>
    <mergeCell ref="R109:U109"/>
    <mergeCell ref="P35:U35"/>
    <mergeCell ref="U45:X45"/>
  </mergeCells>
  <conditionalFormatting sqref="W59:W63">
    <cfRule type="cellIs" priority="1" dxfId="0" operator="notEqual" stopIfTrue="1">
      <formula>U59</formula>
    </cfRule>
  </conditionalFormatting>
  <conditionalFormatting sqref="U113">
    <cfRule type="cellIs" priority="2" dxfId="0" operator="notEqual" stopIfTrue="1">
      <formula>$U$111+$U$112</formula>
    </cfRule>
  </conditionalFormatting>
  <printOptions/>
  <pageMargins left="0.75" right="0.75" top="1" bottom="1" header="0.5" footer="0.5"/>
  <pageSetup horizontalDpi="600" verticalDpi="600" orientation="landscape" r:id="rId3"/>
  <headerFooter alignWithMargins="0">
    <oddFooter>&amp;CPage &amp;P</oddFooter>
  </headerFooter>
  <colBreaks count="1" manualBreakCount="1">
    <brk id="9" max="194" man="1"/>
  </col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59"/>
  <sheetViews>
    <sheetView workbookViewId="0" topLeftCell="A34">
      <selection activeCell="A1" sqref="A1"/>
    </sheetView>
  </sheetViews>
  <sheetFormatPr defaultColWidth="9.140625" defaultRowHeight="12.75"/>
  <cols>
    <col min="1" max="1" width="3.7109375" style="8" customWidth="1"/>
    <col min="2" max="2" width="14.421875" style="8" customWidth="1"/>
    <col min="3" max="3" width="10.7109375" style="8" customWidth="1"/>
    <col min="4" max="4" width="16.57421875" style="8" customWidth="1"/>
    <col min="5" max="5" width="1.7109375" style="8" customWidth="1"/>
    <col min="6" max="6" width="16.57421875" style="8" customWidth="1"/>
    <col min="7" max="7" width="1.7109375" style="8" customWidth="1"/>
    <col min="8" max="8" width="16.57421875" style="8" customWidth="1"/>
    <col min="9" max="9" width="1.7109375" style="8" customWidth="1"/>
    <col min="10" max="10" width="18.421875" style="8" customWidth="1"/>
    <col min="11" max="11" width="1.7109375" style="8" customWidth="1"/>
    <col min="12" max="13" width="14.8515625" style="8" customWidth="1"/>
    <col min="14" max="15" width="15.421875" style="8" bestFit="1" customWidth="1"/>
    <col min="16" max="16" width="17.00390625" style="8" bestFit="1" customWidth="1"/>
    <col min="17" max="17" width="17.57421875" style="8" bestFit="1" customWidth="1"/>
    <col min="18" max="16384" width="9.140625" style="8" customWidth="1"/>
  </cols>
  <sheetData>
    <row r="1" spans="2:13" ht="16.5">
      <c r="B1" s="136" t="s">
        <v>1729</v>
      </c>
      <c r="C1" s="137" t="str">
        <f>+INPUT!C1</f>
        <v>February 2009</v>
      </c>
      <c r="J1" s="136" t="s">
        <v>324</v>
      </c>
      <c r="K1" s="136"/>
      <c r="L1" s="136"/>
      <c r="M1" s="136"/>
    </row>
    <row r="2" spans="10:13" ht="16.5">
      <c r="J2" s="136" t="s">
        <v>1428</v>
      </c>
      <c r="K2" s="136"/>
      <c r="L2" s="136"/>
      <c r="M2" s="136"/>
    </row>
    <row r="3" ht="16.5">
      <c r="F3" s="136" t="s">
        <v>325</v>
      </c>
    </row>
    <row r="4" ht="16.5">
      <c r="F4" s="136" t="s">
        <v>339</v>
      </c>
    </row>
    <row r="5" ht="16.5">
      <c r="F5" s="170" t="s">
        <v>450</v>
      </c>
    </row>
    <row r="6" spans="14:17" ht="15">
      <c r="N6" s="233"/>
      <c r="O6" s="233"/>
      <c r="P6" s="233"/>
      <c r="Q6" s="233"/>
    </row>
    <row r="7" spans="4:17" ht="16.5">
      <c r="D7" s="138"/>
      <c r="E7" s="139" t="s">
        <v>1606</v>
      </c>
      <c r="F7" s="138"/>
      <c r="H7" s="858" t="s">
        <v>1731</v>
      </c>
      <c r="I7" s="858"/>
      <c r="J7" s="858"/>
      <c r="K7" s="441"/>
      <c r="L7" s="441"/>
      <c r="M7" s="201"/>
      <c r="N7" s="233"/>
      <c r="O7" s="233"/>
      <c r="P7" s="233"/>
      <c r="Q7" s="233"/>
    </row>
    <row r="8" spans="7:17" ht="16.5">
      <c r="G8" s="136"/>
      <c r="H8" s="896" t="s">
        <v>341</v>
      </c>
      <c r="I8" s="896"/>
      <c r="J8" s="896"/>
      <c r="K8" s="707"/>
      <c r="L8" s="707"/>
      <c r="M8" s="136"/>
      <c r="N8" s="233"/>
      <c r="O8" s="233"/>
      <c r="P8" s="233"/>
      <c r="Q8" s="233"/>
    </row>
    <row r="9" spans="4:15" ht="16.5">
      <c r="D9" s="170" t="s">
        <v>1638</v>
      </c>
      <c r="E9" s="136"/>
      <c r="F9" s="170" t="s">
        <v>1588</v>
      </c>
      <c r="G9" s="136"/>
      <c r="H9" s="181" t="s">
        <v>345</v>
      </c>
      <c r="I9" s="142"/>
      <c r="J9" s="181" t="s">
        <v>346</v>
      </c>
      <c r="K9" s="181"/>
      <c r="L9" s="233"/>
      <c r="M9" s="233"/>
      <c r="N9" s="233"/>
      <c r="O9" s="233"/>
    </row>
    <row r="10" spans="2:15" ht="19.5">
      <c r="B10" s="234"/>
      <c r="C10" s="235"/>
      <c r="G10" s="136"/>
      <c r="H10" s="181" t="s">
        <v>1749</v>
      </c>
      <c r="I10" s="142"/>
      <c r="J10" s="181" t="s">
        <v>1749</v>
      </c>
      <c r="K10" s="181"/>
      <c r="L10" s="233"/>
      <c r="M10" s="233"/>
      <c r="N10" s="233"/>
      <c r="O10" s="233"/>
    </row>
    <row r="11" spans="2:15" ht="19.5">
      <c r="B11" s="234" t="s">
        <v>1526</v>
      </c>
      <c r="C11" s="235" t="s">
        <v>1777</v>
      </c>
      <c r="D11" s="139" t="s">
        <v>582</v>
      </c>
      <c r="E11" s="136"/>
      <c r="F11" s="139" t="s">
        <v>447</v>
      </c>
      <c r="G11" s="136"/>
      <c r="H11" s="139" t="s">
        <v>582</v>
      </c>
      <c r="I11" s="142"/>
      <c r="J11" s="139" t="s">
        <v>447</v>
      </c>
      <c r="K11" s="181"/>
      <c r="L11" s="233"/>
      <c r="M11" s="233"/>
      <c r="N11" s="233"/>
      <c r="O11" s="233"/>
    </row>
    <row r="12" spans="1:15" ht="16.5">
      <c r="A12" s="8" t="s">
        <v>1743</v>
      </c>
      <c r="B12" s="136" t="s">
        <v>1637</v>
      </c>
      <c r="C12" s="8" t="s">
        <v>1532</v>
      </c>
      <c r="D12" s="116">
        <f>INPUT!C88</f>
        <v>444658</v>
      </c>
      <c r="E12" s="116"/>
      <c r="F12" s="116">
        <f>INPUT!D88</f>
        <v>443913</v>
      </c>
      <c r="G12" s="116"/>
      <c r="H12" s="116">
        <f>+INPUT!E88</f>
        <v>21583128</v>
      </c>
      <c r="I12" s="116"/>
      <c r="J12" s="116">
        <f>+INPUT!F88</f>
        <v>23567320</v>
      </c>
      <c r="K12" s="116"/>
      <c r="L12" s="232">
        <f>ROUND(D17*INPUT!C5,4)</f>
        <v>444660.5044</v>
      </c>
      <c r="M12" s="232">
        <f>ROUND(F17*INPUT!C5,4)</f>
        <v>443912.7658</v>
      </c>
      <c r="N12" s="232">
        <f>ROUND(H17*INPUT!C5,4)</f>
        <v>21583128.3861</v>
      </c>
      <c r="O12" s="232">
        <f>ROUND(J17*INPUT!C5,4)</f>
        <v>23567319.9543</v>
      </c>
    </row>
    <row r="13" spans="2:15" ht="16.5">
      <c r="B13" s="136" t="s">
        <v>2024</v>
      </c>
      <c r="C13" s="8" t="s">
        <v>1533</v>
      </c>
      <c r="D13" s="116">
        <f>INPUT!C89</f>
        <v>89596</v>
      </c>
      <c r="E13" s="116"/>
      <c r="F13" s="116">
        <f>INPUT!D89</f>
        <v>89446</v>
      </c>
      <c r="G13" s="116"/>
      <c r="H13" s="116">
        <f>+INPUT!E89</f>
        <v>4348821</v>
      </c>
      <c r="I13" s="116"/>
      <c r="J13" s="116">
        <f>+INPUT!F89</f>
        <v>4748618</v>
      </c>
      <c r="K13" s="116"/>
      <c r="L13" s="232">
        <f>ROUND(D17*INPUT!C6,4)</f>
        <v>89595.3881</v>
      </c>
      <c r="M13" s="232">
        <f>ROUND(F17*INPUT!C6,4)</f>
        <v>89444.725</v>
      </c>
      <c r="N13" s="232">
        <f>ROUND(H17*INPUT!C6,4)</f>
        <v>4348820.6044</v>
      </c>
      <c r="O13" s="232">
        <f>ROUND(J17*INPUT!C6,4)</f>
        <v>4748618.6791</v>
      </c>
    </row>
    <row r="14" spans="3:15" ht="15">
      <c r="C14" s="8" t="s">
        <v>1534</v>
      </c>
      <c r="D14" s="116">
        <f>INPUT!C90</f>
        <v>228229</v>
      </c>
      <c r="E14" s="116"/>
      <c r="F14" s="116">
        <f>INPUT!D90</f>
        <v>227847</v>
      </c>
      <c r="G14" s="116"/>
      <c r="H14" s="116">
        <f>+INPUT!E90</f>
        <v>11077811</v>
      </c>
      <c r="I14" s="116"/>
      <c r="J14" s="116">
        <f>+INPUT!F90</f>
        <v>12096222</v>
      </c>
      <c r="K14" s="116"/>
      <c r="L14" s="232">
        <f>ROUND(D17*INPUT!C7,4)</f>
        <v>228227.5721</v>
      </c>
      <c r="M14" s="232">
        <f>ROUND(F17*INPUT!C7,4)</f>
        <v>227843.7859</v>
      </c>
      <c r="N14" s="232">
        <f>ROUND(H17*INPUT!C7,4)</f>
        <v>11077810.9187</v>
      </c>
      <c r="O14" s="232">
        <f>ROUND(J17*INPUT!C7,4)</f>
        <v>12096222.0881</v>
      </c>
    </row>
    <row r="15" spans="3:15" ht="15">
      <c r="C15" s="8" t="s">
        <v>1536</v>
      </c>
      <c r="D15" s="116">
        <f>INPUT!C91</f>
        <v>292131</v>
      </c>
      <c r="E15" s="116"/>
      <c r="F15" s="116">
        <f>INPUT!D91</f>
        <v>291636</v>
      </c>
      <c r="G15" s="116"/>
      <c r="H15" s="116">
        <f>+INPUT!E91</f>
        <v>14179548</v>
      </c>
      <c r="I15" s="116"/>
      <c r="J15" s="116">
        <f>+INPUT!F91</f>
        <v>15483110</v>
      </c>
      <c r="K15" s="116"/>
      <c r="L15" s="232">
        <f>ROUND(D17*INPUT!C8,4)</f>
        <v>292130.26</v>
      </c>
      <c r="M15" s="232">
        <f>ROUND(F17*INPUT!C8,4)</f>
        <v>291639.0154</v>
      </c>
      <c r="N15" s="232">
        <f>ROUND(H17*INPUT!C8,4)</f>
        <v>14179547.8671</v>
      </c>
      <c r="O15" s="232">
        <f>ROUND(J17*INPUT!C8,4)</f>
        <v>15483109.5573</v>
      </c>
    </row>
    <row r="16" spans="3:15" ht="15">
      <c r="C16" s="8" t="s">
        <v>1537</v>
      </c>
      <c r="D16" s="143">
        <f>INPUT!C92</f>
        <v>235828</v>
      </c>
      <c r="E16" s="116"/>
      <c r="F16" s="143">
        <f>INPUT!D92</f>
        <v>235430</v>
      </c>
      <c r="G16" s="116"/>
      <c r="H16" s="143">
        <f>+INPUT!E92</f>
        <v>11446737</v>
      </c>
      <c r="I16" s="116"/>
      <c r="J16" s="143">
        <f>+INPUT!F92</f>
        <v>12499065</v>
      </c>
      <c r="K16" s="34"/>
      <c r="L16" s="236">
        <f>ROUND(D17*INPUT!C9,4)</f>
        <v>235828.2755</v>
      </c>
      <c r="M16" s="236">
        <f>ROUND(F17*INPUT!C9,4)</f>
        <v>235431.708</v>
      </c>
      <c r="N16" s="236">
        <f>ROUND(H17*INPUT!C9,4)</f>
        <v>11446737.2238</v>
      </c>
      <c r="O16" s="236">
        <f>ROUND(J17*INPUT!C9,4)</f>
        <v>12499064.7213</v>
      </c>
    </row>
    <row r="17" spans="3:15" ht="15">
      <c r="C17" s="8" t="s">
        <v>1642</v>
      </c>
      <c r="D17" s="116">
        <f>+INPUT!C93</f>
        <v>1290442</v>
      </c>
      <c r="E17" s="116"/>
      <c r="F17" s="116">
        <f>+INPUT!D93</f>
        <v>1288272</v>
      </c>
      <c r="G17" s="116"/>
      <c r="H17" s="116">
        <f>+INPUT!E93</f>
        <v>62636045</v>
      </c>
      <c r="I17" s="116"/>
      <c r="J17" s="116">
        <f>+INPUT!F93</f>
        <v>68394335</v>
      </c>
      <c r="K17" s="116"/>
      <c r="L17" s="232">
        <f>SUM(L12:L16)</f>
        <v>1290442.0000999998</v>
      </c>
      <c r="M17" s="232">
        <f>SUM(M12:M16)</f>
        <v>1288272.0001</v>
      </c>
      <c r="N17" s="232">
        <f>SUM(N12:N16)</f>
        <v>62636045.0001</v>
      </c>
      <c r="O17" s="232">
        <f>SUM(O12:O16)</f>
        <v>68394335.0001</v>
      </c>
    </row>
    <row r="18" spans="4:15" ht="15">
      <c r="D18" s="115"/>
      <c r="E18" s="115"/>
      <c r="F18" s="115"/>
      <c r="G18" s="115"/>
      <c r="H18" s="115"/>
      <c r="I18" s="115"/>
      <c r="J18" s="115"/>
      <c r="K18" s="115"/>
      <c r="L18" s="233"/>
      <c r="M18" s="233"/>
      <c r="N18" s="232"/>
      <c r="O18" s="232"/>
    </row>
    <row r="19" spans="1:15" ht="16.5">
      <c r="A19" s="8" t="s">
        <v>1744</v>
      </c>
      <c r="B19" s="136" t="s">
        <v>347</v>
      </c>
      <c r="C19" s="8" t="s">
        <v>1532</v>
      </c>
      <c r="D19" s="116">
        <f>+INPUT!C95</f>
        <v>444553</v>
      </c>
      <c r="E19" s="116"/>
      <c r="F19" s="116">
        <f>+INPUT!D95</f>
        <v>443825</v>
      </c>
      <c r="G19" s="116"/>
      <c r="H19" s="116">
        <f>+INPUT!E95</f>
        <v>21623523</v>
      </c>
      <c r="I19" s="116"/>
      <c r="J19" s="116">
        <f>+INPUT!F95</f>
        <v>23564024</v>
      </c>
      <c r="K19" s="116"/>
      <c r="L19" s="232"/>
      <c r="M19" s="232"/>
      <c r="N19" s="232"/>
      <c r="O19" s="232"/>
    </row>
    <row r="20" spans="2:15" ht="16.5">
      <c r="B20" s="136" t="s">
        <v>348</v>
      </c>
      <c r="C20" s="8" t="s">
        <v>1533</v>
      </c>
      <c r="D20" s="116">
        <f>+INPUT!C96</f>
        <v>89575</v>
      </c>
      <c r="E20" s="116"/>
      <c r="F20" s="116">
        <f>+INPUT!D96</f>
        <v>89427</v>
      </c>
      <c r="G20" s="116"/>
      <c r="H20" s="116">
        <f>+INPUT!E96</f>
        <v>4356960</v>
      </c>
      <c r="I20" s="116"/>
      <c r="J20" s="116">
        <f>+INPUT!F96</f>
        <v>4747954</v>
      </c>
      <c r="K20" s="116"/>
      <c r="L20" s="232"/>
      <c r="M20" s="232"/>
      <c r="N20" s="232"/>
      <c r="O20" s="232"/>
    </row>
    <row r="21" spans="2:15" ht="16.5">
      <c r="B21" s="136" t="s">
        <v>1529</v>
      </c>
      <c r="C21" s="8" t="s">
        <v>1534</v>
      </c>
      <c r="D21" s="116">
        <f>+INPUT!C97</f>
        <v>228174</v>
      </c>
      <c r="E21" s="116"/>
      <c r="F21" s="116">
        <f>+INPUT!D97</f>
        <v>227797</v>
      </c>
      <c r="G21" s="116"/>
      <c r="H21" s="116">
        <f>+INPUT!E97</f>
        <v>11098544</v>
      </c>
      <c r="I21" s="116"/>
      <c r="J21" s="116">
        <f>+INPUT!F97</f>
        <v>12094530</v>
      </c>
      <c r="K21" s="116"/>
      <c r="L21" s="232"/>
      <c r="M21" s="232"/>
      <c r="N21" s="232"/>
      <c r="O21" s="232"/>
    </row>
    <row r="22" spans="3:15" ht="15">
      <c r="C22" s="8" t="s">
        <v>1536</v>
      </c>
      <c r="D22" s="116">
        <f>+INPUT!C98</f>
        <v>292060</v>
      </c>
      <c r="E22" s="116"/>
      <c r="F22" s="116">
        <f>+INPUT!D98</f>
        <v>291575</v>
      </c>
      <c r="G22" s="116"/>
      <c r="H22" s="116">
        <f>+INPUT!E98</f>
        <v>14206086</v>
      </c>
      <c r="I22" s="116"/>
      <c r="J22" s="116">
        <f>+INPUT!F98</f>
        <v>15480944</v>
      </c>
      <c r="K22" s="116"/>
      <c r="L22" s="232"/>
      <c r="M22" s="232"/>
      <c r="N22" s="232"/>
      <c r="O22" s="232"/>
    </row>
    <row r="23" spans="3:15" ht="15">
      <c r="C23" s="8" t="s">
        <v>1537</v>
      </c>
      <c r="D23" s="143">
        <f>+INPUT!C99</f>
        <v>235770</v>
      </c>
      <c r="E23" s="116"/>
      <c r="F23" s="143">
        <f>+INPUT!D99</f>
        <v>235379</v>
      </c>
      <c r="G23" s="116"/>
      <c r="H23" s="143">
        <f>+INPUT!E99</f>
        <v>11468161</v>
      </c>
      <c r="I23" s="116"/>
      <c r="J23" s="143">
        <f>+INPUT!F99</f>
        <v>12497316</v>
      </c>
      <c r="K23" s="34"/>
      <c r="L23" s="237"/>
      <c r="M23" s="237"/>
      <c r="N23" s="237"/>
      <c r="O23" s="237"/>
    </row>
    <row r="24" spans="3:15" ht="15">
      <c r="C24" s="8" t="s">
        <v>1642</v>
      </c>
      <c r="D24" s="116">
        <f>SUM(D19:D23)</f>
        <v>1290132</v>
      </c>
      <c r="E24" s="116"/>
      <c r="F24" s="116">
        <f>SUM(F19:F23)</f>
        <v>1288003</v>
      </c>
      <c r="G24" s="116"/>
      <c r="H24" s="116">
        <f>SUM(H19:H23)</f>
        <v>62753274</v>
      </c>
      <c r="I24" s="116"/>
      <c r="J24" s="116">
        <f>SUM(J19:J23)</f>
        <v>68384768</v>
      </c>
      <c r="K24" s="116"/>
      <c r="L24" s="232"/>
      <c r="M24" s="232"/>
      <c r="N24" s="232"/>
      <c r="O24" s="232"/>
    </row>
    <row r="25" spans="4:15" ht="15">
      <c r="D25" s="115"/>
      <c r="E25" s="115"/>
      <c r="F25" s="115"/>
      <c r="G25" s="115"/>
      <c r="H25" s="115"/>
      <c r="I25" s="115"/>
      <c r="J25" s="115"/>
      <c r="K25" s="115"/>
      <c r="L25" s="233"/>
      <c r="M25" s="233"/>
      <c r="N25" s="232"/>
      <c r="O25" s="232"/>
    </row>
    <row r="26" spans="1:15" ht="16.5">
      <c r="A26" s="8" t="s">
        <v>1747</v>
      </c>
      <c r="B26" s="136" t="s">
        <v>1748</v>
      </c>
      <c r="C26" s="8" t="s">
        <v>1532</v>
      </c>
      <c r="D26" s="115">
        <f>+D12-D19</f>
        <v>105</v>
      </c>
      <c r="E26" s="115"/>
      <c r="F26" s="115">
        <f>+F12-F19</f>
        <v>88</v>
      </c>
      <c r="G26" s="115"/>
      <c r="H26" s="115">
        <f>+H12-H19</f>
        <v>-40395</v>
      </c>
      <c r="I26" s="115"/>
      <c r="J26" s="115">
        <f>+J12-J19</f>
        <v>3296</v>
      </c>
      <c r="K26" s="115"/>
      <c r="L26" s="233"/>
      <c r="M26" s="233"/>
      <c r="N26" s="232"/>
      <c r="O26" s="232"/>
    </row>
    <row r="27" spans="2:15" ht="16.5">
      <c r="B27" s="136" t="s">
        <v>350</v>
      </c>
      <c r="C27" s="8" t="s">
        <v>1533</v>
      </c>
      <c r="D27" s="115">
        <f>+D13-D20</f>
        <v>21</v>
      </c>
      <c r="E27" s="115"/>
      <c r="F27" s="115">
        <f>+F13-F20</f>
        <v>19</v>
      </c>
      <c r="G27" s="115"/>
      <c r="H27" s="115">
        <f>+H13-H20</f>
        <v>-8139</v>
      </c>
      <c r="I27" s="115"/>
      <c r="J27" s="115">
        <f>+J13-J20</f>
        <v>664</v>
      </c>
      <c r="K27" s="115"/>
      <c r="L27" s="233"/>
      <c r="M27" s="233"/>
      <c r="N27" s="232"/>
      <c r="O27" s="232"/>
    </row>
    <row r="28" spans="2:15" ht="16.5">
      <c r="B28" s="136" t="s">
        <v>1529</v>
      </c>
      <c r="C28" s="8" t="s">
        <v>1534</v>
      </c>
      <c r="D28" s="115">
        <f>+D14-D21</f>
        <v>55</v>
      </c>
      <c r="E28" s="115"/>
      <c r="F28" s="115">
        <f>+F14-F21</f>
        <v>50</v>
      </c>
      <c r="G28" s="115"/>
      <c r="H28" s="115">
        <f>+H14-H21</f>
        <v>-20733</v>
      </c>
      <c r="I28" s="115"/>
      <c r="J28" s="115">
        <f>+J14-J21</f>
        <v>1692</v>
      </c>
      <c r="K28" s="115"/>
      <c r="L28" s="233"/>
      <c r="M28" s="233"/>
      <c r="N28" s="232"/>
      <c r="O28" s="232"/>
    </row>
    <row r="29" spans="2:15" ht="16.5">
      <c r="B29" s="136" t="s">
        <v>1529</v>
      </c>
      <c r="C29" s="8" t="s">
        <v>1536</v>
      </c>
      <c r="D29" s="115">
        <f>+D15-D22</f>
        <v>71</v>
      </c>
      <c r="E29" s="115"/>
      <c r="F29" s="115">
        <f>+F15-F22</f>
        <v>61</v>
      </c>
      <c r="G29" s="115"/>
      <c r="H29" s="115">
        <f>+H15-H22</f>
        <v>-26538</v>
      </c>
      <c r="I29" s="115"/>
      <c r="J29" s="115">
        <f>+J15-J22</f>
        <v>2166</v>
      </c>
      <c r="K29" s="115"/>
      <c r="L29" s="233"/>
      <c r="M29" s="233"/>
      <c r="N29" s="232"/>
      <c r="O29" s="232"/>
    </row>
    <row r="30" spans="2:15" ht="16.5">
      <c r="B30" s="142"/>
      <c r="C30" s="8" t="s">
        <v>1537</v>
      </c>
      <c r="D30" s="144">
        <f>+D16-D23</f>
        <v>58</v>
      </c>
      <c r="E30" s="115"/>
      <c r="F30" s="144">
        <f>+F16-F23</f>
        <v>51</v>
      </c>
      <c r="G30" s="115"/>
      <c r="H30" s="144">
        <f>+H16-H23</f>
        <v>-21424</v>
      </c>
      <c r="I30" s="144"/>
      <c r="J30" s="144">
        <f>+J16-J23</f>
        <v>1749</v>
      </c>
      <c r="K30" s="177"/>
      <c r="L30" s="233"/>
      <c r="M30" s="233"/>
      <c r="N30" s="232"/>
      <c r="O30" s="232"/>
    </row>
    <row r="31" spans="2:15" ht="16.5">
      <c r="B31" s="142"/>
      <c r="C31" s="8" t="s">
        <v>1642</v>
      </c>
      <c r="D31" s="115">
        <f>SUM(D26:D30)</f>
        <v>310</v>
      </c>
      <c r="E31" s="115"/>
      <c r="F31" s="115">
        <f>SUM(F26:F30)</f>
        <v>269</v>
      </c>
      <c r="G31" s="115"/>
      <c r="H31" s="115">
        <f>SUM(H26:H30)</f>
        <v>-117229</v>
      </c>
      <c r="I31" s="115"/>
      <c r="J31" s="115">
        <f>SUM(J26:J30)</f>
        <v>9567</v>
      </c>
      <c r="K31" s="115"/>
      <c r="L31" s="233"/>
      <c r="M31" s="233"/>
      <c r="N31" s="232"/>
      <c r="O31" s="232"/>
    </row>
    <row r="32" spans="2:17" ht="16.5">
      <c r="B32" s="14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233"/>
      <c r="O32" s="233"/>
      <c r="P32" s="232"/>
      <c r="Q32" s="232"/>
    </row>
    <row r="33" spans="2:17" ht="19.5">
      <c r="B33" s="238" t="s">
        <v>358</v>
      </c>
      <c r="G33" s="136"/>
      <c r="H33" s="181" t="s">
        <v>345</v>
      </c>
      <c r="I33" s="142"/>
      <c r="J33" s="181" t="s">
        <v>346</v>
      </c>
      <c r="K33" s="181"/>
      <c r="L33" s="181"/>
      <c r="M33" s="181"/>
      <c r="N33" s="233"/>
      <c r="O33" s="233"/>
      <c r="P33" s="233"/>
      <c r="Q33" s="233"/>
    </row>
    <row r="34" spans="2:17" ht="19.5">
      <c r="B34" s="238" t="s">
        <v>400</v>
      </c>
      <c r="G34" s="136"/>
      <c r="H34" s="181" t="s">
        <v>1749</v>
      </c>
      <c r="I34" s="142"/>
      <c r="J34" s="181" t="s">
        <v>1749</v>
      </c>
      <c r="K34" s="181"/>
      <c r="L34" s="181"/>
      <c r="M34" s="181"/>
      <c r="N34" s="233"/>
      <c r="O34" s="233"/>
      <c r="P34" s="233"/>
      <c r="Q34" s="233"/>
    </row>
    <row r="35" spans="2:17" ht="19.5">
      <c r="B35" s="234" t="s">
        <v>401</v>
      </c>
      <c r="C35" s="235" t="s">
        <v>1778</v>
      </c>
      <c r="D35" s="139" t="s">
        <v>583</v>
      </c>
      <c r="E35" s="136"/>
      <c r="F35" s="139" t="s">
        <v>448</v>
      </c>
      <c r="G35" s="136"/>
      <c r="H35" s="139" t="s">
        <v>583</v>
      </c>
      <c r="I35" s="142"/>
      <c r="J35" s="139" t="s">
        <v>448</v>
      </c>
      <c r="K35" s="181"/>
      <c r="L35" s="181"/>
      <c r="M35" s="181"/>
      <c r="N35" s="233"/>
      <c r="O35" s="233"/>
      <c r="P35" s="233"/>
      <c r="Q35" s="233"/>
    </row>
    <row r="36" spans="4:17" ht="16.5">
      <c r="D36" s="181"/>
      <c r="E36" s="136"/>
      <c r="F36" s="181"/>
      <c r="G36" s="136"/>
      <c r="H36" s="181"/>
      <c r="I36" s="142"/>
      <c r="J36" s="181"/>
      <c r="K36" s="181"/>
      <c r="L36" s="181"/>
      <c r="M36" s="181"/>
      <c r="N36" s="233"/>
      <c r="O36" s="233"/>
      <c r="P36" s="233"/>
      <c r="Q36" s="233"/>
    </row>
    <row r="37" spans="1:17" ht="16.5">
      <c r="A37" s="8" t="s">
        <v>1743</v>
      </c>
      <c r="B37" s="136" t="s">
        <v>1637</v>
      </c>
      <c r="C37" s="8" t="s">
        <v>1532</v>
      </c>
      <c r="D37" s="116">
        <f>+INPUT!C104</f>
        <v>0</v>
      </c>
      <c r="E37" s="116"/>
      <c r="F37" s="116">
        <f>+INPUT!D104</f>
        <v>0</v>
      </c>
      <c r="G37" s="116"/>
      <c r="H37" s="116">
        <f>+INPUT!E104</f>
        <v>0</v>
      </c>
      <c r="I37" s="116"/>
      <c r="J37" s="116">
        <f>+INPUT!F104</f>
        <v>0</v>
      </c>
      <c r="K37" s="116"/>
      <c r="L37" s="116"/>
      <c r="M37" s="116"/>
      <c r="N37" s="232">
        <f>ROUND(D42*INPUT!C5,4)</f>
        <v>0</v>
      </c>
      <c r="O37" s="232">
        <f>ROUND(F42*INPUT!C5,4)</f>
        <v>0</v>
      </c>
      <c r="P37" s="232">
        <f>ROUND(H42*INPUT!C5,4)</f>
        <v>0</v>
      </c>
      <c r="Q37" s="232">
        <f>ROUND(J42*INPUT!C5,4)</f>
        <v>0</v>
      </c>
    </row>
    <row r="38" spans="2:17" ht="16.5">
      <c r="B38" s="136" t="s">
        <v>2024</v>
      </c>
      <c r="C38" s="8" t="s">
        <v>1533</v>
      </c>
      <c r="D38" s="116">
        <f>+INPUT!C105</f>
        <v>0</v>
      </c>
      <c r="E38" s="116"/>
      <c r="F38" s="116">
        <f>+INPUT!D105</f>
        <v>0</v>
      </c>
      <c r="G38" s="116"/>
      <c r="H38" s="116">
        <f>+INPUT!E105</f>
        <v>0</v>
      </c>
      <c r="I38" s="116"/>
      <c r="J38" s="116">
        <f>+INPUT!F105</f>
        <v>0</v>
      </c>
      <c r="K38" s="116"/>
      <c r="L38" s="116"/>
      <c r="M38" s="116"/>
      <c r="N38" s="232">
        <f>ROUND(D42*INPUT!C6,4)</f>
        <v>0</v>
      </c>
      <c r="O38" s="232">
        <f>ROUND(F42*INPUT!C6,4)</f>
        <v>0</v>
      </c>
      <c r="P38" s="232">
        <f>ROUND(H42*INPUT!C6,4)</f>
        <v>0</v>
      </c>
      <c r="Q38" s="232">
        <f>ROUND(J42*INPUT!C6,4)</f>
        <v>0</v>
      </c>
    </row>
    <row r="39" spans="3:17" ht="15">
      <c r="C39" s="8" t="s">
        <v>1534</v>
      </c>
      <c r="D39" s="116">
        <f>+INPUT!C106</f>
        <v>0</v>
      </c>
      <c r="E39" s="116"/>
      <c r="F39" s="116">
        <f>+INPUT!D106</f>
        <v>0</v>
      </c>
      <c r="G39" s="116"/>
      <c r="H39" s="116">
        <f>+INPUT!E106</f>
        <v>0</v>
      </c>
      <c r="I39" s="116"/>
      <c r="J39" s="116">
        <f>+INPUT!F106</f>
        <v>0</v>
      </c>
      <c r="K39" s="116"/>
      <c r="L39" s="116"/>
      <c r="M39" s="116"/>
      <c r="N39" s="232">
        <f>ROUND(D42*INPUT!C7,4)</f>
        <v>0</v>
      </c>
      <c r="O39" s="232">
        <f>ROUND(F42*INPUT!C7,4)</f>
        <v>0</v>
      </c>
      <c r="P39" s="232">
        <f>ROUND(H42*INPUT!C7,4)</f>
        <v>0</v>
      </c>
      <c r="Q39" s="232">
        <f>ROUND(J42*INPUT!C7,4)</f>
        <v>0</v>
      </c>
    </row>
    <row r="40" spans="3:17" ht="15">
      <c r="C40" s="8" t="s">
        <v>1536</v>
      </c>
      <c r="D40" s="116">
        <f>+INPUT!C107</f>
        <v>0</v>
      </c>
      <c r="E40" s="116"/>
      <c r="F40" s="116">
        <f>+INPUT!D107</f>
        <v>0</v>
      </c>
      <c r="G40" s="116"/>
      <c r="H40" s="116">
        <f>+INPUT!E107</f>
        <v>0</v>
      </c>
      <c r="I40" s="116"/>
      <c r="J40" s="116">
        <f>+INPUT!F107</f>
        <v>0</v>
      </c>
      <c r="K40" s="116"/>
      <c r="L40" s="116"/>
      <c r="M40" s="116"/>
      <c r="N40" s="232">
        <f>ROUND(D42*INPUT!C8,4)</f>
        <v>0</v>
      </c>
      <c r="O40" s="232">
        <f>ROUND(F42*INPUT!C8,4)</f>
        <v>0</v>
      </c>
      <c r="P40" s="232">
        <f>ROUND(H42*INPUT!C8,4)</f>
        <v>0</v>
      </c>
      <c r="Q40" s="232">
        <f>ROUND(J42*INPUT!C8,4)</f>
        <v>0</v>
      </c>
    </row>
    <row r="41" spans="3:17" ht="15">
      <c r="C41" s="8" t="s">
        <v>1537</v>
      </c>
      <c r="D41" s="143">
        <f>+INPUT!C108</f>
        <v>0</v>
      </c>
      <c r="E41" s="116"/>
      <c r="F41" s="143">
        <f>+INPUT!D108</f>
        <v>0</v>
      </c>
      <c r="G41" s="116"/>
      <c r="H41" s="143">
        <f>+INPUT!E108</f>
        <v>0</v>
      </c>
      <c r="I41" s="116"/>
      <c r="J41" s="143">
        <f>+INPUT!F108</f>
        <v>0</v>
      </c>
      <c r="K41" s="143"/>
      <c r="L41" s="34"/>
      <c r="M41" s="34"/>
      <c r="N41" s="236">
        <f>ROUND(D42*INPUT!C9,4)</f>
        <v>0</v>
      </c>
      <c r="O41" s="236">
        <f>ROUND(F42*INPUT!C9,4)</f>
        <v>0</v>
      </c>
      <c r="P41" s="236">
        <f>ROUND(H42*INPUT!C9,4)</f>
        <v>0</v>
      </c>
      <c r="Q41" s="236">
        <f>ROUND(J42*INPUT!C9,4)</f>
        <v>0</v>
      </c>
    </row>
    <row r="42" spans="3:17" ht="15">
      <c r="C42" s="8" t="s">
        <v>1642</v>
      </c>
      <c r="D42" s="116">
        <f>+INPUT!C109</f>
        <v>0</v>
      </c>
      <c r="E42" s="116"/>
      <c r="F42" s="116">
        <f>+INPUT!D109</f>
        <v>0</v>
      </c>
      <c r="G42" s="116"/>
      <c r="H42" s="116">
        <f>+INPUT!E109</f>
        <v>0</v>
      </c>
      <c r="I42" s="116"/>
      <c r="J42" s="116">
        <f>+INPUT!F109</f>
        <v>0</v>
      </c>
      <c r="K42" s="116"/>
      <c r="L42" s="116"/>
      <c r="M42" s="116"/>
      <c r="N42" s="232">
        <f>SUM(N37:N41)</f>
        <v>0</v>
      </c>
      <c r="O42" s="232">
        <f>SUM(O37:O41)</f>
        <v>0</v>
      </c>
      <c r="P42" s="232">
        <f>SUM(P37:P41)</f>
        <v>0</v>
      </c>
      <c r="Q42" s="232">
        <f>SUM(Q37:Q41)</f>
        <v>0</v>
      </c>
    </row>
    <row r="43" spans="4:17" ht="15"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33"/>
      <c r="O43" s="233"/>
      <c r="P43" s="232"/>
      <c r="Q43" s="232"/>
    </row>
    <row r="44" spans="1:17" ht="16.5">
      <c r="A44" s="8" t="s">
        <v>1744</v>
      </c>
      <c r="B44" s="136" t="s">
        <v>347</v>
      </c>
      <c r="C44" s="8" t="s">
        <v>1532</v>
      </c>
      <c r="D44" s="116">
        <f>+INPUT!C111</f>
        <v>0</v>
      </c>
      <c r="E44" s="116"/>
      <c r="F44" s="116">
        <f>+INPUT!D111</f>
        <v>0</v>
      </c>
      <c r="G44" s="116"/>
      <c r="H44" s="116">
        <f>+INPUT!E111</f>
        <v>0</v>
      </c>
      <c r="I44" s="116"/>
      <c r="J44" s="116">
        <f>+INPUT!F111</f>
        <v>0</v>
      </c>
      <c r="K44" s="116"/>
      <c r="L44" s="116"/>
      <c r="M44" s="116"/>
      <c r="N44" s="232"/>
      <c r="O44" s="232"/>
      <c r="P44" s="232"/>
      <c r="Q44" s="232"/>
    </row>
    <row r="45" spans="2:17" ht="16.5">
      <c r="B45" s="136" t="s">
        <v>348</v>
      </c>
      <c r="C45" s="8" t="s">
        <v>1533</v>
      </c>
      <c r="D45" s="116">
        <f>+INPUT!C112</f>
        <v>0</v>
      </c>
      <c r="E45" s="116"/>
      <c r="F45" s="116">
        <f>+INPUT!D112</f>
        <v>0</v>
      </c>
      <c r="G45" s="116"/>
      <c r="H45" s="116">
        <f>+INPUT!E112</f>
        <v>0</v>
      </c>
      <c r="I45" s="116"/>
      <c r="J45" s="116">
        <f>+INPUT!F112</f>
        <v>0</v>
      </c>
      <c r="K45" s="116"/>
      <c r="L45" s="116"/>
      <c r="M45" s="116"/>
      <c r="N45" s="232"/>
      <c r="O45" s="232"/>
      <c r="P45" s="232"/>
      <c r="Q45" s="232"/>
    </row>
    <row r="46" spans="2:17" ht="16.5">
      <c r="B46" s="136" t="s">
        <v>1529</v>
      </c>
      <c r="C46" s="8" t="s">
        <v>1534</v>
      </c>
      <c r="D46" s="116">
        <f>+INPUT!C113</f>
        <v>0</v>
      </c>
      <c r="E46" s="116"/>
      <c r="F46" s="116">
        <f>+INPUT!D113</f>
        <v>0</v>
      </c>
      <c r="G46" s="116"/>
      <c r="H46" s="116">
        <f>+INPUT!E113</f>
        <v>0</v>
      </c>
      <c r="I46" s="116"/>
      <c r="J46" s="116">
        <f>+INPUT!F113</f>
        <v>0</v>
      </c>
      <c r="K46" s="116"/>
      <c r="L46" s="116"/>
      <c r="M46" s="116"/>
      <c r="N46" s="232"/>
      <c r="O46" s="232"/>
      <c r="P46" s="232"/>
      <c r="Q46" s="232"/>
    </row>
    <row r="47" spans="3:17" ht="15">
      <c r="C47" s="8" t="s">
        <v>1536</v>
      </c>
      <c r="D47" s="116">
        <f>+INPUT!C114</f>
        <v>0</v>
      </c>
      <c r="E47" s="116"/>
      <c r="F47" s="116">
        <f>+INPUT!D114</f>
        <v>0</v>
      </c>
      <c r="G47" s="116"/>
      <c r="H47" s="116">
        <f>+INPUT!E114</f>
        <v>0</v>
      </c>
      <c r="I47" s="116"/>
      <c r="J47" s="116">
        <f>+INPUT!F114</f>
        <v>0</v>
      </c>
      <c r="K47" s="116"/>
      <c r="L47" s="116"/>
      <c r="M47" s="116"/>
      <c r="N47" s="232"/>
      <c r="O47" s="232"/>
      <c r="P47" s="232"/>
      <c r="Q47" s="232"/>
    </row>
    <row r="48" spans="3:17" ht="15">
      <c r="C48" s="8" t="s">
        <v>1537</v>
      </c>
      <c r="D48" s="143">
        <f>+INPUT!C115</f>
        <v>0</v>
      </c>
      <c r="E48" s="116"/>
      <c r="F48" s="143">
        <f>+INPUT!D115</f>
        <v>0</v>
      </c>
      <c r="G48" s="116"/>
      <c r="H48" s="143">
        <f>+INPUT!E115</f>
        <v>0</v>
      </c>
      <c r="I48" s="116"/>
      <c r="J48" s="143">
        <f>+INPUT!F115</f>
        <v>0</v>
      </c>
      <c r="K48" s="34"/>
      <c r="L48" s="34"/>
      <c r="M48" s="34"/>
      <c r="N48" s="237"/>
      <c r="O48" s="237"/>
      <c r="P48" s="237"/>
      <c r="Q48" s="237"/>
    </row>
    <row r="49" spans="3:17" ht="15">
      <c r="C49" s="8" t="s">
        <v>1642</v>
      </c>
      <c r="D49" s="116">
        <f>SUM(D44:D48)</f>
        <v>0</v>
      </c>
      <c r="E49" s="116"/>
      <c r="F49" s="116">
        <f>SUM(F44:F48)</f>
        <v>0</v>
      </c>
      <c r="G49" s="116"/>
      <c r="H49" s="116">
        <f>SUM(H44:H48)</f>
        <v>0</v>
      </c>
      <c r="I49" s="116"/>
      <c r="J49" s="116">
        <f>SUM(J44:J48)</f>
        <v>0</v>
      </c>
      <c r="K49" s="116"/>
      <c r="L49" s="116"/>
      <c r="M49" s="116"/>
      <c r="N49" s="232"/>
      <c r="O49" s="232"/>
      <c r="P49" s="232"/>
      <c r="Q49" s="232"/>
    </row>
    <row r="50" spans="4:17" ht="15"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233"/>
      <c r="O50" s="233"/>
      <c r="P50" s="232"/>
      <c r="Q50" s="232"/>
    </row>
    <row r="51" spans="1:17" ht="16.5">
      <c r="A51" s="8" t="s">
        <v>1747</v>
      </c>
      <c r="B51" s="136" t="s">
        <v>1748</v>
      </c>
      <c r="C51" s="8" t="s">
        <v>1532</v>
      </c>
      <c r="D51" s="115">
        <f>+D37-D44</f>
        <v>0</v>
      </c>
      <c r="E51" s="115"/>
      <c r="F51" s="115">
        <f>+F37-F44</f>
        <v>0</v>
      </c>
      <c r="G51" s="115"/>
      <c r="H51" s="115">
        <f>+H37-H44</f>
        <v>0</v>
      </c>
      <c r="I51" s="115"/>
      <c r="J51" s="115">
        <f>+J37-J44</f>
        <v>0</v>
      </c>
      <c r="K51" s="115"/>
      <c r="L51" s="115"/>
      <c r="M51" s="115"/>
      <c r="N51" s="233"/>
      <c r="O51" s="233"/>
      <c r="P51" s="232"/>
      <c r="Q51" s="232"/>
    </row>
    <row r="52" spans="2:17" ht="16.5">
      <c r="B52" s="136" t="s">
        <v>350</v>
      </c>
      <c r="C52" s="8" t="s">
        <v>1533</v>
      </c>
      <c r="D52" s="115">
        <f>+D38-D45</f>
        <v>0</v>
      </c>
      <c r="E52" s="115"/>
      <c r="F52" s="115">
        <f>+F38-F45</f>
        <v>0</v>
      </c>
      <c r="G52" s="115"/>
      <c r="H52" s="115">
        <f>+H38-H45</f>
        <v>0</v>
      </c>
      <c r="I52" s="115"/>
      <c r="J52" s="115">
        <f>+J38-J45</f>
        <v>0</v>
      </c>
      <c r="K52" s="115"/>
      <c r="L52" s="115"/>
      <c r="M52" s="115"/>
      <c r="N52" s="233"/>
      <c r="O52" s="233"/>
      <c r="P52" s="232"/>
      <c r="Q52" s="232"/>
    </row>
    <row r="53" spans="2:17" ht="16.5">
      <c r="B53" s="136" t="s">
        <v>1529</v>
      </c>
      <c r="C53" s="8" t="s">
        <v>1534</v>
      </c>
      <c r="D53" s="115">
        <f>+D39-D46</f>
        <v>0</v>
      </c>
      <c r="E53" s="115"/>
      <c r="F53" s="115">
        <f>+F39-F46</f>
        <v>0</v>
      </c>
      <c r="G53" s="115"/>
      <c r="H53" s="115">
        <f>+H39-H46</f>
        <v>0</v>
      </c>
      <c r="I53" s="115"/>
      <c r="J53" s="115">
        <f>+J39-J46</f>
        <v>0</v>
      </c>
      <c r="K53" s="115"/>
      <c r="L53" s="115"/>
      <c r="M53" s="115"/>
      <c r="N53" s="233"/>
      <c r="O53" s="233"/>
      <c r="P53" s="232"/>
      <c r="Q53" s="232"/>
    </row>
    <row r="54" spans="2:17" ht="16.5">
      <c r="B54" s="136" t="s">
        <v>1529</v>
      </c>
      <c r="C54" s="8" t="s">
        <v>1536</v>
      </c>
      <c r="D54" s="115">
        <f>+D40-D47</f>
        <v>0</v>
      </c>
      <c r="E54" s="115"/>
      <c r="F54" s="115">
        <f>+F40-F47</f>
        <v>0</v>
      </c>
      <c r="G54" s="115"/>
      <c r="H54" s="115">
        <f>+H40-H47</f>
        <v>0</v>
      </c>
      <c r="I54" s="115"/>
      <c r="J54" s="115">
        <f>+J40-J47</f>
        <v>0</v>
      </c>
      <c r="K54" s="115"/>
      <c r="L54" s="115"/>
      <c r="M54" s="115"/>
      <c r="N54" s="233"/>
      <c r="O54" s="233"/>
      <c r="P54" s="232"/>
      <c r="Q54" s="232"/>
    </row>
    <row r="55" spans="2:17" ht="16.5">
      <c r="B55" s="142"/>
      <c r="C55" s="8" t="s">
        <v>1537</v>
      </c>
      <c r="D55" s="144">
        <f>+D41-D48</f>
        <v>0</v>
      </c>
      <c r="E55" s="115"/>
      <c r="F55" s="144">
        <f>+F41-F48</f>
        <v>0</v>
      </c>
      <c r="G55" s="115"/>
      <c r="H55" s="144">
        <f>+H41-H48</f>
        <v>0</v>
      </c>
      <c r="I55" s="115"/>
      <c r="J55" s="144">
        <f>+J41-J48</f>
        <v>0</v>
      </c>
      <c r="K55" s="177"/>
      <c r="L55" s="177"/>
      <c r="M55" s="177"/>
      <c r="N55" s="233"/>
      <c r="O55" s="233"/>
      <c r="P55" s="232"/>
      <c r="Q55" s="232"/>
    </row>
    <row r="56" spans="2:17" ht="16.5">
      <c r="B56" s="142"/>
      <c r="C56" s="8" t="s">
        <v>1642</v>
      </c>
      <c r="D56" s="115">
        <f>SUM(D51:D55)</f>
        <v>0</v>
      </c>
      <c r="E56" s="115"/>
      <c r="F56" s="115">
        <f>SUM(F51:F55)</f>
        <v>0</v>
      </c>
      <c r="G56" s="115"/>
      <c r="H56" s="115">
        <f>SUM(H51:H55)</f>
        <v>0</v>
      </c>
      <c r="I56" s="115"/>
      <c r="J56" s="115">
        <f>SUM(J51:J55)</f>
        <v>0</v>
      </c>
      <c r="K56" s="115"/>
      <c r="L56" s="115"/>
      <c r="M56" s="115"/>
      <c r="N56" s="233"/>
      <c r="O56" s="233"/>
      <c r="P56" s="232"/>
      <c r="Q56" s="232"/>
    </row>
    <row r="59" ht="15">
      <c r="B59" s="190"/>
    </row>
  </sheetData>
  <mergeCells count="2">
    <mergeCell ref="H7:J7"/>
    <mergeCell ref="H8:J8"/>
  </mergeCells>
  <printOptions horizont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W5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8" customWidth="1"/>
    <col min="2" max="2" width="19.57421875" style="8" customWidth="1"/>
    <col min="3" max="3" width="7.28125" style="8" bestFit="1" customWidth="1"/>
    <col min="4" max="4" width="8.7109375" style="8" customWidth="1"/>
    <col min="5" max="5" width="1.57421875" style="8" customWidth="1"/>
    <col min="6" max="6" width="25.57421875" style="8" bestFit="1" customWidth="1"/>
    <col min="7" max="7" width="1.7109375" style="8" customWidth="1"/>
    <col min="8" max="8" width="11.140625" style="8" bestFit="1" customWidth="1"/>
    <col min="9" max="9" width="1.7109375" style="8" customWidth="1"/>
    <col min="10" max="10" width="12.7109375" style="8" customWidth="1"/>
    <col min="11" max="11" width="1.7109375" style="8" customWidth="1"/>
    <col min="12" max="12" width="20.421875" style="8" customWidth="1"/>
    <col min="13" max="13" width="1.7109375" style="8" customWidth="1"/>
    <col min="14" max="14" width="16.7109375" style="8" bestFit="1" customWidth="1"/>
    <col min="15" max="15" width="1.7109375" style="8" customWidth="1"/>
    <col min="16" max="16" width="17.00390625" style="8" customWidth="1"/>
    <col min="17" max="17" width="15.8515625" style="8" bestFit="1" customWidth="1"/>
    <col min="18" max="20" width="15.8515625" style="8" customWidth="1"/>
    <col min="21" max="21" width="14.7109375" style="8" bestFit="1" customWidth="1"/>
    <col min="22" max="23" width="16.8515625" style="8" bestFit="1" customWidth="1"/>
    <col min="24" max="16384" width="9.140625" style="8" customWidth="1"/>
  </cols>
  <sheetData>
    <row r="1" spans="2:14" ht="16.5">
      <c r="B1" s="136" t="s">
        <v>1729</v>
      </c>
      <c r="C1" s="898" t="str">
        <f>+INPUT!C1</f>
        <v>February 2009</v>
      </c>
      <c r="D1" s="898"/>
      <c r="E1" s="137"/>
      <c r="F1" s="137"/>
      <c r="G1" s="137"/>
      <c r="H1" s="137"/>
      <c r="I1" s="137"/>
      <c r="N1" s="136" t="s">
        <v>324</v>
      </c>
    </row>
    <row r="2" ht="16.5">
      <c r="N2" s="136" t="s">
        <v>1427</v>
      </c>
    </row>
    <row r="3" spans="1:14" ht="16.5">
      <c r="A3" s="898" t="s">
        <v>325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</row>
    <row r="4" spans="1:14" ht="16.5">
      <c r="A4" s="898" t="s">
        <v>339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</row>
    <row r="5" spans="1:14" ht="16.5">
      <c r="A5" s="900" t="s">
        <v>450</v>
      </c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</row>
    <row r="6" spans="17:23" ht="15">
      <c r="Q6" s="233"/>
      <c r="R6" s="233"/>
      <c r="S6" s="233"/>
      <c r="T6" s="233"/>
      <c r="U6" s="233"/>
      <c r="V6" s="233"/>
      <c r="W6" s="233"/>
    </row>
    <row r="7" spans="2:23" ht="19.5">
      <c r="B7" s="238"/>
      <c r="F7" s="897" t="s">
        <v>198</v>
      </c>
      <c r="G7" s="897"/>
      <c r="H7" s="897"/>
      <c r="I7" s="706"/>
      <c r="J7" s="706"/>
      <c r="K7" s="115"/>
      <c r="L7" s="897" t="s">
        <v>1145</v>
      </c>
      <c r="M7" s="897"/>
      <c r="N7" s="897"/>
      <c r="O7" s="706"/>
      <c r="P7" s="706"/>
      <c r="Q7" s="233"/>
      <c r="R7" s="233"/>
      <c r="S7" s="233"/>
      <c r="T7" s="233"/>
      <c r="U7" s="233"/>
      <c r="V7" s="232"/>
      <c r="W7" s="232"/>
    </row>
    <row r="8" spans="2:21" ht="19.5">
      <c r="B8" s="238"/>
      <c r="F8" s="241" t="s">
        <v>65</v>
      </c>
      <c r="G8" s="241"/>
      <c r="H8" s="241" t="s">
        <v>440</v>
      </c>
      <c r="I8" s="115"/>
      <c r="J8" s="241"/>
      <c r="K8" s="115"/>
      <c r="L8" s="241" t="s">
        <v>65</v>
      </c>
      <c r="M8" s="241"/>
      <c r="N8" s="241" t="s">
        <v>440</v>
      </c>
      <c r="O8" s="233"/>
      <c r="P8" s="233"/>
      <c r="Q8" s="233"/>
      <c r="R8" s="233"/>
      <c r="S8" s="233"/>
      <c r="T8" s="232"/>
      <c r="U8" s="232"/>
    </row>
    <row r="9" spans="2:21" ht="19.5">
      <c r="B9" s="238" t="s">
        <v>599</v>
      </c>
      <c r="F9" s="241" t="s">
        <v>1638</v>
      </c>
      <c r="G9" s="241"/>
      <c r="H9" s="241" t="s">
        <v>1592</v>
      </c>
      <c r="I9" s="115"/>
      <c r="J9" s="241"/>
      <c r="K9" s="115"/>
      <c r="L9" s="241" t="s">
        <v>1638</v>
      </c>
      <c r="M9" s="241"/>
      <c r="N9" s="241" t="s">
        <v>1592</v>
      </c>
      <c r="O9" s="233"/>
      <c r="P9" s="233"/>
      <c r="Q9" s="233"/>
      <c r="R9" s="233"/>
      <c r="S9" s="233"/>
      <c r="T9" s="232"/>
      <c r="U9" s="232"/>
    </row>
    <row r="10" spans="2:21" ht="19.5">
      <c r="B10" s="234" t="s">
        <v>600</v>
      </c>
      <c r="C10" s="251"/>
      <c r="D10" s="251"/>
      <c r="E10" s="251"/>
      <c r="F10" s="708" t="s">
        <v>682</v>
      </c>
      <c r="G10" s="706"/>
      <c r="H10" s="708" t="s">
        <v>683</v>
      </c>
      <c r="I10" s="706"/>
      <c r="J10" s="706"/>
      <c r="K10" s="706"/>
      <c r="L10" s="708" t="s">
        <v>682</v>
      </c>
      <c r="M10" s="706"/>
      <c r="N10" s="708" t="s">
        <v>683</v>
      </c>
      <c r="O10" s="233"/>
      <c r="P10" s="233"/>
      <c r="Q10" s="233"/>
      <c r="R10" s="233"/>
      <c r="S10" s="709"/>
      <c r="T10" s="232"/>
      <c r="U10" s="232"/>
    </row>
    <row r="11" spans="8:19" ht="15">
      <c r="H11" s="18"/>
      <c r="I11" s="18"/>
      <c r="J11" s="18"/>
      <c r="P11" s="201"/>
      <c r="S11" s="201"/>
    </row>
    <row r="12" spans="1:21" ht="16.5">
      <c r="A12" s="8" t="s">
        <v>1743</v>
      </c>
      <c r="B12" s="136" t="s">
        <v>1637</v>
      </c>
      <c r="C12" s="8" t="s">
        <v>1532</v>
      </c>
      <c r="F12" s="115">
        <f>INPUT!B120</f>
        <v>33907</v>
      </c>
      <c r="G12" s="115"/>
      <c r="H12" s="34">
        <f>INPUT!C120</f>
        <v>33900</v>
      </c>
      <c r="I12" s="34"/>
      <c r="J12" s="115"/>
      <c r="K12" s="116"/>
      <c r="L12" s="115">
        <f>+INPUT!E120</f>
        <v>1390947</v>
      </c>
      <c r="M12" s="116"/>
      <c r="N12" s="115">
        <f>+INPUT!F120</f>
        <v>1468935</v>
      </c>
      <c r="O12" s="232"/>
      <c r="P12" s="237"/>
      <c r="Q12" s="232">
        <f>ROUND(F$17*INPUT!$C5,4)</f>
        <v>33906.672</v>
      </c>
      <c r="R12" s="232">
        <f>ROUND(H$17*INPUT!$C5,4)</f>
        <v>33899.4358</v>
      </c>
      <c r="S12" s="237"/>
      <c r="T12" s="232">
        <f>ROUND(L17*INPUT!C5,4)</f>
        <v>1390946.4449</v>
      </c>
      <c r="U12" s="232">
        <f>ROUND(N17*INPUT!C5,4)</f>
        <v>1468935.2363</v>
      </c>
    </row>
    <row r="13" spans="2:21" ht="16.5">
      <c r="B13" s="136" t="s">
        <v>2024</v>
      </c>
      <c r="C13" s="8" t="s">
        <v>1533</v>
      </c>
      <c r="F13" s="115">
        <f>INPUT!B121</f>
        <v>6832</v>
      </c>
      <c r="G13" s="115"/>
      <c r="H13" s="34">
        <f>INPUT!C121</f>
        <v>6831</v>
      </c>
      <c r="I13" s="34"/>
      <c r="J13" s="115"/>
      <c r="K13" s="116"/>
      <c r="L13" s="115">
        <f>+INPUT!E121</f>
        <v>280264</v>
      </c>
      <c r="M13" s="116"/>
      <c r="N13" s="115">
        <f>+INPUT!F121</f>
        <v>295978</v>
      </c>
      <c r="O13" s="232"/>
      <c r="P13" s="237"/>
      <c r="Q13" s="232">
        <f>ROUND(F$17*INPUT!$C6,4)</f>
        <v>6831.912</v>
      </c>
      <c r="R13" s="232">
        <f>ROUND(H$17*INPUT!$C6,4)</f>
        <v>6830.454</v>
      </c>
      <c r="S13" s="237"/>
      <c r="T13" s="232">
        <f>ROUND(L17*INPUT!C6,4)</f>
        <v>280264.1235</v>
      </c>
      <c r="U13" s="232">
        <f>ROUND(N17*INPUT!C6,4)</f>
        <v>295978.2154</v>
      </c>
    </row>
    <row r="14" spans="3:21" ht="15">
      <c r="C14" s="8" t="s">
        <v>1534</v>
      </c>
      <c r="F14" s="115">
        <f>INPUT!B122</f>
        <v>17403</v>
      </c>
      <c r="G14" s="115"/>
      <c r="H14" s="34">
        <f>INPUT!C122</f>
        <v>17399</v>
      </c>
      <c r="I14" s="34"/>
      <c r="J14" s="115"/>
      <c r="K14" s="116"/>
      <c r="L14" s="115">
        <f>+INPUT!E122</f>
        <v>713921</v>
      </c>
      <c r="M14" s="116"/>
      <c r="N14" s="115">
        <f>+INPUT!F122</f>
        <v>753950</v>
      </c>
      <c r="O14" s="232"/>
      <c r="P14" s="237"/>
      <c r="Q14" s="232">
        <f>ROUND(F$17*INPUT!$C7,4)</f>
        <v>17403.024</v>
      </c>
      <c r="R14" s="232">
        <f>ROUND(H$17*INPUT!$C7,4)</f>
        <v>17399.3099</v>
      </c>
      <c r="S14" s="237"/>
      <c r="T14" s="232">
        <f>ROUND(L17*INPUT!C7,4)</f>
        <v>713920.681</v>
      </c>
      <c r="U14" s="232">
        <f>ROUND(N17*INPUT!C7,4)</f>
        <v>753949.4048</v>
      </c>
    </row>
    <row r="15" spans="3:21" ht="15">
      <c r="C15" s="8" t="s">
        <v>1536</v>
      </c>
      <c r="F15" s="115">
        <f>INPUT!B123</f>
        <v>22275</v>
      </c>
      <c r="G15" s="115"/>
      <c r="H15" s="34">
        <f>INPUT!C123</f>
        <v>22271</v>
      </c>
      <c r="I15" s="34"/>
      <c r="J15" s="115"/>
      <c r="K15" s="116"/>
      <c r="L15" s="115">
        <f>+INPUT!E123</f>
        <v>913815</v>
      </c>
      <c r="M15" s="116"/>
      <c r="N15" s="115">
        <f>+INPUT!F123</f>
        <v>965052</v>
      </c>
      <c r="O15" s="232"/>
      <c r="P15" s="237"/>
      <c r="Q15" s="232">
        <f>ROUND(F$17*INPUT!$C8,4)</f>
        <v>22275.792</v>
      </c>
      <c r="R15" s="232">
        <f>ROUND(H$17*INPUT!$C8,4)</f>
        <v>22271.038</v>
      </c>
      <c r="S15" s="237"/>
      <c r="T15" s="232">
        <f>ROUND(L17*INPUT!C8,4)</f>
        <v>913815.2423</v>
      </c>
      <c r="U15" s="232">
        <f>ROUND(N17*INPUT!C8,4)</f>
        <v>965051.8277</v>
      </c>
    </row>
    <row r="16" spans="3:21" ht="15">
      <c r="C16" s="8" t="s">
        <v>1537</v>
      </c>
      <c r="F16" s="144">
        <f>INPUT!B124</f>
        <v>17983</v>
      </c>
      <c r="G16" s="115"/>
      <c r="H16" s="143">
        <f>INPUT!C124</f>
        <v>17978</v>
      </c>
      <c r="I16" s="34"/>
      <c r="J16" s="177"/>
      <c r="K16" s="116"/>
      <c r="L16" s="144">
        <f>+INPUT!E124</f>
        <v>737696</v>
      </c>
      <c r="M16" s="116"/>
      <c r="N16" s="144">
        <f>+INPUT!F124</f>
        <v>779058</v>
      </c>
      <c r="O16" s="237"/>
      <c r="P16" s="237"/>
      <c r="Q16" s="236">
        <f>ROUND(F$17*INPUT!$C9,4)</f>
        <v>17982.6</v>
      </c>
      <c r="R16" s="236">
        <f>ROUND(H$17*INPUT!$C9,4)</f>
        <v>17978.7623</v>
      </c>
      <c r="S16" s="237"/>
      <c r="T16" s="236">
        <f>ROUND(L17*INPUT!C9,4)</f>
        <v>737696.5083</v>
      </c>
      <c r="U16" s="236">
        <f>ROUND(N17*INPUT!C9,4)</f>
        <v>779058.3158</v>
      </c>
    </row>
    <row r="17" spans="3:21" ht="15">
      <c r="C17" s="8" t="s">
        <v>1642</v>
      </c>
      <c r="F17" s="115">
        <f>INPUT!B125</f>
        <v>98400</v>
      </c>
      <c r="G17" s="115"/>
      <c r="H17" s="34">
        <f>INPUT!C125</f>
        <v>98379</v>
      </c>
      <c r="I17" s="18"/>
      <c r="J17" s="177"/>
      <c r="L17" s="115">
        <f>+INPUT!E125</f>
        <v>4036643</v>
      </c>
      <c r="N17" s="115">
        <f>+INPUT!F125</f>
        <v>4262973</v>
      </c>
      <c r="O17" s="232"/>
      <c r="P17" s="237"/>
      <c r="Q17" s="232">
        <f>SUM(Q12:Q16)</f>
        <v>98400</v>
      </c>
      <c r="R17" s="232">
        <f>SUM(R12:R16)</f>
        <v>98379</v>
      </c>
      <c r="S17" s="237"/>
      <c r="T17" s="232">
        <f>SUM(T12:T16)</f>
        <v>4036643</v>
      </c>
      <c r="U17" s="232">
        <f>SUM(U12:U16)</f>
        <v>4262973</v>
      </c>
    </row>
    <row r="18" spans="6:21" ht="15">
      <c r="F18" s="115"/>
      <c r="G18" s="115"/>
      <c r="H18" s="34"/>
      <c r="I18" s="18"/>
      <c r="J18" s="34"/>
      <c r="L18" s="115"/>
      <c r="N18" s="115"/>
      <c r="O18" s="237"/>
      <c r="P18" s="237"/>
      <c r="Q18" s="237">
        <f>SUM(F12:F16)</f>
        <v>98400</v>
      </c>
      <c r="R18" s="237">
        <f>SUM(H12:H16)</f>
        <v>98379</v>
      </c>
      <c r="S18" s="237"/>
      <c r="T18" s="232">
        <f>SUM(L12:L16)</f>
        <v>4036643</v>
      </c>
      <c r="U18" s="232">
        <f>SUM(N12:N16)</f>
        <v>4262973</v>
      </c>
    </row>
    <row r="19" spans="1:21" ht="16.5">
      <c r="A19" s="8" t="s">
        <v>1744</v>
      </c>
      <c r="B19" s="136" t="s">
        <v>347</v>
      </c>
      <c r="C19" s="8" t="s">
        <v>1532</v>
      </c>
      <c r="F19" s="115">
        <f>INPUT!B127</f>
        <v>33899</v>
      </c>
      <c r="G19" s="115"/>
      <c r="H19" s="34">
        <f>INPUT!C127</f>
        <v>33899</v>
      </c>
      <c r="I19" s="34"/>
      <c r="J19" s="34"/>
      <c r="K19" s="116"/>
      <c r="L19" s="116">
        <f>+INPUT!E127</f>
        <v>1390271</v>
      </c>
      <c r="M19" s="116"/>
      <c r="N19" s="116">
        <f>+INPUT!F127</f>
        <v>1469443</v>
      </c>
      <c r="O19" s="232"/>
      <c r="P19" s="232"/>
      <c r="Q19" s="232"/>
      <c r="R19" s="232"/>
      <c r="S19" s="232"/>
      <c r="T19" s="232"/>
      <c r="U19" s="232"/>
    </row>
    <row r="20" spans="2:21" ht="16.5">
      <c r="B20" s="136" t="s">
        <v>348</v>
      </c>
      <c r="C20" s="8" t="s">
        <v>1533</v>
      </c>
      <c r="F20" s="115">
        <f>INPUT!B128</f>
        <v>6830</v>
      </c>
      <c r="G20" s="115"/>
      <c r="H20" s="34">
        <f>INPUT!C128</f>
        <v>6831</v>
      </c>
      <c r="I20" s="34"/>
      <c r="J20" s="34"/>
      <c r="K20" s="116"/>
      <c r="L20" s="116">
        <f>+INPUT!E128</f>
        <v>280128</v>
      </c>
      <c r="M20" s="116"/>
      <c r="N20" s="116">
        <f>+INPUT!F128</f>
        <v>296081</v>
      </c>
      <c r="O20" s="232"/>
      <c r="P20" s="232"/>
      <c r="Q20" s="232"/>
      <c r="R20" s="232"/>
      <c r="S20" s="232"/>
      <c r="T20" s="232"/>
      <c r="U20" s="232"/>
    </row>
    <row r="21" spans="2:21" ht="16.5">
      <c r="B21" s="136" t="s">
        <v>1529</v>
      </c>
      <c r="C21" s="8" t="s">
        <v>1534</v>
      </c>
      <c r="F21" s="115">
        <f>INPUT!B129</f>
        <v>17398</v>
      </c>
      <c r="G21" s="115"/>
      <c r="H21" s="34">
        <f>INPUT!C129</f>
        <v>17399</v>
      </c>
      <c r="I21" s="34"/>
      <c r="J21" s="34"/>
      <c r="K21" s="116"/>
      <c r="L21" s="116">
        <f>+INPUT!E129</f>
        <v>713574</v>
      </c>
      <c r="M21" s="116"/>
      <c r="N21" s="116">
        <f>+INPUT!F129</f>
        <v>754210</v>
      </c>
      <c r="O21" s="232"/>
      <c r="P21" s="232"/>
      <c r="Q21" s="232"/>
      <c r="R21" s="232"/>
      <c r="S21" s="232"/>
      <c r="T21" s="232"/>
      <c r="U21" s="232"/>
    </row>
    <row r="22" spans="3:21" ht="15">
      <c r="C22" s="8" t="s">
        <v>1536</v>
      </c>
      <c r="F22" s="115">
        <f>INPUT!B130</f>
        <v>22270</v>
      </c>
      <c r="G22" s="115"/>
      <c r="H22" s="34">
        <f>INPUT!C130</f>
        <v>22269</v>
      </c>
      <c r="I22" s="34"/>
      <c r="J22" s="34"/>
      <c r="K22" s="116"/>
      <c r="L22" s="116">
        <f>+INPUT!E130</f>
        <v>913371</v>
      </c>
      <c r="M22" s="116"/>
      <c r="N22" s="116">
        <f>+INPUT!F130</f>
        <v>965385</v>
      </c>
      <c r="O22" s="232"/>
      <c r="P22" s="232"/>
      <c r="Q22" s="232"/>
      <c r="R22" s="232"/>
      <c r="S22" s="232"/>
      <c r="T22" s="232"/>
      <c r="U22" s="232"/>
    </row>
    <row r="23" spans="3:21" ht="15">
      <c r="C23" s="8" t="s">
        <v>1537</v>
      </c>
      <c r="F23" s="144">
        <f>INPUT!B131</f>
        <v>17979</v>
      </c>
      <c r="G23" s="144"/>
      <c r="H23" s="143">
        <f>INPUT!C131</f>
        <v>17978</v>
      </c>
      <c r="I23" s="34"/>
      <c r="J23" s="34"/>
      <c r="K23" s="116"/>
      <c r="L23" s="143">
        <f>+INPUT!E131</f>
        <v>737338</v>
      </c>
      <c r="M23" s="116"/>
      <c r="N23" s="143">
        <f>+INPUT!F131</f>
        <v>779327</v>
      </c>
      <c r="O23" s="237"/>
      <c r="P23" s="237"/>
      <c r="Q23" s="237"/>
      <c r="R23" s="237"/>
      <c r="S23" s="237"/>
      <c r="T23" s="237"/>
      <c r="U23" s="237"/>
    </row>
    <row r="24" spans="3:21" ht="15">
      <c r="C24" s="8" t="s">
        <v>1642</v>
      </c>
      <c r="F24" s="116">
        <f>SUM(F19:F23)</f>
        <v>98376</v>
      </c>
      <c r="G24" s="115"/>
      <c r="H24" s="116">
        <f>SUM(H19:H23)</f>
        <v>98376</v>
      </c>
      <c r="I24" s="34"/>
      <c r="J24" s="34"/>
      <c r="K24" s="116"/>
      <c r="L24" s="116">
        <f>SUM(L19:L23)</f>
        <v>4034682</v>
      </c>
      <c r="M24" s="116"/>
      <c r="N24" s="116">
        <f>SUM(N19:N23)</f>
        <v>4264446</v>
      </c>
      <c r="O24" s="232"/>
      <c r="P24" s="232"/>
      <c r="Q24" s="232"/>
      <c r="R24" s="232"/>
      <c r="S24" s="232"/>
      <c r="T24" s="232"/>
      <c r="U24" s="232"/>
    </row>
    <row r="25" spans="6:21" ht="15">
      <c r="F25" s="115"/>
      <c r="G25" s="115"/>
      <c r="H25" s="34"/>
      <c r="I25" s="34"/>
      <c r="J25" s="34"/>
      <c r="K25" s="116"/>
      <c r="L25" s="116"/>
      <c r="M25" s="116"/>
      <c r="N25" s="116"/>
      <c r="O25" s="233"/>
      <c r="P25" s="233"/>
      <c r="Q25" s="233"/>
      <c r="R25" s="233"/>
      <c r="S25" s="233"/>
      <c r="T25" s="232"/>
      <c r="U25" s="232"/>
    </row>
    <row r="26" spans="1:21" ht="16.5">
      <c r="A26" s="8" t="s">
        <v>1747</v>
      </c>
      <c r="B26" s="136" t="s">
        <v>1748</v>
      </c>
      <c r="C26" s="8" t="s">
        <v>1532</v>
      </c>
      <c r="F26" s="115">
        <f>+F12-F19</f>
        <v>8</v>
      </c>
      <c r="G26" s="115"/>
      <c r="H26" s="115">
        <f>+H12-H19</f>
        <v>1</v>
      </c>
      <c r="I26" s="34"/>
      <c r="J26" s="177"/>
      <c r="K26" s="115"/>
      <c r="L26" s="115">
        <f>+L12-L19</f>
        <v>676</v>
      </c>
      <c r="M26" s="115"/>
      <c r="N26" s="115">
        <f>+N12-N19</f>
        <v>-508</v>
      </c>
      <c r="O26" s="233"/>
      <c r="P26" s="233"/>
      <c r="Q26" s="233"/>
      <c r="R26" s="233"/>
      <c r="S26" s="233"/>
      <c r="T26" s="232"/>
      <c r="U26" s="232"/>
    </row>
    <row r="27" spans="2:21" ht="16.5">
      <c r="B27" s="136" t="s">
        <v>350</v>
      </c>
      <c r="C27" s="8" t="s">
        <v>1533</v>
      </c>
      <c r="F27" s="115">
        <f>+F13-F20</f>
        <v>2</v>
      </c>
      <c r="G27" s="115"/>
      <c r="H27" s="115">
        <f>+H13-H20</f>
        <v>0</v>
      </c>
      <c r="I27" s="34"/>
      <c r="J27" s="177"/>
      <c r="K27" s="115"/>
      <c r="L27" s="115">
        <f>+L13-L20</f>
        <v>136</v>
      </c>
      <c r="M27" s="115"/>
      <c r="N27" s="115">
        <f>+N13-N20</f>
        <v>-103</v>
      </c>
      <c r="O27" s="233"/>
      <c r="P27" s="233"/>
      <c r="Q27" s="233"/>
      <c r="R27" s="233"/>
      <c r="S27" s="233"/>
      <c r="T27" s="232"/>
      <c r="U27" s="232"/>
    </row>
    <row r="28" spans="2:21" ht="16.5">
      <c r="B28" s="136" t="s">
        <v>1529</v>
      </c>
      <c r="C28" s="8" t="s">
        <v>1534</v>
      </c>
      <c r="F28" s="115">
        <f>+F14-F21</f>
        <v>5</v>
      </c>
      <c r="G28" s="115"/>
      <c r="H28" s="115">
        <f>+H14-H21</f>
        <v>0</v>
      </c>
      <c r="I28" s="34"/>
      <c r="J28" s="177"/>
      <c r="K28" s="115"/>
      <c r="L28" s="115">
        <f>+L14-L21</f>
        <v>347</v>
      </c>
      <c r="M28" s="115"/>
      <c r="N28" s="115">
        <f>+N14-N21</f>
        <v>-260</v>
      </c>
      <c r="O28" s="233"/>
      <c r="P28" s="233"/>
      <c r="Q28" s="233"/>
      <c r="R28" s="233"/>
      <c r="S28" s="233"/>
      <c r="T28" s="232"/>
      <c r="U28" s="232"/>
    </row>
    <row r="29" spans="2:21" ht="16.5">
      <c r="B29" s="136" t="s">
        <v>1529</v>
      </c>
      <c r="C29" s="8" t="s">
        <v>1536</v>
      </c>
      <c r="F29" s="115">
        <f>+F15-F22</f>
        <v>5</v>
      </c>
      <c r="G29" s="115"/>
      <c r="H29" s="115">
        <f>+H15-H22</f>
        <v>2</v>
      </c>
      <c r="I29" s="34"/>
      <c r="J29" s="177"/>
      <c r="K29" s="115"/>
      <c r="L29" s="115">
        <f>+L15-L22</f>
        <v>444</v>
      </c>
      <c r="M29" s="115"/>
      <c r="N29" s="115">
        <f>+N15-N22</f>
        <v>-333</v>
      </c>
      <c r="O29" s="233"/>
      <c r="P29" s="233"/>
      <c r="Q29" s="233"/>
      <c r="R29" s="233"/>
      <c r="S29" s="233"/>
      <c r="T29" s="232"/>
      <c r="U29" s="232"/>
    </row>
    <row r="30" spans="2:21" ht="16.5">
      <c r="B30" s="142"/>
      <c r="C30" s="8" t="s">
        <v>1537</v>
      </c>
      <c r="F30" s="144">
        <f>+F16-F23</f>
        <v>4</v>
      </c>
      <c r="G30" s="115"/>
      <c r="H30" s="144">
        <f>+H16-H23</f>
        <v>0</v>
      </c>
      <c r="I30" s="34"/>
      <c r="J30" s="177"/>
      <c r="K30" s="115"/>
      <c r="L30" s="144">
        <f>+L16-L23</f>
        <v>358</v>
      </c>
      <c r="M30" s="115"/>
      <c r="N30" s="144">
        <f>+N16-N23</f>
        <v>-269</v>
      </c>
      <c r="O30" s="233"/>
      <c r="P30" s="233"/>
      <c r="Q30" s="233"/>
      <c r="R30" s="233"/>
      <c r="S30" s="233"/>
      <c r="T30" s="232"/>
      <c r="U30" s="232"/>
    </row>
    <row r="31" spans="2:21" ht="16.5">
      <c r="B31" s="142"/>
      <c r="C31" s="8" t="s">
        <v>1642</v>
      </c>
      <c r="F31" s="115">
        <f>SUM(F26:F30)</f>
        <v>24</v>
      </c>
      <c r="G31" s="115"/>
      <c r="H31" s="115">
        <f>SUM(H26:H30)</f>
        <v>3</v>
      </c>
      <c r="I31" s="34"/>
      <c r="J31" s="177"/>
      <c r="K31" s="115"/>
      <c r="L31" s="115">
        <f>SUM(L26:L30)</f>
        <v>1961</v>
      </c>
      <c r="M31" s="115"/>
      <c r="N31" s="115">
        <f>SUM(N26:N30)</f>
        <v>-1473</v>
      </c>
      <c r="O31" s="233"/>
      <c r="P31" s="233"/>
      <c r="Q31" s="233"/>
      <c r="R31" s="233"/>
      <c r="S31" s="233"/>
      <c r="T31" s="232"/>
      <c r="U31" s="232"/>
    </row>
    <row r="32" spans="10:23" ht="15">
      <c r="J32" s="18"/>
      <c r="K32" s="18"/>
      <c r="L32" s="18"/>
      <c r="N32" s="115"/>
      <c r="P32" s="115"/>
      <c r="Q32" s="237"/>
      <c r="R32" s="237"/>
      <c r="S32" s="237"/>
      <c r="T32" s="237"/>
      <c r="U32" s="237"/>
      <c r="V32" s="232"/>
      <c r="W32" s="232"/>
    </row>
    <row r="33" spans="2:23" ht="16.5">
      <c r="B33" s="142"/>
      <c r="J33" s="34"/>
      <c r="K33" s="34"/>
      <c r="L33" s="34"/>
      <c r="M33" s="115"/>
      <c r="N33" s="177"/>
      <c r="O33" s="406"/>
      <c r="P33" s="177"/>
      <c r="Q33" s="233"/>
      <c r="R33" s="233"/>
      <c r="S33" s="233"/>
      <c r="T33" s="233"/>
      <c r="U33" s="233"/>
      <c r="V33" s="232"/>
      <c r="W33" s="232"/>
    </row>
    <row r="34" spans="2:21" ht="16.5">
      <c r="B34" s="142"/>
      <c r="F34" s="706" t="s">
        <v>1145</v>
      </c>
      <c r="J34" s="34"/>
      <c r="K34" s="34"/>
      <c r="L34" s="144"/>
      <c r="M34" s="196" t="s">
        <v>1145</v>
      </c>
      <c r="N34" s="144"/>
      <c r="O34" s="233"/>
      <c r="P34" s="233"/>
      <c r="Q34" s="233"/>
      <c r="R34" s="233"/>
      <c r="S34" s="233"/>
      <c r="T34" s="232"/>
      <c r="U34" s="232"/>
    </row>
    <row r="35" spans="2:21" ht="19.5">
      <c r="B35" s="238" t="s">
        <v>371</v>
      </c>
      <c r="F35" s="241" t="s">
        <v>1869</v>
      </c>
      <c r="J35" s="34"/>
      <c r="K35" s="34"/>
      <c r="L35" s="241" t="s">
        <v>373</v>
      </c>
      <c r="M35" s="241"/>
      <c r="N35" s="241" t="s">
        <v>1588</v>
      </c>
      <c r="O35" s="233"/>
      <c r="P35" s="233"/>
      <c r="Q35" s="233"/>
      <c r="R35" s="233"/>
      <c r="S35" s="233"/>
      <c r="T35" s="232"/>
      <c r="U35" s="232"/>
    </row>
    <row r="36" spans="2:21" ht="19.5">
      <c r="B36" s="234" t="s">
        <v>372</v>
      </c>
      <c r="C36" s="235" t="s">
        <v>1779</v>
      </c>
      <c r="D36" s="235"/>
      <c r="E36" s="235"/>
      <c r="F36" s="241" t="s">
        <v>1870</v>
      </c>
      <c r="G36" s="235"/>
      <c r="I36" s="235"/>
      <c r="J36" s="115"/>
      <c r="K36" s="115"/>
      <c r="L36" s="241" t="s">
        <v>1639</v>
      </c>
      <c r="M36" s="241"/>
      <c r="N36" s="241" t="s">
        <v>1592</v>
      </c>
      <c r="O36" s="233"/>
      <c r="P36" s="233"/>
      <c r="Q36" s="233"/>
      <c r="R36" s="233"/>
      <c r="S36" s="233"/>
      <c r="T36" s="232"/>
      <c r="U36" s="232"/>
    </row>
    <row r="37" spans="2:21" ht="16.5">
      <c r="B37" s="142"/>
      <c r="F37" s="196" t="s">
        <v>1871</v>
      </c>
      <c r="J37" s="115"/>
      <c r="K37" s="115"/>
      <c r="L37" s="196" t="s">
        <v>582</v>
      </c>
      <c r="M37" s="241"/>
      <c r="N37" s="196" t="s">
        <v>447</v>
      </c>
      <c r="O37" s="233"/>
      <c r="P37" s="233"/>
      <c r="Q37" s="233"/>
      <c r="R37" s="233"/>
      <c r="S37" s="233"/>
      <c r="T37" s="232"/>
      <c r="U37" s="232"/>
    </row>
    <row r="39" spans="1:21" ht="16.5">
      <c r="A39" s="8" t="s">
        <v>1743</v>
      </c>
      <c r="B39" s="136" t="s">
        <v>1637</v>
      </c>
      <c r="C39" s="8" t="s">
        <v>1532</v>
      </c>
      <c r="F39" s="177">
        <f>INPUT!D135</f>
        <v>0</v>
      </c>
      <c r="J39" s="34"/>
      <c r="K39" s="34"/>
      <c r="L39" s="115">
        <f>+INPUT!E135</f>
        <v>31953</v>
      </c>
      <c r="M39" s="116"/>
      <c r="N39" s="115">
        <f>+INPUT!F135</f>
        <v>-30196</v>
      </c>
      <c r="O39" s="237"/>
      <c r="P39" s="237"/>
      <c r="Q39" s="237"/>
      <c r="R39" s="237"/>
      <c r="S39" s="237"/>
      <c r="T39" s="232">
        <f>ROUND(L44*INPUT!C5,4)</f>
        <v>31947.3901</v>
      </c>
      <c r="U39" s="232">
        <f>ROUND(N44*INPUT!C5,4)</f>
        <v>-30189.343</v>
      </c>
    </row>
    <row r="40" spans="2:21" ht="16.5">
      <c r="B40" s="136" t="s">
        <v>2024</v>
      </c>
      <c r="C40" s="136" t="s">
        <v>1533</v>
      </c>
      <c r="F40" s="869">
        <f>INPUT!D136</f>
        <v>0</v>
      </c>
      <c r="J40" s="86">
        <f>+N40-L40</f>
        <v>-12514</v>
      </c>
      <c r="K40" s="34"/>
      <c r="L40" s="870">
        <f>+INPUT!E136</f>
        <v>6435</v>
      </c>
      <c r="M40" s="116"/>
      <c r="N40" s="870">
        <f>+INPUT!F136</f>
        <v>-6079</v>
      </c>
      <c r="O40" s="237"/>
      <c r="P40" s="237"/>
      <c r="Q40" s="237"/>
      <c r="R40" s="237"/>
      <c r="S40" s="237"/>
      <c r="T40" s="232">
        <f>ROUND(L44*INPUT!C6,4)</f>
        <v>6437.133</v>
      </c>
      <c r="U40" s="232">
        <f>ROUND(N44*INPUT!C6,4)</f>
        <v>-6082.9012</v>
      </c>
    </row>
    <row r="41" spans="3:21" ht="15">
      <c r="C41" s="8" t="s">
        <v>1534</v>
      </c>
      <c r="F41" s="177">
        <f>INPUT!D137</f>
        <v>0</v>
      </c>
      <c r="J41" s="34"/>
      <c r="K41" s="34"/>
      <c r="L41" s="115">
        <f>+INPUT!E137</f>
        <v>16397</v>
      </c>
      <c r="M41" s="116"/>
      <c r="N41" s="115">
        <f>+INPUT!F137</f>
        <v>-15495</v>
      </c>
      <c r="O41" s="237"/>
      <c r="P41" s="237"/>
      <c r="Q41" s="237"/>
      <c r="R41" s="237"/>
      <c r="S41" s="237"/>
      <c r="T41" s="232">
        <f>ROUND(L44*INPUT!C7,4)</f>
        <v>16397.398</v>
      </c>
      <c r="U41" s="232">
        <f>ROUND(N44*INPUT!C7,4)</f>
        <v>-15495.0583</v>
      </c>
    </row>
    <row r="42" spans="3:21" ht="15">
      <c r="C42" s="8" t="s">
        <v>1536</v>
      </c>
      <c r="F42" s="177">
        <f>INPUT!D138</f>
        <v>0</v>
      </c>
      <c r="J42" s="34"/>
      <c r="K42" s="34"/>
      <c r="L42" s="115">
        <f>+INPUT!E138</f>
        <v>20988</v>
      </c>
      <c r="M42" s="116"/>
      <c r="N42" s="115">
        <f>+INPUT!F138</f>
        <v>-19830</v>
      </c>
      <c r="O42" s="237"/>
      <c r="P42" s="237"/>
      <c r="Q42" s="237"/>
      <c r="R42" s="237"/>
      <c r="S42" s="237"/>
      <c r="T42" s="232">
        <f>ROUND(L44*INPUT!C8,4)</f>
        <v>20988.5953</v>
      </c>
      <c r="U42" s="232">
        <f>ROUND(N44*INPUT!C8,4)</f>
        <v>-19833.6046</v>
      </c>
    </row>
    <row r="43" spans="3:21" ht="15">
      <c r="C43" s="8" t="s">
        <v>1537</v>
      </c>
      <c r="F43" s="144">
        <f>INPUT!D139</f>
        <v>0</v>
      </c>
      <c r="J43" s="34"/>
      <c r="K43" s="34"/>
      <c r="L43" s="144">
        <f>+INPUT!E139</f>
        <v>16941</v>
      </c>
      <c r="M43" s="116"/>
      <c r="N43" s="144">
        <f>+INPUT!F139</f>
        <v>-16012</v>
      </c>
      <c r="O43" s="237"/>
      <c r="P43" s="237"/>
      <c r="Q43" s="237"/>
      <c r="R43" s="237"/>
      <c r="S43" s="237"/>
      <c r="T43" s="236">
        <f>ROUND(L44*INPUT!C9,4)</f>
        <v>16943.4835</v>
      </c>
      <c r="U43" s="236">
        <f>ROUND(N44*INPUT!C9,4)</f>
        <v>-16011.093</v>
      </c>
    </row>
    <row r="44" spans="3:21" ht="15">
      <c r="C44" s="8" t="s">
        <v>1642</v>
      </c>
      <c r="F44" s="115">
        <f>SUM(F39:F43)</f>
        <v>0</v>
      </c>
      <c r="L44" s="115">
        <f>+INPUT!E140</f>
        <v>92714</v>
      </c>
      <c r="N44" s="115">
        <f>+INPUT!F140</f>
        <v>-87612</v>
      </c>
      <c r="O44" s="237"/>
      <c r="P44" s="237"/>
      <c r="Q44" s="237"/>
      <c r="R44" s="237"/>
      <c r="S44" s="237"/>
      <c r="T44" s="232">
        <f>SUM(T39:T43)</f>
        <v>92713.9999</v>
      </c>
      <c r="U44" s="232">
        <f>SUM(U39:U43)</f>
        <v>-87612.0001</v>
      </c>
    </row>
    <row r="45" spans="20:21" ht="15">
      <c r="T45" s="232">
        <f>SUM(L39:L43)</f>
        <v>92714</v>
      </c>
      <c r="U45" s="232">
        <f>SUM(N39:N43)</f>
        <v>-87612</v>
      </c>
    </row>
    <row r="46" spans="1:21" ht="16.5">
      <c r="A46" s="8" t="s">
        <v>1744</v>
      </c>
      <c r="B46" s="136" t="s">
        <v>347</v>
      </c>
      <c r="C46" s="8" t="s">
        <v>1532</v>
      </c>
      <c r="F46" s="34">
        <f>INPUT!D142</f>
        <v>0</v>
      </c>
      <c r="J46" s="34"/>
      <c r="K46" s="34"/>
      <c r="L46" s="116">
        <f>+INPUT!E142</f>
        <v>24299</v>
      </c>
      <c r="M46" s="116"/>
      <c r="N46" s="116">
        <f>+INPUT!F142</f>
        <v>-25648</v>
      </c>
      <c r="O46" s="232"/>
      <c r="P46" s="232"/>
      <c r="Q46" s="232"/>
      <c r="R46" s="232"/>
      <c r="S46" s="232"/>
      <c r="T46" s="232"/>
      <c r="U46" s="232"/>
    </row>
    <row r="47" spans="2:21" ht="16.5">
      <c r="B47" s="136" t="s">
        <v>348</v>
      </c>
      <c r="C47" s="136" t="s">
        <v>1533</v>
      </c>
      <c r="F47" s="86">
        <f>INPUT!D143</f>
        <v>0</v>
      </c>
      <c r="J47" s="86">
        <f>+N47-L47</f>
        <v>-10061</v>
      </c>
      <c r="K47" s="34"/>
      <c r="L47" s="868">
        <f>+INPUT!E143</f>
        <v>4897</v>
      </c>
      <c r="M47" s="116"/>
      <c r="N47" s="868">
        <f>+INPUT!F143</f>
        <v>-5164</v>
      </c>
      <c r="O47" s="232"/>
      <c r="P47" s="232"/>
      <c r="Q47" s="232"/>
      <c r="R47" s="232"/>
      <c r="S47" s="232"/>
      <c r="T47" s="232"/>
      <c r="U47" s="232"/>
    </row>
    <row r="48" spans="2:21" ht="16.5">
      <c r="B48" s="136" t="s">
        <v>1529</v>
      </c>
      <c r="C48" s="8" t="s">
        <v>1534</v>
      </c>
      <c r="F48" s="34">
        <f>INPUT!D144</f>
        <v>0</v>
      </c>
      <c r="J48" s="34"/>
      <c r="K48" s="34"/>
      <c r="L48" s="116">
        <f>+INPUT!E144</f>
        <v>12476</v>
      </c>
      <c r="M48" s="116"/>
      <c r="N48" s="116">
        <f>+INPUT!F144</f>
        <v>-13164</v>
      </c>
      <c r="O48" s="232"/>
      <c r="P48" s="232"/>
      <c r="Q48" s="232"/>
      <c r="R48" s="232"/>
      <c r="S48" s="232"/>
      <c r="T48" s="232"/>
      <c r="U48" s="232"/>
    </row>
    <row r="49" spans="3:21" ht="15">
      <c r="C49" s="8" t="s">
        <v>1536</v>
      </c>
      <c r="F49" s="34">
        <f>INPUT!D145</f>
        <v>0</v>
      </c>
      <c r="J49" s="34"/>
      <c r="K49" s="34"/>
      <c r="L49" s="116">
        <f>+INPUT!E145</f>
        <v>15970</v>
      </c>
      <c r="M49" s="116"/>
      <c r="N49" s="116">
        <f>+INPUT!F145</f>
        <v>-16851</v>
      </c>
      <c r="O49" s="232"/>
      <c r="P49" s="232"/>
      <c r="Q49" s="232"/>
      <c r="R49" s="232"/>
      <c r="S49" s="232"/>
      <c r="T49" s="232"/>
      <c r="U49" s="232"/>
    </row>
    <row r="50" spans="3:21" ht="15">
      <c r="C50" s="8" t="s">
        <v>1537</v>
      </c>
      <c r="F50" s="143">
        <f>INPUT!D146</f>
        <v>0</v>
      </c>
      <c r="J50" s="34"/>
      <c r="K50" s="34"/>
      <c r="L50" s="143">
        <f>+INPUT!E146</f>
        <v>12889</v>
      </c>
      <c r="M50" s="116"/>
      <c r="N50" s="143">
        <f>+INPUT!F146</f>
        <v>-13601</v>
      </c>
      <c r="O50" s="237"/>
      <c r="P50" s="237"/>
      <c r="Q50" s="237"/>
      <c r="R50" s="237"/>
      <c r="S50" s="237"/>
      <c r="T50" s="237"/>
      <c r="U50" s="237"/>
    </row>
    <row r="51" spans="3:21" ht="15">
      <c r="C51" s="8" t="s">
        <v>1642</v>
      </c>
      <c r="F51" s="116">
        <f>SUM(F46:F50)</f>
        <v>0</v>
      </c>
      <c r="J51" s="34"/>
      <c r="K51" s="34"/>
      <c r="L51" s="116">
        <f>SUM(L46:L50)</f>
        <v>70531</v>
      </c>
      <c r="M51" s="116"/>
      <c r="N51" s="116">
        <f>SUM(N46:N50)</f>
        <v>-74428</v>
      </c>
      <c r="O51" s="232"/>
      <c r="P51" s="232"/>
      <c r="Q51" s="232"/>
      <c r="R51" s="232"/>
      <c r="S51" s="232"/>
      <c r="T51" s="232"/>
      <c r="U51" s="232"/>
    </row>
    <row r="52" spans="6:21" ht="15">
      <c r="F52" s="115"/>
      <c r="J52" s="34"/>
      <c r="K52" s="34"/>
      <c r="L52" s="115"/>
      <c r="M52" s="115"/>
      <c r="N52" s="115"/>
      <c r="O52" s="233"/>
      <c r="P52" s="233"/>
      <c r="Q52" s="233"/>
      <c r="R52" s="233"/>
      <c r="S52" s="233"/>
      <c r="T52" s="232"/>
      <c r="U52" s="232"/>
    </row>
    <row r="53" spans="1:21" ht="16.5">
      <c r="A53" s="8" t="s">
        <v>1747</v>
      </c>
      <c r="B53" s="136" t="s">
        <v>1748</v>
      </c>
      <c r="C53" s="8" t="s">
        <v>1532</v>
      </c>
      <c r="F53" s="115">
        <f>+F39-F46</f>
        <v>0</v>
      </c>
      <c r="J53" s="34"/>
      <c r="K53" s="34"/>
      <c r="L53" s="115">
        <f>+L39-L46</f>
        <v>7654</v>
      </c>
      <c r="M53" s="115"/>
      <c r="N53" s="115">
        <f>+N39-N46</f>
        <v>-4548</v>
      </c>
      <c r="O53" s="233"/>
      <c r="P53" s="233"/>
      <c r="Q53" s="233"/>
      <c r="R53" s="233"/>
      <c r="S53" s="233"/>
      <c r="T53" s="232"/>
      <c r="U53" s="232"/>
    </row>
    <row r="54" spans="2:21" ht="16.5">
      <c r="B54" s="136" t="s">
        <v>350</v>
      </c>
      <c r="C54" s="136" t="s">
        <v>1533</v>
      </c>
      <c r="F54" s="870">
        <f>+F40-F47</f>
        <v>0</v>
      </c>
      <c r="J54" s="870">
        <f>+J40-J47</f>
        <v>-2453</v>
      </c>
      <c r="K54" s="34"/>
      <c r="L54" s="870">
        <f>+L40-L47</f>
        <v>1538</v>
      </c>
      <c r="M54" s="115"/>
      <c r="N54" s="870">
        <f>+N40-N47</f>
        <v>-915</v>
      </c>
      <c r="O54" s="233"/>
      <c r="P54" s="233"/>
      <c r="Q54" s="233"/>
      <c r="R54" s="233"/>
      <c r="S54" s="233"/>
      <c r="T54" s="232"/>
      <c r="U54" s="232"/>
    </row>
    <row r="55" spans="2:21" ht="16.5">
      <c r="B55" s="136" t="s">
        <v>1529</v>
      </c>
      <c r="C55" s="8" t="s">
        <v>1534</v>
      </c>
      <c r="F55" s="115">
        <f>+F41-F48</f>
        <v>0</v>
      </c>
      <c r="J55" s="34"/>
      <c r="K55" s="34"/>
      <c r="L55" s="115">
        <f>+L41-L48</f>
        <v>3921</v>
      </c>
      <c r="M55" s="115"/>
      <c r="N55" s="115">
        <f>+N41-N48</f>
        <v>-2331</v>
      </c>
      <c r="O55" s="233"/>
      <c r="P55" s="233"/>
      <c r="Q55" s="233"/>
      <c r="R55" s="233"/>
      <c r="S55" s="233"/>
      <c r="T55" s="232"/>
      <c r="U55" s="232"/>
    </row>
    <row r="56" spans="2:21" ht="16.5">
      <c r="B56" s="136" t="s">
        <v>1529</v>
      </c>
      <c r="C56" s="8" t="s">
        <v>1536</v>
      </c>
      <c r="F56" s="115">
        <f>+F42-F49</f>
        <v>0</v>
      </c>
      <c r="J56" s="34"/>
      <c r="K56" s="34"/>
      <c r="L56" s="115">
        <f>+L42-L49</f>
        <v>5018</v>
      </c>
      <c r="M56" s="115"/>
      <c r="N56" s="115">
        <f>+N42-N49</f>
        <v>-2979</v>
      </c>
      <c r="O56" s="233"/>
      <c r="P56" s="233"/>
      <c r="Q56" s="233"/>
      <c r="R56" s="233"/>
      <c r="S56" s="233"/>
      <c r="T56" s="232"/>
      <c r="U56" s="232"/>
    </row>
    <row r="57" spans="2:21" ht="16.5">
      <c r="B57" s="142"/>
      <c r="C57" s="8" t="s">
        <v>1537</v>
      </c>
      <c r="F57" s="144">
        <f>+F43-F50</f>
        <v>0</v>
      </c>
      <c r="J57" s="34"/>
      <c r="K57" s="34"/>
      <c r="L57" s="144">
        <f>+L43-L50</f>
        <v>4052</v>
      </c>
      <c r="M57" s="115"/>
      <c r="N57" s="144">
        <f>+N43-N50</f>
        <v>-2411</v>
      </c>
      <c r="O57" s="233"/>
      <c r="P57" s="233"/>
      <c r="Q57" s="233"/>
      <c r="R57" s="233"/>
      <c r="S57" s="233"/>
      <c r="T57" s="232"/>
      <c r="U57" s="232"/>
    </row>
    <row r="58" spans="2:21" ht="16.5">
      <c r="B58" s="142"/>
      <c r="C58" s="8" t="s">
        <v>1642</v>
      </c>
      <c r="F58" s="115">
        <f>SUM(F53:F57)</f>
        <v>0</v>
      </c>
      <c r="J58" s="34"/>
      <c r="K58" s="34"/>
      <c r="L58" s="115">
        <f>SUM(L53:L57)</f>
        <v>22183</v>
      </c>
      <c r="M58" s="115"/>
      <c r="N58" s="115">
        <f>SUM(N53:N57)</f>
        <v>-13184</v>
      </c>
      <c r="O58" s="233"/>
      <c r="P58" s="233"/>
      <c r="Q58" s="233"/>
      <c r="R58" s="233"/>
      <c r="S58" s="233"/>
      <c r="T58" s="232"/>
      <c r="U58" s="232"/>
    </row>
  </sheetData>
  <mergeCells count="6">
    <mergeCell ref="F7:H7"/>
    <mergeCell ref="L7:N7"/>
    <mergeCell ref="C1:D1"/>
    <mergeCell ref="A3:N3"/>
    <mergeCell ref="A4:N4"/>
    <mergeCell ref="A5:N5"/>
  </mergeCells>
  <printOptions horizontalCentered="1"/>
  <pageMargins left="0.25" right="0.25" top="0.75" bottom="0.25" header="0" footer="0"/>
  <pageSetup fitToHeight="1" fitToWidth="1" horizontalDpi="600" verticalDpi="600" orientation="portrait" scale="7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T8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customWidth="1"/>
    <col min="2" max="2" width="15.140625" style="8" customWidth="1"/>
    <col min="3" max="3" width="9.140625" style="8" customWidth="1"/>
    <col min="4" max="4" width="15.421875" style="8" bestFit="1" customWidth="1"/>
    <col min="5" max="5" width="17.7109375" style="8" customWidth="1"/>
    <col min="6" max="6" width="16.7109375" style="8" customWidth="1"/>
    <col min="7" max="8" width="15.421875" style="8" bestFit="1" customWidth="1"/>
    <col min="9" max="9" width="17.8515625" style="8" bestFit="1" customWidth="1"/>
    <col min="10" max="16" width="15.421875" style="8" bestFit="1" customWidth="1"/>
    <col min="17" max="17" width="21.8515625" style="8" bestFit="1" customWidth="1"/>
    <col min="18" max="20" width="15.421875" style="8" bestFit="1" customWidth="1"/>
    <col min="21" max="21" width="16.7109375" style="8" bestFit="1" customWidth="1"/>
    <col min="22" max="16384" width="9.140625" style="8" customWidth="1"/>
  </cols>
  <sheetData>
    <row r="1" spans="2:9" ht="16.5">
      <c r="B1" s="136" t="s">
        <v>1729</v>
      </c>
      <c r="C1" s="137" t="str">
        <f>INPUT!C1</f>
        <v>February 2009</v>
      </c>
      <c r="D1" s="190"/>
      <c r="I1" s="136" t="s">
        <v>324</v>
      </c>
    </row>
    <row r="2" ht="16.5">
      <c r="I2" s="136" t="s">
        <v>1426</v>
      </c>
    </row>
    <row r="3" ht="16.5">
      <c r="F3" s="136" t="s">
        <v>325</v>
      </c>
    </row>
    <row r="4" ht="16.5">
      <c r="F4" s="136" t="s">
        <v>339</v>
      </c>
    </row>
    <row r="5" spans="6:9" ht="16.5">
      <c r="F5" s="170" t="s">
        <v>450</v>
      </c>
      <c r="I5" s="742"/>
    </row>
    <row r="6" spans="9:10" ht="15">
      <c r="I6" s="233"/>
      <c r="J6" s="233"/>
    </row>
    <row r="7" spans="2:10" ht="19.5">
      <c r="B7" s="539" t="s">
        <v>617</v>
      </c>
      <c r="D7" s="902" t="s">
        <v>567</v>
      </c>
      <c r="E7" s="902"/>
      <c r="G7" s="238" t="s">
        <v>377</v>
      </c>
      <c r="H7" s="850" t="s">
        <v>1731</v>
      </c>
      <c r="I7" s="850"/>
      <c r="J7" s="850"/>
    </row>
    <row r="8" spans="2:10" ht="19.5">
      <c r="B8" s="540" t="s">
        <v>1526</v>
      </c>
      <c r="D8" s="707" t="s">
        <v>1551</v>
      </c>
      <c r="E8" s="707" t="s">
        <v>1575</v>
      </c>
      <c r="G8" s="234" t="s">
        <v>1378</v>
      </c>
      <c r="H8" s="903" t="s">
        <v>1463</v>
      </c>
      <c r="I8" s="903"/>
      <c r="J8" s="903"/>
    </row>
    <row r="9" spans="3:10" ht="19.5">
      <c r="C9" s="235"/>
      <c r="D9" s="181" t="s">
        <v>345</v>
      </c>
      <c r="E9" s="181" t="s">
        <v>1408</v>
      </c>
      <c r="G9" s="181"/>
      <c r="H9" s="181" t="s">
        <v>90</v>
      </c>
      <c r="I9" s="181" t="s">
        <v>378</v>
      </c>
      <c r="J9" s="181" t="s">
        <v>378</v>
      </c>
    </row>
    <row r="10" spans="2:10" ht="19.5">
      <c r="B10" s="234"/>
      <c r="C10" s="235"/>
      <c r="D10" s="181" t="s">
        <v>1749</v>
      </c>
      <c r="E10" s="181" t="s">
        <v>1749</v>
      </c>
      <c r="G10" s="181"/>
      <c r="H10" s="181" t="s">
        <v>1749</v>
      </c>
      <c r="I10" s="181" t="s">
        <v>1749</v>
      </c>
      <c r="J10" s="181" t="s">
        <v>1749</v>
      </c>
    </row>
    <row r="11" spans="2:10" ht="19.5">
      <c r="B11" s="234"/>
      <c r="C11" s="235"/>
      <c r="D11" s="139" t="s">
        <v>1319</v>
      </c>
      <c r="E11" s="139" t="s">
        <v>1319</v>
      </c>
      <c r="G11" s="181"/>
      <c r="H11" s="139" t="s">
        <v>1306</v>
      </c>
      <c r="I11" s="139" t="s">
        <v>1318</v>
      </c>
      <c r="J11" s="139" t="s">
        <v>1317</v>
      </c>
    </row>
    <row r="12" spans="1:13" ht="16.5">
      <c r="A12" s="8" t="s">
        <v>1743</v>
      </c>
      <c r="B12" s="136" t="s">
        <v>1637</v>
      </c>
      <c r="C12" s="8" t="s">
        <v>1532</v>
      </c>
      <c r="D12" s="116">
        <f>INPUT!A168</f>
        <v>0</v>
      </c>
      <c r="E12" s="116">
        <f>INPUT!B168</f>
        <v>-1505</v>
      </c>
      <c r="G12" s="34"/>
      <c r="H12" s="115">
        <f>INPUT!C151</f>
        <v>911279</v>
      </c>
      <c r="I12" s="115">
        <f>INPUT!D151</f>
        <v>301591</v>
      </c>
      <c r="J12" s="116">
        <f>INPUT!E151</f>
        <v>-2758777</v>
      </c>
      <c r="M12" s="232"/>
    </row>
    <row r="13" spans="2:13" ht="16.5">
      <c r="B13" s="136" t="s">
        <v>2024</v>
      </c>
      <c r="C13" s="8" t="s">
        <v>1533</v>
      </c>
      <c r="D13" s="116">
        <f>INPUT!A169</f>
        <v>0</v>
      </c>
      <c r="E13" s="116">
        <f>INPUT!B169</f>
        <v>-303</v>
      </c>
      <c r="G13" s="34"/>
      <c r="H13" s="115">
        <f>INPUT!C152</f>
        <v>183615</v>
      </c>
      <c r="I13" s="115">
        <f>INPUT!D152</f>
        <v>60768</v>
      </c>
      <c r="J13" s="116">
        <f>INPUT!E152</f>
        <v>-555871</v>
      </c>
      <c r="M13" s="232"/>
    </row>
    <row r="14" spans="3:13" ht="15">
      <c r="C14" s="8" t="s">
        <v>1534</v>
      </c>
      <c r="D14" s="116">
        <f>INPUT!A170</f>
        <v>0</v>
      </c>
      <c r="E14" s="116">
        <f>INPUT!B170</f>
        <v>-772</v>
      </c>
      <c r="G14" s="34"/>
      <c r="H14" s="115">
        <f>INPUT!C153</f>
        <v>467726</v>
      </c>
      <c r="I14" s="115">
        <f>INPUT!D153</f>
        <v>154795</v>
      </c>
      <c r="J14" s="116">
        <f>INPUT!E153</f>
        <v>-1415977</v>
      </c>
      <c r="M14" s="232"/>
    </row>
    <row r="15" spans="3:13" ht="15">
      <c r="C15" s="8" t="s">
        <v>1536</v>
      </c>
      <c r="D15" s="116">
        <f>INPUT!A171</f>
        <v>0</v>
      </c>
      <c r="E15" s="116">
        <f>INPUT!B171</f>
        <v>-989</v>
      </c>
      <c r="G15" s="34"/>
      <c r="H15" s="115">
        <f>INPUT!C154</f>
        <v>598686</v>
      </c>
      <c r="I15" s="115">
        <f>INPUT!D154</f>
        <v>198137</v>
      </c>
      <c r="J15" s="116">
        <f>INPUT!E154</f>
        <v>-1812444</v>
      </c>
      <c r="M15" s="232"/>
    </row>
    <row r="16" spans="3:13" ht="15">
      <c r="C16" s="8" t="s">
        <v>1537</v>
      </c>
      <c r="D16" s="143">
        <f>INPUT!A172</f>
        <v>0</v>
      </c>
      <c r="E16" s="143">
        <f>INPUT!B172</f>
        <v>-798</v>
      </c>
      <c r="G16" s="34"/>
      <c r="H16" s="144">
        <f>INPUT!C155</f>
        <v>483302</v>
      </c>
      <c r="I16" s="144">
        <f>INPUT!D155</f>
        <v>159950</v>
      </c>
      <c r="J16" s="143">
        <f>INPUT!E155</f>
        <v>-1463134</v>
      </c>
      <c r="M16" s="237"/>
    </row>
    <row r="17" spans="3:13" ht="15">
      <c r="C17" s="8" t="s">
        <v>1642</v>
      </c>
      <c r="D17" s="116">
        <f>SUM(D12:D16)</f>
        <v>0</v>
      </c>
      <c r="E17" s="116">
        <f>SUM(E12:E16)</f>
        <v>-4367</v>
      </c>
      <c r="G17" s="34"/>
      <c r="H17" s="115">
        <f>SUM(H12:H16)</f>
        <v>2644608</v>
      </c>
      <c r="I17" s="115">
        <f>SUM(I12:I16)</f>
        <v>875241</v>
      </c>
      <c r="J17" s="116">
        <f>SUM(J12:J16)</f>
        <v>-8006203</v>
      </c>
      <c r="M17" s="237"/>
    </row>
    <row r="18" spans="7:13" ht="15">
      <c r="G18" s="177"/>
      <c r="J18" s="115"/>
      <c r="M18" s="156"/>
    </row>
    <row r="19" spans="1:15" ht="16.5">
      <c r="A19" s="8" t="s">
        <v>1744</v>
      </c>
      <c r="B19" s="136" t="s">
        <v>347</v>
      </c>
      <c r="C19" s="8" t="s">
        <v>1532</v>
      </c>
      <c r="D19" s="177">
        <f>INPUT!A175</f>
        <v>0</v>
      </c>
      <c r="E19" s="177">
        <f>INPUT!B175</f>
        <v>-1505</v>
      </c>
      <c r="G19" s="34"/>
      <c r="H19" s="115">
        <f>INPUT!C158</f>
        <v>911281</v>
      </c>
      <c r="I19" s="115">
        <f>INPUT!D158</f>
        <v>294830</v>
      </c>
      <c r="J19" s="116">
        <f>INPUT!E158</f>
        <v>-2758232</v>
      </c>
      <c r="L19" s="232"/>
      <c r="M19" s="232"/>
      <c r="N19" s="232"/>
      <c r="O19" s="232"/>
    </row>
    <row r="20" spans="2:15" ht="16.5">
      <c r="B20" s="136" t="s">
        <v>348</v>
      </c>
      <c r="C20" s="8" t="s">
        <v>1533</v>
      </c>
      <c r="D20" s="177">
        <f>INPUT!A176</f>
        <v>0</v>
      </c>
      <c r="E20" s="177">
        <f>INPUT!B176</f>
        <v>-303</v>
      </c>
      <c r="G20" s="34"/>
      <c r="H20" s="115">
        <f>INPUT!C159</f>
        <v>183615</v>
      </c>
      <c r="I20" s="115">
        <f>INPUT!D159</f>
        <v>59406</v>
      </c>
      <c r="J20" s="116">
        <f>INPUT!E159</f>
        <v>-555761</v>
      </c>
      <c r="L20" s="232"/>
      <c r="M20" s="232"/>
      <c r="N20" s="232"/>
      <c r="O20" s="232"/>
    </row>
    <row r="21" spans="2:15" ht="16.5">
      <c r="B21" s="136" t="s">
        <v>1529</v>
      </c>
      <c r="C21" s="8" t="s">
        <v>1534</v>
      </c>
      <c r="D21" s="177">
        <f>INPUT!A177</f>
        <v>0</v>
      </c>
      <c r="E21" s="177">
        <f>INPUT!B177</f>
        <v>-772</v>
      </c>
      <c r="G21" s="34"/>
      <c r="H21" s="115">
        <f>INPUT!C160</f>
        <v>467726</v>
      </c>
      <c r="I21" s="115">
        <f>INPUT!D160</f>
        <v>151325</v>
      </c>
      <c r="J21" s="116">
        <f>INPUT!E160</f>
        <v>-1415697</v>
      </c>
      <c r="L21" s="232"/>
      <c r="M21" s="232"/>
      <c r="N21" s="232"/>
      <c r="O21" s="232"/>
    </row>
    <row r="22" spans="3:15" ht="15">
      <c r="C22" s="8" t="s">
        <v>1536</v>
      </c>
      <c r="D22" s="177">
        <f>INPUT!A178</f>
        <v>0</v>
      </c>
      <c r="E22" s="177">
        <f>INPUT!B178</f>
        <v>-989</v>
      </c>
      <c r="G22" s="34"/>
      <c r="H22" s="115">
        <f>INPUT!C161</f>
        <v>598687</v>
      </c>
      <c r="I22" s="115">
        <f>INPUT!D161</f>
        <v>193695</v>
      </c>
      <c r="J22" s="116">
        <f>INPUT!E161</f>
        <v>-1812086</v>
      </c>
      <c r="L22" s="232"/>
      <c r="M22" s="232"/>
      <c r="N22" s="232"/>
      <c r="O22" s="232"/>
    </row>
    <row r="23" spans="3:15" ht="15">
      <c r="C23" s="8" t="s">
        <v>1537</v>
      </c>
      <c r="D23" s="144">
        <f>INPUT!A179</f>
        <v>0</v>
      </c>
      <c r="E23" s="144">
        <f>INPUT!B179</f>
        <v>-798</v>
      </c>
      <c r="G23" s="34"/>
      <c r="H23" s="144">
        <f>INPUT!C162</f>
        <v>483303</v>
      </c>
      <c r="I23" s="144">
        <f>INPUT!D162</f>
        <v>156365</v>
      </c>
      <c r="J23" s="143">
        <f>INPUT!E162</f>
        <v>-1462845</v>
      </c>
      <c r="L23" s="237"/>
      <c r="M23" s="237"/>
      <c r="N23" s="237"/>
      <c r="O23" s="237"/>
    </row>
    <row r="24" spans="3:15" ht="15">
      <c r="C24" s="8" t="s">
        <v>1642</v>
      </c>
      <c r="D24" s="116">
        <f>SUM(D19:D23)</f>
        <v>0</v>
      </c>
      <c r="E24" s="116">
        <f>SUM(E19:E23)</f>
        <v>-4367</v>
      </c>
      <c r="G24" s="34"/>
      <c r="H24" s="116">
        <f>SUM(H19:H23)</f>
        <v>2644612</v>
      </c>
      <c r="I24" s="116">
        <f>SUM(I19:I23)</f>
        <v>855621</v>
      </c>
      <c r="J24" s="116">
        <f>SUM(J19:J23)</f>
        <v>-8004621</v>
      </c>
      <c r="L24" s="232"/>
      <c r="M24" s="232"/>
      <c r="N24" s="232"/>
      <c r="O24" s="232"/>
    </row>
    <row r="25" spans="7:10" ht="15">
      <c r="G25" s="177"/>
      <c r="J25" s="115"/>
    </row>
    <row r="26" spans="1:10" ht="16.5">
      <c r="A26" s="8" t="s">
        <v>1747</v>
      </c>
      <c r="B26" s="136" t="s">
        <v>1748</v>
      </c>
      <c r="C26" s="8" t="s">
        <v>1532</v>
      </c>
      <c r="D26" s="115">
        <f aca="true" t="shared" si="0" ref="D26:E30">D12-D19</f>
        <v>0</v>
      </c>
      <c r="E26" s="115">
        <f t="shared" si="0"/>
        <v>0</v>
      </c>
      <c r="G26" s="177"/>
      <c r="H26" s="115">
        <f aca="true" t="shared" si="1" ref="H26:I30">H12-H19</f>
        <v>-2</v>
      </c>
      <c r="I26" s="115">
        <f t="shared" si="1"/>
        <v>6761</v>
      </c>
      <c r="J26" s="115">
        <f>+J12-J19</f>
        <v>-545</v>
      </c>
    </row>
    <row r="27" spans="2:10" ht="16.5">
      <c r="B27" s="136" t="s">
        <v>350</v>
      </c>
      <c r="C27" s="8" t="s">
        <v>1533</v>
      </c>
      <c r="D27" s="115">
        <f t="shared" si="0"/>
        <v>0</v>
      </c>
      <c r="E27" s="115">
        <f t="shared" si="0"/>
        <v>0</v>
      </c>
      <c r="G27" s="177"/>
      <c r="H27" s="115">
        <f t="shared" si="1"/>
        <v>0</v>
      </c>
      <c r="I27" s="115">
        <f t="shared" si="1"/>
        <v>1362</v>
      </c>
      <c r="J27" s="115">
        <f>+J13-J20</f>
        <v>-110</v>
      </c>
    </row>
    <row r="28" spans="2:10" ht="16.5">
      <c r="B28" s="136"/>
      <c r="C28" s="8" t="s">
        <v>1534</v>
      </c>
      <c r="D28" s="115">
        <f t="shared" si="0"/>
        <v>0</v>
      </c>
      <c r="E28" s="115">
        <f t="shared" si="0"/>
        <v>0</v>
      </c>
      <c r="G28" s="177"/>
      <c r="H28" s="115">
        <f t="shared" si="1"/>
        <v>0</v>
      </c>
      <c r="I28" s="115">
        <f t="shared" si="1"/>
        <v>3470</v>
      </c>
      <c r="J28" s="115">
        <f>+J14-J21</f>
        <v>-280</v>
      </c>
    </row>
    <row r="29" spans="2:10" ht="16.5">
      <c r="B29" s="142"/>
      <c r="C29" s="8" t="s">
        <v>1536</v>
      </c>
      <c r="D29" s="115">
        <f t="shared" si="0"/>
        <v>0</v>
      </c>
      <c r="E29" s="115">
        <f t="shared" si="0"/>
        <v>0</v>
      </c>
      <c r="G29" s="177"/>
      <c r="H29" s="115">
        <f t="shared" si="1"/>
        <v>-1</v>
      </c>
      <c r="I29" s="115">
        <f t="shared" si="1"/>
        <v>4442</v>
      </c>
      <c r="J29" s="115">
        <f>+J15-J22</f>
        <v>-358</v>
      </c>
    </row>
    <row r="30" spans="2:10" ht="16.5">
      <c r="B30" s="142"/>
      <c r="C30" s="8" t="s">
        <v>1537</v>
      </c>
      <c r="D30" s="144">
        <f t="shared" si="0"/>
        <v>0</v>
      </c>
      <c r="E30" s="144">
        <f t="shared" si="0"/>
        <v>0</v>
      </c>
      <c r="G30" s="177"/>
      <c r="H30" s="144">
        <f t="shared" si="1"/>
        <v>-1</v>
      </c>
      <c r="I30" s="144">
        <f t="shared" si="1"/>
        <v>3585</v>
      </c>
      <c r="J30" s="144">
        <f>+J16-J23</f>
        <v>-289</v>
      </c>
    </row>
    <row r="31" spans="2:10" ht="16.5">
      <c r="B31" s="142"/>
      <c r="C31" s="8" t="s">
        <v>1642</v>
      </c>
      <c r="D31" s="115">
        <f>SUM(D26:D30)</f>
        <v>0</v>
      </c>
      <c r="E31" s="115">
        <f>SUM(E26:E30)</f>
        <v>0</v>
      </c>
      <c r="G31" s="177"/>
      <c r="H31" s="115">
        <f>SUM(H26:H30)</f>
        <v>-4</v>
      </c>
      <c r="I31" s="115">
        <f>SUM(I26:I30)</f>
        <v>19620</v>
      </c>
      <c r="J31" s="115">
        <f>SUM(J26:J30)</f>
        <v>-1582</v>
      </c>
    </row>
    <row r="32" spans="1:10" ht="19.5">
      <c r="A32" s="201"/>
      <c r="B32" s="442"/>
      <c r="C32" s="443"/>
      <c r="D32" s="201"/>
      <c r="E32" s="201"/>
      <c r="F32" s="181"/>
      <c r="G32" s="181"/>
      <c r="H32" s="181"/>
      <c r="I32" s="233"/>
      <c r="J32" s="233"/>
    </row>
    <row r="33" spans="4:11" ht="16.5">
      <c r="D33" s="850" t="s">
        <v>618</v>
      </c>
      <c r="E33" s="850"/>
      <c r="F33" s="850"/>
      <c r="G33" s="850"/>
      <c r="H33" s="850"/>
      <c r="I33" s="850"/>
      <c r="J33" s="850"/>
      <c r="K33" s="850"/>
    </row>
    <row r="34" spans="4:11" ht="16.5">
      <c r="D34" s="903" t="s">
        <v>619</v>
      </c>
      <c r="E34" s="903"/>
      <c r="F34" s="903"/>
      <c r="G34" s="903"/>
      <c r="H34" s="903"/>
      <c r="I34" s="903"/>
      <c r="J34" s="903"/>
      <c r="K34" s="903"/>
    </row>
    <row r="36" spans="8:13" ht="16.5">
      <c r="H36" s="817"/>
      <c r="I36" s="817"/>
      <c r="J36" s="817"/>
      <c r="K36" s="817"/>
      <c r="L36" s="817"/>
      <c r="M36" s="817"/>
    </row>
    <row r="37" spans="2:20" ht="19.5">
      <c r="B37" s="539" t="s">
        <v>617</v>
      </c>
      <c r="D37" s="866" t="s">
        <v>1606</v>
      </c>
      <c r="E37" s="866"/>
      <c r="F37" s="866"/>
      <c r="G37" s="866"/>
      <c r="H37" s="866"/>
      <c r="I37" s="901" t="s">
        <v>1731</v>
      </c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</row>
    <row r="38" spans="2:20" ht="19.5">
      <c r="B38" s="540" t="s">
        <v>1526</v>
      </c>
      <c r="C38" s="235"/>
      <c r="D38" s="170" t="s">
        <v>1638</v>
      </c>
      <c r="E38" s="170" t="s">
        <v>1638</v>
      </c>
      <c r="F38" s="170" t="s">
        <v>1638</v>
      </c>
      <c r="G38" s="170" t="s">
        <v>1638</v>
      </c>
      <c r="H38" s="170" t="s">
        <v>1638</v>
      </c>
      <c r="I38" s="818" t="s">
        <v>1872</v>
      </c>
      <c r="J38" s="181" t="s">
        <v>1639</v>
      </c>
      <c r="K38" s="181" t="s">
        <v>1639</v>
      </c>
      <c r="L38" s="181" t="s">
        <v>1639</v>
      </c>
      <c r="M38" s="181" t="s">
        <v>1639</v>
      </c>
      <c r="N38" s="181" t="s">
        <v>1639</v>
      </c>
      <c r="O38" s="181" t="s">
        <v>1639</v>
      </c>
      <c r="P38" s="181" t="s">
        <v>1639</v>
      </c>
      <c r="Q38" s="181" t="s">
        <v>1592</v>
      </c>
      <c r="R38" s="181" t="s">
        <v>1592</v>
      </c>
      <c r="S38" s="181" t="s">
        <v>1592</v>
      </c>
      <c r="T38" s="181" t="s">
        <v>1640</v>
      </c>
    </row>
    <row r="39" spans="2:20" ht="19.5">
      <c r="B39" s="234"/>
      <c r="C39" s="235"/>
      <c r="D39" s="3"/>
      <c r="E39" s="3"/>
      <c r="F39" s="3"/>
      <c r="G39" s="3"/>
      <c r="H39" s="3"/>
      <c r="I39" s="819" t="s">
        <v>1873</v>
      </c>
      <c r="J39" s="99" t="s">
        <v>1749</v>
      </c>
      <c r="K39" s="99" t="s">
        <v>1749</v>
      </c>
      <c r="L39" s="99" t="s">
        <v>1749</v>
      </c>
      <c r="M39" s="99" t="s">
        <v>1749</v>
      </c>
      <c r="N39" s="99" t="s">
        <v>1749</v>
      </c>
      <c r="O39" s="99" t="s">
        <v>1749</v>
      </c>
      <c r="P39" s="99" t="s">
        <v>1749</v>
      </c>
      <c r="Q39" s="99" t="s">
        <v>1749</v>
      </c>
      <c r="R39" s="99" t="s">
        <v>1749</v>
      </c>
      <c r="S39" s="99" t="s">
        <v>1749</v>
      </c>
      <c r="T39" s="99" t="s">
        <v>1749</v>
      </c>
    </row>
    <row r="40" spans="2:20" ht="19.5">
      <c r="B40" s="234"/>
      <c r="C40" s="235"/>
      <c r="D40" s="528" t="s">
        <v>1305</v>
      </c>
      <c r="E40" s="528" t="s">
        <v>1306</v>
      </c>
      <c r="F40" s="528" t="s">
        <v>1307</v>
      </c>
      <c r="G40" s="528" t="s">
        <v>1308</v>
      </c>
      <c r="H40" s="139" t="s">
        <v>1309</v>
      </c>
      <c r="I40" s="820" t="s">
        <v>1310</v>
      </c>
      <c r="J40" s="139" t="s">
        <v>1305</v>
      </c>
      <c r="K40" s="139" t="s">
        <v>1311</v>
      </c>
      <c r="L40" s="139" t="s">
        <v>1306</v>
      </c>
      <c r="M40" s="139" t="s">
        <v>1312</v>
      </c>
      <c r="N40" s="139" t="s">
        <v>1313</v>
      </c>
      <c r="O40" s="139" t="s">
        <v>1307</v>
      </c>
      <c r="P40" s="139" t="s">
        <v>1314</v>
      </c>
      <c r="Q40" s="139" t="s">
        <v>1308</v>
      </c>
      <c r="R40" s="139" t="s">
        <v>1309</v>
      </c>
      <c r="S40" s="139" t="s">
        <v>1315</v>
      </c>
      <c r="T40" s="139" t="s">
        <v>1316</v>
      </c>
    </row>
    <row r="41" spans="1:20" ht="16.5">
      <c r="A41" s="8" t="s">
        <v>1743</v>
      </c>
      <c r="B41" s="136" t="s">
        <v>1637</v>
      </c>
      <c r="C41" s="8" t="s">
        <v>1532</v>
      </c>
      <c r="D41" s="116">
        <f>INPUT!C168</f>
        <v>0</v>
      </c>
      <c r="E41" s="116">
        <f>INPUT!D168</f>
        <v>157860</v>
      </c>
      <c r="F41" s="116">
        <f>INPUT!E168</f>
        <v>13907</v>
      </c>
      <c r="G41" s="116">
        <f>INPUT!F168</f>
        <v>14097</v>
      </c>
      <c r="H41" s="116">
        <f>INPUT!G168</f>
        <v>155418</v>
      </c>
      <c r="I41" s="821">
        <f>INPUT!H168</f>
        <v>16281</v>
      </c>
      <c r="J41" s="34">
        <f>INPUT!A185</f>
        <v>0</v>
      </c>
      <c r="K41" s="34">
        <f>INPUT!B185</f>
        <v>10919</v>
      </c>
      <c r="L41" s="34">
        <f>INPUT!C185</f>
        <v>6346362</v>
      </c>
      <c r="M41" s="34">
        <f>INPUT!D185</f>
        <v>1088755</v>
      </c>
      <c r="N41" s="34">
        <f>INPUT!E185</f>
        <v>0</v>
      </c>
      <c r="O41" s="34">
        <f>INPUT!F185</f>
        <v>475097</v>
      </c>
      <c r="P41" s="34">
        <f>INPUT!G185</f>
        <v>139177</v>
      </c>
      <c r="Q41" s="34">
        <f>INPUT!H185</f>
        <v>911552</v>
      </c>
      <c r="R41" s="34">
        <f>INPUT!A202</f>
        <v>11708711</v>
      </c>
      <c r="S41" s="34">
        <f>INPUT!B202</f>
        <v>2124</v>
      </c>
      <c r="T41" s="34">
        <f>INPUT!C202</f>
        <v>0</v>
      </c>
    </row>
    <row r="42" spans="2:20" ht="16.5">
      <c r="B42" s="136" t="s">
        <v>2024</v>
      </c>
      <c r="C42" s="8" t="s">
        <v>1533</v>
      </c>
      <c r="D42" s="116">
        <f>INPUT!C169</f>
        <v>0</v>
      </c>
      <c r="E42" s="116">
        <f>INPUT!D169</f>
        <v>31808</v>
      </c>
      <c r="F42" s="116">
        <f>INPUT!E169</f>
        <v>2802</v>
      </c>
      <c r="G42" s="116">
        <f>INPUT!F169</f>
        <v>2840</v>
      </c>
      <c r="H42" s="116">
        <f>INPUT!G169</f>
        <v>31314</v>
      </c>
      <c r="I42" s="821">
        <f>INPUT!H169</f>
        <v>3281</v>
      </c>
      <c r="J42" s="34">
        <f>INPUT!A186</f>
        <v>0</v>
      </c>
      <c r="K42" s="34">
        <f>INPUT!B186</f>
        <v>2334</v>
      </c>
      <c r="L42" s="34">
        <f>INPUT!C186</f>
        <v>1278739</v>
      </c>
      <c r="M42" s="34">
        <f>INPUT!D186</f>
        <v>219375</v>
      </c>
      <c r="N42" s="34">
        <f>INPUT!E186</f>
        <v>0</v>
      </c>
      <c r="O42" s="34">
        <f>INPUT!F186</f>
        <v>95728</v>
      </c>
      <c r="P42" s="34">
        <f>INPUT!G186</f>
        <v>28043</v>
      </c>
      <c r="Q42" s="34">
        <f>INPUT!H186</f>
        <v>183670</v>
      </c>
      <c r="R42" s="34">
        <f>INPUT!A203</f>
        <v>2359208</v>
      </c>
      <c r="S42" s="34">
        <f>INPUT!B203</f>
        <v>428</v>
      </c>
      <c r="T42" s="34">
        <f>INPUT!C203</f>
        <v>0</v>
      </c>
    </row>
    <row r="43" spans="3:20" ht="15">
      <c r="C43" s="8" t="s">
        <v>1534</v>
      </c>
      <c r="D43" s="116">
        <f>INPUT!C170</f>
        <v>0</v>
      </c>
      <c r="E43" s="116">
        <f>INPUT!D170</f>
        <v>81024</v>
      </c>
      <c r="F43" s="116">
        <f>INPUT!E170</f>
        <v>7137</v>
      </c>
      <c r="G43" s="116">
        <f>INPUT!F170</f>
        <v>7234</v>
      </c>
      <c r="H43" s="116">
        <f>INPUT!G170</f>
        <v>79768</v>
      </c>
      <c r="I43" s="821">
        <f>INPUT!H170</f>
        <v>8357</v>
      </c>
      <c r="J43" s="34">
        <f>INPUT!A187</f>
        <v>0</v>
      </c>
      <c r="K43" s="34">
        <f>INPUT!B187</f>
        <v>6300</v>
      </c>
      <c r="L43" s="34">
        <f>INPUT!C187</f>
        <v>3257350</v>
      </c>
      <c r="M43" s="34">
        <f>INPUT!D187</f>
        <v>558817</v>
      </c>
      <c r="N43" s="34">
        <f>INPUT!E187</f>
        <v>0</v>
      </c>
      <c r="O43" s="34">
        <f>INPUT!F187</f>
        <v>243849</v>
      </c>
      <c r="P43" s="34">
        <f>INPUT!G187</f>
        <v>71434</v>
      </c>
      <c r="Q43" s="34">
        <f>INPUT!H187</f>
        <v>467865</v>
      </c>
      <c r="R43" s="34">
        <f>INPUT!A204</f>
        <v>6009642</v>
      </c>
      <c r="S43" s="34">
        <f>INPUT!B204</f>
        <v>1090</v>
      </c>
      <c r="T43" s="34">
        <f>INPUT!C204</f>
        <v>0</v>
      </c>
    </row>
    <row r="44" spans="3:20" ht="15">
      <c r="C44" s="8" t="s">
        <v>1536</v>
      </c>
      <c r="D44" s="116">
        <f>INPUT!C171</f>
        <v>0</v>
      </c>
      <c r="E44" s="116">
        <f>INPUT!D171</f>
        <v>103711</v>
      </c>
      <c r="F44" s="116">
        <f>INPUT!E171</f>
        <v>9136</v>
      </c>
      <c r="G44" s="116">
        <f>INPUT!F171</f>
        <v>9259</v>
      </c>
      <c r="H44" s="116">
        <f>INPUT!G171</f>
        <v>102102</v>
      </c>
      <c r="I44" s="821">
        <f>INPUT!H171</f>
        <v>10696</v>
      </c>
      <c r="J44" s="34">
        <f>INPUT!A188</f>
        <v>0</v>
      </c>
      <c r="K44" s="34">
        <f>INPUT!B188</f>
        <v>7640</v>
      </c>
      <c r="L44" s="34">
        <f>INPUT!C188</f>
        <v>4169392</v>
      </c>
      <c r="M44" s="34">
        <f>INPUT!D188</f>
        <v>715283</v>
      </c>
      <c r="N44" s="34">
        <f>INPUT!E188</f>
        <v>0</v>
      </c>
      <c r="O44" s="34">
        <f>INPUT!F188</f>
        <v>312126</v>
      </c>
      <c r="P44" s="34">
        <f>INPUT!G188</f>
        <v>91435</v>
      </c>
      <c r="Q44" s="34">
        <f>INPUT!H188</f>
        <v>598866</v>
      </c>
      <c r="R44" s="34">
        <f>INPUT!A205</f>
        <v>7692315</v>
      </c>
      <c r="S44" s="34">
        <f>INPUT!B205</f>
        <v>1396</v>
      </c>
      <c r="T44" s="34">
        <f>INPUT!C205</f>
        <v>0</v>
      </c>
    </row>
    <row r="45" spans="3:20" ht="15">
      <c r="C45" s="8" t="s">
        <v>1537</v>
      </c>
      <c r="D45" s="143">
        <f>INPUT!C172</f>
        <v>0</v>
      </c>
      <c r="E45" s="143">
        <f>INPUT!D172</f>
        <v>83722</v>
      </c>
      <c r="F45" s="143">
        <f>INPUT!E172</f>
        <v>7375</v>
      </c>
      <c r="G45" s="143">
        <f>INPUT!F172</f>
        <v>7475</v>
      </c>
      <c r="H45" s="143">
        <f>INPUT!G172</f>
        <v>82424</v>
      </c>
      <c r="I45" s="822">
        <f>INPUT!H172</f>
        <v>8635</v>
      </c>
      <c r="J45" s="143">
        <f>INPUT!A189</f>
        <v>0</v>
      </c>
      <c r="K45" s="143">
        <f>INPUT!B189</f>
        <v>6557</v>
      </c>
      <c r="L45" s="143">
        <f>INPUT!C189</f>
        <v>3365829</v>
      </c>
      <c r="M45" s="143">
        <f>INPUT!D189</f>
        <v>577427</v>
      </c>
      <c r="N45" s="143">
        <f>INPUT!E189</f>
        <v>0</v>
      </c>
      <c r="O45" s="143">
        <f>INPUT!F189</f>
        <v>251970</v>
      </c>
      <c r="P45" s="143">
        <f>INPUT!G189</f>
        <v>73813</v>
      </c>
      <c r="Q45" s="143">
        <f>INPUT!H189</f>
        <v>483448</v>
      </c>
      <c r="R45" s="143">
        <f>INPUT!A206</f>
        <v>6209782</v>
      </c>
      <c r="S45" s="143">
        <f>INPUT!B206</f>
        <v>1127</v>
      </c>
      <c r="T45" s="143">
        <f>INPUT!C206</f>
        <v>0</v>
      </c>
    </row>
    <row r="46" spans="3:20" ht="15">
      <c r="C46" s="8" t="s">
        <v>1642</v>
      </c>
      <c r="D46" s="116">
        <f aca="true" t="shared" si="2" ref="D46:T46">SUM(D41:D45)</f>
        <v>0</v>
      </c>
      <c r="E46" s="116">
        <f t="shared" si="2"/>
        <v>458125</v>
      </c>
      <c r="F46" s="116">
        <f t="shared" si="2"/>
        <v>40357</v>
      </c>
      <c r="G46" s="116">
        <f t="shared" si="2"/>
        <v>40905</v>
      </c>
      <c r="H46" s="116">
        <f t="shared" si="2"/>
        <v>451026</v>
      </c>
      <c r="I46" s="821">
        <f t="shared" si="2"/>
        <v>47250</v>
      </c>
      <c r="J46" s="34">
        <f t="shared" si="2"/>
        <v>0</v>
      </c>
      <c r="K46" s="34">
        <f t="shared" si="2"/>
        <v>33750</v>
      </c>
      <c r="L46" s="34">
        <f t="shared" si="2"/>
        <v>18417672</v>
      </c>
      <c r="M46" s="34">
        <f t="shared" si="2"/>
        <v>3159657</v>
      </c>
      <c r="N46" s="34">
        <f t="shared" si="2"/>
        <v>0</v>
      </c>
      <c r="O46" s="34">
        <f t="shared" si="2"/>
        <v>1378770</v>
      </c>
      <c r="P46" s="34">
        <f t="shared" si="2"/>
        <v>403902</v>
      </c>
      <c r="Q46" s="34">
        <f t="shared" si="2"/>
        <v>2645401</v>
      </c>
      <c r="R46" s="34">
        <f t="shared" si="2"/>
        <v>33979658</v>
      </c>
      <c r="S46" s="34">
        <f t="shared" si="2"/>
        <v>6165</v>
      </c>
      <c r="T46" s="34">
        <f t="shared" si="2"/>
        <v>0</v>
      </c>
    </row>
    <row r="47" spans="4:20" ht="15">
      <c r="D47" s="115"/>
      <c r="E47" s="115"/>
      <c r="F47" s="115"/>
      <c r="G47" s="115"/>
      <c r="H47" s="115"/>
      <c r="I47" s="823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</row>
    <row r="48" spans="1:20" ht="16.5">
      <c r="A48" s="8" t="s">
        <v>1744</v>
      </c>
      <c r="B48" s="136" t="s">
        <v>347</v>
      </c>
      <c r="C48" s="8" t="s">
        <v>1532</v>
      </c>
      <c r="D48" s="34">
        <f>INPUT!C175</f>
        <v>0</v>
      </c>
      <c r="E48" s="34">
        <f>INPUT!D175</f>
        <v>158273</v>
      </c>
      <c r="F48" s="34">
        <f>INPUT!E175</f>
        <v>13882</v>
      </c>
      <c r="G48" s="34">
        <f>INPUT!F175</f>
        <v>14350</v>
      </c>
      <c r="H48" s="34">
        <f>INPUT!G175</f>
        <v>155067</v>
      </c>
      <c r="I48" s="821">
        <f>INPUT!H175</f>
        <v>0</v>
      </c>
      <c r="J48" s="34">
        <f>INPUT!A192</f>
        <v>0</v>
      </c>
      <c r="K48" s="34">
        <f>INPUT!B192</f>
        <v>10919</v>
      </c>
      <c r="L48" s="34">
        <f>INPUT!C192</f>
        <v>6354537</v>
      </c>
      <c r="M48" s="34">
        <f>INPUT!D192</f>
        <v>1051419</v>
      </c>
      <c r="N48" s="34">
        <f>INPUT!E192</f>
        <v>0</v>
      </c>
      <c r="O48" s="34">
        <f>INPUT!F192</f>
        <v>519111</v>
      </c>
      <c r="P48" s="34">
        <f>INPUT!G192</f>
        <v>84558</v>
      </c>
      <c r="Q48" s="34">
        <f>INPUT!H192</f>
        <v>878722</v>
      </c>
      <c r="R48" s="34">
        <f>INPUT!A209</f>
        <v>11672012</v>
      </c>
      <c r="S48" s="34">
        <f>INPUT!B209</f>
        <v>2105</v>
      </c>
      <c r="T48" s="34">
        <f>INPUT!C209</f>
        <v>0</v>
      </c>
    </row>
    <row r="49" spans="2:20" ht="16.5">
      <c r="B49" s="136" t="s">
        <v>348</v>
      </c>
      <c r="C49" s="8" t="s">
        <v>1533</v>
      </c>
      <c r="D49" s="34">
        <f>INPUT!C176</f>
        <v>0</v>
      </c>
      <c r="E49" s="34">
        <f>INPUT!D176</f>
        <v>31891</v>
      </c>
      <c r="F49" s="34">
        <f>INPUT!E176</f>
        <v>2798</v>
      </c>
      <c r="G49" s="34">
        <f>INPUT!F176</f>
        <v>2891</v>
      </c>
      <c r="H49" s="34">
        <f>INPUT!G176</f>
        <v>31246</v>
      </c>
      <c r="I49" s="821">
        <f>INPUT!H176</f>
        <v>0</v>
      </c>
      <c r="J49" s="34">
        <f>INPUT!A193</f>
        <v>0</v>
      </c>
      <c r="K49" s="34">
        <f>INPUT!B193</f>
        <v>2334</v>
      </c>
      <c r="L49" s="34">
        <f>INPUT!C193</f>
        <v>1280386</v>
      </c>
      <c r="M49" s="34">
        <f>INPUT!D193</f>
        <v>211852</v>
      </c>
      <c r="N49" s="34">
        <f>INPUT!E193</f>
        <v>0</v>
      </c>
      <c r="O49" s="34">
        <f>INPUT!F193</f>
        <v>104596</v>
      </c>
      <c r="P49" s="34">
        <f>INPUT!G193</f>
        <v>17038</v>
      </c>
      <c r="Q49" s="34">
        <f>INPUT!H193</f>
        <v>177055</v>
      </c>
      <c r="R49" s="34">
        <f>INPUT!A210</f>
        <v>2351813</v>
      </c>
      <c r="S49" s="34">
        <f>INPUT!B210</f>
        <v>424</v>
      </c>
      <c r="T49" s="34">
        <f>INPUT!C210</f>
        <v>0</v>
      </c>
    </row>
    <row r="50" spans="2:20" ht="16.5">
      <c r="B50" s="136"/>
      <c r="C50" s="8" t="s">
        <v>1534</v>
      </c>
      <c r="D50" s="34">
        <f>INPUT!C177</f>
        <v>0</v>
      </c>
      <c r="E50" s="34">
        <f>INPUT!D177</f>
        <v>81236</v>
      </c>
      <c r="F50" s="34">
        <f>INPUT!E177</f>
        <v>7125</v>
      </c>
      <c r="G50" s="34">
        <f>INPUT!F177</f>
        <v>7367</v>
      </c>
      <c r="H50" s="34">
        <f>INPUT!G177</f>
        <v>79592</v>
      </c>
      <c r="I50" s="821">
        <f>INPUT!H177</f>
        <v>0</v>
      </c>
      <c r="J50" s="34">
        <f>INPUT!A194</f>
        <v>0</v>
      </c>
      <c r="K50" s="34">
        <f>INPUT!B194</f>
        <v>6300</v>
      </c>
      <c r="L50" s="34">
        <f>INPUT!C194</f>
        <v>3261546</v>
      </c>
      <c r="M50" s="34">
        <f>INPUT!D194</f>
        <v>539654</v>
      </c>
      <c r="N50" s="34">
        <f>INPUT!E194</f>
        <v>0</v>
      </c>
      <c r="O50" s="34">
        <f>INPUT!F194</f>
        <v>266440</v>
      </c>
      <c r="P50" s="34">
        <f>INPUT!G194</f>
        <v>43400</v>
      </c>
      <c r="Q50" s="34">
        <f>INPUT!H194</f>
        <v>451015</v>
      </c>
      <c r="R50" s="34">
        <f>INPUT!A211</f>
        <v>5990807</v>
      </c>
      <c r="S50" s="34">
        <f>INPUT!B211</f>
        <v>1081</v>
      </c>
      <c r="T50" s="34">
        <f>INPUT!C211</f>
        <v>0</v>
      </c>
    </row>
    <row r="51" spans="3:20" ht="15">
      <c r="C51" s="8" t="s">
        <v>1536</v>
      </c>
      <c r="D51" s="34">
        <f>INPUT!C178</f>
        <v>0</v>
      </c>
      <c r="E51" s="34">
        <f>INPUT!D178</f>
        <v>103982</v>
      </c>
      <c r="F51" s="34">
        <f>INPUT!E178</f>
        <v>9120</v>
      </c>
      <c r="G51" s="34">
        <f>INPUT!F178</f>
        <v>9427</v>
      </c>
      <c r="H51" s="34">
        <f>INPUT!G178</f>
        <v>101874</v>
      </c>
      <c r="I51" s="821">
        <f>INPUT!H178</f>
        <v>0</v>
      </c>
      <c r="J51" s="34">
        <f>INPUT!A195</f>
        <v>0</v>
      </c>
      <c r="K51" s="34">
        <f>INPUT!B195</f>
        <v>7640</v>
      </c>
      <c r="L51" s="34">
        <f>INPUT!C195</f>
        <v>4174764</v>
      </c>
      <c r="M51" s="34">
        <f>INPUT!D195</f>
        <v>690755</v>
      </c>
      <c r="N51" s="34">
        <f>INPUT!E195</f>
        <v>0</v>
      </c>
      <c r="O51" s="34">
        <f>INPUT!F195</f>
        <v>341042</v>
      </c>
      <c r="P51" s="34">
        <f>INPUT!G195</f>
        <v>55552</v>
      </c>
      <c r="Q51" s="34">
        <f>INPUT!H195</f>
        <v>577298</v>
      </c>
      <c r="R51" s="34">
        <f>INPUT!A212</f>
        <v>7668205</v>
      </c>
      <c r="S51" s="34">
        <f>INPUT!B212</f>
        <v>1383</v>
      </c>
      <c r="T51" s="34">
        <f>INPUT!C212</f>
        <v>0</v>
      </c>
    </row>
    <row r="52" spans="3:20" ht="15">
      <c r="C52" s="8" t="s">
        <v>1537</v>
      </c>
      <c r="D52" s="143">
        <f>INPUT!C179</f>
        <v>0</v>
      </c>
      <c r="E52" s="143">
        <f>INPUT!D179</f>
        <v>83942</v>
      </c>
      <c r="F52" s="143">
        <f>INPUT!E179</f>
        <v>7363</v>
      </c>
      <c r="G52" s="143">
        <f>INPUT!F179</f>
        <v>7611</v>
      </c>
      <c r="H52" s="143">
        <f>INPUT!G179</f>
        <v>82241</v>
      </c>
      <c r="I52" s="822">
        <f>INPUT!H179</f>
        <v>0</v>
      </c>
      <c r="J52" s="143">
        <f>INPUT!A196</f>
        <v>0</v>
      </c>
      <c r="K52" s="143">
        <f>INPUT!B196</f>
        <v>6557</v>
      </c>
      <c r="L52" s="143">
        <f>INPUT!C196</f>
        <v>3370165</v>
      </c>
      <c r="M52" s="143">
        <f>INPUT!D196</f>
        <v>557626</v>
      </c>
      <c r="N52" s="143">
        <f>INPUT!E196</f>
        <v>0</v>
      </c>
      <c r="O52" s="143">
        <f>INPUT!F196</f>
        <v>275313</v>
      </c>
      <c r="P52" s="143">
        <f>INPUT!G196</f>
        <v>44846</v>
      </c>
      <c r="Q52" s="143">
        <f>INPUT!H196</f>
        <v>466036</v>
      </c>
      <c r="R52" s="143">
        <f>INPUT!A213</f>
        <v>6190319</v>
      </c>
      <c r="S52" s="143">
        <f>INPUT!B213</f>
        <v>1117</v>
      </c>
      <c r="T52" s="143">
        <f>INPUT!C213</f>
        <v>0</v>
      </c>
    </row>
    <row r="53" spans="3:20" ht="15">
      <c r="C53" s="8" t="s">
        <v>1642</v>
      </c>
      <c r="D53" s="116">
        <f aca="true" t="shared" si="3" ref="D53:T53">SUM(D48:D52)</f>
        <v>0</v>
      </c>
      <c r="E53" s="116">
        <f t="shared" si="3"/>
        <v>459324</v>
      </c>
      <c r="F53" s="116">
        <f t="shared" si="3"/>
        <v>40288</v>
      </c>
      <c r="G53" s="116">
        <f t="shared" si="3"/>
        <v>41646</v>
      </c>
      <c r="H53" s="116">
        <f t="shared" si="3"/>
        <v>450020</v>
      </c>
      <c r="I53" s="821">
        <f t="shared" si="3"/>
        <v>0</v>
      </c>
      <c r="J53" s="34">
        <f t="shared" si="3"/>
        <v>0</v>
      </c>
      <c r="K53" s="34">
        <f t="shared" si="3"/>
        <v>33750</v>
      </c>
      <c r="L53" s="34">
        <f t="shared" si="3"/>
        <v>18441398</v>
      </c>
      <c r="M53" s="34">
        <f t="shared" si="3"/>
        <v>3051306</v>
      </c>
      <c r="N53" s="34">
        <f t="shared" si="3"/>
        <v>0</v>
      </c>
      <c r="O53" s="34">
        <f t="shared" si="3"/>
        <v>1506502</v>
      </c>
      <c r="P53" s="34">
        <f t="shared" si="3"/>
        <v>245394</v>
      </c>
      <c r="Q53" s="34">
        <f t="shared" si="3"/>
        <v>2550126</v>
      </c>
      <c r="R53" s="34">
        <f t="shared" si="3"/>
        <v>33873156</v>
      </c>
      <c r="S53" s="34">
        <f t="shared" si="3"/>
        <v>6110</v>
      </c>
      <c r="T53" s="34">
        <f t="shared" si="3"/>
        <v>0</v>
      </c>
    </row>
    <row r="54" spans="4:20" ht="15">
      <c r="D54" s="115"/>
      <c r="E54" s="115"/>
      <c r="F54" s="115"/>
      <c r="G54" s="115"/>
      <c r="H54" s="115"/>
      <c r="I54" s="823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6.5">
      <c r="A55" s="8" t="s">
        <v>1747</v>
      </c>
      <c r="B55" s="136" t="s">
        <v>1748</v>
      </c>
      <c r="C55" s="8" t="s">
        <v>1532</v>
      </c>
      <c r="D55" s="115">
        <f aca="true" t="shared" si="4" ref="D55:T55">+D41-D48</f>
        <v>0</v>
      </c>
      <c r="E55" s="115">
        <f t="shared" si="4"/>
        <v>-413</v>
      </c>
      <c r="F55" s="115">
        <f t="shared" si="4"/>
        <v>25</v>
      </c>
      <c r="G55" s="115">
        <f t="shared" si="4"/>
        <v>-253</v>
      </c>
      <c r="H55" s="115">
        <f t="shared" si="4"/>
        <v>351</v>
      </c>
      <c r="I55" s="823">
        <f t="shared" si="4"/>
        <v>16281</v>
      </c>
      <c r="J55" s="177">
        <f t="shared" si="4"/>
        <v>0</v>
      </c>
      <c r="K55" s="177">
        <f t="shared" si="4"/>
        <v>0</v>
      </c>
      <c r="L55" s="177">
        <f t="shared" si="4"/>
        <v>-8175</v>
      </c>
      <c r="M55" s="177">
        <f t="shared" si="4"/>
        <v>37336</v>
      </c>
      <c r="N55" s="177">
        <f t="shared" si="4"/>
        <v>0</v>
      </c>
      <c r="O55" s="177">
        <f t="shared" si="4"/>
        <v>-44014</v>
      </c>
      <c r="P55" s="177">
        <f t="shared" si="4"/>
        <v>54619</v>
      </c>
      <c r="Q55" s="177">
        <f t="shared" si="4"/>
        <v>32830</v>
      </c>
      <c r="R55" s="177">
        <f t="shared" si="4"/>
        <v>36699</v>
      </c>
      <c r="S55" s="177">
        <f t="shared" si="4"/>
        <v>19</v>
      </c>
      <c r="T55" s="177">
        <f t="shared" si="4"/>
        <v>0</v>
      </c>
    </row>
    <row r="56" spans="2:20" ht="16.5">
      <c r="B56" s="136" t="s">
        <v>350</v>
      </c>
      <c r="C56" s="8" t="s">
        <v>1533</v>
      </c>
      <c r="D56" s="177">
        <f aca="true" t="shared" si="5" ref="D56:T56">+D42-D49</f>
        <v>0</v>
      </c>
      <c r="E56" s="177">
        <f t="shared" si="5"/>
        <v>-83</v>
      </c>
      <c r="F56" s="177">
        <f t="shared" si="5"/>
        <v>4</v>
      </c>
      <c r="G56" s="177">
        <f t="shared" si="5"/>
        <v>-51</v>
      </c>
      <c r="H56" s="177">
        <f t="shared" si="5"/>
        <v>68</v>
      </c>
      <c r="I56" s="823">
        <f t="shared" si="5"/>
        <v>3281</v>
      </c>
      <c r="J56" s="177">
        <f t="shared" si="5"/>
        <v>0</v>
      </c>
      <c r="K56" s="177">
        <f t="shared" si="5"/>
        <v>0</v>
      </c>
      <c r="L56" s="177">
        <f t="shared" si="5"/>
        <v>-1647</v>
      </c>
      <c r="M56" s="177">
        <f t="shared" si="5"/>
        <v>7523</v>
      </c>
      <c r="N56" s="177">
        <f t="shared" si="5"/>
        <v>0</v>
      </c>
      <c r="O56" s="177">
        <f t="shared" si="5"/>
        <v>-8868</v>
      </c>
      <c r="P56" s="177">
        <f t="shared" si="5"/>
        <v>11005</v>
      </c>
      <c r="Q56" s="177">
        <f t="shared" si="5"/>
        <v>6615</v>
      </c>
      <c r="R56" s="177">
        <f t="shared" si="5"/>
        <v>7395</v>
      </c>
      <c r="S56" s="177">
        <f t="shared" si="5"/>
        <v>4</v>
      </c>
      <c r="T56" s="177">
        <f t="shared" si="5"/>
        <v>0</v>
      </c>
    </row>
    <row r="57" spans="2:20" ht="16.5">
      <c r="B57" s="136"/>
      <c r="C57" s="8" t="s">
        <v>1534</v>
      </c>
      <c r="D57" s="177">
        <f aca="true" t="shared" si="6" ref="D57:T57">+D43-D50</f>
        <v>0</v>
      </c>
      <c r="E57" s="177">
        <f t="shared" si="6"/>
        <v>-212</v>
      </c>
      <c r="F57" s="177">
        <f t="shared" si="6"/>
        <v>12</v>
      </c>
      <c r="G57" s="177">
        <f t="shared" si="6"/>
        <v>-133</v>
      </c>
      <c r="H57" s="177">
        <f t="shared" si="6"/>
        <v>176</v>
      </c>
      <c r="I57" s="823">
        <f t="shared" si="6"/>
        <v>8357</v>
      </c>
      <c r="J57" s="177">
        <f t="shared" si="6"/>
        <v>0</v>
      </c>
      <c r="K57" s="177">
        <f t="shared" si="6"/>
        <v>0</v>
      </c>
      <c r="L57" s="177">
        <f t="shared" si="6"/>
        <v>-4196</v>
      </c>
      <c r="M57" s="177">
        <f t="shared" si="6"/>
        <v>19163</v>
      </c>
      <c r="N57" s="177">
        <f t="shared" si="6"/>
        <v>0</v>
      </c>
      <c r="O57" s="177">
        <f t="shared" si="6"/>
        <v>-22591</v>
      </c>
      <c r="P57" s="177">
        <f t="shared" si="6"/>
        <v>28034</v>
      </c>
      <c r="Q57" s="177">
        <f t="shared" si="6"/>
        <v>16850</v>
      </c>
      <c r="R57" s="177">
        <f t="shared" si="6"/>
        <v>18835</v>
      </c>
      <c r="S57" s="177">
        <f t="shared" si="6"/>
        <v>9</v>
      </c>
      <c r="T57" s="177">
        <f t="shared" si="6"/>
        <v>0</v>
      </c>
    </row>
    <row r="58" spans="2:20" ht="16.5">
      <c r="B58" s="142"/>
      <c r="C58" s="8" t="s">
        <v>1536</v>
      </c>
      <c r="D58" s="177">
        <f aca="true" t="shared" si="7" ref="D58:T58">+D44-D51</f>
        <v>0</v>
      </c>
      <c r="E58" s="177">
        <f t="shared" si="7"/>
        <v>-271</v>
      </c>
      <c r="F58" s="177">
        <f t="shared" si="7"/>
        <v>16</v>
      </c>
      <c r="G58" s="177">
        <f t="shared" si="7"/>
        <v>-168</v>
      </c>
      <c r="H58" s="177">
        <f t="shared" si="7"/>
        <v>228</v>
      </c>
      <c r="I58" s="823">
        <f t="shared" si="7"/>
        <v>10696</v>
      </c>
      <c r="J58" s="177">
        <f t="shared" si="7"/>
        <v>0</v>
      </c>
      <c r="K58" s="177">
        <f t="shared" si="7"/>
        <v>0</v>
      </c>
      <c r="L58" s="177">
        <f t="shared" si="7"/>
        <v>-5372</v>
      </c>
      <c r="M58" s="177">
        <f t="shared" si="7"/>
        <v>24528</v>
      </c>
      <c r="N58" s="177">
        <f t="shared" si="7"/>
        <v>0</v>
      </c>
      <c r="O58" s="177">
        <f t="shared" si="7"/>
        <v>-28916</v>
      </c>
      <c r="P58" s="177">
        <f t="shared" si="7"/>
        <v>35883</v>
      </c>
      <c r="Q58" s="177">
        <f t="shared" si="7"/>
        <v>21568</v>
      </c>
      <c r="R58" s="177">
        <f t="shared" si="7"/>
        <v>24110</v>
      </c>
      <c r="S58" s="177">
        <f t="shared" si="7"/>
        <v>13</v>
      </c>
      <c r="T58" s="177">
        <f t="shared" si="7"/>
        <v>0</v>
      </c>
    </row>
    <row r="59" spans="2:20" ht="16.5">
      <c r="B59" s="142"/>
      <c r="C59" s="8" t="s">
        <v>1537</v>
      </c>
      <c r="D59" s="144">
        <f aca="true" t="shared" si="8" ref="D59:T59">+D45-D52</f>
        <v>0</v>
      </c>
      <c r="E59" s="144">
        <f t="shared" si="8"/>
        <v>-220</v>
      </c>
      <c r="F59" s="144">
        <f t="shared" si="8"/>
        <v>12</v>
      </c>
      <c r="G59" s="144">
        <f t="shared" si="8"/>
        <v>-136</v>
      </c>
      <c r="H59" s="144">
        <f t="shared" si="8"/>
        <v>183</v>
      </c>
      <c r="I59" s="824">
        <f t="shared" si="8"/>
        <v>8635</v>
      </c>
      <c r="J59" s="144">
        <f t="shared" si="8"/>
        <v>0</v>
      </c>
      <c r="K59" s="144">
        <f t="shared" si="8"/>
        <v>0</v>
      </c>
      <c r="L59" s="144">
        <f t="shared" si="8"/>
        <v>-4336</v>
      </c>
      <c r="M59" s="144">
        <f t="shared" si="8"/>
        <v>19801</v>
      </c>
      <c r="N59" s="144">
        <f t="shared" si="8"/>
        <v>0</v>
      </c>
      <c r="O59" s="144">
        <f t="shared" si="8"/>
        <v>-23343</v>
      </c>
      <c r="P59" s="144">
        <f t="shared" si="8"/>
        <v>28967</v>
      </c>
      <c r="Q59" s="144">
        <f t="shared" si="8"/>
        <v>17412</v>
      </c>
      <c r="R59" s="144">
        <f t="shared" si="8"/>
        <v>19463</v>
      </c>
      <c r="S59" s="144">
        <f t="shared" si="8"/>
        <v>10</v>
      </c>
      <c r="T59" s="144">
        <f t="shared" si="8"/>
        <v>0</v>
      </c>
    </row>
    <row r="60" spans="2:20" ht="16.5">
      <c r="B60" s="142"/>
      <c r="C60" s="8" t="s">
        <v>1642</v>
      </c>
      <c r="D60" s="115">
        <f aca="true" t="shared" si="9" ref="D60:T60">SUM(D55:D59)</f>
        <v>0</v>
      </c>
      <c r="E60" s="115">
        <f t="shared" si="9"/>
        <v>-1199</v>
      </c>
      <c r="F60" s="115">
        <f t="shared" si="9"/>
        <v>69</v>
      </c>
      <c r="G60" s="115">
        <f t="shared" si="9"/>
        <v>-741</v>
      </c>
      <c r="H60" s="115">
        <f t="shared" si="9"/>
        <v>1006</v>
      </c>
      <c r="I60" s="823">
        <f t="shared" si="9"/>
        <v>47250</v>
      </c>
      <c r="J60" s="177">
        <f t="shared" si="9"/>
        <v>0</v>
      </c>
      <c r="K60" s="177">
        <f t="shared" si="9"/>
        <v>0</v>
      </c>
      <c r="L60" s="177">
        <f t="shared" si="9"/>
        <v>-23726</v>
      </c>
      <c r="M60" s="177">
        <f t="shared" si="9"/>
        <v>108351</v>
      </c>
      <c r="N60" s="177">
        <f t="shared" si="9"/>
        <v>0</v>
      </c>
      <c r="O60" s="177">
        <f t="shared" si="9"/>
        <v>-127732</v>
      </c>
      <c r="P60" s="177">
        <f t="shared" si="9"/>
        <v>158508</v>
      </c>
      <c r="Q60" s="177">
        <f t="shared" si="9"/>
        <v>95275</v>
      </c>
      <c r="R60" s="177">
        <f t="shared" si="9"/>
        <v>106502</v>
      </c>
      <c r="S60" s="177">
        <f t="shared" si="9"/>
        <v>55</v>
      </c>
      <c r="T60" s="177">
        <f t="shared" si="9"/>
        <v>0</v>
      </c>
    </row>
    <row r="61" spans="17:18" ht="15">
      <c r="Q61" s="825"/>
      <c r="R61" s="825"/>
    </row>
    <row r="62" spans="17:18" ht="15">
      <c r="Q62" s="825"/>
      <c r="R62" s="825"/>
    </row>
    <row r="63" ht="15">
      <c r="R63" s="825"/>
    </row>
    <row r="64" spans="12:18" ht="15">
      <c r="L64" s="115"/>
      <c r="M64" s="115"/>
      <c r="N64" s="115"/>
      <c r="O64" s="115"/>
      <c r="Q64" s="825"/>
      <c r="R64" s="825"/>
    </row>
    <row r="65" spans="15:18" ht="15">
      <c r="O65" s="825"/>
      <c r="Q65" s="825"/>
      <c r="R65" s="825"/>
    </row>
    <row r="66" spans="15:18" ht="15">
      <c r="O66" s="825"/>
      <c r="R66" s="825"/>
    </row>
    <row r="67" spans="15:18" ht="15">
      <c r="O67" s="825"/>
      <c r="Q67" s="825"/>
      <c r="R67" s="825"/>
    </row>
    <row r="68" spans="15:18" ht="15">
      <c r="O68" s="825"/>
      <c r="Q68" s="825"/>
      <c r="R68" s="825"/>
    </row>
    <row r="69" spans="15:18" ht="15">
      <c r="O69" s="825"/>
      <c r="R69" s="825"/>
    </row>
    <row r="70" spans="17:18" ht="15">
      <c r="Q70" s="825"/>
      <c r="R70" s="825"/>
    </row>
    <row r="71" spans="17:18" ht="15">
      <c r="Q71" s="825"/>
      <c r="R71" s="825"/>
    </row>
    <row r="72" ht="15">
      <c r="R72" s="825"/>
    </row>
    <row r="73" spans="17:18" ht="15">
      <c r="Q73" s="825"/>
      <c r="R73" s="825"/>
    </row>
    <row r="74" spans="17:18" ht="15">
      <c r="Q74" s="825"/>
      <c r="R74" s="825"/>
    </row>
    <row r="75" ht="15">
      <c r="R75" s="825"/>
    </row>
    <row r="76" spans="17:18" ht="15">
      <c r="Q76" s="825"/>
      <c r="R76" s="825"/>
    </row>
    <row r="77" spans="17:18" ht="15">
      <c r="Q77" s="825"/>
      <c r="R77" s="825"/>
    </row>
    <row r="78" spans="17:18" ht="15">
      <c r="Q78" s="825"/>
      <c r="R78" s="825"/>
    </row>
    <row r="79" spans="17:18" ht="15">
      <c r="Q79" s="825"/>
      <c r="R79" s="825"/>
    </row>
    <row r="80" spans="17:18" ht="15">
      <c r="Q80" s="825"/>
      <c r="R80" s="825"/>
    </row>
    <row r="81" spans="17:18" ht="15">
      <c r="Q81" s="825"/>
      <c r="R81" s="825"/>
    </row>
  </sheetData>
  <mergeCells count="7">
    <mergeCell ref="D37:H37"/>
    <mergeCell ref="I37:T37"/>
    <mergeCell ref="D7:E7"/>
    <mergeCell ref="D33:K33"/>
    <mergeCell ref="D34:K34"/>
    <mergeCell ref="H8:J8"/>
    <mergeCell ref="H7:J7"/>
  </mergeCells>
  <printOptions horizontalCentered="1" verticalCentered="1"/>
  <pageMargins left="0.25" right="0.25" top="0.25" bottom="0.25" header="0" footer="0"/>
  <pageSetup fitToWidth="2" fitToHeight="1" horizontalDpi="600" verticalDpi="600" orientation="landscape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O71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46" customWidth="1"/>
    <col min="2" max="2" width="17.28125" style="146" customWidth="1"/>
    <col min="3" max="3" width="12.57421875" style="146" customWidth="1"/>
    <col min="4" max="4" width="0.9921875" style="146" customWidth="1"/>
    <col min="5" max="5" width="12.57421875" style="146" customWidth="1"/>
    <col min="6" max="6" width="0.9921875" style="146" customWidth="1"/>
    <col min="7" max="7" width="12.57421875" style="146" customWidth="1"/>
    <col min="8" max="8" width="0.9921875" style="146" customWidth="1"/>
    <col min="9" max="9" width="12.57421875" style="146" customWidth="1"/>
    <col min="10" max="10" width="0.9921875" style="146" customWidth="1"/>
    <col min="11" max="11" width="12.57421875" style="146" customWidth="1"/>
    <col min="12" max="12" width="0.9921875" style="146" customWidth="1"/>
    <col min="13" max="13" width="12.7109375" style="146" customWidth="1"/>
    <col min="14" max="14" width="9.140625" style="8" customWidth="1"/>
    <col min="15" max="15" width="11.28125" style="8" bestFit="1" customWidth="1"/>
    <col min="16" max="16384" width="9.140625" style="8" customWidth="1"/>
  </cols>
  <sheetData>
    <row r="1" spans="1:13" ht="15">
      <c r="A1" s="147" t="s">
        <v>1729</v>
      </c>
      <c r="B1" s="148" t="str">
        <f>+INPUT!C1</f>
        <v>February 2009</v>
      </c>
      <c r="M1" s="147" t="s">
        <v>324</v>
      </c>
    </row>
    <row r="2" ht="15">
      <c r="M2" s="147" t="s">
        <v>1425</v>
      </c>
    </row>
    <row r="3" ht="15">
      <c r="F3" s="147" t="s">
        <v>325</v>
      </c>
    </row>
    <row r="4" ht="15">
      <c r="F4" s="147" t="s">
        <v>339</v>
      </c>
    </row>
    <row r="5" ht="15">
      <c r="F5" s="202" t="s">
        <v>340</v>
      </c>
    </row>
    <row r="7" spans="3:13" ht="15">
      <c r="C7" s="164"/>
      <c r="D7" s="151" t="s">
        <v>313</v>
      </c>
      <c r="E7" s="164"/>
      <c r="G7" s="164"/>
      <c r="H7" s="151" t="s">
        <v>1644</v>
      </c>
      <c r="I7" s="164"/>
      <c r="K7" s="164"/>
      <c r="L7" s="151" t="s">
        <v>314</v>
      </c>
      <c r="M7" s="164"/>
    </row>
    <row r="8" spans="3:13" ht="15">
      <c r="C8" s="147" t="s">
        <v>1737</v>
      </c>
      <c r="D8" s="147"/>
      <c r="E8" s="147" t="s">
        <v>1737</v>
      </c>
      <c r="F8" s="147"/>
      <c r="G8" s="147" t="s">
        <v>1737</v>
      </c>
      <c r="H8" s="147"/>
      <c r="I8" s="147" t="s">
        <v>1737</v>
      </c>
      <c r="K8" s="147" t="s">
        <v>1737</v>
      </c>
      <c r="L8" s="147"/>
      <c r="M8" s="147" t="s">
        <v>1737</v>
      </c>
    </row>
    <row r="9" spans="2:13" ht="15">
      <c r="B9" s="203"/>
      <c r="C9" s="147" t="s">
        <v>1738</v>
      </c>
      <c r="D9" s="147"/>
      <c r="E9" s="147" t="s">
        <v>1739</v>
      </c>
      <c r="F9" s="147"/>
      <c r="G9" s="147" t="s">
        <v>1738</v>
      </c>
      <c r="H9" s="147"/>
      <c r="I9" s="147" t="s">
        <v>1739</v>
      </c>
      <c r="K9" s="147" t="s">
        <v>1738</v>
      </c>
      <c r="L9" s="147"/>
      <c r="M9" s="147" t="s">
        <v>1739</v>
      </c>
    </row>
    <row r="10" spans="1:13" ht="15">
      <c r="A10" s="202"/>
      <c r="B10" s="203"/>
      <c r="C10" s="151" t="s">
        <v>54</v>
      </c>
      <c r="D10" s="147"/>
      <c r="E10" s="151" t="s">
        <v>55</v>
      </c>
      <c r="F10" s="147"/>
      <c r="G10" s="151" t="s">
        <v>54</v>
      </c>
      <c r="H10" s="147"/>
      <c r="I10" s="151" t="s">
        <v>55</v>
      </c>
      <c r="K10" s="151" t="s">
        <v>54</v>
      </c>
      <c r="L10" s="147"/>
      <c r="M10" s="151" t="s">
        <v>55</v>
      </c>
    </row>
    <row r="12" spans="1:13" ht="15">
      <c r="A12" s="213" t="s">
        <v>1585</v>
      </c>
      <c r="B12" s="146" t="s">
        <v>1532</v>
      </c>
      <c r="C12" s="158">
        <f>IF('APPVII PG1'!J12-'APPVII PG1'!H12&gt;=0,0,'APPVII PG1'!J12-'APPVII PG1'!H12)*-1</f>
        <v>0</v>
      </c>
      <c r="D12" s="158"/>
      <c r="E12" s="158">
        <f>IF('APPVII PG1'!J12-'APPVII PG1'!H12&gt;=0,'APPVII PG1'!J12-'APPVII PG1'!H12,0)</f>
        <v>1984192</v>
      </c>
      <c r="F12" s="158"/>
      <c r="G12" s="158">
        <f>IF('APPVII PG1'!J19-'APPVII PG1'!H19&gt;=0,0,'APPVII PG1'!J19-'APPVII PG1'!H19)*-1</f>
        <v>0</v>
      </c>
      <c r="H12" s="158"/>
      <c r="I12" s="158">
        <f>IF('APPVII PG1'!J19-'APPVII PG1'!H19&gt;=0,'APPVII PG1'!J19-'APPVII PG1'!H19,0)</f>
        <v>1940501</v>
      </c>
      <c r="K12" s="158">
        <f>IF('APPVII PG1'!J26-'APPVII PG1'!H26&gt;=0,0,'APPVII PG1'!J26-'APPVII PG1'!H26)*-1</f>
        <v>0</v>
      </c>
      <c r="L12" s="158"/>
      <c r="M12" s="158">
        <f>IF('APPVII PG1'!J26-'APPVII PG1'!H26&gt;=0,'APPVII PG1'!J26-'APPVII PG1'!H26,0)</f>
        <v>43691</v>
      </c>
    </row>
    <row r="13" spans="1:13" ht="15">
      <c r="A13" s="213" t="s">
        <v>451</v>
      </c>
      <c r="B13" s="146" t="s">
        <v>1533</v>
      </c>
      <c r="C13" s="158">
        <f>IF('APPVII PG1'!J13-'APPVII PG1'!H13&gt;=0,0,'APPVII PG1'!J13-'APPVII PG1'!H13)*-1</f>
        <v>0</v>
      </c>
      <c r="D13" s="158"/>
      <c r="E13" s="158">
        <f>IF('APPVII PG1'!J13-'APPVII PG1'!H13&gt;=0,'APPVII PG1'!J13-'APPVII PG1'!H13,0)</f>
        <v>399797</v>
      </c>
      <c r="F13" s="158"/>
      <c r="G13" s="158">
        <f>IF('APPVII PG1'!J20-'APPVII PG1'!H20&gt;=0,0,'APPVII PG1'!J20-'APPVII PG1'!H20)*-1</f>
        <v>0</v>
      </c>
      <c r="H13" s="158"/>
      <c r="I13" s="158">
        <f>IF('APPVII PG1'!J20-'APPVII PG1'!H20&gt;=0,'APPVII PG1'!J20-'APPVII PG1'!H20,0)</f>
        <v>390994</v>
      </c>
      <c r="K13" s="158">
        <f>IF('APPVII PG1'!J27-'APPVII PG1'!H27&gt;=0,0,'APPVII PG1'!J27-'APPVII PG1'!H27)*-1</f>
        <v>0</v>
      </c>
      <c r="L13" s="158"/>
      <c r="M13" s="158">
        <f>IF('APPVII PG1'!J27-'APPVII PG1'!H27&gt;=0,'APPVII PG1'!J27-'APPVII PG1'!H27,0)</f>
        <v>8803</v>
      </c>
    </row>
    <row r="14" spans="1:13" ht="15">
      <c r="A14" s="214"/>
      <c r="B14" s="146" t="s">
        <v>1534</v>
      </c>
      <c r="C14" s="158">
        <f>IF('APPVII PG1'!J14-'APPVII PG1'!H14&gt;=0,0,'APPVII PG1'!J14-'APPVII PG1'!H14)*-1</f>
        <v>0</v>
      </c>
      <c r="D14" s="158"/>
      <c r="E14" s="158">
        <f>IF('APPVII PG1'!J14-'APPVII PG1'!H14&gt;=0,'APPVII PG1'!J14-'APPVII PG1'!H14,0)</f>
        <v>1018411</v>
      </c>
      <c r="F14" s="158"/>
      <c r="G14" s="158">
        <f>IF('APPVII PG1'!J21-'APPVII PG1'!H21&gt;=0,0,'APPVII PG1'!J21-'APPVII PG1'!H21)*-1</f>
        <v>0</v>
      </c>
      <c r="H14" s="158"/>
      <c r="I14" s="158">
        <f>IF('APPVII PG1'!J21-'APPVII PG1'!H21&gt;=0,'APPVII PG1'!J21-'APPVII PG1'!H21,0)</f>
        <v>995986</v>
      </c>
      <c r="K14" s="158">
        <f>IF('APPVII PG1'!J28-'APPVII PG1'!H28&gt;=0,0,'APPVII PG1'!J28-'APPVII PG1'!H28)*-1</f>
        <v>0</v>
      </c>
      <c r="L14" s="158"/>
      <c r="M14" s="158">
        <f>IF('APPVII PG1'!J28-'APPVII PG1'!H28&gt;=0,'APPVII PG1'!J28-'APPVII PG1'!H28,0)</f>
        <v>22425</v>
      </c>
    </row>
    <row r="15" spans="1:13" ht="15">
      <c r="A15" s="214"/>
      <c r="B15" s="146" t="s">
        <v>1536</v>
      </c>
      <c r="C15" s="158">
        <f>IF('APPVII PG1'!J15-'APPVII PG1'!H15&gt;=0,0,'APPVII PG1'!J15-'APPVII PG1'!H15)*-1</f>
        <v>0</v>
      </c>
      <c r="D15" s="158"/>
      <c r="E15" s="158">
        <f>IF('APPVII PG1'!J15-'APPVII PG1'!H15&gt;=0,'APPVII PG1'!J15-'APPVII PG1'!H15,0)</f>
        <v>1303562</v>
      </c>
      <c r="F15" s="158"/>
      <c r="G15" s="158">
        <f>IF('APPVII PG1'!J22-'APPVII PG1'!H22&gt;=0,0,'APPVII PG1'!J22-'APPVII PG1'!H22)*-1</f>
        <v>0</v>
      </c>
      <c r="H15" s="158"/>
      <c r="I15" s="158">
        <f>IF('APPVII PG1'!J22-'APPVII PG1'!H22&gt;=0,'APPVII PG1'!J22-'APPVII PG1'!H22,0)</f>
        <v>1274858</v>
      </c>
      <c r="K15" s="158">
        <f>IF('APPVII PG1'!J29-'APPVII PG1'!H29&gt;=0,0,'APPVII PG1'!J29-'APPVII PG1'!H29)*-1</f>
        <v>0</v>
      </c>
      <c r="L15" s="158"/>
      <c r="M15" s="158">
        <f>IF('APPVII PG1'!J29-'APPVII PG1'!H29&gt;=0,'APPVII PG1'!J29-'APPVII PG1'!H29,0)</f>
        <v>28704</v>
      </c>
    </row>
    <row r="16" spans="1:13" ht="15">
      <c r="A16" s="214"/>
      <c r="B16" s="146" t="s">
        <v>1537</v>
      </c>
      <c r="C16" s="158">
        <f>IF('APPVII PG1'!J16-'APPVII PG1'!H16&gt;=0,0,'APPVII PG1'!J16-'APPVII PG1'!H16)*-1</f>
        <v>0</v>
      </c>
      <c r="D16" s="160"/>
      <c r="E16" s="158">
        <f>IF('APPVII PG1'!J16-'APPVII PG1'!H16&gt;=0,'APPVII PG1'!J16-'APPVII PG1'!H16,0)</f>
        <v>1052328</v>
      </c>
      <c r="F16" s="160"/>
      <c r="G16" s="158">
        <f>IF('APPVII PG1'!J23-'APPVII PG1'!H23&gt;=0,0,'APPVII PG1'!J23-'APPVII PG1'!H23)*-1</f>
        <v>0</v>
      </c>
      <c r="H16" s="160"/>
      <c r="I16" s="158">
        <f>IF('APPVII PG1'!J23-'APPVII PG1'!H23&gt;=0,'APPVII PG1'!J23-'APPVII PG1'!H23,0)</f>
        <v>1029155</v>
      </c>
      <c r="J16" s="162"/>
      <c r="K16" s="158">
        <f>IF('APPVII PG1'!J30-'APPVII PG1'!H30&gt;=0,0,'APPVII PG1'!J30-'APPVII PG1'!H30)*-1</f>
        <v>0</v>
      </c>
      <c r="L16" s="160"/>
      <c r="M16" s="158">
        <f>IF('APPVII PG1'!J30-'APPVII PG1'!H30&gt;=0,'APPVII PG1'!J30-'APPVII PG1'!H30,0)</f>
        <v>23173</v>
      </c>
    </row>
    <row r="17" spans="1:13" ht="15">
      <c r="A17" s="214"/>
      <c r="B17" s="146" t="s">
        <v>1689</v>
      </c>
      <c r="C17" s="159">
        <f>IF(SUM(E12:E16)&lt;=0,0,SUM(E12:E16))</f>
        <v>5758290</v>
      </c>
      <c r="D17" s="158"/>
      <c r="E17" s="159">
        <f>IF(SUM(C12:C16)&lt;=0,0,SUM(C12:C16))</f>
        <v>0</v>
      </c>
      <c r="F17" s="158"/>
      <c r="G17" s="159">
        <f>IF(SUM(I12:I16)&lt;=0,0,SUM(I12:I16))</f>
        <v>5631494</v>
      </c>
      <c r="H17" s="158"/>
      <c r="I17" s="159">
        <f>IF(SUM(G12:G16)&lt;=0,0,SUM(G12:G16))</f>
        <v>0</v>
      </c>
      <c r="K17" s="159">
        <f>IF(SUM(M12:M16)&lt;=0,0,SUM(M12:M16))</f>
        <v>126796</v>
      </c>
      <c r="L17" s="158"/>
      <c r="M17" s="159">
        <f>IF(SUM(K12:K16)&lt;=0,0,SUM(K12:K16))</f>
        <v>0</v>
      </c>
    </row>
    <row r="18" spans="1:13" ht="15">
      <c r="A18" s="214"/>
      <c r="B18" s="146" t="s">
        <v>1642</v>
      </c>
      <c r="C18" s="158">
        <f>SUM(C12:C17)</f>
        <v>5758290</v>
      </c>
      <c r="D18" s="158"/>
      <c r="E18" s="158">
        <f>SUM(E12:E17)</f>
        <v>5758290</v>
      </c>
      <c r="F18" s="158"/>
      <c r="G18" s="158">
        <f>SUM(G12:G17)</f>
        <v>5631494</v>
      </c>
      <c r="H18" s="158"/>
      <c r="I18" s="158">
        <f>SUM(I12:I17)</f>
        <v>5631494</v>
      </c>
      <c r="K18" s="158">
        <f>SUM(K12:K17)</f>
        <v>126796</v>
      </c>
      <c r="L18" s="158"/>
      <c r="M18" s="158">
        <f>SUM(M12:M17)</f>
        <v>126796</v>
      </c>
    </row>
    <row r="19" spans="1:13" ht="15">
      <c r="A19" s="214"/>
      <c r="C19" s="158"/>
      <c r="D19" s="158"/>
      <c r="E19" s="158"/>
      <c r="F19" s="158"/>
      <c r="G19" s="158"/>
      <c r="H19" s="158"/>
      <c r="I19" s="158"/>
      <c r="K19" s="158"/>
      <c r="L19" s="158"/>
      <c r="M19" s="158"/>
    </row>
    <row r="20" spans="1:13" ht="15">
      <c r="A20" s="213" t="s">
        <v>359</v>
      </c>
      <c r="B20" s="146" t="s">
        <v>1532</v>
      </c>
      <c r="C20" s="158">
        <f>IF('APPVII PG1'!J37-'APPVII PG1'!H37&gt;=0,0,'APPVII PG1'!J37-'APPVII PG1'!H37)*-1</f>
        <v>0</v>
      </c>
      <c r="D20" s="158"/>
      <c r="E20" s="158">
        <f>IF('APPVII PG1'!J37-'APPVII PG1'!H37&gt;=0,'APPVII PG1'!J37-'APPVII PG1'!H37,0)</f>
        <v>0</v>
      </c>
      <c r="F20" s="158"/>
      <c r="G20" s="158">
        <f>IF('APPVII PG1'!J44-'APPVII PG1'!H44&gt;=0,0,'APPVII PG1'!J44-'APPVII PG1'!H44)*-1</f>
        <v>0</v>
      </c>
      <c r="H20" s="158"/>
      <c r="I20" s="158">
        <f>IF('APPVII PG1'!J44-'APPVII PG1'!H44&gt;=0,'APPVII PG1'!J44-'APPVII PG1'!H44,0)</f>
        <v>0</v>
      </c>
      <c r="K20" s="158">
        <f>IF('APPVII PG1'!J51-'APPVII PG1'!H51&gt;=0,0,'APPVII PG1'!J51-'APPVII PG1'!H51)*-1</f>
        <v>0</v>
      </c>
      <c r="L20" s="158"/>
      <c r="M20" s="158">
        <f>IF('APPVII PG1'!J51-'APPVII PG1'!H51&gt;=0,'APPVII PG1'!J51-'APPVII PG1'!H51,0)</f>
        <v>0</v>
      </c>
    </row>
    <row r="21" spans="1:13" ht="15">
      <c r="A21" s="213" t="s">
        <v>379</v>
      </c>
      <c r="B21" s="146" t="s">
        <v>1533</v>
      </c>
      <c r="C21" s="158">
        <f>IF('APPVII PG1'!J38-'APPVII PG1'!H38&gt;=0,0,'APPVII PG1'!J38-'APPVII PG1'!H38)*-1</f>
        <v>0</v>
      </c>
      <c r="D21" s="158"/>
      <c r="E21" s="158">
        <f>IF('APPVII PG1'!J38-'APPVII PG1'!H38&gt;=0,'APPVII PG1'!J38-'APPVII PG1'!H38,0)</f>
        <v>0</v>
      </c>
      <c r="F21" s="158"/>
      <c r="G21" s="158">
        <f>IF('APPVII PG1'!J45-'APPVII PG1'!H45&gt;=0,0,'APPVII PG1'!J45-'APPVII PG1'!H45)*-1</f>
        <v>0</v>
      </c>
      <c r="H21" s="158"/>
      <c r="I21" s="158">
        <f>IF('APPVII PG1'!J45-'APPVII PG1'!H45&gt;=0,'APPVII PG1'!J45-'APPVII PG1'!H45,0)</f>
        <v>0</v>
      </c>
      <c r="K21" s="158">
        <f>IF('APPVII PG1'!J52-'APPVII PG1'!H52&gt;=0,0,'APPVII PG1'!J52-'APPVII PG1'!H52)*-1</f>
        <v>0</v>
      </c>
      <c r="L21" s="158"/>
      <c r="M21" s="158">
        <f>IF('APPVII PG1'!J52-'APPVII PG1'!H52&gt;=0,'APPVII PG1'!J52-'APPVII PG1'!H52,0)</f>
        <v>0</v>
      </c>
    </row>
    <row r="22" spans="1:13" ht="15">
      <c r="A22" s="213"/>
      <c r="B22" s="146" t="s">
        <v>1534</v>
      </c>
      <c r="C22" s="158">
        <f>IF('APPVII PG1'!J39-'APPVII PG1'!H39&gt;=0,0,'APPVII PG1'!J39-'APPVII PG1'!H39)*-1</f>
        <v>0</v>
      </c>
      <c r="D22" s="158"/>
      <c r="E22" s="158">
        <f>IF('APPVII PG1'!J39-'APPVII PG1'!H39&gt;=0,'APPVII PG1'!J39-'APPVII PG1'!H39,0)</f>
        <v>0</v>
      </c>
      <c r="F22" s="158"/>
      <c r="G22" s="158">
        <f>IF('APPVII PG1'!J46-'APPVII PG1'!H46&gt;=0,0,'APPVII PG1'!J46-'APPVII PG1'!H46)*-1</f>
        <v>0</v>
      </c>
      <c r="H22" s="158"/>
      <c r="I22" s="158">
        <f>IF('APPVII PG1'!J46-'APPVII PG1'!H46&gt;=0,'APPVII PG1'!J46-'APPVII PG1'!H46,0)</f>
        <v>0</v>
      </c>
      <c r="K22" s="158">
        <f>IF('APPVII PG1'!J53-'APPVII PG1'!H53&gt;=0,0,'APPVII PG1'!J53-'APPVII PG1'!H53)*-1</f>
        <v>0</v>
      </c>
      <c r="L22" s="158"/>
      <c r="M22" s="158">
        <f>IF('APPVII PG1'!J53-'APPVII PG1'!H53&gt;=0,'APPVII PG1'!J53-'APPVII PG1'!H53,0)</f>
        <v>0</v>
      </c>
    </row>
    <row r="23" spans="1:13" ht="15">
      <c r="A23" s="214"/>
      <c r="B23" s="146" t="s">
        <v>1536</v>
      </c>
      <c r="C23" s="158">
        <f>IF('APPVII PG1'!J40-'APPVII PG1'!H40&gt;=0,0,'APPVII PG1'!J40-'APPVII PG1'!H40)*-1</f>
        <v>0</v>
      </c>
      <c r="D23" s="158"/>
      <c r="E23" s="158">
        <f>IF('APPVII PG1'!J40-'APPVII PG1'!H40&gt;=0,'APPVII PG1'!J40-'APPVII PG1'!H40,0)</f>
        <v>0</v>
      </c>
      <c r="F23" s="158"/>
      <c r="G23" s="158">
        <f>IF('APPVII PG1'!J47-'APPVII PG1'!H47&gt;=0,0,'APPVII PG1'!J47-'APPVII PG1'!H47)*-1</f>
        <v>0</v>
      </c>
      <c r="H23" s="158"/>
      <c r="I23" s="158">
        <f>IF('APPVII PG1'!J47-'APPVII PG1'!H47&gt;=0,'APPVII PG1'!J47-'APPVII PG1'!H47,0)</f>
        <v>0</v>
      </c>
      <c r="K23" s="158">
        <f>IF('APPVII PG1'!J54-'APPVII PG1'!H54&gt;=0,0,'APPVII PG1'!J54-'APPVII PG1'!H54)*-1</f>
        <v>0</v>
      </c>
      <c r="L23" s="158"/>
      <c r="M23" s="158">
        <f>IF('APPVII PG1'!J54-'APPVII PG1'!H54&gt;=0,'APPVII PG1'!J54-'APPVII PG1'!H54,0)</f>
        <v>0</v>
      </c>
    </row>
    <row r="24" spans="1:13" ht="15">
      <c r="A24" s="214"/>
      <c r="B24" s="146" t="s">
        <v>1537</v>
      </c>
      <c r="C24" s="160">
        <f>IF('APPVII PG1'!J41-'APPVII PG1'!H41&gt;=0,0,'APPVII PG1'!J41-'APPVII PG1'!H41)*-1</f>
        <v>0</v>
      </c>
      <c r="D24" s="160"/>
      <c r="E24" s="160">
        <f>IF('APPVII PG1'!J41-'APPVII PG1'!H41&gt;=0,'APPVII PG1'!J41-'APPVII PG1'!H41,0)</f>
        <v>0</v>
      </c>
      <c r="F24" s="160"/>
      <c r="G24" s="160">
        <f>IF('APPVII PG1'!J48-'APPVII PG1'!H48&gt;=0,0,'APPVII PG1'!J48-'APPVII PG1'!H48)*-1</f>
        <v>0</v>
      </c>
      <c r="H24" s="160"/>
      <c r="I24" s="160">
        <f>IF('APPVII PG1'!J48-'APPVII PG1'!H48&gt;=0,'APPVII PG1'!J48-'APPVII PG1'!H48,0)</f>
        <v>0</v>
      </c>
      <c r="J24" s="162"/>
      <c r="K24" s="158">
        <f>IF('APPVII PG1'!J55-'APPVII PG1'!H55&gt;=0,0,'APPVII PG1'!J55-'APPVII PG1'!H55)*-1</f>
        <v>0</v>
      </c>
      <c r="L24" s="160"/>
      <c r="M24" s="158">
        <f>IF('APPVII PG1'!J55-'APPVII PG1'!H55&gt;=0,'APPVII PG1'!J55-'APPVII PG1'!H55,0)</f>
        <v>0</v>
      </c>
    </row>
    <row r="25" spans="1:13" ht="15">
      <c r="A25" s="214"/>
      <c r="B25" s="146" t="s">
        <v>1689</v>
      </c>
      <c r="C25" s="159">
        <f>IF(SUM(E20:E24)&lt;=0,0,SUM(E20:E24))</f>
        <v>0</v>
      </c>
      <c r="D25" s="158"/>
      <c r="E25" s="159">
        <f>IF(SUM(C20:C24)&lt;=0,0,SUM(C20:C24))</f>
        <v>0</v>
      </c>
      <c r="F25" s="158"/>
      <c r="G25" s="159">
        <f>IF(SUM(I20:I24)&lt;=0,0,SUM(I20:I24))</f>
        <v>0</v>
      </c>
      <c r="H25" s="158"/>
      <c r="I25" s="159">
        <f>IF(SUM(G20:G24)&lt;=0,0,SUM(G20:G24))</f>
        <v>0</v>
      </c>
      <c r="K25" s="159">
        <f>IF(SUM(M20:M24)&lt;=0,0,SUM(M20:M24))</f>
        <v>0</v>
      </c>
      <c r="L25" s="158"/>
      <c r="M25" s="159">
        <f>IF(SUM(K20:K24)&lt;=0,0,SUM(K20:K24))</f>
        <v>0</v>
      </c>
    </row>
    <row r="26" spans="1:13" ht="15">
      <c r="A26" s="214"/>
      <c r="B26" s="146" t="s">
        <v>1642</v>
      </c>
      <c r="C26" s="158">
        <f>SUM(C20:C25)</f>
        <v>0</v>
      </c>
      <c r="D26" s="158"/>
      <c r="E26" s="158">
        <f>SUM(E20:E25)</f>
        <v>0</v>
      </c>
      <c r="F26" s="158"/>
      <c r="G26" s="158">
        <f>SUM(G20:G25)</f>
        <v>0</v>
      </c>
      <c r="H26" s="158"/>
      <c r="I26" s="158">
        <f>SUM(I20:I25)</f>
        <v>0</v>
      </c>
      <c r="K26" s="158">
        <f>SUM(K20:K25)</f>
        <v>0</v>
      </c>
      <c r="L26" s="158"/>
      <c r="M26" s="158">
        <f>SUM(M20:M25)</f>
        <v>0</v>
      </c>
    </row>
    <row r="27" spans="1:13" ht="15">
      <c r="A27" s="214"/>
      <c r="C27" s="158"/>
      <c r="D27" s="158"/>
      <c r="E27" s="158"/>
      <c r="F27" s="158"/>
      <c r="G27" s="158"/>
      <c r="H27" s="158"/>
      <c r="I27" s="158"/>
      <c r="J27" s="168"/>
      <c r="K27" s="158"/>
      <c r="L27" s="158"/>
      <c r="M27" s="158"/>
    </row>
    <row r="28" spans="1:14" ht="15">
      <c r="A28" s="213" t="s">
        <v>595</v>
      </c>
      <c r="B28" s="168" t="s">
        <v>1532</v>
      </c>
      <c r="C28" s="158">
        <f>IF('APPVII PG2'!N12-('APPVII PG2'!J12+'APPVII PG2'!L12)&gt;=0,0,'APPVII PG2'!N12-('APPVII PG2'!J12+'APPVII PG2'!L12))*-1</f>
        <v>0</v>
      </c>
      <c r="D28" s="158"/>
      <c r="E28" s="158">
        <f>IF('APPVII PG2'!N12-('APPVII PG2'!J12+'APPVII PG2'!L12)&lt;=0,0,'APPVII PG2'!N12-('APPVII PG2'!J12+'APPVII PG2'!L12))</f>
        <v>77988</v>
      </c>
      <c r="F28" s="158"/>
      <c r="G28" s="158">
        <f>IF('APPVII PG2'!N19-('APPVII PG2'!J19+'APPVII PG2'!L19)&gt;=0,0,'APPVII PG2'!N19-('APPVII PG2'!J19+'APPVII PG2'!L19))*-1</f>
        <v>0</v>
      </c>
      <c r="H28" s="158"/>
      <c r="I28" s="158">
        <f>IF('APPVII PG2'!N19-('APPVII PG2'!J19+'APPVII PG2'!L19)&gt;=0,'APPVII PG2'!N19-('APPVII PG2'!J19+'APPVII PG2'!L19),0)</f>
        <v>79172</v>
      </c>
      <c r="J28" s="168"/>
      <c r="K28" s="158">
        <f>IF('APPVII PG2'!N26-('APPVII PG2'!J26+'APPVII PG2'!L26)&gt;=0,0,'APPVII PG2'!N26-('APPVII PG2'!J26+'APPVII PG2'!L26))*-1</f>
        <v>1184</v>
      </c>
      <c r="L28" s="158"/>
      <c r="M28" s="158">
        <f>IF('APPVII PG2'!N26-('APPVII PG2'!J26+'APPVII PG2'!L26)&gt;=0,'APPVII PG2'!N26-('APPVII PG2'!J26+'APPVII PG2'!L26),0)</f>
        <v>0</v>
      </c>
      <c r="N28" s="415"/>
    </row>
    <row r="29" spans="1:14" ht="15">
      <c r="A29" s="213"/>
      <c r="B29" s="168" t="s">
        <v>1533</v>
      </c>
      <c r="C29" s="158">
        <f>IF('APPVII PG2'!N13-('APPVII PG2'!J13+'APPVII PG2'!L13)&gt;=0,0,'APPVII PG2'!N13-('APPVII PG2'!J13+'APPVII PG2'!L13))*-1</f>
        <v>0</v>
      </c>
      <c r="D29" s="158"/>
      <c r="E29" s="158">
        <f>IF('APPVII PG2'!N13-('APPVII PG2'!J13+'APPVII PG2'!L13)&lt;=0,0,'APPVII PG2'!N13-('APPVII PG2'!J13+'APPVII PG2'!L13))</f>
        <v>15714</v>
      </c>
      <c r="F29" s="158"/>
      <c r="G29" s="158">
        <f>IF('APPVII PG2'!N20-('APPVII PG2'!J20+'APPVII PG2'!L20)&gt;=0,0,'APPVII PG2'!N20-('APPVII PG2'!J20+'APPVII PG2'!L20))*-1</f>
        <v>0</v>
      </c>
      <c r="H29" s="158"/>
      <c r="I29" s="158">
        <f>IF('APPVII PG2'!N20-('APPVII PG2'!J20+'APPVII PG2'!L20)&gt;=0,'APPVII PG2'!N20-('APPVII PG2'!J20+'APPVII PG2'!L20),0)</f>
        <v>15953</v>
      </c>
      <c r="J29" s="168"/>
      <c r="K29" s="158">
        <f>IF('APPVII PG2'!N27-('APPVII PG2'!J27+'APPVII PG2'!L27)&gt;=0,0,'APPVII PG2'!N27-('APPVII PG2'!J27+'APPVII PG2'!L27))*-1</f>
        <v>239</v>
      </c>
      <c r="L29" s="158"/>
      <c r="M29" s="158">
        <f>IF('APPVII PG2'!N27-('APPVII PG2'!J27+'APPVII PG2'!L27)&gt;=0,'APPVII PG2'!N27-('APPVII PG2'!J27+'APPVII PG2'!L27),0)</f>
        <v>0</v>
      </c>
      <c r="N29" s="3"/>
    </row>
    <row r="30" spans="1:14" ht="15">
      <c r="A30" s="213" t="s">
        <v>1529</v>
      </c>
      <c r="B30" s="168" t="s">
        <v>1534</v>
      </c>
      <c r="C30" s="158">
        <f>IF('APPVII PG2'!N14-('APPVII PG2'!J14+'APPVII PG2'!L14)&gt;=0,0,'APPVII PG2'!N14-('APPVII PG2'!J14+'APPVII PG2'!L14))*-1</f>
        <v>0</v>
      </c>
      <c r="D30" s="158"/>
      <c r="E30" s="158">
        <f>IF('APPVII PG2'!N14-('APPVII PG2'!J14+'APPVII PG2'!L14)&lt;=0,0,'APPVII PG2'!N14-('APPVII PG2'!J14+'APPVII PG2'!L14))</f>
        <v>40029</v>
      </c>
      <c r="F30" s="158"/>
      <c r="G30" s="158">
        <f>IF('APPVII PG2'!N21-('APPVII PG2'!J21+'APPVII PG2'!L21)&gt;=0,0,'APPVII PG2'!N21-('APPVII PG2'!J21+'APPVII PG2'!L21))*-1</f>
        <v>0</v>
      </c>
      <c r="H30" s="158"/>
      <c r="I30" s="158">
        <f>IF('APPVII PG2'!N21-('APPVII PG2'!J21+'APPVII PG2'!L21)&gt;=0,'APPVII PG2'!N21-('APPVII PG2'!J21+'APPVII PG2'!L21),0)</f>
        <v>40636</v>
      </c>
      <c r="J30" s="168"/>
      <c r="K30" s="158">
        <f>IF('APPVII PG2'!N28-('APPVII PG2'!J28+'APPVII PG2'!L28)&gt;=0,0,'APPVII PG2'!N28-('APPVII PG2'!J28+'APPVII PG2'!L28))*-1</f>
        <v>607</v>
      </c>
      <c r="L30" s="158"/>
      <c r="M30" s="158">
        <f>IF('APPVII PG2'!N28-('APPVII PG2'!J28+'APPVII PG2'!L28)&gt;=0,'APPVII PG2'!N28-('APPVII PG2'!J28+'APPVII PG2'!L28),0)</f>
        <v>0</v>
      </c>
      <c r="N30" s="3"/>
    </row>
    <row r="31" spans="1:14" ht="15">
      <c r="A31" s="214"/>
      <c r="B31" s="168" t="s">
        <v>1536</v>
      </c>
      <c r="C31" s="158">
        <f>IF('APPVII PG2'!N15-('APPVII PG2'!J15+'APPVII PG2'!L15)&gt;=0,0,'APPVII PG2'!N15-('APPVII PG2'!J15+'APPVII PG2'!L15))*-1</f>
        <v>0</v>
      </c>
      <c r="D31" s="158"/>
      <c r="E31" s="158">
        <f>IF('APPVII PG2'!N15-('APPVII PG2'!J15+'APPVII PG2'!L15)&lt;=0,0,'APPVII PG2'!N15-('APPVII PG2'!J15+'APPVII PG2'!L15))</f>
        <v>51237</v>
      </c>
      <c r="F31" s="158"/>
      <c r="G31" s="158">
        <f>IF('APPVII PG2'!N22-('APPVII PG2'!J22+'APPVII PG2'!L22)&gt;=0,0,'APPVII PG2'!N22-('APPVII PG2'!J22+'APPVII PG2'!L22))*-1</f>
        <v>0</v>
      </c>
      <c r="H31" s="158"/>
      <c r="I31" s="158">
        <f>IF('APPVII PG2'!N22-('APPVII PG2'!J22+'APPVII PG2'!L22)&gt;=0,'APPVII PG2'!N22-('APPVII PG2'!J22+'APPVII PG2'!L22),0)</f>
        <v>52014</v>
      </c>
      <c r="J31" s="168"/>
      <c r="K31" s="158">
        <f>IF('APPVII PG2'!N29-('APPVII PG2'!J29+'APPVII PG2'!L29)&gt;=0,0,'APPVII PG2'!N29-('APPVII PG2'!J29+'APPVII PG2'!L29))*-1</f>
        <v>777</v>
      </c>
      <c r="L31" s="158"/>
      <c r="M31" s="158">
        <f>IF('APPVII PG2'!N29-('APPVII PG2'!J29+'APPVII PG2'!L29)&gt;=0,'APPVII PG2'!N29-('APPVII PG2'!J29+'APPVII PG2'!L29),0)</f>
        <v>0</v>
      </c>
      <c r="N31" s="3"/>
    </row>
    <row r="32" spans="1:14" ht="15">
      <c r="A32" s="214"/>
      <c r="B32" s="168" t="s">
        <v>1537</v>
      </c>
      <c r="C32" s="158">
        <f>IF('APPVII PG2'!N16-('APPVII PG2'!J16+'APPVII PG2'!L16)&gt;=0,0,'APPVII PG2'!N16-('APPVII PG2'!J16+'APPVII PG2'!L16))*-1</f>
        <v>0</v>
      </c>
      <c r="D32" s="158"/>
      <c r="E32" s="158">
        <f>IF('APPVII PG2'!N16-('APPVII PG2'!J16+'APPVII PG2'!L16)&lt;=0,0,'APPVII PG2'!N16-('APPVII PG2'!J16+'APPVII PG2'!L16))</f>
        <v>41362</v>
      </c>
      <c r="F32" s="158"/>
      <c r="G32" s="158">
        <f>IF('APPVII PG2'!N23-('APPVII PG2'!J23+'APPVII PG2'!L23)&gt;=0,0,'APPVII PG2'!N23-('APPVII PG2'!J23+'APPVII PG2'!L23))*-1</f>
        <v>0</v>
      </c>
      <c r="H32" s="158"/>
      <c r="I32" s="158">
        <f>IF('APPVII PG2'!N23-('APPVII PG2'!J23+'APPVII PG2'!L23)&gt;=0,'APPVII PG2'!N23-('APPVII PG2'!J23+'APPVII PG2'!L23),0)</f>
        <v>41989</v>
      </c>
      <c r="J32" s="168"/>
      <c r="K32" s="158">
        <f>IF('APPVII PG2'!N30-('APPVII PG2'!J30+'APPVII PG2'!L30)&gt;=0,0,'APPVII PG2'!N30-('APPVII PG2'!J30+'APPVII PG2'!L30))*-1</f>
        <v>627</v>
      </c>
      <c r="L32" s="158"/>
      <c r="M32" s="158">
        <f>IF('APPVII PG2'!N30-('APPVII PG2'!J30+'APPVII PG2'!L30)&gt;=0,'APPVII PG2'!N30-('APPVII PG2'!J30+'APPVII PG2'!L30),0)</f>
        <v>0</v>
      </c>
      <c r="N32" s="3"/>
    </row>
    <row r="33" spans="1:14" ht="15">
      <c r="A33" s="214"/>
      <c r="B33" s="146" t="s">
        <v>1689</v>
      </c>
      <c r="C33" s="159">
        <f>IF(SUM(E28:E32)&lt;=0,0,SUM(E28:E32))</f>
        <v>226330</v>
      </c>
      <c r="D33" s="160"/>
      <c r="E33" s="159">
        <f>IF(SUM(C28:C32)&lt;=0,0,SUM(C28:C32))</f>
        <v>0</v>
      </c>
      <c r="F33" s="160"/>
      <c r="G33" s="159">
        <f>IF(SUM(I28:I32)&lt;=0,0,SUM(I28:I32))</f>
        <v>229764</v>
      </c>
      <c r="H33" s="160"/>
      <c r="I33" s="159">
        <f>IF(SUM(G28:G32)&lt;=0,0,SUM(G28:G32))</f>
        <v>0</v>
      </c>
      <c r="J33" s="376"/>
      <c r="K33" s="159">
        <f>IF(SUM(M28:M32)&lt;=0,0,SUM(M28:M32))</f>
        <v>0</v>
      </c>
      <c r="L33" s="160"/>
      <c r="M33" s="159">
        <f>IF(SUM(K28:K32)&lt;=0,0,SUM(K28:K32))</f>
        <v>3434</v>
      </c>
      <c r="N33" s="3"/>
    </row>
    <row r="34" spans="1:13" ht="15">
      <c r="A34" s="214"/>
      <c r="B34" s="146" t="s">
        <v>1642</v>
      </c>
      <c r="C34" s="160">
        <f>SUM(C28:C33)</f>
        <v>226330</v>
      </c>
      <c r="D34" s="160"/>
      <c r="E34" s="160">
        <f>SUM(E28:E33)</f>
        <v>226330</v>
      </c>
      <c r="F34" s="160">
        <f>SUM(F28:F33)</f>
        <v>0</v>
      </c>
      <c r="G34" s="160">
        <f>SUM(G28:G33)</f>
        <v>229764</v>
      </c>
      <c r="H34" s="160"/>
      <c r="I34" s="160">
        <f>SUM(I28:I33)</f>
        <v>229764</v>
      </c>
      <c r="J34" s="376"/>
      <c r="K34" s="160">
        <f>SUM(K28:K33)</f>
        <v>3434</v>
      </c>
      <c r="L34" s="160"/>
      <c r="M34" s="160">
        <f>SUM(M28:M33)</f>
        <v>3434</v>
      </c>
    </row>
    <row r="35" spans="1:13" ht="15">
      <c r="A35" s="214"/>
      <c r="C35" s="158"/>
      <c r="D35" s="158"/>
      <c r="E35" s="158"/>
      <c r="F35" s="158"/>
      <c r="G35" s="158"/>
      <c r="H35" s="158"/>
      <c r="I35" s="158"/>
      <c r="K35" s="158"/>
      <c r="L35" s="158"/>
      <c r="M35" s="158"/>
    </row>
    <row r="36" spans="1:14" ht="15">
      <c r="A36" s="213" t="s">
        <v>371</v>
      </c>
      <c r="B36" s="146" t="s">
        <v>1532</v>
      </c>
      <c r="C36" s="158">
        <f>IF('APPVII PG2'!N39-'APPVII PG2'!L39-'APPVII PG2'!F39&gt;=0,0,'APPVII PG2'!N39-'APPVII PG2'!L39-'APPVII PG2'!F39)*-1</f>
        <v>62149</v>
      </c>
      <c r="D36" s="158"/>
      <c r="E36" s="158">
        <f>IF('APPVII PG2'!N39-'APPVII PG2'!L39-'APPVII PG2'!F39&lt;=0,0,'APPVII PG2'!N39-'APPVII PG2'!L39-'APPVII PG2'!F39)</f>
        <v>0</v>
      </c>
      <c r="F36" s="158"/>
      <c r="G36" s="158">
        <f>IF('APPVII PG2'!N46-'APPVII PG2'!L46-'APPVII PG2'!F46&gt;=0,0,'APPVII PG2'!N46-'APPVII PG2'!L46-'APPVII PG2'!F46)*-1</f>
        <v>49947</v>
      </c>
      <c r="H36" s="158"/>
      <c r="I36" s="158">
        <f>IF('APPVII PG2'!N46-'APPVII PG2'!L46-'APPVII PG2'!F46&gt;=0,'APPVII PG2'!N46-'APPVII PG2'!L46-'APPVII PG2'!F46,0)</f>
        <v>0</v>
      </c>
      <c r="J36" s="168"/>
      <c r="K36" s="158">
        <f>IF('APPVII PG2'!N53-'APPVII PG2'!L53-'APPVII PG2'!F53&gt;=0,0,'APPVII PG2'!N53-'APPVII PG2'!L53-'APPVII PG2'!F53)*-1</f>
        <v>12202</v>
      </c>
      <c r="L36" s="158"/>
      <c r="M36" s="158">
        <f>IF('APPVII PG2'!N53-'APPVII PG2'!L53-'APPVII PG2'!F53&gt;=0,'APPVII PG2'!N53-'APPVII PG2'!L53-'APPVII PG2'!F53,0)</f>
        <v>0</v>
      </c>
      <c r="N36" s="3"/>
    </row>
    <row r="37" spans="1:14" ht="15">
      <c r="A37" s="213" t="s">
        <v>628</v>
      </c>
      <c r="B37" s="146" t="s">
        <v>1533</v>
      </c>
      <c r="C37" s="158">
        <f>IF('APPVII PG2'!N40-'APPVII PG2'!L40-'APPVII PG2'!F40&gt;=0,0,'APPVII PG2'!N40-'APPVII PG2'!L40-'APPVII PG2'!F40)*-1</f>
        <v>12514</v>
      </c>
      <c r="D37" s="158"/>
      <c r="E37" s="158">
        <f>IF('APPVII PG2'!N40-'APPVII PG2'!L40-'APPVII PG2'!F40&lt;=0,0,'APPVII PG2'!N40-'APPVII PG2'!L40-'APPVII PG2'!F40)</f>
        <v>0</v>
      </c>
      <c r="F37" s="158"/>
      <c r="G37" s="158">
        <f>IF('APPVII PG2'!N47-'APPVII PG2'!L47-'APPVII PG2'!F47&gt;=0,0,'APPVII PG2'!N47-'APPVII PG2'!L47-'APPVII PG2'!F47)*-1</f>
        <v>10061</v>
      </c>
      <c r="H37" s="158"/>
      <c r="I37" s="158">
        <f>IF('APPVII PG2'!N47-'APPVII PG2'!L47-'APPVII PG2'!F47&gt;=0,'APPVII PG2'!N47-'APPVII PG2'!L47-'APPVII PG2'!F47,0)</f>
        <v>0</v>
      </c>
      <c r="J37" s="168"/>
      <c r="K37" s="158">
        <f>IF('APPVII PG2'!N54-'APPVII PG2'!L54-'APPVII PG2'!F54&gt;=0,0,'APPVII PG2'!N54-'APPVII PG2'!L54-'APPVII PG2'!F54)*-1</f>
        <v>2453</v>
      </c>
      <c r="L37" s="158"/>
      <c r="M37" s="158">
        <f>IF('APPVII PG2'!N54-'APPVII PG2'!L54-'APPVII PG2'!F54&gt;=0,'APPVII PG2'!N54-'APPVII PG2'!L54-'APPVII PG2'!F54,0)</f>
        <v>0</v>
      </c>
      <c r="N37" s="3"/>
    </row>
    <row r="38" spans="1:14" ht="15">
      <c r="A38" s="245"/>
      <c r="B38" s="146" t="s">
        <v>1534</v>
      </c>
      <c r="C38" s="158">
        <f>IF('APPVII PG2'!N41-'APPVII PG2'!L41-'APPVII PG2'!F41&gt;=0,0,'APPVII PG2'!N41-'APPVII PG2'!L41-'APPVII PG2'!F41)*-1</f>
        <v>31892</v>
      </c>
      <c r="D38" s="158"/>
      <c r="E38" s="158">
        <f>IF('APPVII PG2'!N41-'APPVII PG2'!L41-'APPVII PG2'!F41&lt;=0,0,'APPVII PG2'!N41-'APPVII PG2'!L41-'APPVII PG2'!F41)</f>
        <v>0</v>
      </c>
      <c r="F38" s="158"/>
      <c r="G38" s="158">
        <f>IF('APPVII PG2'!N48-'APPVII PG2'!L48-'APPVII PG2'!F48&gt;=0,0,'APPVII PG2'!N48-'APPVII PG2'!L48-'APPVII PG2'!F48)*-1</f>
        <v>25640</v>
      </c>
      <c r="H38" s="158"/>
      <c r="I38" s="158">
        <f>IF('APPVII PG2'!N48-'APPVII PG2'!L48-'APPVII PG2'!F48&gt;=0,'APPVII PG2'!N48-'APPVII PG2'!L48-'APPVII PG2'!F48,0)</f>
        <v>0</v>
      </c>
      <c r="J38" s="168"/>
      <c r="K38" s="158">
        <f>IF('APPVII PG2'!N55-'APPVII PG2'!L55-'APPVII PG2'!F55&gt;=0,0,'APPVII PG2'!N55-'APPVII PG2'!L55-'APPVII PG2'!F55)*-1</f>
        <v>6252</v>
      </c>
      <c r="L38" s="158"/>
      <c r="M38" s="158">
        <f>IF('APPVII PG2'!N55-'APPVII PG2'!L55-'APPVII PG2'!F55&gt;=0,'APPVII PG2'!N55-'APPVII PG2'!L55-'APPVII PG2'!F55,0)</f>
        <v>0</v>
      </c>
      <c r="N38" s="3"/>
    </row>
    <row r="39" spans="1:14" ht="15">
      <c r="A39" s="214"/>
      <c r="B39" s="146" t="s">
        <v>1536</v>
      </c>
      <c r="C39" s="158">
        <f>IF('APPVII PG2'!N42-'APPVII PG2'!L42-'APPVII PG2'!F42&gt;=0,0,'APPVII PG2'!N42-'APPVII PG2'!L42-'APPVII PG2'!F42)*-1</f>
        <v>40818</v>
      </c>
      <c r="D39" s="158"/>
      <c r="E39" s="158">
        <f>IF('APPVII PG2'!N42-'APPVII PG2'!L42-'APPVII PG2'!F42&lt;=0,0,'APPVII PG2'!N42-'APPVII PG2'!L42-'APPVII PG2'!F42)</f>
        <v>0</v>
      </c>
      <c r="F39" s="158"/>
      <c r="G39" s="158">
        <f>IF('APPVII PG2'!N49-'APPVII PG2'!L49-'APPVII PG2'!F49&gt;=0,0,'APPVII PG2'!N49-'APPVII PG2'!L49-'APPVII PG2'!F49)*-1</f>
        <v>32821</v>
      </c>
      <c r="H39" s="158"/>
      <c r="I39" s="158">
        <f>IF('APPVII PG2'!N49-'APPVII PG2'!L49-'APPVII PG2'!F49&gt;=0,'APPVII PG2'!N49-'APPVII PG2'!L49-'APPVII PG2'!F49,0)</f>
        <v>0</v>
      </c>
      <c r="J39" s="168"/>
      <c r="K39" s="158">
        <f>IF('APPVII PG2'!N56-'APPVII PG2'!L56-'APPVII PG2'!F56&gt;=0,0,'APPVII PG2'!N56-'APPVII PG2'!L56-'APPVII PG2'!F56)*-1</f>
        <v>7997</v>
      </c>
      <c r="L39" s="158"/>
      <c r="M39" s="158">
        <f>IF('APPVII PG2'!N56-'APPVII PG2'!L56-'APPVII PG2'!F56&gt;=0,'APPVII PG2'!N56-'APPVII PG2'!L56-'APPVII PG2'!F56,0)</f>
        <v>0</v>
      </c>
      <c r="N39" s="3"/>
    </row>
    <row r="40" spans="1:14" ht="15">
      <c r="A40" s="214"/>
      <c r="B40" s="146" t="s">
        <v>1537</v>
      </c>
      <c r="C40" s="158">
        <f>IF('APPVII PG2'!N43-'APPVII PG2'!L43-'APPVII PG2'!F43&gt;=0,0,'APPVII PG2'!N43-'APPVII PG2'!L43-'APPVII PG2'!F43)*-1</f>
        <v>32953</v>
      </c>
      <c r="D40" s="158"/>
      <c r="E40" s="158">
        <f>IF('APPVII PG2'!N43-'APPVII PG2'!L43-'APPVII PG2'!F43&lt;=0,0,'APPVII PG2'!N43-'APPVII PG2'!L43-'APPVII PG2'!F43)</f>
        <v>0</v>
      </c>
      <c r="F40" s="160"/>
      <c r="G40" s="158">
        <f>IF('APPVII PG2'!N50-'APPVII PG2'!L50-'APPVII PG2'!F50&gt;=0,0,'APPVII PG2'!N50-'APPVII PG2'!L50-'APPVII PG2'!F50)*-1</f>
        <v>26490</v>
      </c>
      <c r="H40" s="158"/>
      <c r="I40" s="158">
        <f>IF('APPVII PG2'!N50-'APPVII PG2'!L50-'APPVII PG2'!F50&gt;=0,'APPVII PG2'!N50-'APPVII PG2'!L50-'APPVII PG2'!F50,0)</f>
        <v>0</v>
      </c>
      <c r="J40" s="376"/>
      <c r="K40" s="158">
        <f>IF('APPVII PG2'!N57-'APPVII PG2'!L57-'APPVII PG2'!F57&gt;=0,0,'APPVII PG2'!N57-'APPVII PG2'!L57-'APPVII PG2'!F57)*-1</f>
        <v>6463</v>
      </c>
      <c r="L40" s="158"/>
      <c r="M40" s="158">
        <f>IF('APPVII PG2'!N57-'APPVII PG2'!L57-'APPVII PG2'!F57&gt;=0,'APPVII PG2'!N57-'APPVII PG2'!L57-'APPVII PG2'!F57,0)</f>
        <v>0</v>
      </c>
      <c r="N40" s="3"/>
    </row>
    <row r="41" spans="1:14" ht="15">
      <c r="A41" s="214"/>
      <c r="B41" s="146" t="s">
        <v>1689</v>
      </c>
      <c r="C41" s="159">
        <f>IF(SUM(E36:E40)&lt;=0,0,SUM(E36:E40))</f>
        <v>0</v>
      </c>
      <c r="D41" s="158"/>
      <c r="E41" s="159">
        <f>IF(SUM(C36:C40)&lt;=0,0,SUM(C36:C40))</f>
        <v>180326</v>
      </c>
      <c r="F41" s="158"/>
      <c r="G41" s="159">
        <f>IF(SUM(I36:I40)&lt;=0,0,SUM(I36:I40))</f>
        <v>0</v>
      </c>
      <c r="H41" s="158"/>
      <c r="I41" s="159">
        <f>IF(SUM(G36:G40)&lt;=0,0,SUM(G36:G40))</f>
        <v>144959</v>
      </c>
      <c r="J41" s="168"/>
      <c r="K41" s="159">
        <f>IF(SUM(M36:M40)&lt;=0,0,SUM(M36:M40))</f>
        <v>0</v>
      </c>
      <c r="L41" s="158"/>
      <c r="M41" s="159">
        <f>IF(SUM(K36:K40)&lt;=0,0,SUM(K36:K40))</f>
        <v>35367</v>
      </c>
      <c r="N41" s="3"/>
    </row>
    <row r="42" spans="1:14" ht="15">
      <c r="A42" s="214"/>
      <c r="B42" s="146" t="s">
        <v>1642</v>
      </c>
      <c r="C42" s="158">
        <f>SUM(C36:C41)</f>
        <v>180326</v>
      </c>
      <c r="D42" s="158"/>
      <c r="E42" s="158">
        <f>SUM(E36:E41)</f>
        <v>180326</v>
      </c>
      <c r="F42" s="158"/>
      <c r="G42" s="158">
        <f>SUM(G36:G41)</f>
        <v>144959</v>
      </c>
      <c r="H42" s="158"/>
      <c r="I42" s="158">
        <f>SUM(I36:I41)</f>
        <v>144959</v>
      </c>
      <c r="J42" s="168"/>
      <c r="K42" s="158">
        <f>SUM(K36:K41)</f>
        <v>35367</v>
      </c>
      <c r="L42" s="158"/>
      <c r="M42" s="158">
        <f>SUM(M36:M41)</f>
        <v>35367</v>
      </c>
      <c r="N42" s="3"/>
    </row>
    <row r="43" spans="1:13" ht="15">
      <c r="A43" s="214"/>
      <c r="C43" s="158"/>
      <c r="D43" s="158"/>
      <c r="E43" s="158"/>
      <c r="F43" s="158"/>
      <c r="G43" s="158"/>
      <c r="H43" s="158"/>
      <c r="I43" s="158"/>
      <c r="K43" s="158"/>
      <c r="L43" s="158"/>
      <c r="M43" s="158"/>
    </row>
    <row r="44" spans="1:13" ht="15">
      <c r="A44" s="213" t="s">
        <v>1370</v>
      </c>
      <c r="B44" s="146" t="s">
        <v>1532</v>
      </c>
      <c r="C44" s="158">
        <f>IF(-'APPVII PG3'!H12+'APPVII PG3'!I12+'APPVII PG3'!J12&gt;=0,0,-'APPVII PG3'!H12+'APPVII PG3'!I12+'APPVII PG3'!J12)*-1</f>
        <v>3368465</v>
      </c>
      <c r="D44" s="158"/>
      <c r="E44" s="158">
        <f>IF(-'APPVII PG3'!H12+'APPVII PG3'!I12+'APPVII PG3'!J12&gt;=0,-'APPVII PG3'!H12+'APPVII PG3'!I12+'APPVII PG3'!J12,0)</f>
        <v>0</v>
      </c>
      <c r="F44" s="158"/>
      <c r="G44" s="158">
        <f>IF(-'APPVII PG3'!H19+'APPVII PG3'!I19+'APPVII PG3'!J19&gt;=0,0,-'APPVII PG3'!H19+'APPVII PG3'!I19+'APPVII PG3'!J19)*-1</f>
        <v>3374683</v>
      </c>
      <c r="H44" s="158"/>
      <c r="I44" s="158">
        <f>IF(-'APPVII PG3'!H19+'APPVII PG3'!I19+'APPVII PG3'!J19&gt;=0,-'APPVII PG3'!H19+'APPVII PG3'!I19+'APPVII PG3'!J19,0)</f>
        <v>0</v>
      </c>
      <c r="K44" s="158">
        <f>IF(-'APPVII PG3'!H26+'APPVII PG3'!I26+'APPVII PG3'!J26&gt;=0,0,-'APPVII PG3'!H26+'APPVII PG3'!I26+'APPVII PG3'!J26)*-1</f>
        <v>0</v>
      </c>
      <c r="L44" s="158"/>
      <c r="M44" s="158">
        <f>IF(-'APPVII PG3'!H26+'APPVII PG3'!I26+'APPVII PG3'!J26&gt;=0,-'APPVII PG3'!H26+'APPVII PG3'!I26+'APPVII PG3'!J26,0)</f>
        <v>6218</v>
      </c>
    </row>
    <row r="45" spans="1:13" ht="15">
      <c r="A45" s="245"/>
      <c r="B45" s="146" t="s">
        <v>1533</v>
      </c>
      <c r="C45" s="158">
        <f>IF(-'APPVII PG3'!H13+'APPVII PG3'!I13+'APPVII PG3'!J13&gt;=0,0,-'APPVII PG3'!H13+'APPVII PG3'!I13+'APPVII PG3'!J13)*-1</f>
        <v>678718</v>
      </c>
      <c r="D45" s="158"/>
      <c r="E45" s="158">
        <f>IF(-'APPVII PG3'!H13+'APPVII PG3'!I13+'APPVII PG3'!J13&gt;=0,-'APPVII PG3'!H13+'APPVII PG3'!I13+'APPVII PG3'!J13,0)</f>
        <v>0</v>
      </c>
      <c r="F45" s="158"/>
      <c r="G45" s="158">
        <f>IF(-'APPVII PG3'!H20+'APPVII PG3'!I20+'APPVII PG3'!J20&gt;=0,0,-'APPVII PG3'!H20+'APPVII PG3'!I20+'APPVII PG3'!J20)*-1</f>
        <v>679970</v>
      </c>
      <c r="H45" s="158"/>
      <c r="I45" s="158">
        <f>IF(-'APPVII PG3'!H20+'APPVII PG3'!I20+'APPVII PG3'!J20&gt;=0,-'APPVII PG3'!H20+'APPVII PG3'!I20+'APPVII PG3'!J20,0)</f>
        <v>0</v>
      </c>
      <c r="K45" s="158">
        <f>IF(-'APPVII PG3'!H27+'APPVII PG3'!I27+'APPVII PG3'!J27&gt;=0,0,-'APPVII PG3'!H27+'APPVII PG3'!I27+'APPVII PG3'!J27)*-1</f>
        <v>0</v>
      </c>
      <c r="L45" s="158"/>
      <c r="M45" s="158">
        <f>IF(-'APPVII PG3'!H27+'APPVII PG3'!I27+'APPVII PG3'!J27&gt;=0,-'APPVII PG3'!H27+'APPVII PG3'!I27+'APPVII PG3'!J27,0)</f>
        <v>1252</v>
      </c>
    </row>
    <row r="46" spans="1:13" ht="15">
      <c r="A46" s="214"/>
      <c r="B46" s="146" t="s">
        <v>1534</v>
      </c>
      <c r="C46" s="158">
        <f>IF(-'APPVII PG3'!H14+'APPVII PG3'!I14+'APPVII PG3'!J14&gt;=0,0,-'APPVII PG3'!H14+'APPVII PG3'!I14+'APPVII PG3'!J14)*-1</f>
        <v>1728908</v>
      </c>
      <c r="D46" s="158"/>
      <c r="E46" s="158">
        <f>IF(-'APPVII PG3'!H14+'APPVII PG3'!I14+'APPVII PG3'!J14&gt;=0,-'APPVII PG3'!H14+'APPVII PG3'!I14+'APPVII PG3'!J14,0)</f>
        <v>0</v>
      </c>
      <c r="F46" s="158"/>
      <c r="G46" s="158">
        <f>IF(-'APPVII PG3'!H21+'APPVII PG3'!I21+'APPVII PG3'!J21&gt;=0,0,-'APPVII PG3'!H21+'APPVII PG3'!I21+'APPVII PG3'!J21)*-1</f>
        <v>1732098</v>
      </c>
      <c r="H46" s="158"/>
      <c r="I46" s="158">
        <f>IF(-'APPVII PG3'!H21+'APPVII PG3'!I21+'APPVII PG3'!J21&gt;=0,-'APPVII PG3'!H21+'APPVII PG3'!I21+'APPVII PG3'!J21,0)</f>
        <v>0</v>
      </c>
      <c r="K46" s="158">
        <f>IF(-'APPVII PG3'!H28+'APPVII PG3'!I28+'APPVII PG3'!J28&gt;=0,0,-'APPVII PG3'!H28+'APPVII PG3'!I28+'APPVII PG3'!J28)*-1</f>
        <v>0</v>
      </c>
      <c r="L46" s="158"/>
      <c r="M46" s="158">
        <f>IF(-'APPVII PG3'!H28+'APPVII PG3'!I28+'APPVII PG3'!J28&gt;=0,-'APPVII PG3'!H28+'APPVII PG3'!I28+'APPVII PG3'!J28,0)</f>
        <v>3190</v>
      </c>
    </row>
    <row r="47" spans="1:13" ht="15">
      <c r="A47" s="214"/>
      <c r="B47" s="146" t="s">
        <v>1536</v>
      </c>
      <c r="C47" s="158">
        <f>IF(-'APPVII PG3'!H15+'APPVII PG3'!I15+'APPVII PG3'!J15&gt;=0,0,-'APPVII PG3'!H15+'APPVII PG3'!I15+'APPVII PG3'!J15)*-1</f>
        <v>2212993</v>
      </c>
      <c r="D47" s="158"/>
      <c r="E47" s="158">
        <f>IF(-'APPVII PG3'!H15+'APPVII PG3'!I15+'APPVII PG3'!J15&gt;=0,-'APPVII PG3'!H15+'APPVII PG3'!I15+'APPVII PG3'!J15,0)</f>
        <v>0</v>
      </c>
      <c r="F47" s="158"/>
      <c r="G47" s="158">
        <f>IF(-'APPVII PG3'!H22+'APPVII PG3'!I22+'APPVII PG3'!J22&gt;=0,0,-'APPVII PG3'!H22+'APPVII PG3'!I22+'APPVII PG3'!J22)*-1</f>
        <v>2217078</v>
      </c>
      <c r="H47" s="158"/>
      <c r="I47" s="158">
        <f>IF(-'APPVII PG3'!H22+'APPVII PG3'!I22+'APPVII PG3'!J22&gt;=0,-'APPVII PG3'!H22+'APPVII PG3'!I22+'APPVII PG3'!J22,0)</f>
        <v>0</v>
      </c>
      <c r="K47" s="158">
        <f>IF(-'APPVII PG3'!H29+'APPVII PG3'!I29+'APPVII PG3'!J29&gt;=0,0,-'APPVII PG3'!H29+'APPVII PG3'!I29+'APPVII PG3'!J29)*-1</f>
        <v>0</v>
      </c>
      <c r="L47" s="158"/>
      <c r="M47" s="158">
        <f>IF(-'APPVII PG3'!H29+'APPVII PG3'!I29+'APPVII PG3'!J29&gt;=0,-'APPVII PG3'!H29+'APPVII PG3'!I29+'APPVII PG3'!J29,0)</f>
        <v>4085</v>
      </c>
    </row>
    <row r="48" spans="1:13" ht="15">
      <c r="A48" s="214"/>
      <c r="B48" s="146" t="s">
        <v>1537</v>
      </c>
      <c r="C48" s="158">
        <f>IF(-'APPVII PG3'!H16+'APPVII PG3'!I16+'APPVII PG3'!J16&gt;=0,0,-'APPVII PG3'!H16+'APPVII PG3'!I16+'APPVII PG3'!J16)*-1</f>
        <v>1786486</v>
      </c>
      <c r="D48" s="158"/>
      <c r="E48" s="158">
        <f>IF(-'APPVII PG3'!H16+'APPVII PG3'!I16+'APPVII PG3'!J16&gt;=0,-'APPVII PG3'!H16+'APPVII PG3'!I16+'APPVII PG3'!J16,0)</f>
        <v>0</v>
      </c>
      <c r="F48" s="158"/>
      <c r="G48" s="158">
        <f>IF(-'APPVII PG3'!H23+'APPVII PG3'!I23+'APPVII PG3'!J23&gt;=0,0,-'APPVII PG3'!H23+'APPVII PG3'!I23+'APPVII PG3'!J23)*-1</f>
        <v>1789783</v>
      </c>
      <c r="H48" s="158"/>
      <c r="I48" s="158">
        <f>IF(-'APPVII PG3'!H23+'APPVII PG3'!I23+'APPVII PG3'!J23&gt;=0,-'APPVII PG3'!H23+'APPVII PG3'!I23+'APPVII PG3'!J23,0)</f>
        <v>0</v>
      </c>
      <c r="K48" s="158">
        <f>IF(-'APPVII PG3'!H30+'APPVII PG3'!I30+'APPVII PG3'!J30&gt;=0,0,-'APPVII PG3'!H30+'APPVII PG3'!I30+'APPVII PG3'!J30)*-1</f>
        <v>0</v>
      </c>
      <c r="L48" s="158"/>
      <c r="M48" s="158">
        <f>IF(-'APPVII PG3'!H30+'APPVII PG3'!I30+'APPVII PG3'!J30&gt;=0,-'APPVII PG3'!H30+'APPVII PG3'!I30+'APPVII PG3'!J30,0)</f>
        <v>3297</v>
      </c>
    </row>
    <row r="49" spans="1:13" ht="15">
      <c r="A49" s="214"/>
      <c r="B49" s="146" t="s">
        <v>1689</v>
      </c>
      <c r="C49" s="159">
        <f>IF(SUM(E44:E48)&lt;=0,0,SUM(E44:E48))</f>
        <v>0</v>
      </c>
      <c r="D49" s="158"/>
      <c r="E49" s="159">
        <f>IF(SUM(C44:C48)&lt;=0,0,SUM(C44:C48))</f>
        <v>9775570</v>
      </c>
      <c r="F49" s="158"/>
      <c r="G49" s="159">
        <f>IF(SUM(I44:I48)&lt;=0,0,SUM(I44:I48))</f>
        <v>0</v>
      </c>
      <c r="H49" s="158"/>
      <c r="I49" s="159">
        <f>IF(SUM(G44:G48)&lt;=0,0,SUM(G44:G48))</f>
        <v>9793612</v>
      </c>
      <c r="J49" s="168"/>
      <c r="K49" s="159">
        <f>IF(SUM(M44:M48)&lt;=0,0,SUM(M44:M48))</f>
        <v>18042</v>
      </c>
      <c r="L49" s="158"/>
      <c r="M49" s="159">
        <f>IF(SUM(K44:K48)&lt;=0,0,SUM(K44:K48))</f>
        <v>0</v>
      </c>
    </row>
    <row r="50" spans="1:13" ht="15">
      <c r="A50" s="214"/>
      <c r="B50" s="146" t="s">
        <v>1642</v>
      </c>
      <c r="C50" s="158">
        <f>SUM(C44:C49)</f>
        <v>9775570</v>
      </c>
      <c r="D50" s="158"/>
      <c r="E50" s="158">
        <f>SUM(E44:E49)</f>
        <v>9775570</v>
      </c>
      <c r="F50" s="158"/>
      <c r="G50" s="158">
        <f>SUM(G44:G49)</f>
        <v>9793612</v>
      </c>
      <c r="H50" s="158"/>
      <c r="I50" s="158">
        <f>SUM(I44:I49)</f>
        <v>9793612</v>
      </c>
      <c r="K50" s="158">
        <f>SUM(K44:K49)</f>
        <v>18042</v>
      </c>
      <c r="L50" s="158"/>
      <c r="M50" s="158">
        <f>SUM(M44:M49)</f>
        <v>18042</v>
      </c>
    </row>
    <row r="51" spans="1:13" ht="15">
      <c r="A51" s="214"/>
      <c r="C51" s="158"/>
      <c r="D51" s="158"/>
      <c r="E51" s="158"/>
      <c r="F51" s="158"/>
      <c r="G51" s="158"/>
      <c r="H51" s="158"/>
      <c r="I51" s="158"/>
      <c r="K51" s="158"/>
      <c r="L51" s="158"/>
      <c r="M51" s="158"/>
    </row>
    <row r="52" spans="1:13" ht="15">
      <c r="A52" s="545" t="s">
        <v>1868</v>
      </c>
      <c r="B52" s="146" t="s">
        <v>1532</v>
      </c>
      <c r="C52" s="158">
        <f>IF('APPVII PG3'!T41+'APPVII PG3'!S41+'APPVII PG3'!R41+'APPVII PG3'!Q41-'APPVII PG3'!P41-'APPVII PG3'!O41-'APPVII PG3'!N41-'APPVII PG3'!M41-'APPVII PG3'!L41-'APPVII PG3'!K41-'APPVII PG3'!J41-'APPVII PG3'!I41-'APPVII PG3'!E12&gt;=0,0,'APPVII PG3'!T41+'APPVII PG3'!S41+'APPVII PG3'!R41+'APPVII PG3'!Q41-'APPVII PG3'!P41-'APPVII PG3'!O41-'APPVII PG3'!N41-'APPVII PG3'!M41-'APPVII PG3'!L41-'APPVII PG3'!K41-'APPVII PG3'!J41-'APPVII PG3'!I41-'APPVII PG3'!E12)*-1</f>
        <v>0</v>
      </c>
      <c r="D52" s="158"/>
      <c r="E52" s="158">
        <f>IF('APPVII PG3'!T41+'APPVII PG3'!S41+'APPVII PG3'!R41+'APPVII PG3'!Q41-'APPVII PG3'!P41-'APPVII PG3'!O41-'APPVII PG3'!N41-'APPVII PG3'!M41-'APPVII PG3'!L41-'APPVII PG3'!K41-'APPVII PG3'!J41-'APPVII PG3'!I41-'APPVII PG3'!E12&lt;=0,0,'APPVII PG3'!T41+'APPVII PG3'!S41+'APPVII PG3'!R41+'APPVII PG3'!Q41-'APPVII PG3'!P41-'APPVII PG3'!O41-'APPVII PG3'!N41-'APPVII PG3'!M41-'APPVII PG3'!L41-'APPVII PG3'!K41-'APPVII PG3'!J41-'APPVII PG3'!I41-'APPVII PG3'!E12)</f>
        <v>4547301</v>
      </c>
      <c r="F52" s="158"/>
      <c r="G52" s="158">
        <f>IF('APPVII PG3'!T48+'APPVII PG3'!S48+'APPVII PG3'!R48+'APPVII PG3'!Q48-'APPVII PG3'!P48-'APPVII PG3'!O48-'APPVII PG3'!N48-'APPVII PG3'!M48-'APPVII PG3'!L48-'APPVII PG3'!K48-'APPVII PG3'!J48-'APPVII PG3'!I48-'APPVII PG3'!E12&gt;=0,0,'APPVII PG3'!T48+'APPVII PG3'!S48+'APPVII PG3'!R48+'APPVII PG3'!Q48-'APPVII PG3'!P48-'APPVII PG3'!O48-'APPVII PG3'!N48-'APPVII PG3'!M48-'APPVII PG3'!L48-'APPVII PG3'!K48-'APPVII PG3'!J48-'APPVII PG3'!I48-'APPVII PG3'!E12)*-1</f>
        <v>0</v>
      </c>
      <c r="H52" s="158"/>
      <c r="I52" s="158">
        <f>IF('APPVII PG3'!T48+'APPVII PG3'!S48+'APPVII PG3'!R48+'APPVII PG3'!Q48-'APPVII PG3'!P48-'APPVII PG3'!O48-'APPVII PG3'!N48-'APPVII PG3'!M48-'APPVII PG3'!L48-'APPVII PG3'!K48-'APPVII PG3'!J48-'APPVII PG3'!I48-'APPVII PG3'!E12&lt;=0,0,'APPVII PG3'!T48+'APPVII PG3'!S48+'APPVII PG3'!R48+'APPVII PG3'!Q48-'APPVII PG3'!P48-'APPVII PG3'!O48-'APPVII PG3'!N48-'APPVII PG3'!M48-'APPVII PG3'!L48-'APPVII PG3'!K48-'APPVII PG3'!J48-'APPVII PG3'!I48-'APPVII PG3'!E12)</f>
        <v>4533800</v>
      </c>
      <c r="J52" s="168"/>
      <c r="K52" s="158">
        <f>IF(-'APPVII PG3'!E26+'APPVII PG3'!Q55+'APPVII PG3'!P55+'APPVII PG3'!O55-'APPVII PG3'!N55-'APPVII PG3'!M55-'APPVII PG3'!L55-'APPVII PG3'!K55-'APPVII PG3'!J55-'APPVII PG3'!I55&gt;=0,0,-'APPVII PG3'!E26+'APPVII PG3'!Q55+'APPVII PG3'!P55+'APPVII PG3'!O55-'APPVII PG3'!N55-'APPVII PG3'!M55-'APPVII PG3'!L55-'APPVII PG3'!K55-'APPVII PG3'!J55-'APPVII PG3'!I55)*-1</f>
        <v>2007</v>
      </c>
      <c r="L52" s="158"/>
      <c r="M52" s="158">
        <f>IF(-'APPVII PG3'!E26+'APPVII PG3'!Q55+'APPVII PG3'!P55+'APPVII PG3'!O55-'APPVII PG3'!N55-'APPVII PG3'!M55-'APPVII PG3'!L55-'APPVII PG3'!K55-'APPVII PG3'!J55-'APPVII PG3'!I55&lt;=0,0,-'APPVII PG3'!E26+'APPVII PG3'!Q55+'APPVII PG3'!P55+'APPVII PG3'!O55-'APPVII PG3'!N55-'APPVII PG3'!M55-'APPVII PG3'!L55-'APPVII PG3'!K55-'APPVII PG3'!J55-'APPVII PG3'!I55)</f>
        <v>0</v>
      </c>
    </row>
    <row r="53" spans="1:13" ht="15">
      <c r="A53" s="545" t="s">
        <v>1042</v>
      </c>
      <c r="B53" s="146" t="s">
        <v>1533</v>
      </c>
      <c r="C53" s="158">
        <f>IF('APPVII PG3'!T42+'APPVII PG3'!S42+'APPVII PG3'!R42+'APPVII PG3'!Q42-'APPVII PG3'!P42-'APPVII PG3'!O42-'APPVII PG3'!N42-'APPVII PG3'!M42-'APPVII PG3'!L42-'APPVII PG3'!K42-'APPVII PG3'!J42-'APPVII PG3'!I42-'APPVII PG3'!E13&gt;=0,0,'APPVII PG3'!T42+'APPVII PG3'!S42+'APPVII PG3'!R42+'APPVII PG3'!Q42-'APPVII PG3'!P42-'APPVII PG3'!O42-'APPVII PG3'!N42-'APPVII PG3'!M42-'APPVII PG3'!L42-'APPVII PG3'!K42-'APPVII PG3'!J42-'APPVII PG3'!I42-'APPVII PG3'!E13)*-1</f>
        <v>0</v>
      </c>
      <c r="D53" s="158"/>
      <c r="E53" s="158">
        <f>IF('APPVII PG3'!T42+'APPVII PG3'!S42+'APPVII PG3'!R42+'APPVII PG3'!Q42-'APPVII PG3'!P42-'APPVII PG3'!O42-'APPVII PG3'!N42-'APPVII PG3'!M42-'APPVII PG3'!L42-'APPVII PG3'!K42-'APPVII PG3'!J42-'APPVII PG3'!I42-'APPVII PG3'!E13&lt;=0,0,'APPVII PG3'!T42+'APPVII PG3'!S42+'APPVII PG3'!R42+'APPVII PG3'!Q42-'APPVII PG3'!P42-'APPVII PG3'!O42-'APPVII PG3'!N42-'APPVII PG3'!M42-'APPVII PG3'!L42-'APPVII PG3'!K42-'APPVII PG3'!J42-'APPVII PG3'!I42-'APPVII PG3'!E13)</f>
        <v>916109</v>
      </c>
      <c r="F53" s="158"/>
      <c r="G53" s="158">
        <f>IF('APPVII PG3'!T49+'APPVII PG3'!S49+'APPVII PG3'!R49+'APPVII PG3'!Q49-'APPVII PG3'!P49-'APPVII PG3'!O49-'APPVII PG3'!N49-'APPVII PG3'!M49-'APPVII PG3'!L49-'APPVII PG3'!K49-'APPVII PG3'!J49-'APPVII PG3'!I49-'APPVII PG3'!E13&gt;=0,0,'APPVII PG3'!T49+'APPVII PG3'!S49+'APPVII PG3'!R49+'APPVII PG3'!Q49-'APPVII PG3'!P49-'APPVII PG3'!O49-'APPVII PG3'!N49-'APPVII PG3'!M49-'APPVII PG3'!L49-'APPVII PG3'!K49-'APPVII PG3'!J49-'APPVII PG3'!I49-'APPVII PG3'!E13)*-1</f>
        <v>0</v>
      </c>
      <c r="H53" s="158"/>
      <c r="I53" s="158">
        <f>IF('APPVII PG3'!T49+'APPVII PG3'!S49+'APPVII PG3'!R49+'APPVII PG3'!Q49-'APPVII PG3'!P49-'APPVII PG3'!O49-'APPVII PG3'!N49-'APPVII PG3'!M49-'APPVII PG3'!L49-'APPVII PG3'!K49-'APPVII PG3'!J49-'APPVII PG3'!I49-'APPVII PG3'!E13&lt;=0,0,'APPVII PG3'!T49+'APPVII PG3'!S49+'APPVII PG3'!R49+'APPVII PG3'!Q49-'APPVII PG3'!P49-'APPVII PG3'!O49-'APPVII PG3'!N49-'APPVII PG3'!M49-'APPVII PG3'!L49-'APPVII PG3'!K49-'APPVII PG3'!J49-'APPVII PG3'!I49-'APPVII PG3'!E13)</f>
        <v>913389</v>
      </c>
      <c r="J53" s="168"/>
      <c r="K53" s="158">
        <f>IF(-'APPVII PG3'!E27+'APPVII PG3'!Q56+'APPVII PG3'!P56+'APPVII PG3'!O56-'APPVII PG3'!N56-'APPVII PG3'!M56-'APPVII PG3'!L56-'APPVII PG3'!K56-'APPVII PG3'!J56-'APPVII PG3'!I56&gt;=0,0,-'APPVII PG3'!E27+'APPVII PG3'!Q56+'APPVII PG3'!P56+'APPVII PG3'!O56-'APPVII PG3'!N56-'APPVII PG3'!M56-'APPVII PG3'!L56-'APPVII PG3'!K56-'APPVII PG3'!J56-'APPVII PG3'!I56)*-1</f>
        <v>405</v>
      </c>
      <c r="L53" s="158"/>
      <c r="M53" s="158">
        <f>IF(-'APPVII PG3'!E27+'APPVII PG3'!Q56+'APPVII PG3'!P56+'APPVII PG3'!O56-'APPVII PG3'!N56-'APPVII PG3'!M56-'APPVII PG3'!L56-'APPVII PG3'!K56-'APPVII PG3'!J56-'APPVII PG3'!I56&lt;=0,0,-'APPVII PG3'!E27+'APPVII PG3'!Q56+'APPVII PG3'!P56+'APPVII PG3'!O56-'APPVII PG3'!N56-'APPVII PG3'!M56-'APPVII PG3'!L56-'APPVII PG3'!K56-'APPVII PG3'!J56-'APPVII PG3'!I56)</f>
        <v>0</v>
      </c>
    </row>
    <row r="54" spans="1:13" ht="15">
      <c r="A54" s="214"/>
      <c r="B54" s="146" t="s">
        <v>1534</v>
      </c>
      <c r="C54" s="158">
        <f>IF('APPVII PG3'!T43+'APPVII PG3'!S43+'APPVII PG3'!R43+'APPVII PG3'!Q43-'APPVII PG3'!P43-'APPVII PG3'!O43-'APPVII PG3'!N43-'APPVII PG3'!M43-'APPVII PG3'!L43-'APPVII PG3'!K43-'APPVII PG3'!J43-'APPVII PG3'!I43-'APPVII PG3'!E14&gt;=0,0,'APPVII PG3'!T43+'APPVII PG3'!S43+'APPVII PG3'!R43+'APPVII PG3'!Q43-'APPVII PG3'!P43-'APPVII PG3'!O43-'APPVII PG3'!N43-'APPVII PG3'!M43-'APPVII PG3'!L43-'APPVII PG3'!K43-'APPVII PG3'!J43-'APPVII PG3'!I43-'APPVII PG3'!E14)*-1</f>
        <v>0</v>
      </c>
      <c r="D54" s="158"/>
      <c r="E54" s="158">
        <f>IF('APPVII PG3'!T43+'APPVII PG3'!S43+'APPVII PG3'!R43+'APPVII PG3'!Q43-'APPVII PG3'!P43-'APPVII PG3'!O43-'APPVII PG3'!N43-'APPVII PG3'!M43-'APPVII PG3'!L43-'APPVII PG3'!K43-'APPVII PG3'!J43-'APPVII PG3'!I43-'APPVII PG3'!E14&lt;=0,0,'APPVII PG3'!T43+'APPVII PG3'!S43+'APPVII PG3'!R43+'APPVII PG3'!Q43-'APPVII PG3'!P43-'APPVII PG3'!O43-'APPVII PG3'!N43-'APPVII PG3'!M43-'APPVII PG3'!L43-'APPVII PG3'!K43-'APPVII PG3'!J43-'APPVII PG3'!I43-'APPVII PG3'!E14)</f>
        <v>2333262</v>
      </c>
      <c r="F54" s="158"/>
      <c r="G54" s="158">
        <f>IF('APPVII PG3'!T50+'APPVII PG3'!S50+'APPVII PG3'!R50+'APPVII PG3'!Q50-'APPVII PG3'!P50-'APPVII PG3'!O50-'APPVII PG3'!N50-'APPVII PG3'!M50-'APPVII PG3'!L50-'APPVII PG3'!K50-'APPVII PG3'!J50-'APPVII PG3'!I50-'APPVII PG3'!E14&gt;=0,0,'APPVII PG3'!T50+'APPVII PG3'!S50+'APPVII PG3'!R50+'APPVII PG3'!Q50-'APPVII PG3'!P50-'APPVII PG3'!O50-'APPVII PG3'!N50-'APPVII PG3'!M50-'APPVII PG3'!L50-'APPVII PG3'!K50-'APPVII PG3'!J50-'APPVII PG3'!I50-'APPVII PG3'!E14)*-1</f>
        <v>0</v>
      </c>
      <c r="H54" s="158"/>
      <c r="I54" s="158">
        <f>IF('APPVII PG3'!T50+'APPVII PG3'!S50+'APPVII PG3'!R50+'APPVII PG3'!Q50-'APPVII PG3'!P50-'APPVII PG3'!O50-'APPVII PG3'!N50-'APPVII PG3'!M50-'APPVII PG3'!L50-'APPVII PG3'!K50-'APPVII PG3'!J50-'APPVII PG3'!I50-'APPVII PG3'!E14&lt;=0,0,'APPVII PG3'!T50+'APPVII PG3'!S50+'APPVII PG3'!R50+'APPVII PG3'!Q50-'APPVII PG3'!P50-'APPVII PG3'!O50-'APPVII PG3'!N50-'APPVII PG3'!M50-'APPVII PG3'!L50-'APPVII PG3'!K50-'APPVII PG3'!J50-'APPVII PG3'!I50-'APPVII PG3'!E14)</f>
        <v>2326335</v>
      </c>
      <c r="J54" s="168"/>
      <c r="K54" s="158">
        <f>IF(-'APPVII PG3'!E28+'APPVII PG3'!Q57+'APPVII PG3'!P57+'APPVII PG3'!O57-'APPVII PG3'!N57-'APPVII PG3'!M57-'APPVII PG3'!L57-'APPVII PG3'!K57-'APPVII PG3'!J57-'APPVII PG3'!I57&gt;=0,0,-'APPVII PG3'!E28+'APPVII PG3'!Q57+'APPVII PG3'!P57+'APPVII PG3'!O57-'APPVII PG3'!N57-'APPVII PG3'!M57-'APPVII PG3'!L57-'APPVII PG3'!K57-'APPVII PG3'!J57-'APPVII PG3'!I57)*-1</f>
        <v>1031</v>
      </c>
      <c r="L54" s="158"/>
      <c r="M54" s="158">
        <f>IF(-'APPVII PG3'!E28+'APPVII PG3'!Q57+'APPVII PG3'!P57+'APPVII PG3'!O57-'APPVII PG3'!N57-'APPVII PG3'!M57-'APPVII PG3'!L57-'APPVII PG3'!K57-'APPVII PG3'!J57-'APPVII PG3'!I57&lt;=0,0,-'APPVII PG3'!E28+'APPVII PG3'!Q57+'APPVII PG3'!P57+'APPVII PG3'!O57-'APPVII PG3'!N57-'APPVII PG3'!M57-'APPVII PG3'!L57-'APPVII PG3'!K57-'APPVII PG3'!J57-'APPVII PG3'!I57)</f>
        <v>0</v>
      </c>
    </row>
    <row r="55" spans="1:13" ht="15">
      <c r="A55" s="214"/>
      <c r="B55" s="146" t="s">
        <v>1536</v>
      </c>
      <c r="C55" s="158">
        <f>IF('APPVII PG3'!T44+'APPVII PG3'!S44+'APPVII PG3'!R44+'APPVII PG3'!Q44-'APPVII PG3'!P44-'APPVII PG3'!O44-'APPVII PG3'!N44-'APPVII PG3'!M44-'APPVII PG3'!L44-'APPVII PG3'!K44-'APPVII PG3'!J44-'APPVII PG3'!I44-'APPVII PG3'!E15&gt;=0,0,'APPVII PG3'!T44+'APPVII PG3'!S44+'APPVII PG3'!R44+'APPVII PG3'!Q44-'APPVII PG3'!P44-'APPVII PG3'!O44-'APPVII PG3'!N44-'APPVII PG3'!M44-'APPVII PG3'!L44-'APPVII PG3'!K44-'APPVII PG3'!J44-'APPVII PG3'!I44-'APPVII PG3'!E15)*-1</f>
        <v>0</v>
      </c>
      <c r="D55" s="158"/>
      <c r="E55" s="158">
        <f>IF('APPVII PG3'!T44+'APPVII PG3'!S44+'APPVII PG3'!R44+'APPVII PG3'!Q44-'APPVII PG3'!P44-'APPVII PG3'!O44-'APPVII PG3'!N44-'APPVII PG3'!M44-'APPVII PG3'!L44-'APPVII PG3'!K44-'APPVII PG3'!J44-'APPVII PG3'!I44-'APPVII PG3'!E15&lt;=0,0,'APPVII PG3'!T44+'APPVII PG3'!S44+'APPVII PG3'!R44+'APPVII PG3'!Q44-'APPVII PG3'!P44-'APPVII PG3'!O44-'APPVII PG3'!N44-'APPVII PG3'!M44-'APPVII PG3'!L44-'APPVII PG3'!K44-'APPVII PG3'!J44-'APPVII PG3'!I44-'APPVII PG3'!E15)</f>
        <v>2986994</v>
      </c>
      <c r="F55" s="158"/>
      <c r="G55" s="158">
        <f>IF('APPVII PG3'!T51+'APPVII PG3'!S51+'APPVII PG3'!R51+'APPVII PG3'!Q51-'APPVII PG3'!P51-'APPVII PG3'!O51-'APPVII PG3'!N51-'APPVII PG3'!M51-'APPVII PG3'!L51-'APPVII PG3'!K51-'APPVII PG3'!J51-'APPVII PG3'!I51-'APPVII PG3'!E15&gt;=0,0,'APPVII PG3'!T51+'APPVII PG3'!S51+'APPVII PG3'!R51+'APPVII PG3'!Q51-'APPVII PG3'!P51-'APPVII PG3'!O51-'APPVII PG3'!N51-'APPVII PG3'!M51-'APPVII PG3'!L51-'APPVII PG3'!K51-'APPVII PG3'!J51-'APPVII PG3'!I51-'APPVII PG3'!E15)*-1</f>
        <v>0</v>
      </c>
      <c r="H55" s="158"/>
      <c r="I55" s="158">
        <f>IF('APPVII PG3'!T51+'APPVII PG3'!S51+'APPVII PG3'!R51+'APPVII PG3'!Q51-'APPVII PG3'!P51-'APPVII PG3'!O51-'APPVII PG3'!N51-'APPVII PG3'!M51-'APPVII PG3'!L51-'APPVII PG3'!K51-'APPVII PG3'!J51-'APPVII PG3'!I51-'APPVII PG3'!E15&lt;=0,0,'APPVII PG3'!T51+'APPVII PG3'!S51+'APPVII PG3'!R51+'APPVII PG3'!Q51-'APPVII PG3'!P51-'APPVII PG3'!O51-'APPVII PG3'!N51-'APPVII PG3'!M51-'APPVII PG3'!L51-'APPVII PG3'!K51-'APPVII PG3'!J51-'APPVII PG3'!I51-'APPVII PG3'!E15)</f>
        <v>2978122</v>
      </c>
      <c r="J55" s="168"/>
      <c r="K55" s="158">
        <f>IF(-'APPVII PG3'!E29+'APPVII PG3'!Q58+'APPVII PG3'!P58+'APPVII PG3'!O58-'APPVII PG3'!N58-'APPVII PG3'!M58-'APPVII PG3'!L58-'APPVII PG3'!K58-'APPVII PG3'!J58-'APPVII PG3'!I58&gt;=0,0,-'APPVII PG3'!E29+'APPVII PG3'!Q58+'APPVII PG3'!P58+'APPVII PG3'!O58-'APPVII PG3'!N58-'APPVII PG3'!M58-'APPVII PG3'!L58-'APPVII PG3'!K58-'APPVII PG3'!J58-'APPVII PG3'!I58)*-1</f>
        <v>1317</v>
      </c>
      <c r="L55" s="158"/>
      <c r="M55" s="158">
        <f>IF(-'APPVII PG3'!E29+'APPVII PG3'!Q58+'APPVII PG3'!P58+'APPVII PG3'!O58-'APPVII PG3'!N58-'APPVII PG3'!M58-'APPVII PG3'!L58-'APPVII PG3'!K58-'APPVII PG3'!J58-'APPVII PG3'!I58&lt;=0,0,-'APPVII PG3'!E29+'APPVII PG3'!Q58+'APPVII PG3'!P58+'APPVII PG3'!O58-'APPVII PG3'!N58-'APPVII PG3'!M58-'APPVII PG3'!L58-'APPVII PG3'!K58-'APPVII PG3'!J58-'APPVII PG3'!I58)</f>
        <v>0</v>
      </c>
    </row>
    <row r="56" spans="1:13" ht="15">
      <c r="A56" s="214"/>
      <c r="B56" s="146" t="s">
        <v>1537</v>
      </c>
      <c r="C56" s="158">
        <f>IF('APPVII PG3'!T45+'APPVII PG3'!S45+'APPVII PG3'!R45+'APPVII PG3'!Q45-'APPVII PG3'!P45-'APPVII PG3'!O45-'APPVII PG3'!N45-'APPVII PG3'!M45-'APPVII PG3'!L45-'APPVII PG3'!K45-'APPVII PG3'!J45-'APPVII PG3'!I45-'APPVII PG3'!E16&gt;=0,0,'APPVII PG3'!T45+'APPVII PG3'!S45+'APPVII PG3'!R45+'APPVII PG3'!Q45-'APPVII PG3'!P45-'APPVII PG3'!O45-'APPVII PG3'!N45-'APPVII PG3'!M45-'APPVII PG3'!L45-'APPVII PG3'!K45-'APPVII PG3'!J45-'APPVII PG3'!I45-'APPVII PG3'!E16)*-1</f>
        <v>0</v>
      </c>
      <c r="D56" s="158"/>
      <c r="E56" s="158">
        <f>IF('APPVII PG3'!T45+'APPVII PG3'!S45+'APPVII PG3'!R45+'APPVII PG3'!Q45-'APPVII PG3'!P45-'APPVII PG3'!O45-'APPVII PG3'!N45-'APPVII PG3'!M45-'APPVII PG3'!L45-'APPVII PG3'!K45-'APPVII PG3'!J45-'APPVII PG3'!I45-'APPVII PG3'!E16&lt;=0,0,'APPVII PG3'!T45+'APPVII PG3'!S45+'APPVII PG3'!R45+'APPVII PG3'!Q45-'APPVII PG3'!P45-'APPVII PG3'!O45-'APPVII PG3'!N45-'APPVII PG3'!M45-'APPVII PG3'!L45-'APPVII PG3'!K45-'APPVII PG3'!J45-'APPVII PG3'!I45-'APPVII PG3'!E16)</f>
        <v>2410924</v>
      </c>
      <c r="F56" s="158"/>
      <c r="G56" s="158">
        <f>IF('APPVII PG3'!T52+'APPVII PG3'!S52+'APPVII PG3'!R52+'APPVII PG3'!Q52-'APPVII PG3'!P52-'APPVII PG3'!O52-'APPVII PG3'!N52-'APPVII PG3'!M52-'APPVII PG3'!L52-'APPVII PG3'!K52-'APPVII PG3'!J52-'APPVII PG3'!I52-'APPVII PG3'!E16&gt;=0,0,'APPVII PG3'!T52+'APPVII PG3'!S52+'APPVII PG3'!R52+'APPVII PG3'!Q52-'APPVII PG3'!P52-'APPVII PG3'!O52-'APPVII PG3'!N52-'APPVII PG3'!M52-'APPVII PG3'!L52-'APPVII PG3'!K52-'APPVII PG3'!J52-'APPVII PG3'!I52-'APPVII PG3'!E16)*-1</f>
        <v>0</v>
      </c>
      <c r="H56" s="158"/>
      <c r="I56" s="158">
        <f>IF('APPVII PG3'!T52+'APPVII PG3'!S52+'APPVII PG3'!R52+'APPVII PG3'!Q52-'APPVII PG3'!P52-'APPVII PG3'!O52-'APPVII PG3'!N52-'APPVII PG3'!M52-'APPVII PG3'!L52-'APPVII PG3'!K52-'APPVII PG3'!J52-'APPVII PG3'!I52-'APPVII PG3'!E16&lt;=0,0,'APPVII PG3'!T52+'APPVII PG3'!S52+'APPVII PG3'!R52+'APPVII PG3'!Q52-'APPVII PG3'!P52-'APPVII PG3'!O52-'APPVII PG3'!N52-'APPVII PG3'!M52-'APPVII PG3'!L52-'APPVII PG3'!K52-'APPVII PG3'!J52-'APPVII PG3'!I52-'APPVII PG3'!E16)</f>
        <v>2403763</v>
      </c>
      <c r="J56" s="168"/>
      <c r="K56" s="158">
        <f>IF(-'APPVII PG3'!E30+'APPVII PG3'!Q59+'APPVII PG3'!P59+'APPVII PG3'!O59-'APPVII PG3'!N59-'APPVII PG3'!M59-'APPVII PG3'!L59-'APPVII PG3'!K59-'APPVII PG3'!J59-'APPVII PG3'!I59&gt;=0,0,-'APPVII PG3'!E30+'APPVII PG3'!Q59+'APPVII PG3'!P59+'APPVII PG3'!O59-'APPVII PG3'!N59-'APPVII PG3'!M59-'APPVII PG3'!L59-'APPVII PG3'!K59-'APPVII PG3'!J59-'APPVII PG3'!I59)*-1</f>
        <v>1064</v>
      </c>
      <c r="L56" s="158"/>
      <c r="M56" s="158">
        <f>IF(-'APPVII PG3'!E30+'APPVII PG3'!Q59+'APPVII PG3'!P59+'APPVII PG3'!O59-'APPVII PG3'!N59-'APPVII PG3'!M59-'APPVII PG3'!L59-'APPVII PG3'!K59-'APPVII PG3'!J59-'APPVII PG3'!I59&lt;=0,0,-'APPVII PG3'!E30+'APPVII PG3'!Q59+'APPVII PG3'!P59+'APPVII PG3'!O59-'APPVII PG3'!N59-'APPVII PG3'!M59-'APPVII PG3'!L59-'APPVII PG3'!K59-'APPVII PG3'!J59-'APPVII PG3'!I59)</f>
        <v>0</v>
      </c>
    </row>
    <row r="57" spans="1:13" ht="15">
      <c r="A57" s="214"/>
      <c r="B57" s="146" t="s">
        <v>1689</v>
      </c>
      <c r="C57" s="159">
        <f>IF(SUM(E52:E56)&lt;=0,0,SUM(E52:E56))</f>
        <v>13194590</v>
      </c>
      <c r="D57" s="158"/>
      <c r="E57" s="159">
        <f>IF(SUM(C52:C56)&lt;=0,0,SUM(C52:C56))</f>
        <v>0</v>
      </c>
      <c r="F57" s="158"/>
      <c r="G57" s="159">
        <f>IF(SUM(I52:I56)&lt;=0,0,SUM(I52:I56))</f>
        <v>13155409</v>
      </c>
      <c r="H57" s="158"/>
      <c r="I57" s="159">
        <f>IF(SUM(G52:G56)&lt;=0,0,SUM(G52:G56))</f>
        <v>0</v>
      </c>
      <c r="J57" s="168"/>
      <c r="K57" s="159">
        <f>IF(SUM(M52:M56)&lt;=0,0,SUM(M52:M56))</f>
        <v>0</v>
      </c>
      <c r="L57" s="158"/>
      <c r="M57" s="159">
        <f>IF(SUM(K52:K56)&lt;=0,0,SUM(K52:K56))</f>
        <v>5824</v>
      </c>
    </row>
    <row r="58" spans="1:13" ht="15">
      <c r="A58" s="214"/>
      <c r="B58" s="146" t="s">
        <v>1642</v>
      </c>
      <c r="C58" s="158">
        <f>SUM(C52:C57)</f>
        <v>13194590</v>
      </c>
      <c r="D58" s="158"/>
      <c r="E58" s="158">
        <f>SUM(E52:E57)</f>
        <v>13194590</v>
      </c>
      <c r="F58" s="158"/>
      <c r="G58" s="158">
        <f>SUM(G52:G57)</f>
        <v>13155409</v>
      </c>
      <c r="H58" s="158"/>
      <c r="I58" s="158">
        <f>SUM(I52:I57)</f>
        <v>13155409</v>
      </c>
      <c r="K58" s="158">
        <f>SUM(K52:K57)</f>
        <v>5824</v>
      </c>
      <c r="L58" s="158"/>
      <c r="M58" s="158">
        <f>SUM(M52:M57)</f>
        <v>5824</v>
      </c>
    </row>
    <row r="59" spans="1:13" ht="15">
      <c r="A59" s="214"/>
      <c r="C59" s="158"/>
      <c r="D59" s="158"/>
      <c r="E59" s="158"/>
      <c r="F59" s="158"/>
      <c r="G59" s="158"/>
      <c r="H59" s="158"/>
      <c r="I59" s="158"/>
      <c r="K59" s="158"/>
      <c r="L59" s="158"/>
      <c r="M59" s="158"/>
    </row>
    <row r="60" spans="1:15" ht="15">
      <c r="A60" s="213" t="s">
        <v>436</v>
      </c>
      <c r="B60" s="146" t="s">
        <v>1532</v>
      </c>
      <c r="C60" s="156">
        <f>+C12+C20+C28+C36+C44+C52</f>
        <v>3430614</v>
      </c>
      <c r="D60" s="156"/>
      <c r="E60" s="156">
        <f>+E12+E20+E28+E36+E44+E52</f>
        <v>6609481</v>
      </c>
      <c r="F60" s="156"/>
      <c r="G60" s="156">
        <f aca="true" t="shared" si="0" ref="G60:G65">+G12+G20+G28+G36+G44+G52</f>
        <v>3424630</v>
      </c>
      <c r="H60" s="156"/>
      <c r="I60" s="156">
        <f aca="true" t="shared" si="1" ref="I60:I65">+I12+I20+I28+I36+I44+I52</f>
        <v>6553473</v>
      </c>
      <c r="K60" s="156">
        <f aca="true" t="shared" si="2" ref="K60:K65">+K12+K20+K28+K36+K44+K52</f>
        <v>15393</v>
      </c>
      <c r="L60" s="156"/>
      <c r="M60" s="156">
        <f aca="true" t="shared" si="3" ref="M60:M65">+M12+M20+M28+M36+M44+M52</f>
        <v>49909</v>
      </c>
      <c r="O60" s="115"/>
    </row>
    <row r="61" spans="1:15" ht="15">
      <c r="A61" s="213" t="s">
        <v>441</v>
      </c>
      <c r="B61" s="146" t="s">
        <v>1533</v>
      </c>
      <c r="C61" s="156">
        <f aca="true" t="shared" si="4" ref="C61:E64">+C13+C21+C29+C37+C45+C53</f>
        <v>691232</v>
      </c>
      <c r="D61" s="156"/>
      <c r="E61" s="156">
        <f t="shared" si="4"/>
        <v>1331620</v>
      </c>
      <c r="F61" s="156"/>
      <c r="G61" s="156">
        <f t="shared" si="0"/>
        <v>690031</v>
      </c>
      <c r="H61" s="156"/>
      <c r="I61" s="156">
        <f t="shared" si="1"/>
        <v>1320336</v>
      </c>
      <c r="K61" s="156">
        <f t="shared" si="2"/>
        <v>3097</v>
      </c>
      <c r="L61" s="156"/>
      <c r="M61" s="156">
        <f t="shared" si="3"/>
        <v>10055</v>
      </c>
      <c r="O61" s="115"/>
    </row>
    <row r="62" spans="1:15" ht="15">
      <c r="A62" s="213" t="s">
        <v>371</v>
      </c>
      <c r="B62" s="146" t="s">
        <v>1534</v>
      </c>
      <c r="C62" s="156">
        <f t="shared" si="4"/>
        <v>1760800</v>
      </c>
      <c r="D62" s="156"/>
      <c r="E62" s="156">
        <f t="shared" si="4"/>
        <v>3391702</v>
      </c>
      <c r="F62" s="156"/>
      <c r="G62" s="156">
        <f t="shared" si="0"/>
        <v>1757738</v>
      </c>
      <c r="H62" s="156"/>
      <c r="I62" s="156">
        <f t="shared" si="1"/>
        <v>3362957</v>
      </c>
      <c r="K62" s="156">
        <f t="shared" si="2"/>
        <v>7890</v>
      </c>
      <c r="L62" s="156"/>
      <c r="M62" s="156">
        <f t="shared" si="3"/>
        <v>25615</v>
      </c>
      <c r="O62" s="115"/>
    </row>
    <row r="63" spans="1:15" ht="15">
      <c r="A63" s="213" t="s">
        <v>442</v>
      </c>
      <c r="B63" s="146" t="s">
        <v>1536</v>
      </c>
      <c r="C63" s="156">
        <f t="shared" si="4"/>
        <v>2253811</v>
      </c>
      <c r="D63" s="156"/>
      <c r="E63" s="156">
        <f t="shared" si="4"/>
        <v>4341793</v>
      </c>
      <c r="F63" s="156"/>
      <c r="G63" s="156">
        <f t="shared" si="0"/>
        <v>2249899</v>
      </c>
      <c r="H63" s="156"/>
      <c r="I63" s="156">
        <f t="shared" si="1"/>
        <v>4304994</v>
      </c>
      <c r="K63" s="156">
        <f t="shared" si="2"/>
        <v>10091</v>
      </c>
      <c r="L63" s="156"/>
      <c r="M63" s="156">
        <f t="shared" si="3"/>
        <v>32789</v>
      </c>
      <c r="O63" s="115"/>
    </row>
    <row r="64" spans="1:15" ht="15">
      <c r="A64" s="213" t="s">
        <v>1043</v>
      </c>
      <c r="B64" s="146" t="s">
        <v>1537</v>
      </c>
      <c r="C64" s="156">
        <f t="shared" si="4"/>
        <v>1819439</v>
      </c>
      <c r="D64" s="156"/>
      <c r="E64" s="156">
        <f t="shared" si="4"/>
        <v>3504614</v>
      </c>
      <c r="F64" s="156"/>
      <c r="G64" s="156">
        <f t="shared" si="0"/>
        <v>1816273</v>
      </c>
      <c r="H64" s="156"/>
      <c r="I64" s="156">
        <f t="shared" si="1"/>
        <v>3474907</v>
      </c>
      <c r="K64" s="156">
        <f t="shared" si="2"/>
        <v>8154</v>
      </c>
      <c r="L64" s="156"/>
      <c r="M64" s="156">
        <f t="shared" si="3"/>
        <v>26470</v>
      </c>
      <c r="O64" s="115"/>
    </row>
    <row r="65" spans="1:15" ht="15">
      <c r="A65" s="213" t="s">
        <v>1042</v>
      </c>
      <c r="B65" s="146" t="s">
        <v>1689</v>
      </c>
      <c r="C65" s="161">
        <f>+C17+C25+C33+C41+C49+C57</f>
        <v>19179210</v>
      </c>
      <c r="D65" s="156"/>
      <c r="E65" s="161">
        <f>+E17+E25+E33+E41+E49+E57</f>
        <v>9955896</v>
      </c>
      <c r="F65" s="156"/>
      <c r="G65" s="161">
        <f t="shared" si="0"/>
        <v>19016667</v>
      </c>
      <c r="H65" s="156"/>
      <c r="I65" s="161">
        <f t="shared" si="1"/>
        <v>9938571</v>
      </c>
      <c r="K65" s="161">
        <f t="shared" si="2"/>
        <v>144838</v>
      </c>
      <c r="L65" s="156"/>
      <c r="M65" s="161">
        <f t="shared" si="3"/>
        <v>44625</v>
      </c>
      <c r="O65" s="115"/>
    </row>
    <row r="66" spans="1:13" ht="15">
      <c r="A66" s="154"/>
      <c r="B66" s="146" t="s">
        <v>1642</v>
      </c>
      <c r="C66" s="156">
        <f>SUM(C60:C65)</f>
        <v>29135106</v>
      </c>
      <c r="D66" s="156"/>
      <c r="E66" s="156">
        <f>SUM(E60:E65)</f>
        <v>29135106</v>
      </c>
      <c r="F66" s="156"/>
      <c r="G66" s="156">
        <f>SUM(G60:G65)</f>
        <v>28955238</v>
      </c>
      <c r="H66" s="156"/>
      <c r="I66" s="156">
        <f>SUM(I60:I65)</f>
        <v>28955238</v>
      </c>
      <c r="K66" s="156">
        <f>SUM(K60:K65)</f>
        <v>189463</v>
      </c>
      <c r="L66" s="156"/>
      <c r="M66" s="156">
        <f>SUM(M60:M65)</f>
        <v>189463</v>
      </c>
    </row>
    <row r="67" spans="1:9" ht="15">
      <c r="A67" s="154"/>
      <c r="C67" s="156"/>
      <c r="D67" s="156"/>
      <c r="E67" s="156"/>
      <c r="F67" s="156"/>
      <c r="G67" s="156"/>
      <c r="H67" s="156"/>
      <c r="I67" s="156"/>
    </row>
    <row r="68" ht="15">
      <c r="A68" s="146" t="s">
        <v>1648</v>
      </c>
    </row>
    <row r="69" ht="15">
      <c r="A69" s="203" t="s">
        <v>357</v>
      </c>
    </row>
    <row r="70" spans="1:5" ht="15">
      <c r="A70" s="203" t="s">
        <v>449</v>
      </c>
      <c r="E70" s="148" t="str">
        <f>+INPUT!C1</f>
        <v>February 2009</v>
      </c>
    </row>
    <row r="71" spans="1:5" ht="15">
      <c r="A71" s="203" t="s">
        <v>794</v>
      </c>
      <c r="D71" s="148"/>
      <c r="E71" s="148" t="str">
        <f>+INPUT!C1</f>
        <v>February 2009</v>
      </c>
    </row>
  </sheetData>
  <printOptions horizontalCentered="1"/>
  <pageMargins left="0.5" right="0.5" top="0.25" bottom="0.25" header="0" footer="0"/>
  <pageSetup fitToHeight="1" fitToWidth="1" horizontalDpi="600" verticalDpi="600" orientation="portrait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>
    <tabColor indexed="44"/>
    <pageSetUpPr fitToPage="1"/>
  </sheetPr>
  <dimension ref="A1:L172"/>
  <sheetViews>
    <sheetView zoomScale="75" zoomScaleNormal="75" workbookViewId="0" topLeftCell="A1">
      <selection activeCell="B30" sqref="B30"/>
    </sheetView>
  </sheetViews>
  <sheetFormatPr defaultColWidth="9.140625" defaultRowHeight="12.75"/>
  <cols>
    <col min="1" max="1" width="58.140625" style="0" bestFit="1" customWidth="1"/>
    <col min="2" max="2" width="28.28125" style="0" bestFit="1" customWidth="1"/>
    <col min="3" max="3" width="20.140625" style="0" bestFit="1" customWidth="1"/>
    <col min="4" max="4" width="19.140625" style="0" bestFit="1" customWidth="1"/>
    <col min="5" max="5" width="19.421875" style="0" bestFit="1" customWidth="1"/>
    <col min="6" max="6" width="4.421875" style="0" customWidth="1"/>
    <col min="7" max="7" width="19.140625" style="0" bestFit="1" customWidth="1"/>
    <col min="8" max="8" width="52.28125" style="0" hidden="1" customWidth="1"/>
    <col min="9" max="9" width="16.421875" style="0" hidden="1" customWidth="1"/>
    <col min="10" max="10" width="28.28125" style="0" hidden="1" customWidth="1"/>
    <col min="11" max="11" width="10.7109375" style="0" bestFit="1" customWidth="1"/>
    <col min="12" max="12" width="11.7109375" style="0" bestFit="1" customWidth="1"/>
  </cols>
  <sheetData>
    <row r="1" spans="1:7" ht="12.75">
      <c r="A1" s="389" t="s">
        <v>1729</v>
      </c>
      <c r="B1" s="578" t="str">
        <f>INPUT!C1</f>
        <v>February 2009</v>
      </c>
      <c r="C1" s="296"/>
      <c r="D1" s="296"/>
      <c r="E1" s="296"/>
      <c r="F1" s="296"/>
      <c r="G1" s="295" t="s">
        <v>621</v>
      </c>
    </row>
    <row r="2" spans="1:7" ht="12.75">
      <c r="A2" s="296"/>
      <c r="B2" s="296"/>
      <c r="C2" s="296"/>
      <c r="D2" s="296"/>
      <c r="E2" s="296"/>
      <c r="F2" s="296"/>
      <c r="G2" s="295" t="s">
        <v>335</v>
      </c>
    </row>
    <row r="3" ht="18">
      <c r="A3" s="293" t="s">
        <v>1956</v>
      </c>
    </row>
    <row r="4" ht="18">
      <c r="A4" s="293" t="s">
        <v>1957</v>
      </c>
    </row>
    <row r="6" spans="1:9" ht="12.75">
      <c r="A6" s="294"/>
      <c r="B6" s="294"/>
      <c r="C6" s="579" t="s">
        <v>1951</v>
      </c>
      <c r="D6" s="579" t="s">
        <v>1952</v>
      </c>
      <c r="E6" s="579" t="s">
        <v>646</v>
      </c>
      <c r="F6" s="579"/>
      <c r="G6" s="579" t="s">
        <v>1954</v>
      </c>
      <c r="H6" s="390"/>
      <c r="I6" s="579" t="s">
        <v>914</v>
      </c>
    </row>
    <row r="7" spans="1:10" ht="12.75">
      <c r="A7" s="287" t="s">
        <v>1950</v>
      </c>
      <c r="B7" s="287" t="s">
        <v>616</v>
      </c>
      <c r="C7" s="580" t="s">
        <v>1953</v>
      </c>
      <c r="D7" s="580" t="s">
        <v>1953</v>
      </c>
      <c r="E7" s="580" t="s">
        <v>1953</v>
      </c>
      <c r="F7" s="580"/>
      <c r="G7" s="580" t="s">
        <v>1955</v>
      </c>
      <c r="H7" s="580" t="s">
        <v>882</v>
      </c>
      <c r="I7" s="580" t="s">
        <v>915</v>
      </c>
      <c r="J7" s="580" t="s">
        <v>916</v>
      </c>
    </row>
    <row r="9" ht="15.75">
      <c r="A9" s="638" t="s">
        <v>892</v>
      </c>
    </row>
    <row r="10" spans="1:7" ht="12.75">
      <c r="A10" t="s">
        <v>1971</v>
      </c>
      <c r="B10" s="289" t="s">
        <v>907</v>
      </c>
      <c r="C10" s="688">
        <v>8908955</v>
      </c>
      <c r="D10" s="688">
        <v>524999</v>
      </c>
      <c r="E10" s="688">
        <v>9433954</v>
      </c>
      <c r="F10" s="393"/>
      <c r="G10" s="688">
        <v>0</v>
      </c>
    </row>
    <row r="11" spans="1:10" s="390" customFormat="1" ht="12.75">
      <c r="A11" s="830" t="s">
        <v>1732</v>
      </c>
      <c r="B11" s="516"/>
      <c r="C11" s="688">
        <v>31038</v>
      </c>
      <c r="D11" s="688">
        <v>-379888</v>
      </c>
      <c r="E11" s="688">
        <v>-348850</v>
      </c>
      <c r="F11" s="393"/>
      <c r="G11" s="688">
        <v>0</v>
      </c>
      <c r="H11" s="390" t="s">
        <v>894</v>
      </c>
      <c r="I11" s="390" t="s">
        <v>918</v>
      </c>
      <c r="J11" s="390" t="s">
        <v>917</v>
      </c>
    </row>
    <row r="12" spans="1:7" s="390" customFormat="1" ht="12.75">
      <c r="A12" t="s">
        <v>598</v>
      </c>
      <c r="B12" s="289" t="s">
        <v>913</v>
      </c>
      <c r="C12" s="688">
        <v>445649</v>
      </c>
      <c r="D12" s="688">
        <v>0</v>
      </c>
      <c r="E12" s="688">
        <v>445649</v>
      </c>
      <c r="F12" s="393"/>
      <c r="G12" s="688">
        <v>0</v>
      </c>
    </row>
    <row r="13" spans="1:7" s="390" customFormat="1" ht="12.75">
      <c r="A13" s="830" t="s">
        <v>420</v>
      </c>
      <c r="B13" s="289" t="s">
        <v>913</v>
      </c>
      <c r="C13" s="688">
        <v>26891</v>
      </c>
      <c r="D13" s="688">
        <v>0</v>
      </c>
      <c r="E13" s="688">
        <v>26891</v>
      </c>
      <c r="F13" s="393"/>
      <c r="G13" s="688">
        <v>0</v>
      </c>
    </row>
    <row r="14" spans="1:7" s="390" customFormat="1" ht="12.75">
      <c r="A14" t="s">
        <v>326</v>
      </c>
      <c r="B14" s="289" t="s">
        <v>913</v>
      </c>
      <c r="C14" s="688">
        <v>2726846</v>
      </c>
      <c r="D14" s="688">
        <v>0</v>
      </c>
      <c r="E14" s="688">
        <v>2726846</v>
      </c>
      <c r="F14" s="393"/>
      <c r="G14" s="688">
        <v>0</v>
      </c>
    </row>
    <row r="15" spans="1:10" s="390" customFormat="1" ht="12.75">
      <c r="A15" t="s">
        <v>1972</v>
      </c>
      <c r="B15" s="289">
        <v>5550.032</v>
      </c>
      <c r="C15" s="688">
        <v>0</v>
      </c>
      <c r="D15" s="688">
        <v>0</v>
      </c>
      <c r="E15" s="688">
        <v>0</v>
      </c>
      <c r="F15" s="393"/>
      <c r="G15" s="688">
        <v>0</v>
      </c>
      <c r="H15" s="390" t="s">
        <v>902</v>
      </c>
      <c r="I15" s="390" t="s">
        <v>918</v>
      </c>
      <c r="J15" s="390" t="s">
        <v>919</v>
      </c>
    </row>
    <row r="16" spans="1:10" s="390" customFormat="1" ht="12.75">
      <c r="A16" s="388" t="s">
        <v>585</v>
      </c>
      <c r="B16" s="289" t="s">
        <v>934</v>
      </c>
      <c r="C16" s="688">
        <v>-520601</v>
      </c>
      <c r="D16" s="688">
        <v>-1251873</v>
      </c>
      <c r="E16" s="688">
        <v>-1772474</v>
      </c>
      <c r="F16" s="393"/>
      <c r="G16" s="688">
        <v>0</v>
      </c>
      <c r="H16" s="390" t="s">
        <v>902</v>
      </c>
      <c r="I16" s="390" t="s">
        <v>918</v>
      </c>
      <c r="J16" s="390" t="s">
        <v>919</v>
      </c>
    </row>
    <row r="17" spans="1:10" s="390" customFormat="1" ht="12.75">
      <c r="A17"/>
      <c r="B17" s="516" t="s">
        <v>1733</v>
      </c>
      <c r="C17" s="688"/>
      <c r="D17" s="688"/>
      <c r="E17" s="688"/>
      <c r="F17" s="393"/>
      <c r="G17" s="688"/>
      <c r="H17" s="390" t="s">
        <v>903</v>
      </c>
      <c r="I17" s="390" t="s">
        <v>920</v>
      </c>
      <c r="J17" s="390" t="s">
        <v>921</v>
      </c>
    </row>
    <row r="18" spans="1:10" s="390" customFormat="1" ht="12.75">
      <c r="A18" t="s">
        <v>421</v>
      </c>
      <c r="B18" s="289" t="s">
        <v>934</v>
      </c>
      <c r="C18" s="688">
        <v>285750</v>
      </c>
      <c r="D18" s="688">
        <v>-285750</v>
      </c>
      <c r="E18" s="688">
        <v>0</v>
      </c>
      <c r="F18" s="688"/>
      <c r="G18" s="688">
        <v>0</v>
      </c>
      <c r="H18" s="390" t="s">
        <v>904</v>
      </c>
      <c r="I18" s="390" t="s">
        <v>920</v>
      </c>
      <c r="J18" s="390" t="s">
        <v>921</v>
      </c>
    </row>
    <row r="19" spans="1:7" s="390" customFormat="1" ht="12.75">
      <c r="A19"/>
      <c r="B19" s="289" t="s">
        <v>329</v>
      </c>
      <c r="C19" s="688"/>
      <c r="D19" s="688"/>
      <c r="E19" s="688"/>
      <c r="F19" s="688"/>
      <c r="G19" s="688"/>
    </row>
    <row r="20" spans="1:7" s="390" customFormat="1" ht="12.75">
      <c r="A20" s="390" t="s">
        <v>1236</v>
      </c>
      <c r="B20" s="516" t="s">
        <v>1235</v>
      </c>
      <c r="C20" s="688">
        <v>0</v>
      </c>
      <c r="D20" s="688">
        <v>575525</v>
      </c>
      <c r="E20" s="688">
        <v>575525</v>
      </c>
      <c r="F20" s="688"/>
      <c r="G20" s="688">
        <v>0</v>
      </c>
    </row>
    <row r="21" spans="1:10" s="390" customFormat="1" ht="12.75">
      <c r="A21" s="390" t="s">
        <v>1959</v>
      </c>
      <c r="B21" s="516" t="s">
        <v>1958</v>
      </c>
      <c r="C21" s="688">
        <v>0</v>
      </c>
      <c r="D21" s="688">
        <v>0</v>
      </c>
      <c r="E21" s="688">
        <v>0</v>
      </c>
      <c r="F21" s="688"/>
      <c r="G21" s="688">
        <v>0</v>
      </c>
      <c r="I21" s="390" t="s">
        <v>920</v>
      </c>
      <c r="J21" s="390" t="s">
        <v>921</v>
      </c>
    </row>
    <row r="22" spans="1:7" s="390" customFormat="1" ht="12.75">
      <c r="A22" t="s">
        <v>1834</v>
      </c>
      <c r="B22" s="289">
        <v>4470.099</v>
      </c>
      <c r="C22" s="688">
        <v>0</v>
      </c>
      <c r="D22" s="688">
        <v>0</v>
      </c>
      <c r="E22" s="688">
        <v>0</v>
      </c>
      <c r="F22" s="688"/>
      <c r="G22" s="688">
        <v>0</v>
      </c>
    </row>
    <row r="23" spans="1:7" s="390" customFormat="1" ht="12.75">
      <c r="A23" t="s">
        <v>1961</v>
      </c>
      <c r="B23" s="289" t="s">
        <v>1958</v>
      </c>
      <c r="C23" s="688">
        <v>800442</v>
      </c>
      <c r="D23" s="688">
        <v>0</v>
      </c>
      <c r="E23" s="688">
        <v>800442</v>
      </c>
      <c r="F23" s="688"/>
      <c r="G23" s="688">
        <v>0</v>
      </c>
    </row>
    <row r="24" spans="1:10" s="390" customFormat="1" ht="12.75">
      <c r="A24" s="390" t="s">
        <v>1325</v>
      </c>
      <c r="B24" s="516" t="s">
        <v>1958</v>
      </c>
      <c r="C24" s="688">
        <v>0</v>
      </c>
      <c r="D24" s="688">
        <v>0</v>
      </c>
      <c r="E24" s="688">
        <v>0</v>
      </c>
      <c r="F24" s="688"/>
      <c r="G24" s="688">
        <v>0</v>
      </c>
      <c r="H24" s="390" t="s">
        <v>905</v>
      </c>
      <c r="I24" s="390" t="s">
        <v>922</v>
      </c>
      <c r="J24" s="390" t="s">
        <v>923</v>
      </c>
    </row>
    <row r="25" spans="1:10" s="390" customFormat="1" ht="12.75">
      <c r="A25" t="s">
        <v>799</v>
      </c>
      <c r="B25" s="289">
        <v>4470.002</v>
      </c>
      <c r="C25" s="688">
        <v>-43660</v>
      </c>
      <c r="D25" s="688">
        <v>0</v>
      </c>
      <c r="E25" s="688">
        <v>-43660</v>
      </c>
      <c r="F25" s="688"/>
      <c r="G25" s="688">
        <v>0</v>
      </c>
      <c r="H25" s="390" t="s">
        <v>905</v>
      </c>
      <c r="I25" s="390" t="s">
        <v>924</v>
      </c>
      <c r="J25" s="390" t="s">
        <v>925</v>
      </c>
    </row>
    <row r="26" spans="1:7" s="390" customFormat="1" ht="12.75">
      <c r="A26" t="s">
        <v>948</v>
      </c>
      <c r="B26" s="289" t="s">
        <v>1958</v>
      </c>
      <c r="C26" s="688">
        <v>6920294</v>
      </c>
      <c r="D26" s="688">
        <v>0</v>
      </c>
      <c r="E26" s="688">
        <v>0</v>
      </c>
      <c r="F26" s="688"/>
      <c r="G26" s="688">
        <v>0</v>
      </c>
    </row>
    <row r="27" spans="1:10" s="390" customFormat="1" ht="12.75">
      <c r="A27" t="s">
        <v>949</v>
      </c>
      <c r="B27" s="289" t="s">
        <v>1958</v>
      </c>
      <c r="C27" s="688">
        <v>-209355</v>
      </c>
      <c r="D27" s="688">
        <v>0</v>
      </c>
      <c r="E27" s="688">
        <v>-209355</v>
      </c>
      <c r="F27" s="688"/>
      <c r="G27" s="688">
        <v>0</v>
      </c>
      <c r="H27" s="390" t="s">
        <v>905</v>
      </c>
      <c r="I27" s="390" t="s">
        <v>924</v>
      </c>
      <c r="J27" s="390" t="s">
        <v>925</v>
      </c>
    </row>
    <row r="28" spans="1:7" s="390" customFormat="1" ht="12.75">
      <c r="A28" s="390" t="s">
        <v>950</v>
      </c>
      <c r="B28" s="516">
        <v>4470.125</v>
      </c>
      <c r="C28" s="688">
        <v>-835944</v>
      </c>
      <c r="D28" s="688">
        <v>0</v>
      </c>
      <c r="E28" s="688">
        <v>-835944</v>
      </c>
      <c r="F28" s="688"/>
      <c r="G28" s="688">
        <v>0</v>
      </c>
    </row>
    <row r="29" spans="1:12" s="390" customFormat="1" ht="14.25" customHeight="1">
      <c r="A29" s="390" t="s">
        <v>951</v>
      </c>
      <c r="B29" s="516" t="s">
        <v>489</v>
      </c>
      <c r="C29" s="688">
        <v>-11483</v>
      </c>
      <c r="D29" s="688">
        <v>0</v>
      </c>
      <c r="E29" s="688">
        <v>-11483</v>
      </c>
      <c r="F29" s="688"/>
      <c r="G29" s="688">
        <v>0</v>
      </c>
      <c r="H29" s="390" t="s">
        <v>905</v>
      </c>
      <c r="I29" s="390" t="s">
        <v>924</v>
      </c>
      <c r="J29" s="390" t="s">
        <v>925</v>
      </c>
      <c r="K29" s="688"/>
      <c r="L29" s="393"/>
    </row>
    <row r="30" spans="1:7" s="390" customFormat="1" ht="12.75">
      <c r="A30" s="390" t="s">
        <v>1867</v>
      </c>
      <c r="B30" s="516" t="s">
        <v>1865</v>
      </c>
      <c r="C30" s="688">
        <v>0</v>
      </c>
      <c r="D30" s="688">
        <v>0</v>
      </c>
      <c r="E30" s="688">
        <v>0</v>
      </c>
      <c r="F30" s="688"/>
      <c r="G30" s="688">
        <v>0</v>
      </c>
    </row>
    <row r="31" spans="1:10" s="390" customFormat="1" ht="12.75">
      <c r="A31" s="390" t="s">
        <v>1168</v>
      </c>
      <c r="B31" s="516">
        <v>4470.124</v>
      </c>
      <c r="C31" s="688">
        <v>-136</v>
      </c>
      <c r="D31" s="688">
        <v>0</v>
      </c>
      <c r="E31" s="688">
        <v>-136</v>
      </c>
      <c r="F31" s="688"/>
      <c r="G31" s="688">
        <v>0</v>
      </c>
      <c r="H31" s="390" t="s">
        <v>905</v>
      </c>
      <c r="I31" s="390" t="s">
        <v>924</v>
      </c>
      <c r="J31" s="390" t="s">
        <v>925</v>
      </c>
    </row>
    <row r="32" spans="1:7" s="390" customFormat="1" ht="12.75">
      <c r="A32" s="390" t="s">
        <v>1962</v>
      </c>
      <c r="B32" s="516" t="s">
        <v>1835</v>
      </c>
      <c r="C32" s="688">
        <v>228</v>
      </c>
      <c r="D32" s="688">
        <v>0</v>
      </c>
      <c r="E32" s="688">
        <v>228</v>
      </c>
      <c r="F32" s="688"/>
      <c r="G32" s="688">
        <v>0</v>
      </c>
    </row>
    <row r="33" spans="1:7" s="390" customFormat="1" ht="12.75">
      <c r="A33" t="s">
        <v>1837</v>
      </c>
      <c r="B33" s="289" t="s">
        <v>1839</v>
      </c>
      <c r="C33" s="688">
        <v>0</v>
      </c>
      <c r="D33" s="688">
        <v>0</v>
      </c>
      <c r="E33" s="688">
        <v>0</v>
      </c>
      <c r="F33" s="688"/>
      <c r="G33" s="688">
        <v>0</v>
      </c>
    </row>
    <row r="34" spans="1:7" s="390" customFormat="1" ht="12.75">
      <c r="A34" t="s">
        <v>596</v>
      </c>
      <c r="B34" s="516">
        <v>5614.008</v>
      </c>
      <c r="C34" s="688">
        <v>0</v>
      </c>
      <c r="D34" s="688">
        <v>0</v>
      </c>
      <c r="E34" s="688">
        <v>0</v>
      </c>
      <c r="F34" s="688"/>
      <c r="G34" s="688">
        <v>0</v>
      </c>
    </row>
    <row r="35" spans="1:7" ht="12.75">
      <c r="A35" s="390" t="s">
        <v>1629</v>
      </c>
      <c r="B35" s="516">
        <v>5757</v>
      </c>
      <c r="C35" s="688">
        <v>0</v>
      </c>
      <c r="D35" s="688">
        <v>0</v>
      </c>
      <c r="E35" s="688">
        <v>0</v>
      </c>
      <c r="F35" s="688"/>
      <c r="G35" s="688">
        <v>0</v>
      </c>
    </row>
    <row r="36" spans="1:7" ht="12.75">
      <c r="A36" s="390" t="s">
        <v>1630</v>
      </c>
      <c r="B36" s="516">
        <v>4470.143</v>
      </c>
      <c r="C36" s="688">
        <v>978590</v>
      </c>
      <c r="D36" s="688">
        <v>0</v>
      </c>
      <c r="E36" s="688">
        <v>978590</v>
      </c>
      <c r="F36" s="688"/>
      <c r="G36" s="688">
        <v>0</v>
      </c>
    </row>
    <row r="37" spans="1:10" ht="12.75">
      <c r="A37" s="390" t="s">
        <v>1734</v>
      </c>
      <c r="B37" s="581" t="s">
        <v>1958</v>
      </c>
      <c r="C37" s="688">
        <v>0</v>
      </c>
      <c r="D37" s="688">
        <v>-5567</v>
      </c>
      <c r="E37" s="688">
        <v>-5567</v>
      </c>
      <c r="F37" s="688"/>
      <c r="G37" s="688">
        <v>0</v>
      </c>
      <c r="H37" t="s">
        <v>906</v>
      </c>
      <c r="I37" t="s">
        <v>926</v>
      </c>
      <c r="J37" t="s">
        <v>1963</v>
      </c>
    </row>
    <row r="38" spans="1:7" ht="12.75">
      <c r="A38" s="390" t="s">
        <v>385</v>
      </c>
      <c r="B38" s="516" t="s">
        <v>330</v>
      </c>
      <c r="C38" s="688">
        <v>0</v>
      </c>
      <c r="D38" s="688">
        <v>-5349</v>
      </c>
      <c r="E38" s="688">
        <v>-5349</v>
      </c>
      <c r="F38" s="688"/>
      <c r="G38" s="688">
        <v>0</v>
      </c>
    </row>
    <row r="39" spans="1:7" ht="12.75">
      <c r="A39" s="390" t="s">
        <v>386</v>
      </c>
      <c r="B39" s="581" t="s">
        <v>331</v>
      </c>
      <c r="C39" s="688">
        <v>0</v>
      </c>
      <c r="D39" s="688">
        <v>-1218</v>
      </c>
      <c r="E39" s="688">
        <v>-1218</v>
      </c>
      <c r="F39" s="688"/>
      <c r="G39" s="688">
        <v>0</v>
      </c>
    </row>
    <row r="40" spans="1:10" ht="12.75">
      <c r="A40" t="s">
        <v>798</v>
      </c>
      <c r="B40" s="527" t="s">
        <v>1958</v>
      </c>
      <c r="C40" s="688">
        <v>0</v>
      </c>
      <c r="D40" s="688">
        <v>1719</v>
      </c>
      <c r="E40" s="688">
        <v>1719</v>
      </c>
      <c r="F40" s="688"/>
      <c r="G40" s="688">
        <v>0</v>
      </c>
      <c r="H40" t="s">
        <v>936</v>
      </c>
      <c r="I40" t="s">
        <v>918</v>
      </c>
      <c r="J40" t="s">
        <v>927</v>
      </c>
    </row>
    <row r="41" spans="1:7" ht="12.75">
      <c r="A41" t="s">
        <v>1344</v>
      </c>
      <c r="B41" s="527">
        <v>4470.154</v>
      </c>
      <c r="C41" s="688">
        <v>0</v>
      </c>
      <c r="D41" s="688">
        <v>718948</v>
      </c>
      <c r="E41" s="688">
        <v>718948</v>
      </c>
      <c r="F41" s="688"/>
      <c r="G41" s="688">
        <v>0</v>
      </c>
    </row>
    <row r="42" spans="1:7" ht="12.75">
      <c r="A42" t="s">
        <v>1345</v>
      </c>
      <c r="B42" s="581">
        <v>4470.152</v>
      </c>
      <c r="C42" s="688">
        <v>0</v>
      </c>
      <c r="D42" s="688">
        <v>-1752506</v>
      </c>
      <c r="E42" s="688">
        <v>-1752506</v>
      </c>
      <c r="F42" s="688"/>
      <c r="G42" s="688">
        <v>0</v>
      </c>
    </row>
    <row r="43" spans="1:7" ht="12.75">
      <c r="A43" t="s">
        <v>1964</v>
      </c>
      <c r="B43" s="527">
        <v>4470.081</v>
      </c>
      <c r="C43" s="688">
        <v>0</v>
      </c>
      <c r="D43" s="688">
        <v>0</v>
      </c>
      <c r="E43" s="688">
        <v>0</v>
      </c>
      <c r="F43" s="688"/>
      <c r="G43" s="688">
        <v>0</v>
      </c>
    </row>
    <row r="44" spans="1:7" ht="12.75">
      <c r="A44" t="s">
        <v>1968</v>
      </c>
      <c r="B44" s="527">
        <v>4470.081</v>
      </c>
      <c r="C44" s="688">
        <v>551800</v>
      </c>
      <c r="D44" s="688">
        <v>1691380</v>
      </c>
      <c r="E44" s="688">
        <v>2243180</v>
      </c>
      <c r="F44" s="688"/>
      <c r="G44" s="688">
        <v>1163353</v>
      </c>
    </row>
    <row r="45" spans="1:7" ht="12.75">
      <c r="A45" t="s">
        <v>1969</v>
      </c>
      <c r="B45" s="289">
        <v>4470.081</v>
      </c>
      <c r="C45" s="688">
        <v>-75</v>
      </c>
      <c r="D45" s="688">
        <v>0</v>
      </c>
      <c r="E45" s="688">
        <v>-75</v>
      </c>
      <c r="F45" s="688"/>
      <c r="G45" s="688">
        <v>-40</v>
      </c>
    </row>
    <row r="46" spans="1:7" ht="12.75">
      <c r="A46" t="s">
        <v>1324</v>
      </c>
      <c r="B46" s="289">
        <v>4470.081</v>
      </c>
      <c r="C46" s="688">
        <v>0</v>
      </c>
      <c r="D46" s="688">
        <v>0</v>
      </c>
      <c r="E46" s="688">
        <v>0</v>
      </c>
      <c r="F46" s="688"/>
      <c r="G46" s="688">
        <v>0</v>
      </c>
    </row>
    <row r="47" spans="1:7" s="390" customFormat="1" ht="12.75">
      <c r="A47" t="s">
        <v>1965</v>
      </c>
      <c r="B47" s="289">
        <v>4470.132</v>
      </c>
      <c r="C47" s="688">
        <v>0</v>
      </c>
      <c r="D47" s="688">
        <v>0</v>
      </c>
      <c r="E47" s="688">
        <v>0</v>
      </c>
      <c r="F47" s="688"/>
      <c r="G47" s="688">
        <v>0</v>
      </c>
    </row>
    <row r="48" spans="1:10" s="390" customFormat="1" ht="12.75">
      <c r="A48" t="s">
        <v>1966</v>
      </c>
      <c r="B48" s="289">
        <v>4470.132</v>
      </c>
      <c r="C48" s="688">
        <v>0</v>
      </c>
      <c r="D48" s="688">
        <v>0</v>
      </c>
      <c r="E48" s="688">
        <v>0</v>
      </c>
      <c r="F48" s="688"/>
      <c r="G48" s="688">
        <v>0</v>
      </c>
      <c r="I48" s="390" t="s">
        <v>918</v>
      </c>
      <c r="J48" s="390" t="s">
        <v>928</v>
      </c>
    </row>
    <row r="49" spans="1:7" s="390" customFormat="1" ht="12.75">
      <c r="A49" t="s">
        <v>1967</v>
      </c>
      <c r="B49" s="289">
        <v>4470.132</v>
      </c>
      <c r="C49" s="688">
        <v>0</v>
      </c>
      <c r="D49" s="688">
        <v>0</v>
      </c>
      <c r="E49" s="688">
        <v>0</v>
      </c>
      <c r="F49" s="688"/>
      <c r="G49" s="688">
        <v>0</v>
      </c>
    </row>
    <row r="50" spans="1:7" s="390" customFormat="1" ht="12.75">
      <c r="A50" t="s">
        <v>1970</v>
      </c>
      <c r="B50" s="289">
        <v>4470.082</v>
      </c>
      <c r="C50" s="688">
        <v>94553</v>
      </c>
      <c r="D50" s="688">
        <v>0</v>
      </c>
      <c r="E50" s="688">
        <v>94553</v>
      </c>
      <c r="F50" s="688"/>
      <c r="G50" s="688">
        <v>0</v>
      </c>
    </row>
    <row r="51" spans="1:10" s="390" customFormat="1" ht="12.75">
      <c r="A51" t="s">
        <v>1169</v>
      </c>
      <c r="B51" s="289">
        <v>4470.143</v>
      </c>
      <c r="C51" s="688">
        <v>907668</v>
      </c>
      <c r="D51" s="688">
        <v>0</v>
      </c>
      <c r="E51" s="688">
        <v>907668</v>
      </c>
      <c r="F51" s="688"/>
      <c r="G51" s="688">
        <v>0</v>
      </c>
      <c r="I51" s="390" t="s">
        <v>918</v>
      </c>
      <c r="J51" s="390" t="s">
        <v>928</v>
      </c>
    </row>
    <row r="52" spans="1:7" s="390" customFormat="1" ht="12.75">
      <c r="A52" t="s">
        <v>1170</v>
      </c>
      <c r="B52" s="289" t="s">
        <v>490</v>
      </c>
      <c r="C52" s="688">
        <v>-2999766</v>
      </c>
      <c r="D52" s="688">
        <v>0</v>
      </c>
      <c r="E52" s="688">
        <v>-2999766</v>
      </c>
      <c r="F52" s="688"/>
      <c r="G52" s="688">
        <v>0</v>
      </c>
    </row>
    <row r="53" spans="1:7" s="390" customFormat="1" ht="12.75">
      <c r="A53" t="s">
        <v>2030</v>
      </c>
      <c r="B53" s="289">
        <v>4470.082</v>
      </c>
      <c r="C53" s="688">
        <v>-2592536</v>
      </c>
      <c r="D53" s="688">
        <v>0</v>
      </c>
      <c r="E53" s="688">
        <v>-2592536</v>
      </c>
      <c r="F53" s="688"/>
      <c r="G53" s="688">
        <v>0</v>
      </c>
    </row>
    <row r="54" spans="1:7" s="390" customFormat="1" ht="12.75">
      <c r="A54" s="390" t="s">
        <v>181</v>
      </c>
      <c r="B54" s="516">
        <v>4470.081</v>
      </c>
      <c r="C54" s="688">
        <v>-717904</v>
      </c>
      <c r="D54" s="688">
        <v>188780</v>
      </c>
      <c r="E54" s="688">
        <v>-529124</v>
      </c>
      <c r="F54" s="688"/>
      <c r="G54" s="688">
        <v>-1957777</v>
      </c>
    </row>
    <row r="55" spans="1:7" s="390" customFormat="1" ht="12.75">
      <c r="A55" t="s">
        <v>1171</v>
      </c>
      <c r="B55" s="289">
        <v>4470.082</v>
      </c>
      <c r="C55" s="688">
        <v>4745256</v>
      </c>
      <c r="D55" s="688">
        <v>0</v>
      </c>
      <c r="E55" s="688">
        <v>4745256</v>
      </c>
      <c r="F55" s="688"/>
      <c r="G55" s="688">
        <v>0</v>
      </c>
    </row>
    <row r="56" spans="1:9" ht="12.75">
      <c r="A56" t="s">
        <v>422</v>
      </c>
      <c r="B56" s="289">
        <v>5570.007</v>
      </c>
      <c r="C56" s="688">
        <v>0</v>
      </c>
      <c r="D56" s="688">
        <v>0</v>
      </c>
      <c r="E56" s="688">
        <v>0</v>
      </c>
      <c r="F56" s="688"/>
      <c r="G56" s="688">
        <v>0</v>
      </c>
      <c r="I56" s="390"/>
    </row>
    <row r="57" spans="1:9" ht="12.75">
      <c r="A57" s="390" t="s">
        <v>597</v>
      </c>
      <c r="B57" s="516">
        <v>5570.007</v>
      </c>
      <c r="C57" s="688">
        <v>-47250</v>
      </c>
      <c r="D57" s="688">
        <v>0</v>
      </c>
      <c r="E57" s="688">
        <v>-47250</v>
      </c>
      <c r="F57" s="688"/>
      <c r="G57" s="688">
        <v>0</v>
      </c>
      <c r="I57" s="390"/>
    </row>
    <row r="58" spans="1:9" ht="12.75">
      <c r="A58" s="390" t="s">
        <v>932</v>
      </c>
      <c r="B58" s="516">
        <v>4470.01</v>
      </c>
      <c r="C58" s="688">
        <v>-632320</v>
      </c>
      <c r="D58" s="688">
        <v>0</v>
      </c>
      <c r="E58" s="688">
        <v>-632320</v>
      </c>
      <c r="F58" s="688"/>
      <c r="G58" s="688">
        <v>-4862618</v>
      </c>
      <c r="H58" s="390"/>
      <c r="I58" s="390"/>
    </row>
    <row r="59" spans="1:10" ht="12.75">
      <c r="A59" s="390" t="s">
        <v>941</v>
      </c>
      <c r="B59" s="516">
        <v>4470.01</v>
      </c>
      <c r="C59" s="688">
        <v>0</v>
      </c>
      <c r="D59" s="688">
        <v>-34</v>
      </c>
      <c r="E59" s="688">
        <v>-34</v>
      </c>
      <c r="F59" s="688"/>
      <c r="G59" s="688">
        <v>-7540</v>
      </c>
      <c r="H59" t="s">
        <v>908</v>
      </c>
      <c r="I59" s="390" t="s">
        <v>922</v>
      </c>
      <c r="J59" t="s">
        <v>929</v>
      </c>
    </row>
    <row r="60" spans="1:10" ht="12.75">
      <c r="A60" s="390" t="s">
        <v>933</v>
      </c>
      <c r="B60" s="581">
        <v>4470.006</v>
      </c>
      <c r="C60" s="688">
        <v>834075</v>
      </c>
      <c r="D60" s="688">
        <v>0</v>
      </c>
      <c r="E60" s="688">
        <v>834075</v>
      </c>
      <c r="F60" s="688"/>
      <c r="G60" s="688">
        <v>5024909</v>
      </c>
      <c r="I60" s="390" t="s">
        <v>930</v>
      </c>
      <c r="J60" t="s">
        <v>931</v>
      </c>
    </row>
    <row r="61" spans="1:10" ht="12.75">
      <c r="A61" s="390" t="s">
        <v>942</v>
      </c>
      <c r="B61" s="581">
        <v>4470.006</v>
      </c>
      <c r="C61" s="688">
        <v>0</v>
      </c>
      <c r="D61" s="688">
        <v>0</v>
      </c>
      <c r="E61" s="688">
        <v>0</v>
      </c>
      <c r="F61" s="688"/>
      <c r="G61" s="688">
        <v>-6500</v>
      </c>
      <c r="H61" t="s">
        <v>909</v>
      </c>
      <c r="I61" s="390" t="s">
        <v>922</v>
      </c>
      <c r="J61" t="s">
        <v>929</v>
      </c>
    </row>
    <row r="62" spans="1:10" ht="12.75">
      <c r="A62" s="390" t="s">
        <v>1172</v>
      </c>
      <c r="B62" s="516">
        <v>4470.01</v>
      </c>
      <c r="C62" s="688">
        <v>-57141107</v>
      </c>
      <c r="D62" s="688">
        <v>-32212</v>
      </c>
      <c r="E62" s="688">
        <v>-57173319</v>
      </c>
      <c r="F62" s="688"/>
      <c r="G62" s="688">
        <v>0</v>
      </c>
      <c r="H62" t="s">
        <v>912</v>
      </c>
      <c r="I62" s="390" t="s">
        <v>922</v>
      </c>
      <c r="J62" t="s">
        <v>929</v>
      </c>
    </row>
    <row r="63" spans="1:7" ht="12.75">
      <c r="A63" s="390" t="s">
        <v>1173</v>
      </c>
      <c r="B63" s="516">
        <v>4470.131</v>
      </c>
      <c r="C63" s="688">
        <v>-1378770</v>
      </c>
      <c r="D63" s="688">
        <v>0</v>
      </c>
      <c r="E63" s="688">
        <v>-1378770</v>
      </c>
      <c r="F63" s="688"/>
      <c r="G63" s="688">
        <v>0</v>
      </c>
    </row>
    <row r="64" spans="1:7" ht="12.75">
      <c r="A64" t="s">
        <v>1833</v>
      </c>
      <c r="B64" s="527">
        <v>4470.099</v>
      </c>
      <c r="C64" s="688">
        <v>-403902</v>
      </c>
      <c r="D64" s="688">
        <v>0</v>
      </c>
      <c r="E64" s="688">
        <v>-403902</v>
      </c>
      <c r="F64" s="688"/>
      <c r="G64" s="688">
        <v>0</v>
      </c>
    </row>
    <row r="65" spans="1:7" ht="12.75">
      <c r="A65" t="s">
        <v>1174</v>
      </c>
      <c r="B65" s="289">
        <v>5550.035</v>
      </c>
      <c r="C65" s="688">
        <v>0</v>
      </c>
      <c r="D65" s="688">
        <v>0</v>
      </c>
      <c r="E65" s="688">
        <v>0</v>
      </c>
      <c r="F65" s="688"/>
      <c r="G65" s="688">
        <v>0</v>
      </c>
    </row>
    <row r="66" spans="1:7" ht="12.75">
      <c r="A66" s="390" t="s">
        <v>1832</v>
      </c>
      <c r="B66" s="289">
        <v>5550.088</v>
      </c>
      <c r="C66" s="688">
        <v>-33750</v>
      </c>
      <c r="D66" s="688">
        <v>0</v>
      </c>
      <c r="E66" s="688">
        <v>-33750</v>
      </c>
      <c r="F66" s="688"/>
      <c r="G66" s="688">
        <v>0</v>
      </c>
    </row>
    <row r="67" spans="1:7" ht="12.75">
      <c r="A67" t="s">
        <v>491</v>
      </c>
      <c r="B67" s="527">
        <v>5550.099</v>
      </c>
      <c r="C67" s="688">
        <v>-18417672</v>
      </c>
      <c r="D67" s="688">
        <v>0</v>
      </c>
      <c r="E67" s="688">
        <v>-18417672</v>
      </c>
      <c r="F67" s="688"/>
      <c r="G67" s="688">
        <v>0</v>
      </c>
    </row>
    <row r="68" spans="1:7" ht="12.75">
      <c r="A68" s="390" t="s">
        <v>492</v>
      </c>
      <c r="B68" s="527">
        <v>5550.1</v>
      </c>
      <c r="C68" s="688">
        <v>-3159657</v>
      </c>
      <c r="D68" s="688">
        <v>0</v>
      </c>
      <c r="E68" s="688">
        <v>-3159657</v>
      </c>
      <c r="F68" s="688"/>
      <c r="G68" s="688">
        <v>0</v>
      </c>
    </row>
    <row r="69" spans="1:7" ht="12.75">
      <c r="A69" s="390" t="s">
        <v>1838</v>
      </c>
      <c r="B69" s="581">
        <v>5614.008</v>
      </c>
      <c r="C69" s="688">
        <v>0</v>
      </c>
      <c r="D69" s="688">
        <v>0</v>
      </c>
      <c r="E69" s="688">
        <v>0</v>
      </c>
      <c r="F69" s="688"/>
      <c r="G69" s="688">
        <v>0</v>
      </c>
    </row>
    <row r="70" spans="1:7" ht="12.75">
      <c r="A70" s="390" t="s">
        <v>387</v>
      </c>
      <c r="B70" s="581">
        <v>4470.146</v>
      </c>
      <c r="C70" s="688">
        <v>0</v>
      </c>
      <c r="D70" s="688">
        <v>-3004969</v>
      </c>
      <c r="E70" s="688">
        <v>-3004969</v>
      </c>
      <c r="F70" s="688"/>
      <c r="G70" s="688">
        <v>0</v>
      </c>
    </row>
    <row r="71" spans="1:7" ht="12.75">
      <c r="A71" s="390" t="s">
        <v>883</v>
      </c>
      <c r="B71" s="581">
        <v>4470.01</v>
      </c>
      <c r="C71" s="688">
        <v>-85140</v>
      </c>
      <c r="D71" s="688">
        <v>0</v>
      </c>
      <c r="E71" s="688">
        <v>-85140</v>
      </c>
      <c r="F71" s="688"/>
      <c r="G71" s="688">
        <v>0</v>
      </c>
    </row>
    <row r="72" spans="1:7" ht="12.75">
      <c r="A72" t="s">
        <v>1175</v>
      </c>
      <c r="B72" s="527">
        <v>4470.006</v>
      </c>
      <c r="C72" s="688">
        <v>62535352</v>
      </c>
      <c r="D72" s="688">
        <v>24016</v>
      </c>
      <c r="E72" s="688">
        <v>62559368</v>
      </c>
      <c r="F72" s="688"/>
      <c r="G72" s="688">
        <v>0</v>
      </c>
    </row>
    <row r="73" spans="1:7" ht="12.75">
      <c r="A73" t="s">
        <v>1176</v>
      </c>
      <c r="B73" s="581">
        <v>4470.112</v>
      </c>
      <c r="C73" s="688">
        <v>2645401</v>
      </c>
      <c r="D73" s="688">
        <v>0</v>
      </c>
      <c r="E73" s="688">
        <v>2645401</v>
      </c>
      <c r="F73" s="688"/>
      <c r="G73" s="688">
        <v>0</v>
      </c>
    </row>
    <row r="74" spans="1:7" ht="12.75">
      <c r="A74" t="s">
        <v>1866</v>
      </c>
      <c r="B74" s="289">
        <v>4470.167</v>
      </c>
      <c r="C74" s="688">
        <v>6166</v>
      </c>
      <c r="D74" s="688">
        <v>0</v>
      </c>
      <c r="E74" s="688">
        <v>6166</v>
      </c>
      <c r="F74" s="688"/>
      <c r="G74" s="688">
        <v>0</v>
      </c>
    </row>
    <row r="75" spans="1:7" ht="12.75">
      <c r="A75" t="s">
        <v>493</v>
      </c>
      <c r="B75" s="289">
        <v>4470.17</v>
      </c>
      <c r="C75" s="688">
        <v>33979658</v>
      </c>
      <c r="D75" s="688">
        <v>0</v>
      </c>
      <c r="E75" s="688">
        <v>33979658</v>
      </c>
      <c r="F75" s="688"/>
      <c r="G75" s="688">
        <v>0</v>
      </c>
    </row>
    <row r="76" spans="1:7" ht="12.75">
      <c r="A76" t="s">
        <v>388</v>
      </c>
      <c r="B76" s="527">
        <v>4470.148</v>
      </c>
      <c r="C76" s="688">
        <v>0</v>
      </c>
      <c r="D76" s="688">
        <v>2288020</v>
      </c>
      <c r="E76" s="688">
        <v>2288020</v>
      </c>
      <c r="F76" s="688"/>
      <c r="G76" s="688">
        <v>0</v>
      </c>
    </row>
    <row r="77" spans="1:7" ht="12.75">
      <c r="A77" s="390" t="s">
        <v>884</v>
      </c>
      <c r="B77" s="581">
        <v>4470.006</v>
      </c>
      <c r="C77" s="688">
        <v>-81112</v>
      </c>
      <c r="D77" s="688">
        <v>0</v>
      </c>
      <c r="E77" s="688">
        <v>-81112</v>
      </c>
      <c r="F77" s="688"/>
      <c r="G77" s="688">
        <v>0</v>
      </c>
    </row>
    <row r="78" spans="1:7" ht="12.75">
      <c r="A78" t="s">
        <v>885</v>
      </c>
      <c r="B78" s="289">
        <v>4470.007</v>
      </c>
      <c r="C78" s="688">
        <v>0</v>
      </c>
      <c r="D78" s="688">
        <v>0</v>
      </c>
      <c r="E78" s="688">
        <v>0</v>
      </c>
      <c r="F78" s="688"/>
      <c r="G78" s="688">
        <v>0</v>
      </c>
    </row>
    <row r="79" spans="1:7" ht="12.75">
      <c r="A79" t="s">
        <v>886</v>
      </c>
      <c r="B79" s="289">
        <v>4470.011</v>
      </c>
      <c r="C79" s="688">
        <v>0</v>
      </c>
      <c r="D79" s="688">
        <v>0</v>
      </c>
      <c r="E79" s="688">
        <v>0</v>
      </c>
      <c r="F79" s="688"/>
      <c r="G79" s="688">
        <v>0</v>
      </c>
    </row>
    <row r="80" spans="1:7" ht="12.75">
      <c r="A80" t="s">
        <v>887</v>
      </c>
      <c r="B80" s="289">
        <v>4470.082</v>
      </c>
      <c r="C80" s="688">
        <v>-8006203</v>
      </c>
      <c r="D80" s="688">
        <v>0</v>
      </c>
      <c r="E80" s="688">
        <v>-8006203</v>
      </c>
      <c r="F80" s="688"/>
      <c r="G80" s="688">
        <v>0</v>
      </c>
    </row>
    <row r="81" spans="1:7" ht="12.75">
      <c r="A81" t="s">
        <v>888</v>
      </c>
      <c r="B81" s="289">
        <v>4470.143</v>
      </c>
      <c r="C81" s="688">
        <v>875241</v>
      </c>
      <c r="D81" s="688">
        <v>0</v>
      </c>
      <c r="E81" s="688">
        <v>875241</v>
      </c>
      <c r="F81" s="688"/>
      <c r="G81" s="688">
        <v>0</v>
      </c>
    </row>
    <row r="82" spans="1:7" ht="12.75">
      <c r="A82" t="s">
        <v>550</v>
      </c>
      <c r="B82" s="289">
        <v>5550.035</v>
      </c>
      <c r="C82" s="688">
        <v>0</v>
      </c>
      <c r="D82" s="688">
        <v>0</v>
      </c>
      <c r="E82" s="688">
        <v>0</v>
      </c>
      <c r="F82" s="688"/>
      <c r="G82" s="688">
        <v>0</v>
      </c>
    </row>
    <row r="83" spans="1:7" ht="12.75">
      <c r="A83" t="s">
        <v>494</v>
      </c>
      <c r="B83" s="289">
        <v>5550.099</v>
      </c>
      <c r="C83" s="688">
        <v>-2644607</v>
      </c>
      <c r="D83" s="688">
        <v>0</v>
      </c>
      <c r="E83" s="688">
        <v>-2644607</v>
      </c>
      <c r="F83" s="688"/>
      <c r="G83" s="688">
        <v>0</v>
      </c>
    </row>
    <row r="84" spans="1:7" ht="12.75">
      <c r="A84" t="s">
        <v>935</v>
      </c>
      <c r="B84" s="289">
        <v>4470.007</v>
      </c>
      <c r="C84" s="688">
        <v>0</v>
      </c>
      <c r="D84" s="688">
        <v>0</v>
      </c>
      <c r="E84" s="688">
        <v>0</v>
      </c>
      <c r="F84" s="688"/>
      <c r="G84" s="688">
        <v>0</v>
      </c>
    </row>
    <row r="85" spans="1:7" ht="12.75">
      <c r="A85" s="390" t="s">
        <v>940</v>
      </c>
      <c r="B85" s="516">
        <v>4470.011</v>
      </c>
      <c r="C85" s="688">
        <v>0</v>
      </c>
      <c r="D85" s="688">
        <v>0</v>
      </c>
      <c r="E85" s="688">
        <v>0</v>
      </c>
      <c r="F85" s="688"/>
      <c r="G85" s="688">
        <v>0</v>
      </c>
    </row>
    <row r="86" spans="1:7" ht="15.75">
      <c r="A86" s="638" t="s">
        <v>889</v>
      </c>
      <c r="B86" s="289"/>
      <c r="C86" s="688"/>
      <c r="D86" s="688"/>
      <c r="E86" s="688"/>
      <c r="F86" s="688"/>
      <c r="G86" s="688"/>
    </row>
    <row r="87" spans="1:7" ht="12.75">
      <c r="A87" t="s">
        <v>890</v>
      </c>
      <c r="B87" s="289">
        <v>4210.032</v>
      </c>
      <c r="C87" s="688">
        <v>0</v>
      </c>
      <c r="D87" s="688">
        <v>0</v>
      </c>
      <c r="E87" s="688">
        <v>0</v>
      </c>
      <c r="F87" s="688"/>
      <c r="G87" s="688">
        <v>-4036643</v>
      </c>
    </row>
    <row r="88" spans="1:7" ht="12.75">
      <c r="A88" t="s">
        <v>891</v>
      </c>
      <c r="B88" s="289">
        <v>4210.031</v>
      </c>
      <c r="C88" s="688">
        <v>0</v>
      </c>
      <c r="D88" s="688">
        <v>0</v>
      </c>
      <c r="E88" s="688">
        <v>0</v>
      </c>
      <c r="F88" s="393"/>
      <c r="G88" s="688">
        <v>4262972</v>
      </c>
    </row>
    <row r="89" spans="2:7" ht="12.75">
      <c r="B89" s="289"/>
      <c r="C89" s="688"/>
      <c r="D89" s="688"/>
      <c r="E89" s="688"/>
      <c r="F89" s="688"/>
      <c r="G89" s="688"/>
    </row>
    <row r="90" spans="2:7" ht="12.75">
      <c r="B90" s="289"/>
      <c r="C90" s="688"/>
      <c r="D90" s="688"/>
      <c r="E90" s="688"/>
      <c r="F90" s="688"/>
      <c r="G90" s="688"/>
    </row>
    <row r="91" spans="2:7" ht="12.75">
      <c r="B91" s="289"/>
      <c r="C91" s="688"/>
      <c r="D91" s="688"/>
      <c r="E91" s="688"/>
      <c r="F91" s="688"/>
      <c r="G91" s="688"/>
    </row>
    <row r="92" spans="2:7" ht="12.75">
      <c r="B92" s="294"/>
      <c r="C92" s="696">
        <f>SUM(C10:C90)</f>
        <v>28336903</v>
      </c>
      <c r="D92" s="696">
        <f>SUM(D10:D90)</f>
        <v>-705979</v>
      </c>
      <c r="E92" s="696">
        <f>EastDirectAllcTotal+WestDirectAllcTotal</f>
        <v>27630924</v>
      </c>
      <c r="F92" s="696"/>
      <c r="G92" s="696">
        <f>SUM(G10:G90)</f>
        <v>-419884</v>
      </c>
    </row>
    <row r="93" spans="3:7" ht="12.75">
      <c r="C93" s="386"/>
      <c r="D93" s="386"/>
      <c r="E93" s="386"/>
      <c r="G93" s="386"/>
    </row>
    <row r="94" spans="2:7" ht="12.75">
      <c r="B94" s="294"/>
      <c r="C94" s="721"/>
      <c r="D94" s="721"/>
      <c r="E94" s="696"/>
      <c r="F94" s="294"/>
      <c r="G94" s="721"/>
    </row>
    <row r="95" spans="3:7" ht="12.75">
      <c r="C95" s="386"/>
      <c r="D95" s="386"/>
      <c r="E95" s="386"/>
      <c r="G95" s="386"/>
    </row>
    <row r="97" spans="3:7" ht="12.75">
      <c r="C97" s="386"/>
      <c r="D97" s="386"/>
      <c r="E97" s="386"/>
      <c r="G97" s="386"/>
    </row>
    <row r="99" spans="3:7" ht="12.75">
      <c r="C99" s="386"/>
      <c r="D99" s="386"/>
      <c r="E99" s="386"/>
      <c r="G99" s="386"/>
    </row>
    <row r="101" spans="3:7" ht="12.75">
      <c r="C101" s="386"/>
      <c r="D101" s="386"/>
      <c r="E101" s="386"/>
      <c r="G101" s="386"/>
    </row>
    <row r="103" spans="3:7" ht="12.75">
      <c r="C103" s="386"/>
      <c r="D103" s="386"/>
      <c r="E103" s="386"/>
      <c r="G103" s="386"/>
    </row>
    <row r="105" spans="3:7" ht="12.75">
      <c r="C105" s="386"/>
      <c r="D105" s="386"/>
      <c r="E105" s="386"/>
      <c r="G105" s="386"/>
    </row>
    <row r="108" spans="3:7" ht="12.75">
      <c r="C108" s="386"/>
      <c r="D108" s="386"/>
      <c r="E108" s="386"/>
      <c r="G108" s="386"/>
    </row>
    <row r="110" spans="3:7" ht="12.75">
      <c r="C110" s="386"/>
      <c r="D110" s="386"/>
      <c r="E110" s="386"/>
      <c r="G110" s="386"/>
    </row>
    <row r="112" spans="3:7" ht="12.75">
      <c r="C112" s="386"/>
      <c r="D112" s="386"/>
      <c r="E112" s="386"/>
      <c r="G112" s="386"/>
    </row>
    <row r="114" spans="3:7" ht="12.75">
      <c r="C114" s="386"/>
      <c r="D114" s="386"/>
      <c r="E114" s="386"/>
      <c r="G114" s="386"/>
    </row>
    <row r="116" spans="3:7" ht="12.75">
      <c r="C116" s="386"/>
      <c r="D116" s="386"/>
      <c r="E116" s="386"/>
      <c r="G116" s="386"/>
    </row>
    <row r="118" spans="3:7" ht="12.75">
      <c r="C118" s="386"/>
      <c r="D118" s="386"/>
      <c r="E118" s="386"/>
      <c r="G118" s="386"/>
    </row>
    <row r="120" spans="3:7" ht="12.75">
      <c r="C120" s="386"/>
      <c r="D120" s="386"/>
      <c r="E120" s="386"/>
      <c r="G120" s="386"/>
    </row>
    <row r="122" spans="3:7" ht="12.75">
      <c r="C122" s="386"/>
      <c r="D122" s="386"/>
      <c r="E122" s="386"/>
      <c r="G122" s="386"/>
    </row>
    <row r="124" spans="3:7" ht="12.75">
      <c r="C124" s="386"/>
      <c r="D124" s="386"/>
      <c r="E124" s="386"/>
      <c r="G124" s="386"/>
    </row>
    <row r="127" spans="3:7" ht="12.75">
      <c r="C127" s="386"/>
      <c r="D127" s="386"/>
      <c r="E127" s="386"/>
      <c r="G127" s="386"/>
    </row>
    <row r="130" spans="3:7" ht="12.75">
      <c r="C130" s="386"/>
      <c r="D130" s="386"/>
      <c r="E130" s="386"/>
      <c r="G130" s="386"/>
    </row>
    <row r="132" spans="3:7" ht="12.75">
      <c r="C132" s="386"/>
      <c r="D132" s="386"/>
      <c r="E132" s="386"/>
      <c r="G132" s="386"/>
    </row>
    <row r="134" spans="3:7" ht="12.75">
      <c r="C134" s="386"/>
      <c r="D134" s="386"/>
      <c r="E134" s="386"/>
      <c r="G134" s="386"/>
    </row>
    <row r="136" spans="3:7" ht="12.75">
      <c r="C136" s="386"/>
      <c r="D136" s="386"/>
      <c r="E136" s="386"/>
      <c r="G136" s="386"/>
    </row>
    <row r="139" spans="3:7" ht="12.75">
      <c r="C139" s="386"/>
      <c r="D139" s="386"/>
      <c r="E139" s="386"/>
      <c r="G139" s="386"/>
    </row>
    <row r="142" spans="3:7" ht="12.75">
      <c r="C142" s="386"/>
      <c r="D142" s="386"/>
      <c r="E142" s="386"/>
      <c r="G142" s="386"/>
    </row>
    <row r="145" spans="3:7" ht="12.75">
      <c r="C145" s="386"/>
      <c r="D145" s="386"/>
      <c r="E145" s="386"/>
      <c r="G145" s="386"/>
    </row>
    <row r="148" spans="3:7" ht="12.75">
      <c r="C148" s="386"/>
      <c r="D148" s="386"/>
      <c r="E148" s="386"/>
      <c r="G148" s="386"/>
    </row>
    <row r="151" spans="3:7" ht="12.75">
      <c r="C151" s="386"/>
      <c r="D151" s="386"/>
      <c r="E151" s="386"/>
      <c r="G151" s="386"/>
    </row>
    <row r="153" spans="3:7" ht="12.75">
      <c r="C153" s="386"/>
      <c r="D153" s="386"/>
      <c r="E153" s="386"/>
      <c r="G153" s="386"/>
    </row>
    <row r="155" spans="3:7" ht="12.75">
      <c r="C155" s="386"/>
      <c r="D155" s="386"/>
      <c r="E155" s="386"/>
      <c r="G155" s="386"/>
    </row>
    <row r="157" spans="3:7" ht="12.75">
      <c r="C157" s="386"/>
      <c r="D157" s="386"/>
      <c r="E157" s="386"/>
      <c r="G157" s="386"/>
    </row>
    <row r="159" spans="3:7" ht="12.75">
      <c r="C159" s="386"/>
      <c r="D159" s="386"/>
      <c r="E159" s="386"/>
      <c r="G159" s="386"/>
    </row>
    <row r="164" spans="3:7" ht="12.75">
      <c r="C164" s="386"/>
      <c r="D164" s="386"/>
      <c r="E164" s="386"/>
      <c r="G164" s="386"/>
    </row>
    <row r="166" spans="3:7" ht="12.75">
      <c r="C166" s="386"/>
      <c r="D166" s="386"/>
      <c r="E166" s="386"/>
      <c r="G166" s="386"/>
    </row>
    <row r="170" spans="3:7" ht="12.75">
      <c r="C170" s="386"/>
      <c r="D170" s="386"/>
      <c r="E170" s="386"/>
      <c r="G170" s="386"/>
    </row>
    <row r="172" spans="3:4" ht="12.75">
      <c r="C172" s="829"/>
      <c r="D172" s="829"/>
    </row>
  </sheetData>
  <printOptions gridLines="1" horizontalCentered="1" verticalCentered="1"/>
  <pageMargins left="0" right="0" top="0" bottom="0" header="0" footer="0"/>
  <pageSetup fitToHeight="1" fitToWidth="1" horizontalDpi="600" verticalDpi="600" orientation="portrait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3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00390625" style="0" bestFit="1" customWidth="1"/>
  </cols>
  <sheetData>
    <row r="1" spans="1:8" ht="12.75">
      <c r="A1" s="389" t="s">
        <v>1729</v>
      </c>
      <c r="B1" s="578" t="str">
        <f>INPUT!C1</f>
        <v>February 2009</v>
      </c>
      <c r="C1" s="296"/>
      <c r="D1" s="296"/>
      <c r="E1" s="296"/>
      <c r="F1" s="296"/>
      <c r="G1" s="296"/>
      <c r="H1" s="295" t="s">
        <v>621</v>
      </c>
    </row>
    <row r="2" spans="1:8" ht="12.75">
      <c r="A2" s="296"/>
      <c r="B2" s="296"/>
      <c r="C2" s="296"/>
      <c r="D2" s="296"/>
      <c r="E2" s="296"/>
      <c r="F2" s="296"/>
      <c r="G2" s="296"/>
      <c r="H2" s="295" t="s">
        <v>468</v>
      </c>
    </row>
    <row r="4" ht="18">
      <c r="A4" s="293" t="s">
        <v>1164</v>
      </c>
    </row>
    <row r="5" ht="18">
      <c r="A5" s="293" t="s">
        <v>1442</v>
      </c>
    </row>
    <row r="6" ht="13.5" thickBot="1"/>
    <row r="7" spans="1:9" ht="12.75">
      <c r="A7" s="593"/>
      <c r="B7" s="636" t="s">
        <v>1439</v>
      </c>
      <c r="C7" s="588"/>
      <c r="D7" s="588"/>
      <c r="E7" s="588"/>
      <c r="F7" s="588"/>
      <c r="G7" s="588"/>
      <c r="H7" s="588"/>
      <c r="I7" s="589"/>
    </row>
    <row r="8" spans="1:9" ht="12.75">
      <c r="A8" s="584"/>
      <c r="B8" s="639" t="s">
        <v>1444</v>
      </c>
      <c r="C8" s="640"/>
      <c r="D8" s="627">
        <v>0.34458</v>
      </c>
      <c r="E8" s="627">
        <v>0.06943</v>
      </c>
      <c r="F8" s="627">
        <v>0.17686</v>
      </c>
      <c r="G8" s="627">
        <v>0.22638</v>
      </c>
      <c r="H8" s="627">
        <v>0.18275</v>
      </c>
      <c r="I8" s="628">
        <v>1</v>
      </c>
    </row>
    <row r="9" spans="1:9" ht="12.75">
      <c r="A9" s="584"/>
      <c r="B9" s="582" t="s">
        <v>616</v>
      </c>
      <c r="C9" s="582" t="s">
        <v>620</v>
      </c>
      <c r="D9" s="582" t="s">
        <v>1532</v>
      </c>
      <c r="E9" s="582" t="s">
        <v>1533</v>
      </c>
      <c r="F9" s="582" t="s">
        <v>1534</v>
      </c>
      <c r="G9" s="582" t="s">
        <v>1536</v>
      </c>
      <c r="H9" s="582" t="s">
        <v>1537</v>
      </c>
      <c r="I9" s="583" t="s">
        <v>646</v>
      </c>
    </row>
    <row r="10" spans="1:9" ht="12.75">
      <c r="A10" s="584"/>
      <c r="B10" s="387"/>
      <c r="C10" s="387"/>
      <c r="D10" s="387"/>
      <c r="E10" s="387"/>
      <c r="F10" s="387"/>
      <c r="G10" s="387"/>
      <c r="H10" s="387"/>
      <c r="I10" s="585"/>
    </row>
    <row r="11" spans="1:9" ht="12.75">
      <c r="A11" s="629" t="s">
        <v>1440</v>
      </c>
      <c r="B11" s="630">
        <v>4470.006</v>
      </c>
      <c r="C11" s="631">
        <v>5858983.33</v>
      </c>
      <c r="D11" s="631">
        <v>2018888.44</v>
      </c>
      <c r="E11" s="631">
        <v>406789.22</v>
      </c>
      <c r="F11" s="631">
        <v>1036219.79</v>
      </c>
      <c r="G11" s="631">
        <v>1326356.66</v>
      </c>
      <c r="H11" s="631">
        <v>1070729.22</v>
      </c>
      <c r="I11" s="632">
        <v>5858983.33</v>
      </c>
    </row>
    <row r="12" spans="1:9" ht="12.75">
      <c r="A12" s="629" t="s">
        <v>1441</v>
      </c>
      <c r="B12" s="630">
        <v>4470.006</v>
      </c>
      <c r="C12" s="633">
        <v>-6499.92</v>
      </c>
      <c r="D12" s="633">
        <v>-2239.92</v>
      </c>
      <c r="E12" s="633">
        <v>-450</v>
      </c>
      <c r="F12" s="633">
        <v>-1150</v>
      </c>
      <c r="G12" s="633">
        <v>-1472</v>
      </c>
      <c r="H12" s="633">
        <v>-1188</v>
      </c>
      <c r="I12" s="634">
        <v>-6499.92</v>
      </c>
    </row>
    <row r="13" spans="1:9" ht="13.5" thickBot="1">
      <c r="A13" s="597"/>
      <c r="B13" s="635" t="s">
        <v>646</v>
      </c>
      <c r="C13" s="586">
        <v>5852483.41</v>
      </c>
      <c r="D13" s="586">
        <v>2016648.52</v>
      </c>
      <c r="E13" s="586">
        <v>406339.22</v>
      </c>
      <c r="F13" s="586">
        <v>1035069.79</v>
      </c>
      <c r="G13" s="586">
        <v>1324884.66</v>
      </c>
      <c r="H13" s="586">
        <v>1069541.22</v>
      </c>
      <c r="I13" s="587">
        <v>5852483.41</v>
      </c>
    </row>
    <row r="15" ht="13.5" thickBot="1"/>
    <row r="16" spans="1:9" ht="12.75">
      <c r="A16" s="593"/>
      <c r="B16" s="636" t="s">
        <v>1984</v>
      </c>
      <c r="C16" s="588"/>
      <c r="D16" s="588"/>
      <c r="E16" s="588"/>
      <c r="F16" s="588"/>
      <c r="G16" s="588"/>
      <c r="H16" s="588"/>
      <c r="I16" s="589"/>
    </row>
    <row r="17" spans="1:9" ht="12.75">
      <c r="A17" s="584"/>
      <c r="B17" s="639" t="s">
        <v>1985</v>
      </c>
      <c r="C17" s="387"/>
      <c r="D17" s="627">
        <v>0.34458</v>
      </c>
      <c r="E17" s="627">
        <v>0.06943</v>
      </c>
      <c r="F17" s="627">
        <v>0.17686</v>
      </c>
      <c r="G17" s="627">
        <v>0.22638</v>
      </c>
      <c r="H17" s="627">
        <v>0.18275</v>
      </c>
      <c r="I17" s="628">
        <v>1</v>
      </c>
    </row>
    <row r="18" spans="1:9" ht="12.75">
      <c r="A18" s="584"/>
      <c r="B18" s="582" t="s">
        <v>616</v>
      </c>
      <c r="C18" s="582" t="s">
        <v>620</v>
      </c>
      <c r="D18" s="582" t="s">
        <v>1532</v>
      </c>
      <c r="E18" s="582" t="s">
        <v>1533</v>
      </c>
      <c r="F18" s="582" t="s">
        <v>1534</v>
      </c>
      <c r="G18" s="582" t="s">
        <v>1536</v>
      </c>
      <c r="H18" s="582" t="s">
        <v>1537</v>
      </c>
      <c r="I18" s="583" t="s">
        <v>646</v>
      </c>
    </row>
    <row r="19" spans="1:9" ht="12.75">
      <c r="A19" s="584"/>
      <c r="B19" s="387"/>
      <c r="C19" s="387"/>
      <c r="D19" s="387"/>
      <c r="E19" s="387"/>
      <c r="F19" s="387"/>
      <c r="G19" s="387"/>
      <c r="H19" s="387"/>
      <c r="I19" s="585"/>
    </row>
    <row r="20" spans="1:9" ht="12.75">
      <c r="A20" s="629" t="s">
        <v>1440</v>
      </c>
      <c r="B20" s="630">
        <v>4470.006</v>
      </c>
      <c r="C20" s="631">
        <v>0</v>
      </c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2">
        <v>0</v>
      </c>
    </row>
    <row r="21" spans="1:9" ht="12.75">
      <c r="A21" s="629" t="s">
        <v>1441</v>
      </c>
      <c r="B21" s="630">
        <v>4470.006</v>
      </c>
      <c r="C21" s="633">
        <v>0</v>
      </c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4">
        <v>0</v>
      </c>
    </row>
    <row r="22" spans="1:9" ht="13.5" thickBot="1">
      <c r="A22" s="637"/>
      <c r="B22" s="635" t="s">
        <v>646</v>
      </c>
      <c r="C22" s="586">
        <v>0</v>
      </c>
      <c r="D22" s="586">
        <v>0</v>
      </c>
      <c r="E22" s="586">
        <v>0</v>
      </c>
      <c r="F22" s="586">
        <v>0</v>
      </c>
      <c r="G22" s="586">
        <v>0</v>
      </c>
      <c r="H22" s="586">
        <v>0</v>
      </c>
      <c r="I22" s="587">
        <v>0</v>
      </c>
    </row>
    <row r="23" ht="12.75">
      <c r="A23" s="294"/>
    </row>
    <row r="24" ht="13.5" thickBot="1">
      <c r="A24" s="294"/>
    </row>
    <row r="25" spans="1:9" ht="12.75">
      <c r="A25" s="593"/>
      <c r="B25" s="636" t="s">
        <v>1445</v>
      </c>
      <c r="C25" s="588"/>
      <c r="D25" s="588"/>
      <c r="E25" s="588"/>
      <c r="F25" s="588"/>
      <c r="G25" s="588"/>
      <c r="H25" s="588"/>
      <c r="I25" s="589"/>
    </row>
    <row r="26" spans="1:9" ht="12.75">
      <c r="A26" s="584"/>
      <c r="B26" s="639" t="s">
        <v>1985</v>
      </c>
      <c r="C26" s="387"/>
      <c r="D26" s="387"/>
      <c r="E26" s="387"/>
      <c r="F26" s="387"/>
      <c r="G26" s="387"/>
      <c r="H26" s="387"/>
      <c r="I26" s="585"/>
    </row>
    <row r="27" spans="1:9" ht="12.75">
      <c r="A27" s="584"/>
      <c r="B27" s="639" t="s">
        <v>1446</v>
      </c>
      <c r="C27" s="387"/>
      <c r="D27" s="627">
        <v>0.34458</v>
      </c>
      <c r="E27" s="627">
        <v>0.06943</v>
      </c>
      <c r="F27" s="627">
        <v>0.17686</v>
      </c>
      <c r="G27" s="627">
        <v>0.22638</v>
      </c>
      <c r="H27" s="627">
        <v>0.18275</v>
      </c>
      <c r="I27" s="628">
        <v>1</v>
      </c>
    </row>
    <row r="28" spans="1:9" ht="12.75">
      <c r="A28" s="584"/>
      <c r="B28" s="582" t="s">
        <v>616</v>
      </c>
      <c r="C28" s="582" t="s">
        <v>620</v>
      </c>
      <c r="D28" s="582" t="s">
        <v>1532</v>
      </c>
      <c r="E28" s="582" t="s">
        <v>1533</v>
      </c>
      <c r="F28" s="582" t="s">
        <v>1534</v>
      </c>
      <c r="G28" s="582" t="s">
        <v>1536</v>
      </c>
      <c r="H28" s="582" t="s">
        <v>1537</v>
      </c>
      <c r="I28" s="583" t="s">
        <v>646</v>
      </c>
    </row>
    <row r="29" spans="1:9" ht="12.75">
      <c r="A29" s="584"/>
      <c r="B29" s="387"/>
      <c r="C29" s="387"/>
      <c r="D29" s="387"/>
      <c r="E29" s="387"/>
      <c r="F29" s="387"/>
      <c r="G29" s="387"/>
      <c r="H29" s="387"/>
      <c r="I29" s="585"/>
    </row>
    <row r="30" spans="1:9" ht="12.75">
      <c r="A30" s="629" t="s">
        <v>1440</v>
      </c>
      <c r="B30" s="630">
        <v>4470.006</v>
      </c>
      <c r="C30" s="631">
        <v>0</v>
      </c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2">
        <v>0</v>
      </c>
    </row>
    <row r="31" spans="1:9" ht="12.75">
      <c r="A31" s="629" t="s">
        <v>1441</v>
      </c>
      <c r="B31" s="630">
        <v>4470.006</v>
      </c>
      <c r="C31" s="633">
        <v>0</v>
      </c>
      <c r="D31" s="633">
        <v>0</v>
      </c>
      <c r="E31" s="633">
        <v>0</v>
      </c>
      <c r="F31" s="633">
        <v>0</v>
      </c>
      <c r="G31" s="633">
        <v>0</v>
      </c>
      <c r="H31" s="633">
        <v>0</v>
      </c>
      <c r="I31" s="634">
        <v>0</v>
      </c>
    </row>
    <row r="32" spans="1:9" ht="13.5" thickBot="1">
      <c r="A32" s="637"/>
      <c r="B32" s="635" t="s">
        <v>646</v>
      </c>
      <c r="C32" s="586">
        <v>0</v>
      </c>
      <c r="D32" s="586">
        <v>0</v>
      </c>
      <c r="E32" s="586">
        <v>0</v>
      </c>
      <c r="F32" s="586">
        <v>0</v>
      </c>
      <c r="G32" s="586">
        <v>0</v>
      </c>
      <c r="H32" s="586">
        <v>0</v>
      </c>
      <c r="I32" s="587">
        <v>0</v>
      </c>
    </row>
    <row r="33" ht="12.75">
      <c r="A33" s="294"/>
    </row>
    <row r="34" ht="12.75">
      <c r="A34" s="294"/>
    </row>
    <row r="35" ht="13.5" thickBot="1"/>
    <row r="36" spans="1:9" ht="12.75">
      <c r="A36" s="593"/>
      <c r="B36" s="636" t="s">
        <v>1953</v>
      </c>
      <c r="C36" s="588"/>
      <c r="D36" s="588"/>
      <c r="E36" s="588"/>
      <c r="F36" s="588"/>
      <c r="G36" s="588"/>
      <c r="H36" s="588"/>
      <c r="I36" s="589"/>
    </row>
    <row r="37" spans="1:9" ht="12.75">
      <c r="A37" s="584"/>
      <c r="B37" s="639" t="s">
        <v>1447</v>
      </c>
      <c r="C37" s="387"/>
      <c r="D37" s="627">
        <v>0.34458</v>
      </c>
      <c r="E37" s="627">
        <v>0.06943</v>
      </c>
      <c r="F37" s="627">
        <v>0.17686</v>
      </c>
      <c r="G37" s="627">
        <v>0.22638</v>
      </c>
      <c r="H37" s="627">
        <v>0.18275</v>
      </c>
      <c r="I37" s="628">
        <v>1</v>
      </c>
    </row>
    <row r="38" spans="1:9" ht="12.75">
      <c r="A38" s="584"/>
      <c r="B38" s="582" t="s">
        <v>616</v>
      </c>
      <c r="C38" s="582" t="s">
        <v>620</v>
      </c>
      <c r="D38" s="582" t="s">
        <v>1532</v>
      </c>
      <c r="E38" s="582" t="s">
        <v>1533</v>
      </c>
      <c r="F38" s="582" t="s">
        <v>1534</v>
      </c>
      <c r="G38" s="582" t="s">
        <v>1536</v>
      </c>
      <c r="H38" s="582" t="s">
        <v>1537</v>
      </c>
      <c r="I38" s="583" t="s">
        <v>646</v>
      </c>
    </row>
    <row r="39" spans="1:9" ht="12.75">
      <c r="A39" s="584"/>
      <c r="B39" s="387"/>
      <c r="C39" s="387"/>
      <c r="D39" s="387"/>
      <c r="E39" s="387"/>
      <c r="F39" s="387"/>
      <c r="G39" s="387"/>
      <c r="H39" s="387"/>
      <c r="I39" s="585"/>
    </row>
    <row r="40" spans="1:9" ht="12.75">
      <c r="A40" s="629" t="s">
        <v>1440</v>
      </c>
      <c r="B40" s="630">
        <v>4470.006</v>
      </c>
      <c r="C40" s="631">
        <v>0</v>
      </c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2">
        <v>0</v>
      </c>
    </row>
    <row r="41" spans="1:9" ht="12.75">
      <c r="A41" s="629" t="s">
        <v>1441</v>
      </c>
      <c r="B41" s="630">
        <v>4470.006</v>
      </c>
      <c r="C41" s="633">
        <v>0</v>
      </c>
      <c r="D41" s="633">
        <v>0</v>
      </c>
      <c r="E41" s="633">
        <v>0</v>
      </c>
      <c r="F41" s="633">
        <v>0</v>
      </c>
      <c r="G41" s="633">
        <v>0</v>
      </c>
      <c r="H41" s="633">
        <v>0</v>
      </c>
      <c r="I41" s="634">
        <v>0</v>
      </c>
    </row>
    <row r="42" spans="1:9" ht="13.5" thickBot="1">
      <c r="A42" s="597"/>
      <c r="B42" s="635" t="s">
        <v>646</v>
      </c>
      <c r="C42" s="586">
        <v>0</v>
      </c>
      <c r="D42" s="586">
        <v>0</v>
      </c>
      <c r="E42" s="586">
        <v>0</v>
      </c>
      <c r="F42" s="586">
        <v>0</v>
      </c>
      <c r="G42" s="586">
        <v>0</v>
      </c>
      <c r="H42" s="586">
        <v>0</v>
      </c>
      <c r="I42" s="587">
        <v>0</v>
      </c>
    </row>
    <row r="43" spans="2:9" ht="12.75">
      <c r="B43" s="630"/>
      <c r="C43" s="631"/>
      <c r="D43" s="631"/>
      <c r="E43" s="631"/>
      <c r="F43" s="631"/>
      <c r="G43" s="631"/>
      <c r="H43" s="631"/>
      <c r="I43" s="631"/>
    </row>
    <row r="44" spans="1:9" ht="13.5" thickBot="1">
      <c r="A44" s="590"/>
      <c r="B44" s="590"/>
      <c r="C44" s="590"/>
      <c r="D44" s="590"/>
      <c r="E44" s="590"/>
      <c r="F44" s="590"/>
      <c r="G44" s="590"/>
      <c r="H44" s="590"/>
      <c r="I44" s="590"/>
    </row>
    <row r="46" ht="13.5" thickBot="1"/>
    <row r="47" spans="1:9" ht="12.75">
      <c r="A47" s="710"/>
      <c r="B47" s="636" t="s">
        <v>1984</v>
      </c>
      <c r="C47" s="588"/>
      <c r="D47" s="588"/>
      <c r="E47" s="588"/>
      <c r="F47" s="588"/>
      <c r="G47" s="588"/>
      <c r="H47" s="589"/>
      <c r="I47" s="387"/>
    </row>
    <row r="48" spans="1:9" ht="12.75">
      <c r="A48" s="711"/>
      <c r="B48" s="639" t="s">
        <v>1685</v>
      </c>
      <c r="C48" s="387"/>
      <c r="D48" s="627">
        <v>0</v>
      </c>
      <c r="E48" s="627">
        <v>0.45902</v>
      </c>
      <c r="F48" s="627">
        <v>0.54098</v>
      </c>
      <c r="G48" s="627">
        <v>0</v>
      </c>
      <c r="H48" s="628">
        <v>1</v>
      </c>
      <c r="I48" s="387"/>
    </row>
    <row r="49" spans="1:9" ht="12.75">
      <c r="A49" s="584"/>
      <c r="B49" s="582" t="s">
        <v>616</v>
      </c>
      <c r="C49" s="582" t="s">
        <v>620</v>
      </c>
      <c r="D49" s="582" t="s">
        <v>1977</v>
      </c>
      <c r="E49" s="582" t="s">
        <v>1975</v>
      </c>
      <c r="F49" s="582" t="s">
        <v>1986</v>
      </c>
      <c r="G49" s="582" t="s">
        <v>1978</v>
      </c>
      <c r="H49" s="583" t="s">
        <v>646</v>
      </c>
      <c r="I49" s="387"/>
    </row>
    <row r="50" spans="1:9" ht="12.75">
      <c r="A50" s="584"/>
      <c r="B50" s="387"/>
      <c r="C50" s="387"/>
      <c r="D50" s="387"/>
      <c r="E50" s="387"/>
      <c r="F50" s="387"/>
      <c r="G50" s="387"/>
      <c r="H50" s="585"/>
      <c r="I50" s="387"/>
    </row>
    <row r="51" spans="1:9" ht="12.75">
      <c r="A51" s="629" t="s">
        <v>1440</v>
      </c>
      <c r="B51" s="630">
        <v>4470.006</v>
      </c>
      <c r="C51" s="631">
        <v>0</v>
      </c>
      <c r="D51" s="631">
        <v>0</v>
      </c>
      <c r="E51" s="631">
        <v>0</v>
      </c>
      <c r="F51" s="631">
        <v>0</v>
      </c>
      <c r="G51" s="631">
        <v>0</v>
      </c>
      <c r="H51" s="632">
        <v>0</v>
      </c>
      <c r="I51" s="387"/>
    </row>
    <row r="52" spans="1:8" ht="12.75">
      <c r="A52" s="629" t="s">
        <v>1441</v>
      </c>
      <c r="B52" s="630">
        <v>4470.006</v>
      </c>
      <c r="C52" s="633">
        <v>0</v>
      </c>
      <c r="D52" s="633">
        <v>0</v>
      </c>
      <c r="E52" s="633">
        <v>0</v>
      </c>
      <c r="F52" s="633">
        <v>0</v>
      </c>
      <c r="G52" s="633">
        <v>0</v>
      </c>
      <c r="H52" s="634">
        <v>0</v>
      </c>
    </row>
    <row r="53" spans="1:8" ht="13.5" thickBot="1">
      <c r="A53" s="597"/>
      <c r="B53" s="635" t="s">
        <v>646</v>
      </c>
      <c r="C53" s="586">
        <v>0</v>
      </c>
      <c r="D53" s="586">
        <v>0</v>
      </c>
      <c r="E53" s="586">
        <v>0</v>
      </c>
      <c r="F53" s="586">
        <v>0</v>
      </c>
      <c r="G53" s="586">
        <v>0</v>
      </c>
      <c r="H53" s="587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V52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28125" style="0" customWidth="1"/>
  </cols>
  <sheetData>
    <row r="1" spans="1:256" ht="12.75">
      <c r="A1" s="389" t="s">
        <v>1729</v>
      </c>
      <c r="B1" s="578" t="str">
        <f>INPUT!C1</f>
        <v>February 2009</v>
      </c>
      <c r="C1" s="296"/>
      <c r="D1" s="296"/>
      <c r="E1" s="296"/>
      <c r="F1" s="296"/>
      <c r="G1" s="296"/>
      <c r="H1" s="295" t="s">
        <v>621</v>
      </c>
      <c r="I1" s="389"/>
      <c r="J1" s="578"/>
      <c r="K1" s="296"/>
      <c r="L1" s="296"/>
      <c r="M1" s="296"/>
      <c r="N1" s="296"/>
      <c r="O1" s="296"/>
      <c r="P1" s="295" t="s">
        <v>621</v>
      </c>
      <c r="Q1" s="389" t="s">
        <v>1729</v>
      </c>
      <c r="R1" s="578">
        <f>INPUT!S1</f>
        <v>0</v>
      </c>
      <c r="S1" s="296"/>
      <c r="T1" s="296"/>
      <c r="U1" s="296"/>
      <c r="V1" s="296"/>
      <c r="W1" s="296"/>
      <c r="X1" s="295" t="s">
        <v>621</v>
      </c>
      <c r="Y1" s="389" t="s">
        <v>1729</v>
      </c>
      <c r="Z1" s="578">
        <f>INPUT!AA1</f>
        <v>0</v>
      </c>
      <c r="AA1" s="296"/>
      <c r="AB1" s="296"/>
      <c r="AC1" s="296"/>
      <c r="AD1" s="296"/>
      <c r="AE1" s="296"/>
      <c r="AF1" s="295" t="s">
        <v>621</v>
      </c>
      <c r="AG1" s="389" t="s">
        <v>1729</v>
      </c>
      <c r="AH1" s="578">
        <f>INPUT!AI1</f>
        <v>0</v>
      </c>
      <c r="AI1" s="296"/>
      <c r="AJ1" s="296"/>
      <c r="AK1" s="296"/>
      <c r="AL1" s="296"/>
      <c r="AM1" s="296"/>
      <c r="AN1" s="295" t="s">
        <v>621</v>
      </c>
      <c r="AO1" s="389" t="s">
        <v>1729</v>
      </c>
      <c r="AP1" s="578">
        <f>INPUT!AQ1</f>
        <v>0</v>
      </c>
      <c r="AQ1" s="296"/>
      <c r="AR1" s="296"/>
      <c r="AS1" s="296"/>
      <c r="AT1" s="296"/>
      <c r="AU1" s="296"/>
      <c r="AV1" s="295" t="s">
        <v>621</v>
      </c>
      <c r="AW1" s="389" t="s">
        <v>1729</v>
      </c>
      <c r="AX1" s="578">
        <f>INPUT!AY1</f>
        <v>0</v>
      </c>
      <c r="AY1" s="296"/>
      <c r="AZ1" s="296"/>
      <c r="BA1" s="296"/>
      <c r="BB1" s="296"/>
      <c r="BC1" s="296"/>
      <c r="BD1" s="295" t="s">
        <v>621</v>
      </c>
      <c r="BE1" s="389" t="s">
        <v>1729</v>
      </c>
      <c r="BF1" s="578">
        <f>INPUT!BG1</f>
        <v>0</v>
      </c>
      <c r="BG1" s="296"/>
      <c r="BH1" s="296"/>
      <c r="BI1" s="296"/>
      <c r="BJ1" s="296"/>
      <c r="BK1" s="296"/>
      <c r="BL1" s="295" t="s">
        <v>621</v>
      </c>
      <c r="BM1" s="389" t="s">
        <v>1729</v>
      </c>
      <c r="BN1" s="578">
        <f>INPUT!BO1</f>
        <v>0</v>
      </c>
      <c r="BO1" s="296"/>
      <c r="BP1" s="296"/>
      <c r="BQ1" s="296"/>
      <c r="BR1" s="296"/>
      <c r="BS1" s="296"/>
      <c r="BT1" s="295" t="s">
        <v>621</v>
      </c>
      <c r="BU1" s="389" t="s">
        <v>1729</v>
      </c>
      <c r="BV1" s="578">
        <f>INPUT!BW1</f>
        <v>0</v>
      </c>
      <c r="BW1" s="296"/>
      <c r="BX1" s="296"/>
      <c r="BY1" s="296"/>
      <c r="BZ1" s="296"/>
      <c r="CA1" s="296"/>
      <c r="CB1" s="295" t="s">
        <v>621</v>
      </c>
      <c r="CC1" s="389" t="s">
        <v>1729</v>
      </c>
      <c r="CD1" s="578">
        <f>INPUT!CE1</f>
        <v>0</v>
      </c>
      <c r="CE1" s="296"/>
      <c r="CF1" s="296"/>
      <c r="CG1" s="296"/>
      <c r="CH1" s="296"/>
      <c r="CI1" s="296"/>
      <c r="CJ1" s="295" t="s">
        <v>621</v>
      </c>
      <c r="CK1" s="389" t="s">
        <v>1729</v>
      </c>
      <c r="CL1" s="578">
        <f>INPUT!CM1</f>
        <v>0</v>
      </c>
      <c r="CM1" s="296"/>
      <c r="CN1" s="296"/>
      <c r="CO1" s="296"/>
      <c r="CP1" s="296"/>
      <c r="CQ1" s="296"/>
      <c r="CR1" s="295" t="s">
        <v>621</v>
      </c>
      <c r="CS1" s="389" t="s">
        <v>1729</v>
      </c>
      <c r="CT1" s="578">
        <f>INPUT!CU1</f>
        <v>0</v>
      </c>
      <c r="CU1" s="296"/>
      <c r="CV1" s="296"/>
      <c r="CW1" s="296"/>
      <c r="CX1" s="296"/>
      <c r="CY1" s="296"/>
      <c r="CZ1" s="295" t="s">
        <v>621</v>
      </c>
      <c r="DA1" s="389" t="s">
        <v>1729</v>
      </c>
      <c r="DB1" s="578">
        <f>INPUT!DC1</f>
        <v>0</v>
      </c>
      <c r="DC1" s="296"/>
      <c r="DD1" s="296"/>
      <c r="DE1" s="296"/>
      <c r="DF1" s="296"/>
      <c r="DG1" s="296"/>
      <c r="DH1" s="295" t="s">
        <v>621</v>
      </c>
      <c r="DI1" s="389" t="s">
        <v>1729</v>
      </c>
      <c r="DJ1" s="578">
        <f>INPUT!DK1</f>
        <v>0</v>
      </c>
      <c r="DK1" s="296"/>
      <c r="DL1" s="296"/>
      <c r="DM1" s="296"/>
      <c r="DN1" s="296"/>
      <c r="DO1" s="296"/>
      <c r="DP1" s="295" t="s">
        <v>621</v>
      </c>
      <c r="DQ1" s="389" t="s">
        <v>1729</v>
      </c>
      <c r="DR1" s="578">
        <f>INPUT!DS1</f>
        <v>0</v>
      </c>
      <c r="DS1" s="296"/>
      <c r="DT1" s="296"/>
      <c r="DU1" s="296"/>
      <c r="DV1" s="296"/>
      <c r="DW1" s="296"/>
      <c r="DX1" s="295" t="s">
        <v>621</v>
      </c>
      <c r="DY1" s="389" t="s">
        <v>1729</v>
      </c>
      <c r="DZ1" s="578">
        <f>INPUT!EA1</f>
        <v>0</v>
      </c>
      <c r="EA1" s="296"/>
      <c r="EB1" s="296"/>
      <c r="EC1" s="296"/>
      <c r="ED1" s="296"/>
      <c r="EE1" s="296"/>
      <c r="EF1" s="295" t="s">
        <v>621</v>
      </c>
      <c r="EG1" s="389" t="s">
        <v>1729</v>
      </c>
      <c r="EH1" s="578">
        <f>INPUT!EI1</f>
        <v>0</v>
      </c>
      <c r="EI1" s="296"/>
      <c r="EJ1" s="296"/>
      <c r="EK1" s="296"/>
      <c r="EL1" s="296"/>
      <c r="EM1" s="296"/>
      <c r="EN1" s="295" t="s">
        <v>621</v>
      </c>
      <c r="EO1" s="389" t="s">
        <v>1729</v>
      </c>
      <c r="EP1" s="578">
        <f>INPUT!EQ1</f>
        <v>0</v>
      </c>
      <c r="EQ1" s="296"/>
      <c r="ER1" s="296"/>
      <c r="ES1" s="296"/>
      <c r="ET1" s="296"/>
      <c r="EU1" s="296"/>
      <c r="EV1" s="295" t="s">
        <v>621</v>
      </c>
      <c r="EW1" s="389" t="s">
        <v>1729</v>
      </c>
      <c r="EX1" s="578">
        <f>INPUT!EY1</f>
        <v>0</v>
      </c>
      <c r="EY1" s="296"/>
      <c r="EZ1" s="296"/>
      <c r="FA1" s="296"/>
      <c r="FB1" s="296"/>
      <c r="FC1" s="296"/>
      <c r="FD1" s="295" t="s">
        <v>621</v>
      </c>
      <c r="FE1" s="389" t="s">
        <v>1729</v>
      </c>
      <c r="FF1" s="578">
        <f>INPUT!FG1</f>
        <v>0</v>
      </c>
      <c r="FG1" s="296"/>
      <c r="FH1" s="296"/>
      <c r="FI1" s="296"/>
      <c r="FJ1" s="296"/>
      <c r="FK1" s="296"/>
      <c r="FL1" s="295" t="s">
        <v>621</v>
      </c>
      <c r="FM1" s="389" t="s">
        <v>1729</v>
      </c>
      <c r="FN1" s="578">
        <f>INPUT!FO1</f>
        <v>0</v>
      </c>
      <c r="FO1" s="296"/>
      <c r="FP1" s="296"/>
      <c r="FQ1" s="296"/>
      <c r="FR1" s="296"/>
      <c r="FS1" s="296"/>
      <c r="FT1" s="295" t="s">
        <v>621</v>
      </c>
      <c r="FU1" s="389" t="s">
        <v>1729</v>
      </c>
      <c r="FV1" s="578">
        <f>INPUT!FW1</f>
        <v>0</v>
      </c>
      <c r="FW1" s="296"/>
      <c r="FX1" s="296"/>
      <c r="FY1" s="296"/>
      <c r="FZ1" s="296"/>
      <c r="GA1" s="296"/>
      <c r="GB1" s="295" t="s">
        <v>621</v>
      </c>
      <c r="GC1" s="389" t="s">
        <v>1729</v>
      </c>
      <c r="GD1" s="578">
        <f>INPUT!GE1</f>
        <v>0</v>
      </c>
      <c r="GE1" s="296"/>
      <c r="GF1" s="296"/>
      <c r="GG1" s="296"/>
      <c r="GH1" s="296"/>
      <c r="GI1" s="296"/>
      <c r="GJ1" s="295" t="s">
        <v>621</v>
      </c>
      <c r="GK1" s="389" t="s">
        <v>1729</v>
      </c>
      <c r="GL1" s="578">
        <f>INPUT!GM1</f>
        <v>0</v>
      </c>
      <c r="GM1" s="296"/>
      <c r="GN1" s="296"/>
      <c r="GO1" s="296"/>
      <c r="GP1" s="296"/>
      <c r="GQ1" s="296"/>
      <c r="GR1" s="295" t="s">
        <v>621</v>
      </c>
      <c r="GS1" s="389" t="s">
        <v>1729</v>
      </c>
      <c r="GT1" s="578">
        <f>INPUT!GU1</f>
        <v>0</v>
      </c>
      <c r="GU1" s="296"/>
      <c r="GV1" s="296"/>
      <c r="GW1" s="296"/>
      <c r="GX1" s="296"/>
      <c r="GY1" s="296"/>
      <c r="GZ1" s="295" t="s">
        <v>621</v>
      </c>
      <c r="HA1" s="389" t="s">
        <v>1729</v>
      </c>
      <c r="HB1" s="578">
        <f>INPUT!HC1</f>
        <v>0</v>
      </c>
      <c r="HC1" s="296"/>
      <c r="HD1" s="296"/>
      <c r="HE1" s="296"/>
      <c r="HF1" s="296"/>
      <c r="HG1" s="296"/>
      <c r="HH1" s="295" t="s">
        <v>621</v>
      </c>
      <c r="HI1" s="389" t="s">
        <v>1729</v>
      </c>
      <c r="HJ1" s="578">
        <f>INPUT!HK1</f>
        <v>0</v>
      </c>
      <c r="HK1" s="296"/>
      <c r="HL1" s="296"/>
      <c r="HM1" s="296"/>
      <c r="HN1" s="296"/>
      <c r="HO1" s="296"/>
      <c r="HP1" s="295" t="s">
        <v>621</v>
      </c>
      <c r="HQ1" s="389" t="s">
        <v>1729</v>
      </c>
      <c r="HR1" s="578">
        <f>INPUT!HS1</f>
        <v>0</v>
      </c>
      <c r="HS1" s="296"/>
      <c r="HT1" s="296"/>
      <c r="HU1" s="296"/>
      <c r="HV1" s="296"/>
      <c r="HW1" s="296"/>
      <c r="HX1" s="295" t="s">
        <v>621</v>
      </c>
      <c r="HY1" s="389" t="s">
        <v>1729</v>
      </c>
      <c r="HZ1" s="578">
        <f>INPUT!IA1</f>
        <v>0</v>
      </c>
      <c r="IA1" s="296"/>
      <c r="IB1" s="296"/>
      <c r="IC1" s="296"/>
      <c r="ID1" s="296"/>
      <c r="IE1" s="296"/>
      <c r="IF1" s="295" t="s">
        <v>621</v>
      </c>
      <c r="IG1" s="389" t="s">
        <v>1729</v>
      </c>
      <c r="IH1" s="578">
        <f>INPUT!II1</f>
        <v>0</v>
      </c>
      <c r="II1" s="296"/>
      <c r="IJ1" s="296"/>
      <c r="IK1" s="296"/>
      <c r="IL1" s="296"/>
      <c r="IM1" s="296"/>
      <c r="IN1" s="295" t="s">
        <v>621</v>
      </c>
      <c r="IO1" s="389" t="s">
        <v>1729</v>
      </c>
      <c r="IP1" s="578">
        <f>INPUT!IQ1</f>
        <v>0</v>
      </c>
      <c r="IQ1" s="296"/>
      <c r="IR1" s="296"/>
      <c r="IS1" s="296"/>
      <c r="IT1" s="296"/>
      <c r="IU1" s="296"/>
      <c r="IV1" s="295" t="s">
        <v>621</v>
      </c>
    </row>
    <row r="2" spans="1:256" ht="12.75">
      <c r="A2" s="296"/>
      <c r="B2" s="296"/>
      <c r="C2" s="296"/>
      <c r="D2" s="296"/>
      <c r="E2" s="296"/>
      <c r="F2" s="296"/>
      <c r="G2" s="296"/>
      <c r="H2" s="295" t="s">
        <v>470</v>
      </c>
      <c r="I2" s="296"/>
      <c r="J2" s="296"/>
      <c r="K2" s="296"/>
      <c r="L2" s="296"/>
      <c r="M2" s="296"/>
      <c r="N2" s="296"/>
      <c r="O2" s="296"/>
      <c r="P2" s="295" t="s">
        <v>468</v>
      </c>
      <c r="Q2" s="296"/>
      <c r="R2" s="296"/>
      <c r="S2" s="296"/>
      <c r="T2" s="296"/>
      <c r="U2" s="296"/>
      <c r="V2" s="296"/>
      <c r="W2" s="296"/>
      <c r="X2" s="295" t="s">
        <v>468</v>
      </c>
      <c r="Y2" s="296"/>
      <c r="Z2" s="296"/>
      <c r="AA2" s="296"/>
      <c r="AB2" s="296"/>
      <c r="AC2" s="296"/>
      <c r="AD2" s="296"/>
      <c r="AE2" s="296"/>
      <c r="AF2" s="295" t="s">
        <v>468</v>
      </c>
      <c r="AG2" s="296"/>
      <c r="AH2" s="296"/>
      <c r="AI2" s="296"/>
      <c r="AJ2" s="296"/>
      <c r="AK2" s="296"/>
      <c r="AL2" s="296"/>
      <c r="AM2" s="296"/>
      <c r="AN2" s="295" t="s">
        <v>468</v>
      </c>
      <c r="AO2" s="296"/>
      <c r="AP2" s="296"/>
      <c r="AQ2" s="296"/>
      <c r="AR2" s="296"/>
      <c r="AS2" s="296"/>
      <c r="AT2" s="296"/>
      <c r="AU2" s="296"/>
      <c r="AV2" s="295" t="s">
        <v>468</v>
      </c>
      <c r="AW2" s="296"/>
      <c r="AX2" s="296"/>
      <c r="AY2" s="296"/>
      <c r="AZ2" s="296"/>
      <c r="BA2" s="296"/>
      <c r="BB2" s="296"/>
      <c r="BC2" s="296"/>
      <c r="BD2" s="295" t="s">
        <v>468</v>
      </c>
      <c r="BE2" s="296"/>
      <c r="BF2" s="296"/>
      <c r="BG2" s="296"/>
      <c r="BH2" s="296"/>
      <c r="BI2" s="296"/>
      <c r="BJ2" s="296"/>
      <c r="BK2" s="296"/>
      <c r="BL2" s="295" t="s">
        <v>468</v>
      </c>
      <c r="BM2" s="296"/>
      <c r="BN2" s="296"/>
      <c r="BO2" s="296"/>
      <c r="BP2" s="296"/>
      <c r="BQ2" s="296"/>
      <c r="BR2" s="296"/>
      <c r="BS2" s="296"/>
      <c r="BT2" s="295" t="s">
        <v>468</v>
      </c>
      <c r="BU2" s="296"/>
      <c r="BV2" s="296"/>
      <c r="BW2" s="296"/>
      <c r="BX2" s="296"/>
      <c r="BY2" s="296"/>
      <c r="BZ2" s="296"/>
      <c r="CA2" s="296"/>
      <c r="CB2" s="295" t="s">
        <v>468</v>
      </c>
      <c r="CC2" s="296"/>
      <c r="CD2" s="296"/>
      <c r="CE2" s="296"/>
      <c r="CF2" s="296"/>
      <c r="CG2" s="296"/>
      <c r="CH2" s="296"/>
      <c r="CI2" s="296"/>
      <c r="CJ2" s="295" t="s">
        <v>468</v>
      </c>
      <c r="CK2" s="296"/>
      <c r="CL2" s="296"/>
      <c r="CM2" s="296"/>
      <c r="CN2" s="296"/>
      <c r="CO2" s="296"/>
      <c r="CP2" s="296"/>
      <c r="CQ2" s="296"/>
      <c r="CR2" s="295" t="s">
        <v>468</v>
      </c>
      <c r="CS2" s="296"/>
      <c r="CT2" s="296"/>
      <c r="CU2" s="296"/>
      <c r="CV2" s="296"/>
      <c r="CW2" s="296"/>
      <c r="CX2" s="296"/>
      <c r="CY2" s="296"/>
      <c r="CZ2" s="295" t="s">
        <v>468</v>
      </c>
      <c r="DA2" s="296"/>
      <c r="DB2" s="296"/>
      <c r="DC2" s="296"/>
      <c r="DD2" s="296"/>
      <c r="DE2" s="296"/>
      <c r="DF2" s="296"/>
      <c r="DG2" s="296"/>
      <c r="DH2" s="295" t="s">
        <v>468</v>
      </c>
      <c r="DI2" s="296"/>
      <c r="DJ2" s="296"/>
      <c r="DK2" s="296"/>
      <c r="DL2" s="296"/>
      <c r="DM2" s="296"/>
      <c r="DN2" s="296"/>
      <c r="DO2" s="296"/>
      <c r="DP2" s="295" t="s">
        <v>468</v>
      </c>
      <c r="DQ2" s="296"/>
      <c r="DR2" s="296"/>
      <c r="DS2" s="296"/>
      <c r="DT2" s="296"/>
      <c r="DU2" s="296"/>
      <c r="DV2" s="296"/>
      <c r="DW2" s="296"/>
      <c r="DX2" s="295" t="s">
        <v>468</v>
      </c>
      <c r="DY2" s="296"/>
      <c r="DZ2" s="296"/>
      <c r="EA2" s="296"/>
      <c r="EB2" s="296"/>
      <c r="EC2" s="296"/>
      <c r="ED2" s="296"/>
      <c r="EE2" s="296"/>
      <c r="EF2" s="295" t="s">
        <v>468</v>
      </c>
      <c r="EG2" s="296"/>
      <c r="EH2" s="296"/>
      <c r="EI2" s="296"/>
      <c r="EJ2" s="296"/>
      <c r="EK2" s="296"/>
      <c r="EL2" s="296"/>
      <c r="EM2" s="296"/>
      <c r="EN2" s="295" t="s">
        <v>468</v>
      </c>
      <c r="EO2" s="296"/>
      <c r="EP2" s="296"/>
      <c r="EQ2" s="296"/>
      <c r="ER2" s="296"/>
      <c r="ES2" s="296"/>
      <c r="ET2" s="296"/>
      <c r="EU2" s="296"/>
      <c r="EV2" s="295" t="s">
        <v>468</v>
      </c>
      <c r="EW2" s="296"/>
      <c r="EX2" s="296"/>
      <c r="EY2" s="296"/>
      <c r="EZ2" s="296"/>
      <c r="FA2" s="296"/>
      <c r="FB2" s="296"/>
      <c r="FC2" s="296"/>
      <c r="FD2" s="295" t="s">
        <v>468</v>
      </c>
      <c r="FE2" s="296"/>
      <c r="FF2" s="296"/>
      <c r="FG2" s="296"/>
      <c r="FH2" s="296"/>
      <c r="FI2" s="296"/>
      <c r="FJ2" s="296"/>
      <c r="FK2" s="296"/>
      <c r="FL2" s="295" t="s">
        <v>468</v>
      </c>
      <c r="FM2" s="296"/>
      <c r="FN2" s="296"/>
      <c r="FO2" s="296"/>
      <c r="FP2" s="296"/>
      <c r="FQ2" s="296"/>
      <c r="FR2" s="296"/>
      <c r="FS2" s="296"/>
      <c r="FT2" s="295" t="s">
        <v>468</v>
      </c>
      <c r="FU2" s="296"/>
      <c r="FV2" s="296"/>
      <c r="FW2" s="296"/>
      <c r="FX2" s="296"/>
      <c r="FY2" s="296"/>
      <c r="FZ2" s="296"/>
      <c r="GA2" s="296"/>
      <c r="GB2" s="295" t="s">
        <v>468</v>
      </c>
      <c r="GC2" s="296"/>
      <c r="GD2" s="296"/>
      <c r="GE2" s="296"/>
      <c r="GF2" s="296"/>
      <c r="GG2" s="296"/>
      <c r="GH2" s="296"/>
      <c r="GI2" s="296"/>
      <c r="GJ2" s="295" t="s">
        <v>468</v>
      </c>
      <c r="GK2" s="296"/>
      <c r="GL2" s="296"/>
      <c r="GM2" s="296"/>
      <c r="GN2" s="296"/>
      <c r="GO2" s="296"/>
      <c r="GP2" s="296"/>
      <c r="GQ2" s="296"/>
      <c r="GR2" s="295" t="s">
        <v>468</v>
      </c>
      <c r="GS2" s="296"/>
      <c r="GT2" s="296"/>
      <c r="GU2" s="296"/>
      <c r="GV2" s="296"/>
      <c r="GW2" s="296"/>
      <c r="GX2" s="296"/>
      <c r="GY2" s="296"/>
      <c r="GZ2" s="295" t="s">
        <v>468</v>
      </c>
      <c r="HA2" s="296"/>
      <c r="HB2" s="296"/>
      <c r="HC2" s="296"/>
      <c r="HD2" s="296"/>
      <c r="HE2" s="296"/>
      <c r="HF2" s="296"/>
      <c r="HG2" s="296"/>
      <c r="HH2" s="295" t="s">
        <v>468</v>
      </c>
      <c r="HI2" s="296"/>
      <c r="HJ2" s="296"/>
      <c r="HK2" s="296"/>
      <c r="HL2" s="296"/>
      <c r="HM2" s="296"/>
      <c r="HN2" s="296"/>
      <c r="HO2" s="296"/>
      <c r="HP2" s="295" t="s">
        <v>468</v>
      </c>
      <c r="HQ2" s="296"/>
      <c r="HR2" s="296"/>
      <c r="HS2" s="296"/>
      <c r="HT2" s="296"/>
      <c r="HU2" s="296"/>
      <c r="HV2" s="296"/>
      <c r="HW2" s="296"/>
      <c r="HX2" s="295" t="s">
        <v>468</v>
      </c>
      <c r="HY2" s="296"/>
      <c r="HZ2" s="296"/>
      <c r="IA2" s="296"/>
      <c r="IB2" s="296"/>
      <c r="IC2" s="296"/>
      <c r="ID2" s="296"/>
      <c r="IE2" s="296"/>
      <c r="IF2" s="295" t="s">
        <v>468</v>
      </c>
      <c r="IG2" s="296"/>
      <c r="IH2" s="296"/>
      <c r="II2" s="296"/>
      <c r="IJ2" s="296"/>
      <c r="IK2" s="296"/>
      <c r="IL2" s="296"/>
      <c r="IM2" s="296"/>
      <c r="IN2" s="295" t="s">
        <v>468</v>
      </c>
      <c r="IO2" s="296"/>
      <c r="IP2" s="296"/>
      <c r="IQ2" s="296"/>
      <c r="IR2" s="296"/>
      <c r="IS2" s="296"/>
      <c r="IT2" s="296"/>
      <c r="IU2" s="296"/>
      <c r="IV2" s="295" t="s">
        <v>468</v>
      </c>
    </row>
    <row r="3" ht="18">
      <c r="A3" s="293" t="s">
        <v>1165</v>
      </c>
    </row>
    <row r="4" ht="18">
      <c r="A4" s="293" t="s">
        <v>1443</v>
      </c>
    </row>
    <row r="5" ht="13.5" thickBot="1"/>
    <row r="6" spans="1:9" ht="12.75">
      <c r="A6" s="593"/>
      <c r="B6" s="636" t="s">
        <v>1439</v>
      </c>
      <c r="C6" s="588"/>
      <c r="D6" s="588"/>
      <c r="E6" s="588"/>
      <c r="F6" s="588"/>
      <c r="G6" s="588"/>
      <c r="H6" s="588"/>
      <c r="I6" s="589"/>
    </row>
    <row r="7" spans="1:9" ht="12.75">
      <c r="A7" s="584"/>
      <c r="B7" s="639" t="s">
        <v>1444</v>
      </c>
      <c r="C7" s="640"/>
      <c r="D7" s="627">
        <v>0.34458</v>
      </c>
      <c r="E7" s="627">
        <v>0.06943</v>
      </c>
      <c r="F7" s="627">
        <v>0.17686</v>
      </c>
      <c r="G7" s="627">
        <v>0.22638</v>
      </c>
      <c r="H7" s="627">
        <v>0.18275</v>
      </c>
      <c r="I7" s="628">
        <v>1</v>
      </c>
    </row>
    <row r="8" spans="1:9" ht="12.75">
      <c r="A8" s="584"/>
      <c r="B8" s="582" t="s">
        <v>616</v>
      </c>
      <c r="C8" s="582" t="s">
        <v>620</v>
      </c>
      <c r="D8" s="582" t="s">
        <v>1532</v>
      </c>
      <c r="E8" s="582" t="s">
        <v>1533</v>
      </c>
      <c r="F8" s="582" t="s">
        <v>1534</v>
      </c>
      <c r="G8" s="582" t="s">
        <v>1536</v>
      </c>
      <c r="H8" s="582" t="s">
        <v>1537</v>
      </c>
      <c r="I8" s="583" t="s">
        <v>646</v>
      </c>
    </row>
    <row r="9" spans="1:9" ht="12.75">
      <c r="A9" s="584"/>
      <c r="B9" s="387"/>
      <c r="C9" s="387"/>
      <c r="D9" s="387"/>
      <c r="E9" s="387"/>
      <c r="F9" s="387"/>
      <c r="G9" s="387"/>
      <c r="H9" s="387"/>
      <c r="I9" s="585"/>
    </row>
    <row r="10" spans="1:9" ht="12.75">
      <c r="A10" s="629" t="s">
        <v>1440</v>
      </c>
      <c r="B10" s="630">
        <v>4470.01</v>
      </c>
      <c r="C10" s="631">
        <v>5494937.68</v>
      </c>
      <c r="D10" s="631">
        <v>1893445.6</v>
      </c>
      <c r="E10" s="631">
        <v>381513.52</v>
      </c>
      <c r="F10" s="631">
        <v>971834.68</v>
      </c>
      <c r="G10" s="631">
        <v>1243944</v>
      </c>
      <c r="H10" s="631">
        <v>1004199.88</v>
      </c>
      <c r="I10" s="632">
        <v>5494937.680000001</v>
      </c>
    </row>
    <row r="11" spans="1:9" ht="12.75">
      <c r="A11" s="629" t="s">
        <v>1441</v>
      </c>
      <c r="B11" s="630">
        <v>4470.01</v>
      </c>
      <c r="C11" s="633">
        <v>7574.58</v>
      </c>
      <c r="D11" s="633">
        <v>2608.58</v>
      </c>
      <c r="E11" s="633">
        <v>526</v>
      </c>
      <c r="F11" s="633">
        <v>1340</v>
      </c>
      <c r="G11" s="633">
        <v>1715</v>
      </c>
      <c r="H11" s="633">
        <v>1385</v>
      </c>
      <c r="I11" s="634">
        <v>7574.58</v>
      </c>
    </row>
    <row r="12" spans="1:9" ht="13.5" thickBot="1">
      <c r="A12" s="597"/>
      <c r="B12" s="635" t="s">
        <v>646</v>
      </c>
      <c r="C12" s="586">
        <v>5502512.26</v>
      </c>
      <c r="D12" s="586">
        <v>1896054.18</v>
      </c>
      <c r="E12" s="586">
        <v>382039.52</v>
      </c>
      <c r="F12" s="586">
        <v>973174.68</v>
      </c>
      <c r="G12" s="586">
        <v>1245659</v>
      </c>
      <c r="H12" s="586">
        <v>1005584.88</v>
      </c>
      <c r="I12" s="587">
        <v>5502512.260000001</v>
      </c>
    </row>
    <row r="14" ht="13.5" thickBot="1"/>
    <row r="15" spans="1:9" ht="12.75">
      <c r="A15" s="593"/>
      <c r="B15" s="636" t="s">
        <v>1984</v>
      </c>
      <c r="C15" s="588"/>
      <c r="D15" s="588"/>
      <c r="E15" s="588"/>
      <c r="F15" s="588"/>
      <c r="G15" s="588"/>
      <c r="H15" s="588"/>
      <c r="I15" s="589"/>
    </row>
    <row r="16" spans="1:9" ht="12.75">
      <c r="A16" s="584"/>
      <c r="B16" s="639" t="s">
        <v>1985</v>
      </c>
      <c r="C16" s="387"/>
      <c r="D16" s="627">
        <v>0.34458</v>
      </c>
      <c r="E16" s="627">
        <v>0.06943</v>
      </c>
      <c r="F16" s="627">
        <v>0.17686</v>
      </c>
      <c r="G16" s="627">
        <v>0.22638</v>
      </c>
      <c r="H16" s="627">
        <v>0.18275</v>
      </c>
      <c r="I16" s="628">
        <v>1</v>
      </c>
    </row>
    <row r="17" spans="1:9" ht="12.75">
      <c r="A17" s="584"/>
      <c r="B17" s="582" t="s">
        <v>616</v>
      </c>
      <c r="C17" s="582" t="s">
        <v>620</v>
      </c>
      <c r="D17" s="582" t="s">
        <v>1532</v>
      </c>
      <c r="E17" s="582" t="s">
        <v>1533</v>
      </c>
      <c r="F17" s="582" t="s">
        <v>1534</v>
      </c>
      <c r="G17" s="582" t="s">
        <v>1536</v>
      </c>
      <c r="H17" s="582" t="s">
        <v>1537</v>
      </c>
      <c r="I17" s="583" t="s">
        <v>646</v>
      </c>
    </row>
    <row r="18" spans="1:9" ht="12.75">
      <c r="A18" s="584"/>
      <c r="B18" s="387"/>
      <c r="C18" s="387"/>
      <c r="D18" s="387"/>
      <c r="E18" s="387"/>
      <c r="F18" s="387"/>
      <c r="G18" s="387"/>
      <c r="H18" s="387"/>
      <c r="I18" s="585"/>
    </row>
    <row r="19" spans="1:9" ht="12.75">
      <c r="A19" s="629" t="s">
        <v>1440</v>
      </c>
      <c r="B19" s="630">
        <v>4470.01</v>
      </c>
      <c r="C19" s="631">
        <v>0</v>
      </c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2">
        <v>0</v>
      </c>
    </row>
    <row r="20" spans="1:9" ht="12.75">
      <c r="A20" s="629" t="s">
        <v>1441</v>
      </c>
      <c r="B20" s="630">
        <v>4470.01</v>
      </c>
      <c r="C20" s="633">
        <v>-34.25</v>
      </c>
      <c r="D20" s="633">
        <v>-11.801865</v>
      </c>
      <c r="E20" s="633">
        <v>-2.3779775</v>
      </c>
      <c r="F20" s="633">
        <v>-6.057455</v>
      </c>
      <c r="G20" s="633">
        <v>-7.753515</v>
      </c>
      <c r="H20" s="633">
        <v>-6.2591874999999995</v>
      </c>
      <c r="I20" s="634">
        <v>-34.25</v>
      </c>
    </row>
    <row r="21" spans="1:9" ht="13.5" thickBot="1">
      <c r="A21" s="637"/>
      <c r="B21" s="635" t="s">
        <v>646</v>
      </c>
      <c r="C21" s="586">
        <v>-34.25</v>
      </c>
      <c r="D21" s="586">
        <v>-11.801865</v>
      </c>
      <c r="E21" s="586">
        <v>-2.3779775</v>
      </c>
      <c r="F21" s="586">
        <v>-6.057455</v>
      </c>
      <c r="G21" s="586">
        <v>-7.753515</v>
      </c>
      <c r="H21" s="586">
        <v>-6.2591874999999995</v>
      </c>
      <c r="I21" s="587">
        <v>-34.25</v>
      </c>
    </row>
    <row r="22" ht="12.75">
      <c r="A22" s="294"/>
    </row>
    <row r="23" ht="13.5" thickBot="1">
      <c r="A23" s="294"/>
    </row>
    <row r="24" spans="1:9" ht="12.75">
      <c r="A24" s="593"/>
      <c r="B24" s="636" t="s">
        <v>1445</v>
      </c>
      <c r="C24" s="588"/>
      <c r="D24" s="588"/>
      <c r="E24" s="588"/>
      <c r="F24" s="588"/>
      <c r="G24" s="588"/>
      <c r="H24" s="588"/>
      <c r="I24" s="589"/>
    </row>
    <row r="25" spans="1:9" ht="12.75">
      <c r="A25" s="584"/>
      <c r="B25" s="639" t="s">
        <v>1985</v>
      </c>
      <c r="C25" s="387"/>
      <c r="D25" s="387"/>
      <c r="E25" s="387"/>
      <c r="F25" s="387"/>
      <c r="G25" s="387"/>
      <c r="H25" s="387"/>
      <c r="I25" s="585"/>
    </row>
    <row r="26" spans="1:9" ht="12.75">
      <c r="A26" s="584"/>
      <c r="B26" s="639" t="s">
        <v>1446</v>
      </c>
      <c r="C26" s="387"/>
      <c r="D26" s="627">
        <v>0.34458</v>
      </c>
      <c r="E26" s="627">
        <v>0.06943</v>
      </c>
      <c r="F26" s="627">
        <v>0.17686</v>
      </c>
      <c r="G26" s="627">
        <v>0.22638</v>
      </c>
      <c r="H26" s="627">
        <v>0.18275</v>
      </c>
      <c r="I26" s="628">
        <v>1</v>
      </c>
    </row>
    <row r="27" spans="1:9" ht="12.75">
      <c r="A27" s="584"/>
      <c r="B27" s="582" t="s">
        <v>616</v>
      </c>
      <c r="C27" s="582" t="s">
        <v>620</v>
      </c>
      <c r="D27" s="582" t="s">
        <v>1532</v>
      </c>
      <c r="E27" s="582" t="s">
        <v>1533</v>
      </c>
      <c r="F27" s="582" t="s">
        <v>1534</v>
      </c>
      <c r="G27" s="582" t="s">
        <v>1536</v>
      </c>
      <c r="H27" s="582" t="s">
        <v>1537</v>
      </c>
      <c r="I27" s="583" t="s">
        <v>646</v>
      </c>
    </row>
    <row r="28" spans="1:9" ht="12.75">
      <c r="A28" s="584"/>
      <c r="B28" s="387"/>
      <c r="C28" s="387"/>
      <c r="D28" s="387"/>
      <c r="E28" s="387"/>
      <c r="F28" s="387"/>
      <c r="G28" s="387"/>
      <c r="H28" s="387"/>
      <c r="I28" s="585"/>
    </row>
    <row r="29" spans="1:9" ht="12.75">
      <c r="A29" s="629" t="s">
        <v>1440</v>
      </c>
      <c r="B29" s="630">
        <v>4470.01</v>
      </c>
      <c r="C29" s="631">
        <v>0</v>
      </c>
      <c r="D29" s="631">
        <v>0</v>
      </c>
      <c r="E29" s="631">
        <v>0</v>
      </c>
      <c r="F29" s="631">
        <v>0</v>
      </c>
      <c r="G29" s="631">
        <v>0</v>
      </c>
      <c r="H29" s="631">
        <v>0</v>
      </c>
      <c r="I29" s="632">
        <v>0</v>
      </c>
    </row>
    <row r="30" spans="1:9" ht="12.75">
      <c r="A30" s="629" t="s">
        <v>1441</v>
      </c>
      <c r="B30" s="630">
        <v>4470.01</v>
      </c>
      <c r="C30" s="633">
        <v>-34.25</v>
      </c>
      <c r="D30" s="633">
        <v>-11.8</v>
      </c>
      <c r="E30" s="633">
        <v>-2.38</v>
      </c>
      <c r="F30" s="633">
        <v>-6.06</v>
      </c>
      <c r="G30" s="633">
        <v>-7.75</v>
      </c>
      <c r="H30" s="633">
        <v>-6.26</v>
      </c>
      <c r="I30" s="634">
        <v>-34.25</v>
      </c>
    </row>
    <row r="31" spans="1:9" ht="13.5" thickBot="1">
      <c r="A31" s="637"/>
      <c r="B31" s="635" t="s">
        <v>646</v>
      </c>
      <c r="C31" s="586">
        <v>-34.25</v>
      </c>
      <c r="D31" s="586">
        <v>-11.8</v>
      </c>
      <c r="E31" s="586">
        <v>-2.38</v>
      </c>
      <c r="F31" s="586">
        <v>-6.06</v>
      </c>
      <c r="G31" s="586">
        <v>-7.75</v>
      </c>
      <c r="H31" s="586">
        <v>-6.26</v>
      </c>
      <c r="I31" s="587">
        <v>-34.25</v>
      </c>
    </row>
    <row r="32" ht="12.75">
      <c r="A32" s="294"/>
    </row>
    <row r="33" ht="12.75">
      <c r="A33" s="294"/>
    </row>
    <row r="34" ht="13.5" thickBot="1"/>
    <row r="35" spans="1:9" ht="12.75">
      <c r="A35" s="593"/>
      <c r="B35" s="636" t="s">
        <v>1953</v>
      </c>
      <c r="C35" s="588"/>
      <c r="D35" s="588"/>
      <c r="E35" s="588"/>
      <c r="F35" s="588"/>
      <c r="G35" s="588"/>
      <c r="H35" s="588"/>
      <c r="I35" s="589"/>
    </row>
    <row r="36" spans="1:9" ht="12.75">
      <c r="A36" s="584"/>
      <c r="B36" s="639" t="s">
        <v>1447</v>
      </c>
      <c r="C36" s="387"/>
      <c r="D36" s="627">
        <v>0.34458</v>
      </c>
      <c r="E36" s="627">
        <v>0.06943</v>
      </c>
      <c r="F36" s="627">
        <v>0.17686</v>
      </c>
      <c r="G36" s="627">
        <v>0.22638</v>
      </c>
      <c r="H36" s="627">
        <v>0.18275</v>
      </c>
      <c r="I36" s="628">
        <v>1</v>
      </c>
    </row>
    <row r="37" spans="1:9" ht="12.75">
      <c r="A37" s="584"/>
      <c r="B37" s="582" t="s">
        <v>616</v>
      </c>
      <c r="C37" s="582" t="s">
        <v>620</v>
      </c>
      <c r="D37" s="582" t="s">
        <v>1532</v>
      </c>
      <c r="E37" s="582" t="s">
        <v>1533</v>
      </c>
      <c r="F37" s="582" t="s">
        <v>1534</v>
      </c>
      <c r="G37" s="582" t="s">
        <v>1536</v>
      </c>
      <c r="H37" s="582" t="s">
        <v>1537</v>
      </c>
      <c r="I37" s="583" t="s">
        <v>646</v>
      </c>
    </row>
    <row r="38" spans="1:9" ht="12.75">
      <c r="A38" s="584"/>
      <c r="B38" s="387"/>
      <c r="C38" s="387"/>
      <c r="D38" s="387"/>
      <c r="E38" s="387"/>
      <c r="F38" s="387"/>
      <c r="G38" s="387"/>
      <c r="H38" s="387"/>
      <c r="I38" s="585"/>
    </row>
    <row r="39" spans="1:9" ht="12.75">
      <c r="A39" s="629" t="s">
        <v>1440</v>
      </c>
      <c r="B39" s="630">
        <v>4470.01</v>
      </c>
      <c r="C39" s="631">
        <v>0</v>
      </c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2">
        <v>0</v>
      </c>
    </row>
    <row r="40" spans="1:9" ht="12.75">
      <c r="A40" s="629" t="s">
        <v>1441</v>
      </c>
      <c r="B40" s="630">
        <v>4470.01</v>
      </c>
      <c r="C40" s="633">
        <v>0</v>
      </c>
      <c r="D40" s="633">
        <v>-0.0018649999999986733</v>
      </c>
      <c r="E40" s="633">
        <v>0.002022499999999816</v>
      </c>
      <c r="F40" s="633">
        <v>0.0025449999999995754</v>
      </c>
      <c r="G40" s="633">
        <v>-0.003515000000000157</v>
      </c>
      <c r="H40" s="633">
        <v>0.0008125000000003268</v>
      </c>
      <c r="I40" s="634">
        <v>8.881784197001252E-16</v>
      </c>
    </row>
    <row r="41" spans="1:9" ht="13.5" thickBot="1">
      <c r="A41" s="597"/>
      <c r="B41" s="635" t="s">
        <v>646</v>
      </c>
      <c r="C41" s="586">
        <v>0</v>
      </c>
      <c r="D41" s="586">
        <v>-0.0018649999999986733</v>
      </c>
      <c r="E41" s="586">
        <v>0.002022499999999816</v>
      </c>
      <c r="F41" s="586">
        <v>0.0025449999999995754</v>
      </c>
      <c r="G41" s="586">
        <v>-0.003515000000000157</v>
      </c>
      <c r="H41" s="586">
        <v>0.0008125000000003268</v>
      </c>
      <c r="I41" s="587">
        <v>8.881784197001252E-16</v>
      </c>
    </row>
    <row r="42" spans="2:9" ht="12.75">
      <c r="B42" s="630"/>
      <c r="C42" s="631"/>
      <c r="D42" s="631"/>
      <c r="E42" s="631"/>
      <c r="F42" s="631"/>
      <c r="G42" s="631"/>
      <c r="H42" s="631"/>
      <c r="I42" s="631"/>
    </row>
    <row r="43" spans="1:9" ht="13.5" thickBot="1">
      <c r="A43" s="590"/>
      <c r="B43" s="590"/>
      <c r="C43" s="590"/>
      <c r="D43" s="590"/>
      <c r="E43" s="590"/>
      <c r="F43" s="590"/>
      <c r="G43" s="590"/>
      <c r="H43" s="590"/>
      <c r="I43" s="590"/>
    </row>
    <row r="45" ht="13.5" thickBot="1"/>
    <row r="46" spans="1:9" ht="12.75">
      <c r="A46" s="593"/>
      <c r="B46" s="636" t="s">
        <v>1984</v>
      </c>
      <c r="C46" s="588"/>
      <c r="D46" s="588"/>
      <c r="E46" s="588"/>
      <c r="F46" s="588"/>
      <c r="G46" s="588"/>
      <c r="H46" s="589"/>
      <c r="I46" s="387"/>
    </row>
    <row r="47" spans="1:9" ht="12.75">
      <c r="A47" s="584"/>
      <c r="B47" s="639" t="s">
        <v>1685</v>
      </c>
      <c r="C47" s="387"/>
      <c r="D47" s="627">
        <v>0</v>
      </c>
      <c r="E47" s="627">
        <v>0.45902</v>
      </c>
      <c r="F47" s="627">
        <v>0.54098</v>
      </c>
      <c r="G47" s="627">
        <v>0</v>
      </c>
      <c r="H47" s="628">
        <v>1</v>
      </c>
      <c r="I47" s="387"/>
    </row>
    <row r="48" spans="1:9" ht="12.75">
      <c r="A48" s="584"/>
      <c r="B48" s="582" t="s">
        <v>616</v>
      </c>
      <c r="C48" s="582" t="s">
        <v>620</v>
      </c>
      <c r="D48" s="582" t="s">
        <v>1977</v>
      </c>
      <c r="E48" s="582" t="s">
        <v>1975</v>
      </c>
      <c r="F48" s="582" t="s">
        <v>1986</v>
      </c>
      <c r="G48" s="582" t="s">
        <v>1978</v>
      </c>
      <c r="H48" s="583" t="s">
        <v>646</v>
      </c>
      <c r="I48" s="387"/>
    </row>
    <row r="49" spans="1:9" ht="12.75">
      <c r="A49" s="584"/>
      <c r="B49" s="387"/>
      <c r="C49" s="387"/>
      <c r="D49" s="387"/>
      <c r="E49" s="387"/>
      <c r="F49" s="387"/>
      <c r="G49" s="387"/>
      <c r="H49" s="585"/>
      <c r="I49" s="387"/>
    </row>
    <row r="50" spans="1:9" ht="12.75">
      <c r="A50" s="629" t="s">
        <v>1440</v>
      </c>
      <c r="B50" s="630">
        <v>4470.01</v>
      </c>
      <c r="C50" s="631">
        <v>0</v>
      </c>
      <c r="D50" s="631">
        <v>0</v>
      </c>
      <c r="E50" s="631">
        <v>0</v>
      </c>
      <c r="F50" s="631">
        <v>0</v>
      </c>
      <c r="G50" s="631">
        <v>0</v>
      </c>
      <c r="H50" s="632">
        <v>0</v>
      </c>
      <c r="I50" s="387"/>
    </row>
    <row r="51" spans="1:8" ht="12.75">
      <c r="A51" s="629" t="s">
        <v>1441</v>
      </c>
      <c r="B51" s="630">
        <v>4470.01</v>
      </c>
      <c r="C51" s="633">
        <v>0</v>
      </c>
      <c r="D51" s="633">
        <v>0</v>
      </c>
      <c r="E51" s="633">
        <v>0</v>
      </c>
      <c r="F51" s="633">
        <v>0</v>
      </c>
      <c r="G51" s="633">
        <v>0</v>
      </c>
      <c r="H51" s="634">
        <v>0</v>
      </c>
    </row>
    <row r="52" spans="1:8" ht="13.5" thickBot="1">
      <c r="A52" s="597"/>
      <c r="B52" s="635" t="s">
        <v>646</v>
      </c>
      <c r="C52" s="586">
        <v>0</v>
      </c>
      <c r="D52" s="586">
        <v>0</v>
      </c>
      <c r="E52" s="586">
        <v>0</v>
      </c>
      <c r="F52" s="586">
        <v>0</v>
      </c>
      <c r="G52" s="586">
        <v>0</v>
      </c>
      <c r="H52" s="587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/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7.421875" style="0" customWidth="1"/>
    <col min="4" max="9" width="15.7109375" style="0" customWidth="1"/>
  </cols>
  <sheetData>
    <row r="1" spans="1:10" ht="12.75">
      <c r="A1" s="389" t="s">
        <v>1729</v>
      </c>
      <c r="B1" s="578" t="str">
        <f>INPUT!C1</f>
        <v>February 2009</v>
      </c>
      <c r="C1" s="296"/>
      <c r="D1" s="296"/>
      <c r="E1" s="296"/>
      <c r="F1" s="296"/>
      <c r="G1" s="296"/>
      <c r="H1" s="295" t="s">
        <v>621</v>
      </c>
      <c r="I1" s="389"/>
      <c r="J1" s="578"/>
    </row>
    <row r="2" spans="1:10" ht="12.75">
      <c r="A2" s="296"/>
      <c r="B2" s="296"/>
      <c r="C2" s="296"/>
      <c r="D2" s="296"/>
      <c r="E2" s="296"/>
      <c r="F2" s="296"/>
      <c r="G2" s="296"/>
      <c r="H2" s="295" t="s">
        <v>469</v>
      </c>
      <c r="I2" s="296"/>
      <c r="J2" s="296"/>
    </row>
    <row r="3" ht="18">
      <c r="A3" s="293" t="s">
        <v>1166</v>
      </c>
    </row>
    <row r="4" ht="18">
      <c r="A4" s="293" t="s">
        <v>332</v>
      </c>
    </row>
    <row r="5" ht="13.5" thickBot="1"/>
    <row r="6" spans="1:9" ht="12.75">
      <c r="A6" s="593"/>
      <c r="B6" s="636" t="s">
        <v>1439</v>
      </c>
      <c r="C6" s="588"/>
      <c r="D6" s="588"/>
      <c r="E6" s="588"/>
      <c r="F6" s="588"/>
      <c r="G6" s="588"/>
      <c r="H6" s="588"/>
      <c r="I6" s="589"/>
    </row>
    <row r="7" spans="1:9" ht="12.75">
      <c r="A7" s="584"/>
      <c r="B7" s="639" t="s">
        <v>1444</v>
      </c>
      <c r="C7" s="640"/>
      <c r="D7" s="627">
        <v>0.34458</v>
      </c>
      <c r="E7" s="627">
        <v>0.06943</v>
      </c>
      <c r="F7" s="627">
        <v>0.17686</v>
      </c>
      <c r="G7" s="627">
        <v>0.22638</v>
      </c>
      <c r="H7" s="627">
        <v>0.18275</v>
      </c>
      <c r="I7" s="628">
        <v>1</v>
      </c>
    </row>
    <row r="8" spans="1:9" ht="12.75">
      <c r="A8" s="584"/>
      <c r="B8" s="582" t="s">
        <v>616</v>
      </c>
      <c r="C8" s="582" t="s">
        <v>620</v>
      </c>
      <c r="D8" s="582" t="s">
        <v>1532</v>
      </c>
      <c r="E8" s="582" t="s">
        <v>1533</v>
      </c>
      <c r="F8" s="582" t="s">
        <v>1534</v>
      </c>
      <c r="G8" s="582" t="s">
        <v>1536</v>
      </c>
      <c r="H8" s="582" t="s">
        <v>1537</v>
      </c>
      <c r="I8" s="583" t="s">
        <v>646</v>
      </c>
    </row>
    <row r="9" spans="1:9" ht="12.75">
      <c r="A9" s="584"/>
      <c r="B9" s="387"/>
      <c r="C9" s="387"/>
      <c r="D9" s="387"/>
      <c r="E9" s="387"/>
      <c r="F9" s="387"/>
      <c r="G9" s="387"/>
      <c r="H9" s="387"/>
      <c r="I9" s="585"/>
    </row>
    <row r="10" spans="1:9" ht="12.75">
      <c r="A10" s="629" t="s">
        <v>333</v>
      </c>
      <c r="B10" s="630">
        <v>4470.066</v>
      </c>
      <c r="C10" s="633">
        <v>520601</v>
      </c>
      <c r="D10" s="633">
        <v>179387</v>
      </c>
      <c r="E10" s="633">
        <v>36146</v>
      </c>
      <c r="F10" s="633">
        <v>92074</v>
      </c>
      <c r="G10" s="633">
        <v>117856</v>
      </c>
      <c r="H10" s="633">
        <v>95138</v>
      </c>
      <c r="I10" s="634">
        <v>520601</v>
      </c>
    </row>
    <row r="11" spans="1:9" ht="13.5" thickBot="1">
      <c r="A11" s="637" t="s">
        <v>334</v>
      </c>
      <c r="B11" s="635" t="s">
        <v>646</v>
      </c>
      <c r="C11" s="586">
        <v>520601</v>
      </c>
      <c r="D11" s="586">
        <v>179387</v>
      </c>
      <c r="E11" s="586">
        <v>36146</v>
      </c>
      <c r="F11" s="586">
        <v>92074</v>
      </c>
      <c r="G11" s="586">
        <v>117856</v>
      </c>
      <c r="H11" s="586">
        <v>95138</v>
      </c>
      <c r="I11" s="587">
        <v>520601</v>
      </c>
    </row>
    <row r="13" ht="13.5" thickBot="1"/>
    <row r="14" spans="1:9" ht="12.75">
      <c r="A14" s="593"/>
      <c r="B14" s="636" t="s">
        <v>1984</v>
      </c>
      <c r="C14" s="588"/>
      <c r="D14" s="588"/>
      <c r="E14" s="588"/>
      <c r="F14" s="588"/>
      <c r="G14" s="588"/>
      <c r="H14" s="588"/>
      <c r="I14" s="589"/>
    </row>
    <row r="15" spans="1:9" ht="12.75">
      <c r="A15" s="584"/>
      <c r="B15" s="639" t="s">
        <v>1985</v>
      </c>
      <c r="C15" s="387"/>
      <c r="D15" s="627">
        <v>0.34458</v>
      </c>
      <c r="E15" s="627">
        <v>0.06943</v>
      </c>
      <c r="F15" s="627">
        <v>0.17686</v>
      </c>
      <c r="G15" s="627">
        <v>0.22638</v>
      </c>
      <c r="H15" s="627">
        <v>0.18275</v>
      </c>
      <c r="I15" s="628">
        <v>1</v>
      </c>
    </row>
    <row r="16" spans="1:9" ht="12.75">
      <c r="A16" s="584"/>
      <c r="B16" s="582" t="s">
        <v>616</v>
      </c>
      <c r="C16" s="582" t="s">
        <v>620</v>
      </c>
      <c r="D16" s="582" t="s">
        <v>1532</v>
      </c>
      <c r="E16" s="582" t="s">
        <v>1533</v>
      </c>
      <c r="F16" s="582" t="s">
        <v>1534</v>
      </c>
      <c r="G16" s="582" t="s">
        <v>1536</v>
      </c>
      <c r="H16" s="582" t="s">
        <v>1537</v>
      </c>
      <c r="I16" s="583" t="s">
        <v>646</v>
      </c>
    </row>
    <row r="17" spans="1:9" ht="12.75">
      <c r="A17" s="584"/>
      <c r="B17" s="387"/>
      <c r="C17" s="387"/>
      <c r="D17" s="387"/>
      <c r="E17" s="387"/>
      <c r="F17" s="387"/>
      <c r="G17" s="387"/>
      <c r="H17" s="387"/>
      <c r="I17" s="585"/>
    </row>
    <row r="18" spans="1:9" ht="12.75">
      <c r="A18" s="629" t="s">
        <v>333</v>
      </c>
      <c r="B18" s="630">
        <v>4470.066</v>
      </c>
      <c r="C18" s="633">
        <v>-285750</v>
      </c>
      <c r="D18" s="633">
        <v>-98463.725</v>
      </c>
      <c r="E18" s="633">
        <v>-19839.6225</v>
      </c>
      <c r="F18" s="633">
        <v>-50537.744999999995</v>
      </c>
      <c r="G18" s="633">
        <v>-64688.085</v>
      </c>
      <c r="H18" s="633">
        <v>-52220.8125</v>
      </c>
      <c r="I18" s="634">
        <v>-285750</v>
      </c>
    </row>
    <row r="19" spans="1:9" ht="13.5" thickBot="1">
      <c r="A19" s="637" t="s">
        <v>334</v>
      </c>
      <c r="B19" s="635" t="s">
        <v>646</v>
      </c>
      <c r="C19" s="586">
        <v>-285750</v>
      </c>
      <c r="D19" s="586">
        <v>-98463.725</v>
      </c>
      <c r="E19" s="586">
        <v>-19839.6225</v>
      </c>
      <c r="F19" s="586">
        <v>-50537.744999999995</v>
      </c>
      <c r="G19" s="586">
        <v>-64688.085</v>
      </c>
      <c r="H19" s="586">
        <v>-52220.8125</v>
      </c>
      <c r="I19" s="587">
        <v>-285750</v>
      </c>
    </row>
    <row r="20" ht="12.75">
      <c r="A20" s="294"/>
    </row>
    <row r="21" ht="13.5" thickBot="1">
      <c r="A21" s="294"/>
    </row>
    <row r="22" spans="1:9" ht="12.75">
      <c r="A22" s="593"/>
      <c r="B22" s="636" t="s">
        <v>1445</v>
      </c>
      <c r="C22" s="588"/>
      <c r="D22" s="588"/>
      <c r="E22" s="588"/>
      <c r="F22" s="588"/>
      <c r="G22" s="588"/>
      <c r="H22" s="588"/>
      <c r="I22" s="589"/>
    </row>
    <row r="23" spans="1:9" ht="12.75">
      <c r="A23" s="584"/>
      <c r="B23" s="639" t="s">
        <v>1985</v>
      </c>
      <c r="C23" s="387"/>
      <c r="D23" s="387"/>
      <c r="E23" s="387"/>
      <c r="F23" s="387"/>
      <c r="G23" s="387"/>
      <c r="H23" s="387"/>
      <c r="I23" s="585"/>
    </row>
    <row r="24" spans="1:9" ht="12.75">
      <c r="A24" s="584"/>
      <c r="B24" s="639" t="s">
        <v>1446</v>
      </c>
      <c r="C24" s="387"/>
      <c r="D24" s="627">
        <v>0.34458</v>
      </c>
      <c r="E24" s="627">
        <v>0.06943</v>
      </c>
      <c r="F24" s="627">
        <v>0.17686</v>
      </c>
      <c r="G24" s="627">
        <v>0.22638</v>
      </c>
      <c r="H24" s="627">
        <v>0.18275</v>
      </c>
      <c r="I24" s="628">
        <v>1</v>
      </c>
    </row>
    <row r="25" spans="1:9" ht="12.75">
      <c r="A25" s="584"/>
      <c r="B25" s="582" t="s">
        <v>616</v>
      </c>
      <c r="C25" s="582" t="s">
        <v>620</v>
      </c>
      <c r="D25" s="582" t="s">
        <v>1532</v>
      </c>
      <c r="E25" s="582" t="s">
        <v>1533</v>
      </c>
      <c r="F25" s="582" t="s">
        <v>1534</v>
      </c>
      <c r="G25" s="582" t="s">
        <v>1536</v>
      </c>
      <c r="H25" s="582" t="s">
        <v>1537</v>
      </c>
      <c r="I25" s="583" t="s">
        <v>646</v>
      </c>
    </row>
    <row r="26" spans="1:9" ht="12.75">
      <c r="A26" s="584"/>
      <c r="B26" s="387"/>
      <c r="C26" s="387"/>
      <c r="D26" s="387"/>
      <c r="E26" s="387"/>
      <c r="F26" s="387"/>
      <c r="G26" s="387"/>
      <c r="H26" s="387"/>
      <c r="I26" s="585"/>
    </row>
    <row r="27" spans="1:9" ht="12.75">
      <c r="A27" s="629" t="s">
        <v>333</v>
      </c>
      <c r="B27" s="630">
        <v>4470.066</v>
      </c>
      <c r="C27" s="633">
        <v>-285750</v>
      </c>
      <c r="D27" s="633">
        <v>-98463.73</v>
      </c>
      <c r="E27" s="633">
        <v>-19839.62</v>
      </c>
      <c r="F27" s="633">
        <v>-50537.75</v>
      </c>
      <c r="G27" s="633">
        <v>-64688.09</v>
      </c>
      <c r="H27" s="633">
        <v>-52220.81</v>
      </c>
      <c r="I27" s="634">
        <v>-285750</v>
      </c>
    </row>
    <row r="28" spans="1:9" ht="13.5" thickBot="1">
      <c r="A28" s="637" t="s">
        <v>334</v>
      </c>
      <c r="B28" s="635" t="s">
        <v>646</v>
      </c>
      <c r="C28" s="586">
        <v>-285750</v>
      </c>
      <c r="D28" s="586">
        <v>-98463.73</v>
      </c>
      <c r="E28" s="586">
        <v>-19839.62</v>
      </c>
      <c r="F28" s="586">
        <v>-50537.75</v>
      </c>
      <c r="G28" s="586">
        <v>-64688.09</v>
      </c>
      <c r="H28" s="586">
        <v>-52220.81</v>
      </c>
      <c r="I28" s="587">
        <v>-285750</v>
      </c>
    </row>
    <row r="29" ht="12.75">
      <c r="A29" s="294"/>
    </row>
    <row r="30" ht="12.75">
      <c r="A30" s="294"/>
    </row>
    <row r="31" ht="13.5" thickBot="1"/>
    <row r="32" spans="1:9" ht="12.75">
      <c r="A32" s="593"/>
      <c r="B32" s="636" t="s">
        <v>1953</v>
      </c>
      <c r="C32" s="588"/>
      <c r="D32" s="588"/>
      <c r="E32" s="588"/>
      <c r="F32" s="588"/>
      <c r="G32" s="588"/>
      <c r="H32" s="588"/>
      <c r="I32" s="589"/>
    </row>
    <row r="33" spans="1:9" ht="12.75">
      <c r="A33" s="584"/>
      <c r="B33" s="639" t="s">
        <v>1447</v>
      </c>
      <c r="C33" s="387"/>
      <c r="D33" s="627">
        <v>0.34458</v>
      </c>
      <c r="E33" s="627">
        <v>0.06943</v>
      </c>
      <c r="F33" s="627">
        <v>0.17686</v>
      </c>
      <c r="G33" s="627">
        <v>0.22638</v>
      </c>
      <c r="H33" s="627">
        <v>0.18275</v>
      </c>
      <c r="I33" s="628">
        <v>1</v>
      </c>
    </row>
    <row r="34" spans="1:9" ht="12.75">
      <c r="A34" s="584"/>
      <c r="B34" s="582" t="s">
        <v>616</v>
      </c>
      <c r="C34" s="582" t="s">
        <v>620</v>
      </c>
      <c r="D34" s="582" t="s">
        <v>1532</v>
      </c>
      <c r="E34" s="582" t="s">
        <v>1533</v>
      </c>
      <c r="F34" s="582" t="s">
        <v>1534</v>
      </c>
      <c r="G34" s="582" t="s">
        <v>1536</v>
      </c>
      <c r="H34" s="582" t="s">
        <v>1537</v>
      </c>
      <c r="I34" s="583" t="s">
        <v>646</v>
      </c>
    </row>
    <row r="35" spans="1:9" ht="12.75">
      <c r="A35" s="584"/>
      <c r="B35" s="387"/>
      <c r="C35" s="387"/>
      <c r="D35" s="387"/>
      <c r="E35" s="387"/>
      <c r="F35" s="387"/>
      <c r="G35" s="387"/>
      <c r="H35" s="387"/>
      <c r="I35" s="585"/>
    </row>
    <row r="36" spans="1:9" ht="12.75">
      <c r="A36" s="629" t="s">
        <v>333</v>
      </c>
      <c r="B36" s="630">
        <v>4470.066</v>
      </c>
      <c r="C36" s="633">
        <v>0</v>
      </c>
      <c r="D36" s="633">
        <v>0.004999999990104698</v>
      </c>
      <c r="E36" s="633">
        <v>-0.0025000000023283064</v>
      </c>
      <c r="F36" s="633">
        <v>-0.004999999995343387</v>
      </c>
      <c r="G36" s="633">
        <v>0.004999999997380655</v>
      </c>
      <c r="H36" s="633">
        <v>-0.0025000000023283064</v>
      </c>
      <c r="I36" s="634">
        <v>-1.251464730456231E-11</v>
      </c>
    </row>
    <row r="37" spans="1:9" ht="13.5" thickBot="1">
      <c r="A37" s="637" t="s">
        <v>334</v>
      </c>
      <c r="B37" s="635" t="s">
        <v>646</v>
      </c>
      <c r="C37" s="586">
        <v>0</v>
      </c>
      <c r="D37" s="586">
        <v>0.004999999990104698</v>
      </c>
      <c r="E37" s="586">
        <v>-0.0025000000023283064</v>
      </c>
      <c r="F37" s="586">
        <v>-0.004999999995343387</v>
      </c>
      <c r="G37" s="586">
        <v>0.004999999997380655</v>
      </c>
      <c r="H37" s="586">
        <v>-0.0025000000023283064</v>
      </c>
      <c r="I37" s="587">
        <v>-1.251464730456231E-11</v>
      </c>
    </row>
    <row r="38" spans="2:9" ht="12.75">
      <c r="B38" s="630"/>
      <c r="C38" s="631"/>
      <c r="D38" s="631"/>
      <c r="E38" s="631"/>
      <c r="F38" s="631"/>
      <c r="G38" s="631"/>
      <c r="H38" s="631"/>
      <c r="I38" s="631"/>
    </row>
    <row r="39" spans="1:9" ht="13.5" thickBot="1">
      <c r="A39" s="590"/>
      <c r="B39" s="590"/>
      <c r="C39" s="590"/>
      <c r="D39" s="590"/>
      <c r="E39" s="590"/>
      <c r="F39" s="590"/>
      <c r="G39" s="590"/>
      <c r="H39" s="590"/>
      <c r="I39" s="590"/>
    </row>
    <row r="41" ht="13.5" thickBot="1"/>
    <row r="42" spans="1:9" ht="12.75">
      <c r="A42" s="593"/>
      <c r="B42" s="636" t="s">
        <v>1984</v>
      </c>
      <c r="C42" s="588"/>
      <c r="D42" s="636" t="s">
        <v>423</v>
      </c>
      <c r="E42" s="636" t="s">
        <v>487</v>
      </c>
      <c r="F42" s="636" t="s">
        <v>1167</v>
      </c>
      <c r="G42" s="636" t="s">
        <v>423</v>
      </c>
      <c r="H42" s="727" t="s">
        <v>424</v>
      </c>
      <c r="I42" s="387"/>
    </row>
    <row r="43" spans="1:9" ht="12.75">
      <c r="A43" s="584"/>
      <c r="B43" s="639" t="s">
        <v>1685</v>
      </c>
      <c r="C43" s="387"/>
      <c r="D43" s="627">
        <v>0</v>
      </c>
      <c r="E43" s="627">
        <v>0.3333</v>
      </c>
      <c r="F43" s="627">
        <v>0.6667</v>
      </c>
      <c r="G43" s="627">
        <v>0</v>
      </c>
      <c r="H43" s="628">
        <v>1</v>
      </c>
      <c r="I43" s="387"/>
    </row>
    <row r="44" spans="1:9" ht="12.75">
      <c r="A44" s="584"/>
      <c r="B44" s="582" t="s">
        <v>616</v>
      </c>
      <c r="C44" s="582" t="s">
        <v>620</v>
      </c>
      <c r="D44" s="582" t="s">
        <v>1977</v>
      </c>
      <c r="E44" s="582" t="s">
        <v>1975</v>
      </c>
      <c r="F44" s="582" t="s">
        <v>1986</v>
      </c>
      <c r="G44" s="582" t="s">
        <v>1978</v>
      </c>
      <c r="H44" s="583" t="s">
        <v>646</v>
      </c>
      <c r="I44" s="387"/>
    </row>
    <row r="45" spans="1:9" ht="12.75">
      <c r="A45" s="584"/>
      <c r="B45" s="387"/>
      <c r="C45" s="387"/>
      <c r="D45" s="387"/>
      <c r="E45" s="387"/>
      <c r="F45" s="387"/>
      <c r="G45" s="387"/>
      <c r="H45" s="585"/>
      <c r="I45" s="387"/>
    </row>
    <row r="46" spans="1:8" ht="12.75">
      <c r="A46" s="629" t="s">
        <v>333</v>
      </c>
      <c r="B46" s="630">
        <v>5650.002</v>
      </c>
      <c r="C46" s="633">
        <v>0</v>
      </c>
      <c r="D46" s="633">
        <v>0</v>
      </c>
      <c r="E46" s="633">
        <v>0</v>
      </c>
      <c r="F46" s="633">
        <v>0</v>
      </c>
      <c r="G46" s="633">
        <v>0</v>
      </c>
      <c r="H46" s="634">
        <v>0</v>
      </c>
    </row>
    <row r="47" spans="1:8" ht="13.5" thickBot="1">
      <c r="A47" s="637" t="s">
        <v>334</v>
      </c>
      <c r="B47" s="635" t="s">
        <v>646</v>
      </c>
      <c r="C47" s="586">
        <v>0</v>
      </c>
      <c r="D47" s="586">
        <v>0</v>
      </c>
      <c r="E47" s="586">
        <v>0</v>
      </c>
      <c r="F47" s="586">
        <v>0</v>
      </c>
      <c r="G47" s="586">
        <v>0</v>
      </c>
      <c r="H47" s="587">
        <v>0</v>
      </c>
    </row>
  </sheetData>
  <printOptions/>
  <pageMargins left="0.5" right="0.5" top="0.5" bottom="0.5" header="0.5" footer="0.5"/>
  <pageSetup horizontalDpi="600" verticalDpi="600" orientation="landscape" scale="84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">
    <tabColor indexed="44"/>
    <pageSetUpPr fitToPage="1"/>
  </sheetPr>
  <dimension ref="A1:K28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9.7109375" style="0" bestFit="1" customWidth="1"/>
    <col min="3" max="3" width="15.00390625" style="0" bestFit="1" customWidth="1"/>
    <col min="4" max="4" width="13.57421875" style="0" bestFit="1" customWidth="1"/>
    <col min="5" max="5" width="12.28125" style="0" bestFit="1" customWidth="1"/>
    <col min="6" max="6" width="2.28125" style="0" customWidth="1"/>
    <col min="7" max="7" width="14.00390625" style="0" bestFit="1" customWidth="1"/>
    <col min="8" max="8" width="11.28125" style="0" bestFit="1" customWidth="1"/>
    <col min="9" max="9" width="11.8515625" style="0" bestFit="1" customWidth="1"/>
    <col min="10" max="10" width="2.28125" style="0" customWidth="1"/>
    <col min="11" max="11" width="18.421875" style="0" bestFit="1" customWidth="1"/>
  </cols>
  <sheetData>
    <row r="1" spans="1:11" ht="12.75">
      <c r="A1" s="389" t="s">
        <v>1729</v>
      </c>
      <c r="B1" s="578" t="str">
        <f>INPUT!C1</f>
        <v>February 2009</v>
      </c>
      <c r="C1" s="296"/>
      <c r="D1" s="296"/>
      <c r="E1" s="296"/>
      <c r="F1" s="296"/>
      <c r="G1" s="296"/>
      <c r="K1" s="295" t="s">
        <v>621</v>
      </c>
    </row>
    <row r="2" spans="1:11" ht="12.75">
      <c r="A2" s="296"/>
      <c r="B2" s="296"/>
      <c r="C2" s="296"/>
      <c r="D2" s="296"/>
      <c r="E2" s="296"/>
      <c r="F2" s="296"/>
      <c r="G2" s="296"/>
      <c r="K2" s="295" t="s">
        <v>336</v>
      </c>
    </row>
    <row r="4" spans="1:11" ht="12.75">
      <c r="A4" s="904" t="s">
        <v>389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</row>
    <row r="6" spans="3:9" ht="12.75">
      <c r="C6" s="905" t="s">
        <v>390</v>
      </c>
      <c r="D6" s="905"/>
      <c r="E6" s="905"/>
      <c r="F6" s="905"/>
      <c r="G6" s="905"/>
      <c r="H6" s="905"/>
      <c r="I6" s="905"/>
    </row>
    <row r="7" spans="3:9" ht="12.75">
      <c r="C7" s="289" t="s">
        <v>462</v>
      </c>
      <c r="D7" s="289" t="s">
        <v>462</v>
      </c>
      <c r="E7" s="289" t="s">
        <v>462</v>
      </c>
      <c r="G7" s="289" t="s">
        <v>463</v>
      </c>
      <c r="H7" s="289" t="s">
        <v>463</v>
      </c>
      <c r="I7" s="289" t="s">
        <v>463</v>
      </c>
    </row>
    <row r="8" spans="3:11" ht="12.75">
      <c r="C8" s="289" t="s">
        <v>391</v>
      </c>
      <c r="D8" s="289" t="s">
        <v>392</v>
      </c>
      <c r="E8" s="289" t="s">
        <v>646</v>
      </c>
      <c r="G8" s="289" t="s">
        <v>391</v>
      </c>
      <c r="H8" s="289" t="s">
        <v>392</v>
      </c>
      <c r="I8" s="289" t="s">
        <v>646</v>
      </c>
      <c r="K8" s="289" t="s">
        <v>646</v>
      </c>
    </row>
    <row r="9" spans="3:11" ht="12.75">
      <c r="C9" s="378" t="s">
        <v>393</v>
      </c>
      <c r="D9" s="378" t="s">
        <v>393</v>
      </c>
      <c r="E9" s="378" t="s">
        <v>393</v>
      </c>
      <c r="G9" s="378" t="s">
        <v>393</v>
      </c>
      <c r="H9" s="378" t="s">
        <v>393</v>
      </c>
      <c r="I9" s="378" t="s">
        <v>393</v>
      </c>
      <c r="K9" s="378" t="s">
        <v>1991</v>
      </c>
    </row>
    <row r="10" spans="3:11" ht="12.75">
      <c r="C10" s="289"/>
      <c r="D10" s="289"/>
      <c r="E10" s="289"/>
      <c r="G10" s="289"/>
      <c r="H10" s="289"/>
      <c r="I10" s="289"/>
      <c r="K10" s="289"/>
    </row>
    <row r="11" spans="1:11" ht="12.75">
      <c r="A11" s="645">
        <v>39514</v>
      </c>
      <c r="B11" s="289" t="s">
        <v>394</v>
      </c>
      <c r="C11" s="649">
        <v>43231634</v>
      </c>
      <c r="D11" s="649">
        <v>2380575</v>
      </c>
      <c r="E11" s="649">
        <f aca="true" t="shared" si="0" ref="E11:E20">C11+D11</f>
        <v>45612209</v>
      </c>
      <c r="G11" s="649">
        <v>511324</v>
      </c>
      <c r="H11" s="649">
        <v>34584</v>
      </c>
      <c r="I11" s="649">
        <f aca="true" t="shared" si="1" ref="I11:I20">G11+H11</f>
        <v>545908</v>
      </c>
      <c r="K11" s="649">
        <f aca="true" t="shared" si="2" ref="K11:K22">E11+I11</f>
        <v>46158117</v>
      </c>
    </row>
    <row r="12" spans="1:11" ht="12.75">
      <c r="A12" s="645">
        <v>39545</v>
      </c>
      <c r="B12" s="289" t="s">
        <v>394</v>
      </c>
      <c r="C12" s="649">
        <v>51002015</v>
      </c>
      <c r="D12" s="649">
        <v>765775</v>
      </c>
      <c r="E12" s="649">
        <f t="shared" si="0"/>
        <v>51767790</v>
      </c>
      <c r="G12" s="649">
        <v>1567730</v>
      </c>
      <c r="H12" s="649">
        <v>12216</v>
      </c>
      <c r="I12" s="649">
        <f t="shared" si="1"/>
        <v>1579946</v>
      </c>
      <c r="K12" s="649">
        <f t="shared" si="2"/>
        <v>53347736</v>
      </c>
    </row>
    <row r="13" spans="1:11" ht="12.75">
      <c r="A13" s="645">
        <v>39575</v>
      </c>
      <c r="B13" s="289" t="s">
        <v>394</v>
      </c>
      <c r="C13" s="649">
        <v>64831804</v>
      </c>
      <c r="D13" s="649">
        <v>2127268</v>
      </c>
      <c r="E13" s="649">
        <f t="shared" si="0"/>
        <v>66959072</v>
      </c>
      <c r="G13" s="649">
        <v>2737323</v>
      </c>
      <c r="H13" s="649">
        <v>39696</v>
      </c>
      <c r="I13" s="649">
        <f t="shared" si="1"/>
        <v>2777019</v>
      </c>
      <c r="K13" s="649">
        <f t="shared" si="2"/>
        <v>69736091</v>
      </c>
    </row>
    <row r="14" spans="1:11" ht="12.75">
      <c r="A14" s="645">
        <v>39606</v>
      </c>
      <c r="B14" s="289" t="s">
        <v>394</v>
      </c>
      <c r="C14" s="649">
        <v>83295954</v>
      </c>
      <c r="D14" s="649">
        <v>-878850</v>
      </c>
      <c r="E14" s="649">
        <f t="shared" si="0"/>
        <v>82417104</v>
      </c>
      <c r="G14" s="649">
        <v>2666355</v>
      </c>
      <c r="H14" s="649">
        <v>-17014</v>
      </c>
      <c r="I14" s="649">
        <f t="shared" si="1"/>
        <v>2649341</v>
      </c>
      <c r="K14" s="649">
        <f t="shared" si="2"/>
        <v>85066445</v>
      </c>
    </row>
    <row r="15" spans="1:11" ht="12.75">
      <c r="A15" s="645">
        <v>39636</v>
      </c>
      <c r="B15" s="289" t="s">
        <v>394</v>
      </c>
      <c r="C15" s="649">
        <v>130148691</v>
      </c>
      <c r="D15" s="649">
        <v>-1953594</v>
      </c>
      <c r="E15" s="649">
        <f t="shared" si="0"/>
        <v>128195097</v>
      </c>
      <c r="G15" s="649">
        <v>4979352</v>
      </c>
      <c r="H15" s="649">
        <v>-42276</v>
      </c>
      <c r="I15" s="649">
        <f t="shared" si="1"/>
        <v>4937076</v>
      </c>
      <c r="K15" s="649">
        <f t="shared" si="2"/>
        <v>133132173</v>
      </c>
    </row>
    <row r="16" spans="1:11" ht="12.75">
      <c r="A16" s="645">
        <v>39667</v>
      </c>
      <c r="B16" s="289" t="s">
        <v>394</v>
      </c>
      <c r="C16" s="649">
        <v>99125585</v>
      </c>
      <c r="D16" s="649">
        <v>4170432</v>
      </c>
      <c r="E16" s="649">
        <f t="shared" si="0"/>
        <v>103296017</v>
      </c>
      <c r="G16" s="649">
        <v>5076387</v>
      </c>
      <c r="H16" s="649">
        <v>96287</v>
      </c>
      <c r="I16" s="649">
        <f t="shared" si="1"/>
        <v>5172674</v>
      </c>
      <c r="K16" s="649">
        <f t="shared" si="2"/>
        <v>108468691</v>
      </c>
    </row>
    <row r="17" spans="1:11" ht="12.75">
      <c r="A17" s="645">
        <v>39698</v>
      </c>
      <c r="B17" s="289" t="s">
        <v>394</v>
      </c>
      <c r="C17" s="649">
        <v>52957062</v>
      </c>
      <c r="D17" s="649">
        <v>-2487717</v>
      </c>
      <c r="E17" s="649">
        <f t="shared" si="0"/>
        <v>50469345</v>
      </c>
      <c r="G17" s="649">
        <v>931780</v>
      </c>
      <c r="H17" s="649">
        <v>-67452</v>
      </c>
      <c r="I17" s="649">
        <f t="shared" si="1"/>
        <v>864328</v>
      </c>
      <c r="K17" s="649">
        <f t="shared" si="2"/>
        <v>51333673</v>
      </c>
    </row>
    <row r="18" spans="1:11" ht="12.75">
      <c r="A18" s="645">
        <v>39728</v>
      </c>
      <c r="B18" s="289" t="s">
        <v>394</v>
      </c>
      <c r="C18" s="649">
        <v>30731807</v>
      </c>
      <c r="D18" s="649">
        <v>1497029</v>
      </c>
      <c r="E18" s="649">
        <f t="shared" si="0"/>
        <v>32228836</v>
      </c>
      <c r="G18" s="649">
        <v>762732</v>
      </c>
      <c r="H18" s="649">
        <v>42168</v>
      </c>
      <c r="I18" s="649">
        <f t="shared" si="1"/>
        <v>804900</v>
      </c>
      <c r="K18" s="649">
        <f t="shared" si="2"/>
        <v>33033736</v>
      </c>
    </row>
    <row r="19" spans="1:11" ht="12.75">
      <c r="A19" s="645">
        <v>39759</v>
      </c>
      <c r="B19" s="289" t="s">
        <v>394</v>
      </c>
      <c r="C19" s="649">
        <v>17454554</v>
      </c>
      <c r="D19" s="649">
        <f>-25338</f>
        <v>-25338</v>
      </c>
      <c r="E19" s="649">
        <f t="shared" si="0"/>
        <v>17429216</v>
      </c>
      <c r="G19" s="649">
        <f>-38051</f>
        <v>-38051</v>
      </c>
      <c r="H19" s="649">
        <f>-823</f>
        <v>-823</v>
      </c>
      <c r="I19" s="649">
        <f t="shared" si="1"/>
        <v>-38874</v>
      </c>
      <c r="K19" s="649">
        <f t="shared" si="2"/>
        <v>17390342</v>
      </c>
    </row>
    <row r="20" spans="1:11" ht="12.75">
      <c r="A20" s="645">
        <v>39789</v>
      </c>
      <c r="B20" s="289" t="s">
        <v>394</v>
      </c>
      <c r="C20" s="649">
        <v>10928129</v>
      </c>
      <c r="D20" s="649">
        <v>894989</v>
      </c>
      <c r="E20" s="649">
        <f t="shared" si="0"/>
        <v>11823118</v>
      </c>
      <c r="G20" s="649">
        <v>-1767011</v>
      </c>
      <c r="H20" s="649">
        <v>18443</v>
      </c>
      <c r="I20" s="649">
        <f t="shared" si="1"/>
        <v>-1748568</v>
      </c>
      <c r="K20" s="649">
        <f t="shared" si="2"/>
        <v>10074550</v>
      </c>
    </row>
    <row r="21" spans="1:11" ht="12.75">
      <c r="A21" s="645">
        <v>39820</v>
      </c>
      <c r="B21" s="289" t="s">
        <v>394</v>
      </c>
      <c r="C21" s="649">
        <v>23279828</v>
      </c>
      <c r="D21" s="849">
        <v>694919</v>
      </c>
      <c r="E21" s="649">
        <v>23974747</v>
      </c>
      <c r="G21" s="649">
        <v>-885361</v>
      </c>
      <c r="H21" s="849">
        <v>13185</v>
      </c>
      <c r="I21" s="649">
        <v>-872176</v>
      </c>
      <c r="K21" s="649">
        <f t="shared" si="2"/>
        <v>23102571</v>
      </c>
    </row>
    <row r="22" spans="1:11" ht="12.75">
      <c r="A22" s="645">
        <v>39853</v>
      </c>
      <c r="B22" s="289" t="s">
        <v>394</v>
      </c>
      <c r="C22" s="649">
        <f>EastDirectAllcTotal</f>
        <v>28336903</v>
      </c>
      <c r="E22" s="649">
        <f>C22+D22</f>
        <v>28336903</v>
      </c>
      <c r="G22" s="649">
        <f>WestDirectAllcTotal</f>
        <v>-705979</v>
      </c>
      <c r="I22" s="649">
        <f>G22+H22</f>
        <v>-705979</v>
      </c>
      <c r="K22" s="649">
        <f t="shared" si="2"/>
        <v>27630924</v>
      </c>
    </row>
    <row r="23" spans="3:11" ht="12.75">
      <c r="C23" s="650"/>
      <c r="D23" s="650"/>
      <c r="E23" s="650"/>
      <c r="F23" s="649"/>
      <c r="G23" s="650"/>
      <c r="H23" s="650"/>
      <c r="I23" s="650"/>
      <c r="J23" s="649"/>
      <c r="K23" s="650"/>
    </row>
    <row r="24" spans="1:11" ht="12.75">
      <c r="A24" t="s">
        <v>395</v>
      </c>
      <c r="C24" s="649"/>
      <c r="D24" s="649"/>
      <c r="E24" s="649">
        <f>SUM(E11:E23)</f>
        <v>642509454</v>
      </c>
      <c r="F24" s="649"/>
      <c r="G24" s="649"/>
      <c r="H24" s="649"/>
      <c r="I24" s="649">
        <f>SUM(I11:I23)</f>
        <v>15965595</v>
      </c>
      <c r="J24" s="649"/>
      <c r="K24" s="649">
        <f>SUM(K11:K23)</f>
        <v>658475049</v>
      </c>
    </row>
    <row r="25" spans="3:11" ht="12.75">
      <c r="C25" s="649"/>
      <c r="D25" s="649"/>
      <c r="E25" s="649"/>
      <c r="F25" s="649"/>
      <c r="G25" s="649"/>
      <c r="H25" s="649"/>
      <c r="I25" s="649"/>
      <c r="J25" s="649"/>
      <c r="K25" s="649"/>
    </row>
    <row r="26" spans="1:11" ht="13.5" thickBot="1">
      <c r="A26" t="s">
        <v>396</v>
      </c>
      <c r="C26" s="687" t="str">
        <f>B1</f>
        <v>February 2009</v>
      </c>
      <c r="D26" s="651" t="s">
        <v>1876</v>
      </c>
      <c r="E26" s="654">
        <f>IF(I24&lt;=0,100%,E24/K24)</f>
        <v>0.9757536826577615</v>
      </c>
      <c r="I26" s="654">
        <f>IF(I24&lt;=0,0,I24/K24)</f>
        <v>0.02424631734223843</v>
      </c>
      <c r="K26" s="652">
        <f>E26+I26</f>
        <v>1</v>
      </c>
    </row>
    <row r="27" spans="3:11" ht="13.5" thickTop="1">
      <c r="C27" s="651"/>
      <c r="K27" s="652"/>
    </row>
    <row r="28" spans="1:11" ht="12.75">
      <c r="A28" s="653"/>
      <c r="B28" s="653"/>
      <c r="C28" s="653"/>
      <c r="D28" s="653"/>
      <c r="E28" s="653"/>
      <c r="F28" s="653"/>
      <c r="G28" s="653"/>
      <c r="H28" s="653"/>
      <c r="I28" s="653"/>
      <c r="J28" s="653"/>
      <c r="K28" s="653"/>
    </row>
  </sheetData>
  <mergeCells count="2">
    <mergeCell ref="A4:K4"/>
    <mergeCell ref="C6:I6"/>
  </mergeCells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1"/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39.140625" style="0" customWidth="1"/>
    <col min="3" max="3" width="9.7109375" style="0" customWidth="1"/>
    <col min="4" max="4" width="12.28125" style="0" bestFit="1" customWidth="1"/>
    <col min="5" max="5" width="6.421875" style="0" hidden="1" customWidth="1"/>
    <col min="6" max="6" width="3.00390625" style="0" hidden="1" customWidth="1"/>
    <col min="7" max="7" width="6.421875" style="0" hidden="1" customWidth="1"/>
    <col min="8" max="8" width="12.8515625" style="0" hidden="1" customWidth="1"/>
    <col min="9" max="9" width="12.00390625" style="0" hidden="1" customWidth="1"/>
    <col min="10" max="10" width="2.140625" style="0" customWidth="1"/>
    <col min="11" max="11" width="18.28125" style="0" bestFit="1" customWidth="1"/>
    <col min="12" max="12" width="13.57421875" style="0" bestFit="1" customWidth="1"/>
    <col min="13" max="14" width="15.57421875" style="0" bestFit="1" customWidth="1"/>
    <col min="15" max="15" width="13.7109375" style="0" bestFit="1" customWidth="1"/>
    <col min="16" max="16" width="15.140625" style="0" bestFit="1" customWidth="1"/>
    <col min="17" max="17" width="2.57421875" style="0" customWidth="1"/>
    <col min="18" max="18" width="19.00390625" style="0" bestFit="1" customWidth="1"/>
    <col min="19" max="19" width="14.421875" style="0" bestFit="1" customWidth="1"/>
    <col min="20" max="20" width="14.8515625" style="0" bestFit="1" customWidth="1"/>
    <col min="21" max="21" width="14.421875" style="0" bestFit="1" customWidth="1"/>
    <col min="22" max="22" width="16.28125" style="0" bestFit="1" customWidth="1"/>
  </cols>
  <sheetData>
    <row r="1" spans="1:22" ht="12.75">
      <c r="A1" s="299" t="s">
        <v>1143</v>
      </c>
      <c r="B1" s="641" t="str">
        <f>INPUT!C1</f>
        <v>February 2009</v>
      </c>
      <c r="V1" s="295" t="s">
        <v>1144</v>
      </c>
    </row>
    <row r="2" spans="1:22" ht="12.75">
      <c r="A2" s="299"/>
      <c r="B2" s="641"/>
      <c r="V2" s="295" t="s">
        <v>337</v>
      </c>
    </row>
    <row r="3" ht="18">
      <c r="A3" s="293" t="str">
        <f>"Adjustments in "&amp;INPUT!C1&amp;" Actual Cycle that Apply to ICR for Prior Periods"</f>
        <v>Adjustments in February 2009 Actual Cycle that Apply to ICR for Prior Periods</v>
      </c>
    </row>
    <row r="5" spans="1:5" ht="12.75">
      <c r="A5" s="299" t="s">
        <v>466</v>
      </c>
      <c r="E5" s="294" t="s">
        <v>467</v>
      </c>
    </row>
    <row r="6" spans="1:22" ht="12.75">
      <c r="A6" s="287" t="s">
        <v>455</v>
      </c>
      <c r="B6" s="287" t="s">
        <v>882</v>
      </c>
      <c r="C6" s="287" t="s">
        <v>456</v>
      </c>
      <c r="D6" s="287" t="s">
        <v>620</v>
      </c>
      <c r="E6" s="287" t="s">
        <v>457</v>
      </c>
      <c r="F6" s="287"/>
      <c r="H6" s="287" t="s">
        <v>461</v>
      </c>
      <c r="I6" s="287" t="s">
        <v>464</v>
      </c>
      <c r="K6" s="287" t="s">
        <v>1532</v>
      </c>
      <c r="L6" s="287" t="s">
        <v>1533</v>
      </c>
      <c r="M6" s="287" t="s">
        <v>1534</v>
      </c>
      <c r="N6" s="287" t="s">
        <v>1536</v>
      </c>
      <c r="O6" s="287" t="s">
        <v>1537</v>
      </c>
      <c r="P6" s="287" t="s">
        <v>646</v>
      </c>
      <c r="R6" s="287" t="s">
        <v>465</v>
      </c>
      <c r="S6" s="287" t="s">
        <v>1975</v>
      </c>
      <c r="T6" s="287" t="s">
        <v>1978</v>
      </c>
      <c r="U6" s="287" t="s">
        <v>1977</v>
      </c>
      <c r="V6" s="287" t="s">
        <v>646</v>
      </c>
    </row>
    <row r="7" spans="11:22" ht="12.75">
      <c r="K7" s="835">
        <v>0</v>
      </c>
      <c r="L7" s="835">
        <v>0</v>
      </c>
      <c r="M7" s="835">
        <v>0</v>
      </c>
      <c r="N7" s="835">
        <v>0</v>
      </c>
      <c r="O7" s="835">
        <v>0</v>
      </c>
      <c r="P7" s="835">
        <f>SUM(K7:O7)</f>
        <v>0</v>
      </c>
      <c r="R7" s="836">
        <v>0</v>
      </c>
      <c r="S7" s="836">
        <v>0</v>
      </c>
      <c r="T7" s="836">
        <v>0</v>
      </c>
      <c r="U7" s="836">
        <v>0</v>
      </c>
      <c r="V7" s="836">
        <v>0</v>
      </c>
    </row>
    <row r="8" spans="1:22" ht="12.75">
      <c r="A8" s="645"/>
      <c r="B8" s="289" t="s">
        <v>495</v>
      </c>
      <c r="C8" s="831">
        <v>4470.144</v>
      </c>
      <c r="D8" s="834">
        <v>0</v>
      </c>
      <c r="E8" s="289"/>
      <c r="F8" s="289"/>
      <c r="G8" s="289"/>
      <c r="H8" s="724"/>
      <c r="I8" s="725"/>
      <c r="K8" s="723"/>
      <c r="L8" s="723"/>
      <c r="M8" s="723"/>
      <c r="N8" s="723"/>
      <c r="O8" s="723"/>
      <c r="P8" s="726"/>
      <c r="Q8" s="725"/>
      <c r="R8" s="723"/>
      <c r="S8" s="723"/>
      <c r="T8" s="723"/>
      <c r="U8" s="723"/>
      <c r="V8" s="726"/>
    </row>
    <row r="10" spans="11:21" ht="15.75">
      <c r="K10" s="642" t="s">
        <v>498</v>
      </c>
      <c r="L10" s="642"/>
      <c r="M10" s="642">
        <v>4470.144</v>
      </c>
      <c r="N10" s="642" t="s">
        <v>646</v>
      </c>
      <c r="R10" s="642" t="s">
        <v>499</v>
      </c>
      <c r="S10" s="642"/>
      <c r="T10" s="642">
        <v>4470.144</v>
      </c>
      <c r="U10" s="642" t="s">
        <v>646</v>
      </c>
    </row>
    <row r="12" spans="11:21" ht="15.75">
      <c r="K12" s="643" t="s">
        <v>1532</v>
      </c>
      <c r="L12" s="644"/>
      <c r="M12" s="839">
        <v>0</v>
      </c>
      <c r="N12" s="839">
        <v>0</v>
      </c>
      <c r="R12" s="294" t="s">
        <v>465</v>
      </c>
      <c r="S12" s="644"/>
      <c r="T12" s="838">
        <v>0</v>
      </c>
      <c r="U12" s="838">
        <v>0</v>
      </c>
    </row>
    <row r="13" spans="11:21" ht="15.75">
      <c r="K13" s="643" t="s">
        <v>1533</v>
      </c>
      <c r="L13" s="644"/>
      <c r="M13" s="839">
        <v>0</v>
      </c>
      <c r="N13" s="839">
        <v>0</v>
      </c>
      <c r="R13" s="294" t="s">
        <v>1975</v>
      </c>
      <c r="S13" s="644"/>
      <c r="T13" s="838">
        <v>0</v>
      </c>
      <c r="U13" s="838">
        <v>0</v>
      </c>
    </row>
    <row r="14" spans="11:21" ht="15.75">
      <c r="K14" s="643" t="s">
        <v>1534</v>
      </c>
      <c r="L14" s="644"/>
      <c r="M14" s="839">
        <v>0</v>
      </c>
      <c r="N14" s="839">
        <v>0</v>
      </c>
      <c r="R14" s="294" t="s">
        <v>1978</v>
      </c>
      <c r="S14" s="644"/>
      <c r="T14" s="832">
        <v>0</v>
      </c>
      <c r="U14" s="832">
        <v>0</v>
      </c>
    </row>
    <row r="15" spans="11:21" ht="15.75">
      <c r="K15" s="643" t="s">
        <v>1536</v>
      </c>
      <c r="L15" s="644"/>
      <c r="M15" s="839">
        <v>0</v>
      </c>
      <c r="N15" s="839">
        <v>0</v>
      </c>
      <c r="R15" s="294" t="s">
        <v>1977</v>
      </c>
      <c r="S15" s="646"/>
      <c r="T15" s="832">
        <v>0</v>
      </c>
      <c r="U15" s="832">
        <v>0</v>
      </c>
    </row>
    <row r="16" spans="11:21" ht="15.75">
      <c r="K16" s="643" t="s">
        <v>1537</v>
      </c>
      <c r="L16" s="646"/>
      <c r="M16" s="839">
        <v>0</v>
      </c>
      <c r="N16" s="839">
        <v>0</v>
      </c>
      <c r="R16" s="294"/>
      <c r="S16" s="647"/>
      <c r="T16" s="833"/>
      <c r="U16" s="833"/>
    </row>
    <row r="17" spans="11:21" ht="16.5" thickBot="1">
      <c r="K17" s="643"/>
      <c r="L17" s="647"/>
      <c r="M17" s="647"/>
      <c r="N17" s="644"/>
      <c r="R17" s="294" t="s">
        <v>1642</v>
      </c>
      <c r="S17" s="686"/>
      <c r="T17" s="837">
        <f>SUM(T12:T16)</f>
        <v>0</v>
      </c>
      <c r="U17" s="837">
        <f>SUM(U12:U16)</f>
        <v>0</v>
      </c>
    </row>
    <row r="18" spans="11:14" ht="17.25" thickBot="1" thickTop="1">
      <c r="K18" s="643" t="s">
        <v>1642</v>
      </c>
      <c r="L18" s="686"/>
      <c r="M18" s="837">
        <f>SUM(M12:M17)</f>
        <v>0</v>
      </c>
      <c r="N18" s="837">
        <f>SUM(N12:N17)</f>
        <v>0</v>
      </c>
    </row>
    <row r="19" spans="14:22" ht="16.5" thickTop="1">
      <c r="N19" s="730"/>
      <c r="S19" s="906" t="s">
        <v>947</v>
      </c>
      <c r="T19" s="906"/>
      <c r="U19" s="906"/>
      <c r="V19" s="906"/>
    </row>
    <row r="20" spans="13:14" ht="12.75">
      <c r="M20" s="906" t="s">
        <v>1084</v>
      </c>
      <c r="N20" s="906"/>
    </row>
  </sheetData>
  <mergeCells count="2">
    <mergeCell ref="M20:N20"/>
    <mergeCell ref="S19:V19"/>
  </mergeCells>
  <printOptions horizontalCentered="1"/>
  <pageMargins left="0.25" right="0.25" top="1" bottom="1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1:E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804" customWidth="1"/>
    <col min="2" max="2" width="80.8515625" style="804" customWidth="1"/>
    <col min="3" max="16384" width="9.140625" style="804" customWidth="1"/>
  </cols>
  <sheetData>
    <row r="1" spans="1:3" ht="12.75">
      <c r="A1" s="780"/>
      <c r="B1" s="780"/>
      <c r="C1" s="780"/>
    </row>
    <row r="2" spans="1:3" ht="12.75">
      <c r="A2" s="780"/>
      <c r="B2" s="780"/>
      <c r="C2" s="780"/>
    </row>
    <row r="3" spans="1:3" ht="12.75">
      <c r="A3" s="780"/>
      <c r="B3" s="780"/>
      <c r="C3" s="780"/>
    </row>
    <row r="4" spans="1:3" ht="12.75">
      <c r="A4" s="780"/>
      <c r="B4" s="780"/>
      <c r="C4" s="780"/>
    </row>
    <row r="5" spans="1:3" ht="12.75">
      <c r="A5" s="780"/>
      <c r="B5" s="780"/>
      <c r="C5" s="780"/>
    </row>
    <row r="6" spans="1:3" ht="12.75">
      <c r="A6" s="780"/>
      <c r="B6" s="780"/>
      <c r="C6" s="780"/>
    </row>
    <row r="7" spans="1:3" ht="15.75">
      <c r="A7" s="778" t="s">
        <v>2112</v>
      </c>
      <c r="B7" s="779" t="str">
        <f>INPUT!C1</f>
        <v>February 2009</v>
      </c>
      <c r="C7" s="780"/>
    </row>
    <row r="8" spans="1:3" ht="15">
      <c r="A8" s="781"/>
      <c r="B8" s="780"/>
      <c r="C8" s="780"/>
    </row>
    <row r="9" spans="1:3" ht="15.75">
      <c r="A9" s="778" t="s">
        <v>2113</v>
      </c>
      <c r="B9" s="782" t="s">
        <v>2114</v>
      </c>
      <c r="C9" s="780"/>
    </row>
    <row r="10" spans="1:3" ht="15.75">
      <c r="A10" s="780"/>
      <c r="B10" s="782" t="str">
        <f>B7&amp;" Actual"</f>
        <v>February 2009 Actual</v>
      </c>
      <c r="C10" s="780"/>
    </row>
    <row r="11" spans="1:3" ht="15.75">
      <c r="A11" s="782"/>
      <c r="B11" s="780"/>
      <c r="C11" s="780"/>
    </row>
    <row r="12" spans="1:3" ht="15">
      <c r="A12" s="802" t="s">
        <v>2123</v>
      </c>
      <c r="B12" s="781" t="s">
        <v>2124</v>
      </c>
      <c r="C12" s="780"/>
    </row>
    <row r="13" spans="1:3" ht="15">
      <c r="A13" s="802"/>
      <c r="B13" s="803">
        <v>39903</v>
      </c>
      <c r="C13" s="780"/>
    </row>
    <row r="14" spans="1:3" ht="15">
      <c r="A14" s="802"/>
      <c r="B14" s="803"/>
      <c r="C14" s="780"/>
    </row>
    <row r="15" spans="1:3" ht="15">
      <c r="A15" s="778" t="s">
        <v>2122</v>
      </c>
      <c r="B15" s="781" t="s">
        <v>2115</v>
      </c>
      <c r="C15" s="780"/>
    </row>
    <row r="16" spans="1:3" ht="15">
      <c r="A16" s="781"/>
      <c r="B16" s="803">
        <v>39903</v>
      </c>
      <c r="C16" s="780"/>
    </row>
    <row r="17" spans="1:3" ht="15">
      <c r="A17" s="781"/>
      <c r="B17" s="803"/>
      <c r="C17" s="780"/>
    </row>
    <row r="18" spans="1:3" ht="15">
      <c r="A18" s="778" t="s">
        <v>2116</v>
      </c>
      <c r="B18" s="781" t="s">
        <v>2117</v>
      </c>
      <c r="C18" s="780"/>
    </row>
    <row r="19" spans="1:3" ht="15">
      <c r="A19" s="781"/>
      <c r="B19" s="780"/>
      <c r="C19" s="780"/>
    </row>
    <row r="20" spans="1:3" ht="15">
      <c r="A20" s="781" t="s">
        <v>2118</v>
      </c>
      <c r="B20" s="780"/>
      <c r="C20" s="780"/>
    </row>
    <row r="21" spans="1:3" ht="15">
      <c r="A21" s="783"/>
      <c r="B21" s="780"/>
      <c r="C21" s="780"/>
    </row>
    <row r="22" spans="1:3" ht="46.5" customHeight="1">
      <c r="A22" s="780"/>
      <c r="B22" s="783" t="str">
        <f>"Enclosed is the East Interchange Power Statement and Related Data, issued pursuant to the AEP Interconnection Agreement, indicating actual data for the month of "&amp;B7&amp;"."</f>
        <v>Enclosed is the East Interchange Power Statement and Related Data, issued pursuant to the AEP Interconnection Agreement, indicating actual data for the month of February 2009.</v>
      </c>
      <c r="C22" s="780"/>
    </row>
    <row r="23" spans="1:3" ht="15">
      <c r="A23" s="781"/>
      <c r="B23" s="780"/>
      <c r="C23" s="780"/>
    </row>
    <row r="24" spans="1:3" ht="15">
      <c r="A24" s="781"/>
      <c r="B24" s="780"/>
      <c r="C24" s="780"/>
    </row>
    <row r="25" spans="1:3" ht="15">
      <c r="A25" s="780"/>
      <c r="B25" s="781"/>
      <c r="C25" s="780"/>
    </row>
    <row r="26" spans="1:3" ht="15">
      <c r="A26" s="781"/>
      <c r="B26" s="780"/>
      <c r="C26" s="780"/>
    </row>
    <row r="27" spans="1:3" ht="15">
      <c r="A27" s="781"/>
      <c r="B27" s="780"/>
      <c r="C27" s="780"/>
    </row>
    <row r="28" spans="1:3" ht="15">
      <c r="A28" s="781"/>
      <c r="B28" s="780"/>
      <c r="C28" s="780"/>
    </row>
    <row r="29" spans="1:3" ht="15">
      <c r="A29" s="781"/>
      <c r="B29" s="780"/>
      <c r="C29" s="780"/>
    </row>
    <row r="30" spans="1:5" ht="14.25">
      <c r="A30" s="784"/>
      <c r="B30" s="784"/>
      <c r="C30" s="784"/>
      <c r="D30" s="805"/>
      <c r="E30" s="805"/>
    </row>
    <row r="31" spans="1:5" ht="14.25">
      <c r="A31" s="784"/>
      <c r="B31" s="784"/>
      <c r="C31" s="784"/>
      <c r="D31" s="805"/>
      <c r="E31" s="805"/>
    </row>
    <row r="32" spans="1:5" ht="14.25">
      <c r="A32" s="784"/>
      <c r="B32" s="801"/>
      <c r="C32" s="784"/>
      <c r="D32" s="805"/>
      <c r="E32" s="805"/>
    </row>
    <row r="33" spans="1:5" ht="14.25">
      <c r="A33" s="784"/>
      <c r="B33" s="784"/>
      <c r="C33" s="784"/>
      <c r="D33" s="805"/>
      <c r="E33" s="805"/>
    </row>
    <row r="34" spans="1:5" ht="14.25">
      <c r="A34" s="784"/>
      <c r="B34" s="784"/>
      <c r="C34" s="784"/>
      <c r="D34" s="805"/>
      <c r="E34" s="805"/>
    </row>
    <row r="35" spans="1:5" ht="14.25">
      <c r="A35" s="784"/>
      <c r="B35" s="784"/>
      <c r="C35" s="784"/>
      <c r="D35" s="805"/>
      <c r="E35" s="805"/>
    </row>
    <row r="36" spans="1:5" ht="14.25">
      <c r="A36" s="784"/>
      <c r="B36" s="784"/>
      <c r="C36" s="784"/>
      <c r="D36" s="805"/>
      <c r="E36" s="805"/>
    </row>
    <row r="37" spans="1:5" ht="14.25">
      <c r="A37" s="784"/>
      <c r="B37" s="784"/>
      <c r="C37" s="784"/>
      <c r="D37" s="805"/>
      <c r="E37" s="805"/>
    </row>
    <row r="38" spans="1:3" ht="12.75">
      <c r="A38" s="780"/>
      <c r="B38" s="780"/>
      <c r="C38" s="780"/>
    </row>
    <row r="39" spans="1:3" ht="12.75">
      <c r="A39" s="780"/>
      <c r="B39" s="780"/>
      <c r="C39" s="780"/>
    </row>
    <row r="40" spans="1:3" ht="12.75">
      <c r="A40" s="780"/>
      <c r="B40" s="780"/>
      <c r="C40" s="780"/>
    </row>
    <row r="41" spans="1:3" ht="12.75">
      <c r="A41" s="780"/>
      <c r="B41" s="780"/>
      <c r="C41" s="780"/>
    </row>
    <row r="42" spans="1:3" ht="12.75">
      <c r="A42" s="780"/>
      <c r="B42" s="780"/>
      <c r="C42" s="780"/>
    </row>
    <row r="43" spans="1:3" ht="12.75">
      <c r="A43" s="780"/>
      <c r="B43" s="780"/>
      <c r="C43" s="780"/>
    </row>
    <row r="44" spans="1:3" ht="12.75">
      <c r="A44" s="780"/>
      <c r="B44" s="780"/>
      <c r="C44" s="780"/>
    </row>
    <row r="45" spans="1:3" ht="12.75">
      <c r="A45" s="780"/>
      <c r="B45" s="780"/>
      <c r="C45" s="780"/>
    </row>
    <row r="46" spans="1:3" ht="12.75">
      <c r="A46" s="780"/>
      <c r="B46" s="780"/>
      <c r="C46" s="780"/>
    </row>
    <row r="47" spans="1:3" ht="12.75">
      <c r="A47" s="780"/>
      <c r="B47" s="780"/>
      <c r="C47" s="780"/>
    </row>
    <row r="48" spans="1:3" ht="12.75">
      <c r="A48" s="780"/>
      <c r="B48" s="780"/>
      <c r="C48" s="780"/>
    </row>
    <row r="49" spans="1:3" ht="12.75">
      <c r="A49" s="780"/>
      <c r="B49" s="780"/>
      <c r="C49" s="780"/>
    </row>
    <row r="50" spans="1:3" ht="12.75">
      <c r="A50" s="780"/>
      <c r="B50" s="780"/>
      <c r="C50" s="780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Q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9.140625" style="0" customWidth="1"/>
    <col min="3" max="3" width="15.57421875" style="0" bestFit="1" customWidth="1"/>
    <col min="4" max="4" width="16.28125" style="0" bestFit="1" customWidth="1"/>
    <col min="5" max="6" width="15.421875" style="0" bestFit="1" customWidth="1"/>
    <col min="7" max="10" width="15.28125" style="0" customWidth="1"/>
    <col min="11" max="11" width="15.57421875" style="0" bestFit="1" customWidth="1"/>
    <col min="12" max="12" width="17.00390625" style="0" bestFit="1" customWidth="1"/>
    <col min="13" max="14" width="15.28125" style="0" bestFit="1" customWidth="1"/>
  </cols>
  <sheetData>
    <row r="1" spans="1:10" s="8" customFormat="1" ht="15">
      <c r="A1" s="389" t="s">
        <v>1729</v>
      </c>
      <c r="B1" s="389"/>
      <c r="C1" s="578" t="str">
        <f>INPUT!C1</f>
        <v>February 2009</v>
      </c>
      <c r="D1" s="296"/>
      <c r="E1" s="296"/>
      <c r="F1" s="296"/>
      <c r="G1" s="296"/>
      <c r="H1" s="296"/>
      <c r="I1" s="296"/>
      <c r="J1" s="295" t="s">
        <v>621</v>
      </c>
    </row>
    <row r="2" spans="1:10" s="8" customFormat="1" ht="15">
      <c r="A2" s="296"/>
      <c r="B2" s="296"/>
      <c r="C2" s="296"/>
      <c r="D2" s="296"/>
      <c r="E2" s="296"/>
      <c r="F2" s="296"/>
      <c r="G2" s="296"/>
      <c r="H2" s="296"/>
      <c r="I2" s="296"/>
      <c r="J2" s="295" t="s">
        <v>338</v>
      </c>
    </row>
    <row r="3" spans="1:9" ht="15.75">
      <c r="A3" s="286" t="s">
        <v>562</v>
      </c>
      <c r="B3" s="286"/>
      <c r="C3" s="286"/>
      <c r="G3" s="390"/>
      <c r="H3" s="390"/>
      <c r="I3" s="390"/>
    </row>
    <row r="4" spans="1:8" ht="15.75">
      <c r="A4" s="286"/>
      <c r="B4" s="286"/>
      <c r="C4" s="286"/>
      <c r="F4" s="390"/>
      <c r="G4" s="390"/>
      <c r="H4" s="390"/>
    </row>
    <row r="5" spans="1:10" ht="15.75">
      <c r="A5" s="286"/>
      <c r="B5" s="286"/>
      <c r="C5" s="289" t="s">
        <v>616</v>
      </c>
      <c r="D5" s="289" t="s">
        <v>1954</v>
      </c>
      <c r="E5" s="289"/>
      <c r="F5" s="516" t="s">
        <v>580</v>
      </c>
      <c r="G5" s="516" t="s">
        <v>563</v>
      </c>
      <c r="H5" s="516" t="s">
        <v>1991</v>
      </c>
      <c r="I5" s="289" t="s">
        <v>1948</v>
      </c>
      <c r="J5" s="289" t="s">
        <v>616</v>
      </c>
    </row>
    <row r="6" spans="3:10" ht="12.75">
      <c r="C6" s="378" t="s">
        <v>581</v>
      </c>
      <c r="D6" s="378" t="s">
        <v>1955</v>
      </c>
      <c r="E6" s="378"/>
      <c r="F6" s="517" t="s">
        <v>636</v>
      </c>
      <c r="G6" s="517" t="s">
        <v>636</v>
      </c>
      <c r="H6" s="517" t="s">
        <v>1992</v>
      </c>
      <c r="I6" s="378" t="s">
        <v>1949</v>
      </c>
      <c r="J6" s="379" t="s">
        <v>581</v>
      </c>
    </row>
    <row r="7" spans="1:9" ht="12.75">
      <c r="A7" t="s">
        <v>1964</v>
      </c>
      <c r="C7" s="289">
        <v>4470.081</v>
      </c>
      <c r="D7" s="444">
        <f>VLOOKUP(A7,'APPVIII PG 1'!A:G,7,FALSE)</f>
        <v>0</v>
      </c>
      <c r="F7" s="380"/>
      <c r="G7" s="380"/>
      <c r="H7" s="380"/>
      <c r="I7" s="381"/>
    </row>
    <row r="8" spans="1:9" ht="12.75">
      <c r="A8" s="296" t="s">
        <v>1968</v>
      </c>
      <c r="B8" s="296"/>
      <c r="C8" s="297">
        <v>4470.081</v>
      </c>
      <c r="D8" s="444">
        <f>VLOOKUP(A8,'APPVIII PG 1'!A:G,7,FALSE)</f>
        <v>1163353</v>
      </c>
      <c r="F8" s="380"/>
      <c r="G8" s="380"/>
      <c r="H8" s="380"/>
      <c r="I8" s="381"/>
    </row>
    <row r="9" spans="1:9" ht="12.75">
      <c r="A9" t="s">
        <v>1969</v>
      </c>
      <c r="C9" s="289">
        <v>4470.081</v>
      </c>
      <c r="D9" s="444">
        <f>VLOOKUP(A9,'APPVIII PG 1'!A:G,7,FALSE)</f>
        <v>-40</v>
      </c>
      <c r="F9" s="382"/>
      <c r="G9" s="382"/>
      <c r="H9" s="382"/>
      <c r="I9" s="518"/>
    </row>
    <row r="10" spans="1:9" ht="12.75">
      <c r="A10" t="s">
        <v>1324</v>
      </c>
      <c r="C10" s="289">
        <v>4470.081</v>
      </c>
      <c r="D10" s="444">
        <f>VLOOKUP(A10,'APPVIII PG 1'!A:G,7,FALSE)</f>
        <v>0</v>
      </c>
      <c r="F10" s="382"/>
      <c r="G10" s="382"/>
      <c r="H10" s="382"/>
      <c r="I10" s="518"/>
    </row>
    <row r="11" spans="1:10" ht="12.75">
      <c r="A11" t="s">
        <v>181</v>
      </c>
      <c r="C11" s="289">
        <v>4470.081</v>
      </c>
      <c r="D11" s="444">
        <f>VLOOKUP(A11,'APPVIII PG 1'!A:G,7,FALSE)</f>
        <v>-1957777</v>
      </c>
      <c r="F11" s="383"/>
      <c r="G11" s="383"/>
      <c r="H11" s="383"/>
      <c r="I11" s="381"/>
      <c r="J11" s="287"/>
    </row>
    <row r="12" spans="1:9" ht="12.75">
      <c r="A12" s="390" t="s">
        <v>941</v>
      </c>
      <c r="C12" s="591">
        <v>4470.01</v>
      </c>
      <c r="D12" s="444">
        <f>VLOOKUP(A12,'APPVIII PG 1'!A:G,7,FALSE)</f>
        <v>-7540</v>
      </c>
      <c r="F12" s="383"/>
      <c r="G12" s="383"/>
      <c r="H12" s="383"/>
      <c r="I12" s="290"/>
    </row>
    <row r="13" spans="1:9" ht="12.75">
      <c r="A13" s="390" t="s">
        <v>942</v>
      </c>
      <c r="C13" s="289">
        <v>4470.006</v>
      </c>
      <c r="D13" s="444">
        <f>VLOOKUP(A13,'APPVIII PG 1'!A:G,7,FALSE)</f>
        <v>-6500</v>
      </c>
      <c r="F13" s="383"/>
      <c r="G13" s="383"/>
      <c r="H13" s="383"/>
      <c r="I13" s="298"/>
    </row>
    <row r="14" spans="1:9" ht="12.75">
      <c r="A14" s="390" t="s">
        <v>1735</v>
      </c>
      <c r="C14" s="581">
        <v>4470.01</v>
      </c>
      <c r="D14" s="444">
        <f>VLOOKUP(A14,'APPVIII PG 1'!A:G,7,FALSE)</f>
        <v>-4862618</v>
      </c>
      <c r="F14" s="383"/>
      <c r="G14" s="383"/>
      <c r="H14" s="383"/>
      <c r="I14" s="298"/>
    </row>
    <row r="15" spans="1:9" ht="12.75">
      <c r="A15" s="390" t="s">
        <v>933</v>
      </c>
      <c r="C15" s="516">
        <v>4470.006</v>
      </c>
      <c r="D15" s="444">
        <f>VLOOKUP(A15,'APPVIII PG 1'!A:G,7,FALSE)</f>
        <v>5024909</v>
      </c>
      <c r="F15" s="383"/>
      <c r="G15" s="383"/>
      <c r="H15" s="383"/>
      <c r="I15" s="298"/>
    </row>
    <row r="16" spans="4:10" ht="12.75">
      <c r="D16" s="290"/>
      <c r="E16" s="290">
        <f>ROUND(SUM(D7:D15),0)</f>
        <v>-646213</v>
      </c>
      <c r="F16" s="383">
        <f>ROUND(E16*E$31,0)</f>
        <v>-630545</v>
      </c>
      <c r="G16" s="383">
        <f>ROUND(E16*E$32,0)</f>
        <v>-15668</v>
      </c>
      <c r="H16" s="383">
        <v>0</v>
      </c>
      <c r="I16" s="298">
        <f>G16-H16</f>
        <v>-15668</v>
      </c>
      <c r="J16" s="300">
        <v>4470.144</v>
      </c>
    </row>
    <row r="17" ht="12.75">
      <c r="D17" s="290"/>
    </row>
    <row r="18" spans="1:9" ht="12.75">
      <c r="A18" t="s">
        <v>890</v>
      </c>
      <c r="C18" s="289">
        <v>4210.032</v>
      </c>
      <c r="D18" s="444">
        <f>VLOOKUP(A18,'APPVIII PG 1'!A:G,7,FALSE)</f>
        <v>-4036643</v>
      </c>
      <c r="F18" s="383"/>
      <c r="G18" s="383"/>
      <c r="H18" s="383"/>
      <c r="I18" s="519"/>
    </row>
    <row r="19" spans="1:9" ht="12.75">
      <c r="A19" t="s">
        <v>891</v>
      </c>
      <c r="C19" s="289">
        <v>4210.031</v>
      </c>
      <c r="D19" s="444">
        <f>VLOOKUP(A19,'APPVIII PG 1'!A:G,7,FALSE)</f>
        <v>4262972</v>
      </c>
      <c r="F19" s="383"/>
      <c r="G19" s="383"/>
      <c r="H19" s="383"/>
      <c r="I19" s="519"/>
    </row>
    <row r="20" spans="4:10" ht="12.75">
      <c r="D20" s="290"/>
      <c r="E20" s="514">
        <f>ROUND(SUM(D18:D19),0)</f>
        <v>226329</v>
      </c>
      <c r="F20" s="383">
        <f>ROUND(E20*E$31,0)</f>
        <v>220841</v>
      </c>
      <c r="G20" s="383">
        <f>ROUND(E20*E$32,0)</f>
        <v>5488</v>
      </c>
      <c r="H20" s="383">
        <v>0</v>
      </c>
      <c r="I20" s="298">
        <f>G20-H20</f>
        <v>5488</v>
      </c>
      <c r="J20">
        <v>4210.043</v>
      </c>
    </row>
    <row r="21" spans="4:9" ht="12.75">
      <c r="D21" s="290"/>
      <c r="E21" s="514"/>
      <c r="F21" s="515"/>
      <c r="G21" s="515"/>
      <c r="H21" s="515"/>
      <c r="I21" s="514"/>
    </row>
    <row r="22" spans="1:17" ht="12.75">
      <c r="A22" s="390"/>
      <c r="C22" s="516"/>
      <c r="D22" s="728"/>
      <c r="E22" s="514"/>
      <c r="F22" s="515"/>
      <c r="G22" s="515"/>
      <c r="H22" s="515"/>
      <c r="I22" s="514"/>
      <c r="K22" s="292"/>
      <c r="L22" s="387"/>
      <c r="M22" s="387"/>
      <c r="N22" s="387"/>
      <c r="O22" s="387"/>
      <c r="P22" s="387"/>
      <c r="Q22" s="387"/>
    </row>
    <row r="23" spans="4:10" ht="12.75">
      <c r="D23" s="290"/>
      <c r="E23" s="384">
        <f>ROUND(SUM(D22:D22),0)</f>
        <v>0</v>
      </c>
      <c r="F23" s="385">
        <f>ROUND(E23*E$31,0)</f>
        <v>0</v>
      </c>
      <c r="G23" s="385">
        <f>ROUND(E23*E$32,0)</f>
        <v>0</v>
      </c>
      <c r="H23" s="385">
        <v>0</v>
      </c>
      <c r="I23" s="384">
        <f>G23-H23</f>
        <v>0</v>
      </c>
      <c r="J23">
        <v>4210.044</v>
      </c>
    </row>
    <row r="24" spans="4:9" ht="12.75">
      <c r="D24" s="290"/>
      <c r="F24" s="383"/>
      <c r="G24" s="383"/>
      <c r="H24" s="383"/>
      <c r="I24" s="298"/>
    </row>
    <row r="25" spans="1:9" ht="13.5" thickBot="1">
      <c r="A25" t="s">
        <v>646</v>
      </c>
      <c r="D25" s="393"/>
      <c r="E25" s="291">
        <f>SUM(E7:E24)</f>
        <v>-419884</v>
      </c>
      <c r="F25" s="291">
        <f>SUM(F11:F23)</f>
        <v>-409704</v>
      </c>
      <c r="G25" s="291">
        <f>SUM(G16:G23)</f>
        <v>-10180</v>
      </c>
      <c r="H25" s="291">
        <f>SUM(H16:H23)</f>
        <v>0</v>
      </c>
      <c r="I25" s="291">
        <f>SUM(I11:I23)</f>
        <v>-10180</v>
      </c>
    </row>
    <row r="26" spans="4:9" ht="13.5" thickTop="1">
      <c r="D26" s="393"/>
      <c r="E26" s="292"/>
      <c r="F26" s="292"/>
      <c r="G26" s="292"/>
      <c r="H26" s="292"/>
      <c r="I26" s="292"/>
    </row>
    <row r="27" spans="4:10" ht="12.75">
      <c r="D27" s="393"/>
      <c r="E27" s="292"/>
      <c r="F27" s="720">
        <f>ABS(I25)</f>
        <v>10180</v>
      </c>
      <c r="G27" s="292"/>
      <c r="H27" s="292"/>
      <c r="J27" s="592" t="str">
        <f>IF(I25&lt;0,"TO BE TRANSFERRED FROM WESTERN AEP TO EASTERN AEP","TO BE TRANSFERRED FROM EASTERN AEP TO WESTERN AEP")</f>
        <v>TO BE TRANSFERRED FROM WESTERN AEP TO EASTERN AEP</v>
      </c>
    </row>
    <row r="28" spans="4:10" ht="12.75">
      <c r="D28" s="393"/>
      <c r="E28" s="292"/>
      <c r="F28" s="292"/>
      <c r="G28" s="292"/>
      <c r="H28" s="292"/>
      <c r="J28" s="592"/>
    </row>
    <row r="29" spans="4:10" ht="13.5" thickBot="1">
      <c r="D29" s="290"/>
      <c r="G29" s="386"/>
      <c r="H29" s="386"/>
      <c r="I29" s="386"/>
      <c r="J29" s="292"/>
    </row>
    <row r="30" spans="2:5" ht="12.75">
      <c r="B30" s="593" t="s">
        <v>1974</v>
      </c>
      <c r="C30" s="588"/>
      <c r="D30" s="588"/>
      <c r="E30" s="589"/>
    </row>
    <row r="31" spans="2:5" ht="12.75">
      <c r="B31" s="584" t="s">
        <v>1980</v>
      </c>
      <c r="C31" s="387"/>
      <c r="D31" s="594">
        <f>'APPVIII PG 5'!E24</f>
        <v>642509454</v>
      </c>
      <c r="E31" s="595">
        <f>'APPVIII PG 5'!E26</f>
        <v>0.9757536826577615</v>
      </c>
    </row>
    <row r="32" spans="2:5" ht="12.75">
      <c r="B32" s="584" t="s">
        <v>1981</v>
      </c>
      <c r="C32" s="387"/>
      <c r="D32" s="596">
        <f>'APPVIII PG 5'!I24</f>
        <v>15965595</v>
      </c>
      <c r="E32" s="595">
        <f>'APPVIII PG 5'!I26</f>
        <v>0.02424631734223843</v>
      </c>
    </row>
    <row r="33" spans="2:5" ht="13.5" thickBot="1">
      <c r="B33" s="597" t="s">
        <v>1982</v>
      </c>
      <c r="C33" s="590"/>
      <c r="D33" s="598">
        <f>SUM(D31:D32)</f>
        <v>658475049</v>
      </c>
      <c r="E33" s="599"/>
    </row>
    <row r="36" ht="15.75">
      <c r="A36" s="286" t="s">
        <v>1945</v>
      </c>
    </row>
    <row r="37" spans="1:10" ht="15.75" customHeight="1">
      <c r="A37" s="145"/>
      <c r="J37" s="99"/>
    </row>
    <row r="38" spans="1:7" ht="12.75">
      <c r="A38" s="299" t="s">
        <v>1947</v>
      </c>
      <c r="B38" s="299"/>
      <c r="C38" s="294" t="s">
        <v>612</v>
      </c>
      <c r="D38" s="294" t="s">
        <v>612</v>
      </c>
      <c r="E38" s="294" t="s">
        <v>612</v>
      </c>
      <c r="F38" s="294" t="s">
        <v>613</v>
      </c>
      <c r="G38" s="294"/>
    </row>
    <row r="39" spans="1:7" ht="12.75">
      <c r="A39" s="296"/>
      <c r="B39" s="600" t="s">
        <v>2033</v>
      </c>
      <c r="C39" s="601" t="s">
        <v>1973</v>
      </c>
      <c r="D39" s="601">
        <v>4210.043</v>
      </c>
      <c r="E39" s="600">
        <v>4210.044</v>
      </c>
      <c r="F39" s="600" t="s">
        <v>614</v>
      </c>
      <c r="G39" s="602"/>
    </row>
    <row r="40" spans="1:7" ht="12.75">
      <c r="A40" s="603" t="s">
        <v>1532</v>
      </c>
      <c r="B40" s="604">
        <f>INPUT!C5</f>
        <v>0.34458</v>
      </c>
      <c r="C40" s="605">
        <f>ROUND(B40*$I$16,0)</f>
        <v>-5399</v>
      </c>
      <c r="D40" s="606">
        <f>ROUND(B40*I$20,0)</f>
        <v>1891</v>
      </c>
      <c r="E40" s="605">
        <f>ROUND(B40*I$23,0)</f>
        <v>0</v>
      </c>
      <c r="F40" s="605">
        <f>C40+D40+E40</f>
        <v>-3508</v>
      </c>
      <c r="G40" s="605"/>
    </row>
    <row r="41" spans="1:7" ht="12.75">
      <c r="A41" s="603" t="s">
        <v>1533</v>
      </c>
      <c r="B41" s="604">
        <f>INPUT!C6</f>
        <v>0.06943</v>
      </c>
      <c r="C41" s="605">
        <f>ROUND(B41*$I$16,0)</f>
        <v>-1088</v>
      </c>
      <c r="D41" s="606">
        <f>ROUND(B41*I$20,0)</f>
        <v>381</v>
      </c>
      <c r="E41" s="605">
        <f>ROUND(B41*I$23,0)</f>
        <v>0</v>
      </c>
      <c r="F41" s="605">
        <f>C41+D41+E41</f>
        <v>-707</v>
      </c>
      <c r="G41" s="605"/>
    </row>
    <row r="42" spans="1:7" ht="12.75">
      <c r="A42" s="603" t="s">
        <v>1534</v>
      </c>
      <c r="B42" s="604">
        <f>INPUT!C7</f>
        <v>0.17686</v>
      </c>
      <c r="C42" s="605">
        <f>ROUND(B42*$I$16,0)</f>
        <v>-2771</v>
      </c>
      <c r="D42" s="606">
        <f>ROUND(B42*I$20,0)</f>
        <v>971</v>
      </c>
      <c r="E42" s="605">
        <f>ROUND(B42*I$23,0)</f>
        <v>0</v>
      </c>
      <c r="F42" s="605">
        <f>C42+D42+E42</f>
        <v>-1800</v>
      </c>
      <c r="G42" s="605"/>
    </row>
    <row r="43" spans="1:7" ht="12.75">
      <c r="A43" s="603" t="s">
        <v>1536</v>
      </c>
      <c r="B43" s="604">
        <f>INPUT!C8</f>
        <v>0.22638</v>
      </c>
      <c r="C43" s="605">
        <f>ROUND(B43*$I$16,0)</f>
        <v>-3547</v>
      </c>
      <c r="D43" s="606">
        <f>ROUND(B43*I$20,0)</f>
        <v>1242</v>
      </c>
      <c r="E43" s="605">
        <f>ROUND(B43*I$23,0)</f>
        <v>0</v>
      </c>
      <c r="F43" s="605">
        <f>C43+D43+E43</f>
        <v>-2305</v>
      </c>
      <c r="G43" s="605"/>
    </row>
    <row r="44" spans="1:7" ht="12.75">
      <c r="A44" s="603" t="s">
        <v>1537</v>
      </c>
      <c r="B44" s="604">
        <f>INPUT!C9</f>
        <v>0.18275</v>
      </c>
      <c r="C44" s="607">
        <f>ROUND(B44*$I$16,0)</f>
        <v>-2863</v>
      </c>
      <c r="D44" s="608">
        <f>ROUND(B44*I$20,0)</f>
        <v>1003</v>
      </c>
      <c r="E44" s="607">
        <f>ROUND(B44*I$23,0)</f>
        <v>0</v>
      </c>
      <c r="F44" s="607">
        <f>C44+D44+E44</f>
        <v>-1860</v>
      </c>
      <c r="G44" s="609"/>
    </row>
    <row r="45" spans="1:7" ht="12.75">
      <c r="A45" s="603" t="s">
        <v>1642</v>
      </c>
      <c r="B45" s="610">
        <f>SUM(B40:B44)</f>
        <v>1</v>
      </c>
      <c r="C45" s="605">
        <f>SUM(C40:C44)</f>
        <v>-15668</v>
      </c>
      <c r="D45" s="606">
        <f>SUM(D40:D44)</f>
        <v>5488</v>
      </c>
      <c r="E45" s="605">
        <f>SUM(E40:E44)</f>
        <v>0</v>
      </c>
      <c r="F45" s="606">
        <f>SUM(F40:F44)</f>
        <v>-10180</v>
      </c>
      <c r="G45" s="606"/>
    </row>
    <row r="46" spans="1:7" ht="12.75">
      <c r="A46" s="603"/>
      <c r="B46" s="610"/>
      <c r="C46" s="605"/>
      <c r="D46" s="606"/>
      <c r="E46" s="605"/>
      <c r="F46" s="606"/>
      <c r="G46" s="606"/>
    </row>
    <row r="47" spans="1:7" ht="12.75">
      <c r="A47" s="603"/>
      <c r="B47" s="610"/>
      <c r="C47" s="605"/>
      <c r="D47" s="606"/>
      <c r="E47" s="605"/>
      <c r="F47" s="606"/>
      <c r="G47" s="606"/>
    </row>
    <row r="48" spans="1:7" ht="12.75">
      <c r="A48" s="603"/>
      <c r="B48" s="610"/>
      <c r="C48" s="605"/>
      <c r="D48" s="606"/>
      <c r="E48" s="605"/>
      <c r="F48" s="606"/>
      <c r="G48" s="606"/>
    </row>
    <row r="49" spans="1:7" ht="12.75">
      <c r="A49" s="603"/>
      <c r="B49" s="610"/>
      <c r="C49" s="605"/>
      <c r="D49" s="606"/>
      <c r="E49" s="605"/>
      <c r="F49" s="606"/>
      <c r="G49" s="606"/>
    </row>
    <row r="50" spans="1:7" ht="12.75">
      <c r="A50" s="603"/>
      <c r="B50" s="610"/>
      <c r="C50" s="605"/>
      <c r="D50" s="606"/>
      <c r="E50" s="605"/>
      <c r="F50" s="606"/>
      <c r="G50" s="606"/>
    </row>
    <row r="51" spans="1:7" ht="12.75">
      <c r="A51" s="299" t="s">
        <v>1946</v>
      </c>
      <c r="B51" s="299"/>
      <c r="C51" s="294" t="s">
        <v>612</v>
      </c>
      <c r="D51" s="294" t="s">
        <v>612</v>
      </c>
      <c r="E51" s="294" t="s">
        <v>612</v>
      </c>
      <c r="F51" s="294" t="s">
        <v>613</v>
      </c>
      <c r="G51" s="294"/>
    </row>
    <row r="52" spans="1:7" ht="12.75">
      <c r="A52" s="296"/>
      <c r="B52" s="600" t="s">
        <v>1983</v>
      </c>
      <c r="C52" s="601" t="s">
        <v>1973</v>
      </c>
      <c r="D52" s="601">
        <v>4210.043</v>
      </c>
      <c r="E52" s="600">
        <v>4210.044</v>
      </c>
      <c r="F52" s="600" t="s">
        <v>614</v>
      </c>
      <c r="G52" s="602"/>
    </row>
    <row r="53" spans="1:7" ht="12.75">
      <c r="A53" s="603" t="s">
        <v>1975</v>
      </c>
      <c r="B53" s="604">
        <f>INPUT!F5</f>
        <v>0.45902</v>
      </c>
      <c r="C53" s="605">
        <f>ROUND(B53*$I$16,0)*-1</f>
        <v>7192</v>
      </c>
      <c r="D53" s="606">
        <f>ROUND(B53*I$20,0)*-1</f>
        <v>-2519</v>
      </c>
      <c r="E53" s="605">
        <f>ROUND(B53*I$23,0)*-1</f>
        <v>0</v>
      </c>
      <c r="F53" s="605">
        <f>C53+D53+E53</f>
        <v>4673</v>
      </c>
      <c r="G53" s="605"/>
    </row>
    <row r="54" spans="1:7" ht="12.75">
      <c r="A54" s="603" t="s">
        <v>1976</v>
      </c>
      <c r="B54" s="604">
        <f>INPUT!F6</f>
        <v>0.54098</v>
      </c>
      <c r="C54" s="605">
        <f>ROUND(B54*$I$16,0)*-1</f>
        <v>8476</v>
      </c>
      <c r="D54" s="606">
        <f>ROUND(B54*I$20,0)*-1</f>
        <v>-2969</v>
      </c>
      <c r="E54" s="605">
        <f>ROUND(B54*I$23,0)*-1</f>
        <v>0</v>
      </c>
      <c r="F54" s="605">
        <f>C54+D54+E54</f>
        <v>5507</v>
      </c>
      <c r="G54" s="605"/>
    </row>
    <row r="55" spans="1:7" ht="12.75">
      <c r="A55" s="603" t="s">
        <v>1977</v>
      </c>
      <c r="B55" s="604">
        <f>INPUT!F7</f>
        <v>0</v>
      </c>
      <c r="C55" s="605">
        <f>ROUND(B55*$I$16,0)*-1</f>
        <v>0</v>
      </c>
      <c r="D55" s="606">
        <f>ROUND(B55*I$20,0)*-1</f>
        <v>0</v>
      </c>
      <c r="E55" s="605">
        <f>ROUND(B55*I$23,0)*-1</f>
        <v>0</v>
      </c>
      <c r="F55" s="605">
        <f>C55+D55+E55</f>
        <v>0</v>
      </c>
      <c r="G55" s="605"/>
    </row>
    <row r="56" spans="1:7" ht="12.75">
      <c r="A56" s="603" t="s">
        <v>1978</v>
      </c>
      <c r="B56" s="604">
        <f>INPUT!F8</f>
        <v>0</v>
      </c>
      <c r="C56" s="607">
        <f>ROUND(B56*$I$16,0)*-1</f>
        <v>0</v>
      </c>
      <c r="D56" s="608">
        <f>ROUND(B56*I$20,0)*-1</f>
        <v>0</v>
      </c>
      <c r="E56" s="607">
        <f>ROUND(B56*I$23,0)*-1</f>
        <v>0</v>
      </c>
      <c r="F56" s="607">
        <f>C56+D56+E56</f>
        <v>0</v>
      </c>
      <c r="G56" s="609"/>
    </row>
    <row r="57" spans="1:7" ht="12.75">
      <c r="A57" s="603" t="s">
        <v>1642</v>
      </c>
      <c r="B57" s="610">
        <f>SUM(B53:B56)</f>
        <v>1</v>
      </c>
      <c r="C57" s="605">
        <f>SUM(C53:C56)</f>
        <v>15668</v>
      </c>
      <c r="D57" s="606">
        <f>SUM(D53:D56)</f>
        <v>-5488</v>
      </c>
      <c r="E57" s="605">
        <f>SUM(E53:E56)</f>
        <v>0</v>
      </c>
      <c r="F57" s="606">
        <f>SUM(F53:F56)</f>
        <v>10180</v>
      </c>
      <c r="G57" s="606"/>
    </row>
    <row r="58" spans="1:7" ht="12.75">
      <c r="A58" s="296"/>
      <c r="B58" s="296"/>
      <c r="C58" s="296"/>
      <c r="D58" s="611"/>
      <c r="E58" s="542"/>
      <c r="F58" s="612"/>
      <c r="G58" s="612"/>
    </row>
    <row r="59" spans="1:7" ht="12.75">
      <c r="A59" s="299"/>
      <c r="B59" s="299"/>
      <c r="C59" s="296"/>
      <c r="D59" s="296"/>
      <c r="E59" s="296"/>
      <c r="F59" s="294"/>
      <c r="G59" s="294"/>
    </row>
    <row r="60" spans="1:7" ht="12.75">
      <c r="A60" s="296"/>
      <c r="B60" s="296"/>
      <c r="C60" s="296"/>
      <c r="D60" s="296"/>
      <c r="E60" s="296"/>
      <c r="F60" s="296"/>
      <c r="G60" s="296"/>
    </row>
    <row r="61" spans="1:7" ht="12.75">
      <c r="A61" s="296"/>
      <c r="B61" s="296"/>
      <c r="C61" s="296"/>
      <c r="D61" s="296"/>
      <c r="E61" s="296"/>
      <c r="F61" s="296"/>
      <c r="G61" s="296"/>
    </row>
    <row r="62" spans="1:7" ht="12.75">
      <c r="A62" s="296"/>
      <c r="B62" s="296"/>
      <c r="C62" s="296"/>
      <c r="D62" s="296"/>
      <c r="E62" s="296"/>
      <c r="F62" s="296"/>
      <c r="G62" s="296"/>
    </row>
    <row r="63" spans="1:7" ht="12.75">
      <c r="A63" s="296"/>
      <c r="B63" s="296"/>
      <c r="C63" s="296"/>
      <c r="D63" s="296"/>
      <c r="E63" s="296"/>
      <c r="F63" s="296"/>
      <c r="G63" s="296"/>
    </row>
    <row r="64" spans="1:7" ht="12.75">
      <c r="A64" s="613"/>
      <c r="B64" s="613"/>
      <c r="C64" s="288" t="s">
        <v>1046</v>
      </c>
      <c r="D64" s="296"/>
      <c r="E64" s="296"/>
      <c r="F64" s="296"/>
      <c r="G64" s="296"/>
    </row>
    <row r="65" spans="1:7" ht="12.75">
      <c r="A65" s="296"/>
      <c r="B65" s="296"/>
      <c r="C65" s="614">
        <f>($B40*$I$16)*-1</f>
        <v>5398.87944</v>
      </c>
      <c r="D65" s="521">
        <f>($B40*$G$20)*-1</f>
        <v>-1891.05504</v>
      </c>
      <c r="E65" s="522">
        <f>($B40*$G$23)*-1</f>
        <v>0</v>
      </c>
      <c r="F65" s="496"/>
      <c r="G65" s="496"/>
    </row>
    <row r="66" spans="1:7" ht="12.75">
      <c r="A66" s="296"/>
      <c r="B66" s="296"/>
      <c r="C66" s="615">
        <f>($B41*$I$16)*-1</f>
        <v>1087.82924</v>
      </c>
      <c r="D66" s="523">
        <f>($B41*$G$20)*-1</f>
        <v>-381.03184000000005</v>
      </c>
      <c r="E66" s="524">
        <f>($B41*$G$23)*-1</f>
        <v>0</v>
      </c>
      <c r="F66" s="496"/>
      <c r="G66" s="496"/>
    </row>
    <row r="67" spans="1:7" ht="12.75">
      <c r="A67" s="296"/>
      <c r="B67" s="296"/>
      <c r="C67" s="615">
        <f>($B42*$I$16)*-1</f>
        <v>2771.0424799999996</v>
      </c>
      <c r="D67" s="523">
        <f>($B42*$G$20)*-1</f>
        <v>-970.60768</v>
      </c>
      <c r="E67" s="524">
        <f>($B42*$G$23)*-1</f>
        <v>0</v>
      </c>
      <c r="F67" s="496"/>
      <c r="G67" s="496"/>
    </row>
    <row r="68" spans="1:7" ht="12.75">
      <c r="A68" s="296"/>
      <c r="B68" s="296"/>
      <c r="C68" s="615">
        <f>($B43*$I$16)*-1</f>
        <v>3546.92184</v>
      </c>
      <c r="D68" s="523">
        <f>($B43*$G$20)*-1</f>
        <v>-1242.37344</v>
      </c>
      <c r="E68" s="524">
        <f>($B43*$G$23)*-1</f>
        <v>0</v>
      </c>
      <c r="F68" s="496"/>
      <c r="G68" s="496"/>
    </row>
    <row r="69" spans="1:7" ht="12.75">
      <c r="A69" s="296"/>
      <c r="B69" s="296"/>
      <c r="C69" s="616">
        <f>($B44*$I$16)*-1</f>
        <v>2863.3269999999998</v>
      </c>
      <c r="D69" s="525">
        <f>($B44*$G$20)*-1</f>
        <v>-1002.932</v>
      </c>
      <c r="E69" s="526">
        <f>($B44*$G$23)*-1</f>
        <v>0</v>
      </c>
      <c r="F69" s="496"/>
      <c r="G69" s="496"/>
    </row>
    <row r="70" spans="1:7" ht="12.75">
      <c r="A70" s="296"/>
      <c r="B70" s="296"/>
      <c r="C70" s="296"/>
      <c r="D70" s="296"/>
      <c r="E70" s="296"/>
      <c r="F70" s="296"/>
      <c r="G70" s="296"/>
    </row>
    <row r="71" spans="1:7" ht="12.75">
      <c r="A71" s="296"/>
      <c r="B71" s="296"/>
      <c r="C71" s="296"/>
      <c r="D71" s="296"/>
      <c r="E71" s="296"/>
      <c r="F71" s="296"/>
      <c r="G71" s="296"/>
    </row>
    <row r="72" spans="1:7" ht="12.75">
      <c r="A72" s="296"/>
      <c r="B72" s="296"/>
      <c r="C72" s="617" t="s">
        <v>1046</v>
      </c>
      <c r="D72" s="296"/>
      <c r="E72" s="296"/>
      <c r="F72" s="296"/>
      <c r="G72" s="296"/>
    </row>
    <row r="73" spans="1:7" ht="12.75">
      <c r="A73" s="296"/>
      <c r="B73" s="296"/>
      <c r="C73" s="615">
        <f>($B53*$I$16)</f>
        <v>-7191.92536</v>
      </c>
      <c r="D73" s="521">
        <f>($B53*$G$20)</f>
        <v>2519.10176</v>
      </c>
      <c r="E73" s="522">
        <f>($B53*$G$23)</f>
        <v>0</v>
      </c>
      <c r="F73" s="296"/>
      <c r="G73" s="296"/>
    </row>
    <row r="74" spans="1:7" ht="12.75">
      <c r="A74" s="296"/>
      <c r="B74" s="296"/>
      <c r="C74" s="615">
        <f>($B54*$I$16)</f>
        <v>-8476.07464</v>
      </c>
      <c r="D74" s="523">
        <f>($B54*$G$20)</f>
        <v>2968.89824</v>
      </c>
      <c r="E74" s="524">
        <f>($B54*$G$23)</f>
        <v>0</v>
      </c>
      <c r="F74" s="296"/>
      <c r="G74" s="296"/>
    </row>
    <row r="75" spans="1:7" ht="12.75">
      <c r="A75" s="296"/>
      <c r="B75" s="296"/>
      <c r="C75" s="615">
        <f>($B55*$I$16)</f>
        <v>0</v>
      </c>
      <c r="D75" s="523">
        <f>($B55*$G$20)</f>
        <v>0</v>
      </c>
      <c r="E75" s="524">
        <f>($B55*$G$23)</f>
        <v>0</v>
      </c>
      <c r="F75" s="296"/>
      <c r="G75" s="296"/>
    </row>
    <row r="76" spans="1:7" ht="12.75">
      <c r="A76" s="296"/>
      <c r="B76" s="296"/>
      <c r="C76" s="616">
        <f>($B56*$I$16)</f>
        <v>0</v>
      </c>
      <c r="D76" s="525">
        <f>($B56*$G$20)</f>
        <v>0</v>
      </c>
      <c r="E76" s="526">
        <f>($B56*$G$23)</f>
        <v>0</v>
      </c>
      <c r="F76" s="296"/>
      <c r="G76" s="296"/>
    </row>
    <row r="77" spans="3:6" ht="12.75">
      <c r="C77" s="523"/>
      <c r="D77" s="523"/>
      <c r="E77" s="523"/>
      <c r="F77" s="523"/>
    </row>
  </sheetData>
  <printOptions horizontalCentered="1"/>
  <pageMargins left="0.25" right="0.25" top="0.5" bottom="0.25" header="0.68" footer="0.25"/>
  <pageSetup fitToHeight="1" fitToWidth="1" horizontalDpi="600" verticalDpi="600" orientation="landscape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O234"/>
  <sheetViews>
    <sheetView zoomScale="70" zoomScaleNormal="70" workbookViewId="0" topLeftCell="A1">
      <selection activeCell="A1" sqref="A1:M1"/>
    </sheetView>
  </sheetViews>
  <sheetFormatPr defaultColWidth="9.140625" defaultRowHeight="12.75"/>
  <cols>
    <col min="1" max="1" width="78.8515625" style="8" customWidth="1"/>
    <col min="2" max="2" width="12.28125" style="3" bestFit="1" customWidth="1"/>
    <col min="3" max="3" width="14.57421875" style="500" bestFit="1" customWidth="1"/>
    <col min="4" max="4" width="12.8515625" style="500" bestFit="1" customWidth="1"/>
    <col min="5" max="5" width="14.00390625" style="500" bestFit="1" customWidth="1"/>
    <col min="6" max="6" width="14.57421875" style="500" bestFit="1" customWidth="1"/>
    <col min="7" max="7" width="14.28125" style="500" bestFit="1" customWidth="1"/>
    <col min="8" max="8" width="2.7109375" style="501" customWidth="1"/>
    <col min="9" max="9" width="20.140625" style="500" customWidth="1"/>
    <col min="10" max="10" width="2.7109375" style="500" customWidth="1"/>
    <col min="11" max="11" width="15.421875" style="8" bestFit="1" customWidth="1"/>
    <col min="12" max="12" width="2.7109375" style="3" customWidth="1"/>
    <col min="13" max="13" width="16.8515625" style="512" bestFit="1" customWidth="1"/>
    <col min="14" max="16384" width="9.140625" style="8" customWidth="1"/>
  </cols>
  <sheetData>
    <row r="1" spans="1:13" ht="16.5">
      <c r="A1" s="850" t="s">
        <v>349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spans="1:13" ht="49.5">
      <c r="A2" s="139" t="s">
        <v>1471</v>
      </c>
      <c r="B2" s="511" t="s">
        <v>612</v>
      </c>
      <c r="C2" s="503" t="s">
        <v>1472</v>
      </c>
      <c r="D2" s="503" t="s">
        <v>1473</v>
      </c>
      <c r="E2" s="503" t="s">
        <v>1474</v>
      </c>
      <c r="F2" s="503" t="s">
        <v>1475</v>
      </c>
      <c r="G2" s="503" t="s">
        <v>1476</v>
      </c>
      <c r="H2" s="504"/>
      <c r="I2" s="503" t="s">
        <v>1478</v>
      </c>
      <c r="J2" s="504"/>
      <c r="K2" s="503" t="s">
        <v>1192</v>
      </c>
      <c r="M2" s="544" t="s">
        <v>608</v>
      </c>
    </row>
    <row r="3" spans="1:11" ht="16.5">
      <c r="A3" s="506"/>
      <c r="B3" s="495"/>
      <c r="C3" s="504"/>
      <c r="D3" s="504"/>
      <c r="E3" s="504"/>
      <c r="F3" s="504"/>
      <c r="G3" s="504"/>
      <c r="H3" s="504"/>
      <c r="I3" s="504"/>
      <c r="J3" s="504"/>
      <c r="K3" s="289"/>
    </row>
    <row r="4" spans="1:249" ht="17.25">
      <c r="A4" s="145" t="s">
        <v>1791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550"/>
      <c r="M4" s="550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6"/>
      <c r="FK4" s="286"/>
      <c r="FL4" s="286"/>
      <c r="FM4" s="286"/>
      <c r="FN4" s="286"/>
      <c r="FO4" s="286"/>
      <c r="FP4" s="286"/>
      <c r="FQ4" s="286"/>
      <c r="FR4" s="286"/>
      <c r="FS4" s="286"/>
      <c r="FT4" s="286"/>
      <c r="FU4" s="286"/>
      <c r="FV4" s="286"/>
      <c r="FW4" s="286"/>
      <c r="FX4" s="286"/>
      <c r="FY4" s="286"/>
      <c r="FZ4" s="286"/>
      <c r="GA4" s="286"/>
      <c r="GB4" s="286"/>
      <c r="GC4" s="286"/>
      <c r="GD4" s="286"/>
      <c r="GE4" s="286"/>
      <c r="GF4" s="286"/>
      <c r="GG4" s="286"/>
      <c r="GH4" s="286"/>
      <c r="GI4" s="286"/>
      <c r="GJ4" s="286"/>
      <c r="GK4" s="286"/>
      <c r="GL4" s="286"/>
      <c r="GM4" s="286"/>
      <c r="GN4" s="286"/>
      <c r="GO4" s="286"/>
      <c r="GP4" s="286"/>
      <c r="GQ4" s="286"/>
      <c r="GR4" s="286"/>
      <c r="GS4" s="286"/>
      <c r="GT4" s="286"/>
      <c r="GU4" s="286"/>
      <c r="GV4" s="286"/>
      <c r="GW4" s="286"/>
      <c r="GX4" s="286"/>
      <c r="GY4" s="286"/>
      <c r="GZ4" s="286"/>
      <c r="HA4" s="286"/>
      <c r="HB4" s="286"/>
      <c r="HC4" s="286"/>
      <c r="HD4" s="286"/>
      <c r="HE4" s="286"/>
      <c r="HF4" s="286"/>
      <c r="HG4" s="286"/>
      <c r="HH4" s="286"/>
      <c r="HI4" s="286"/>
      <c r="HJ4" s="286"/>
      <c r="HK4" s="286"/>
      <c r="HL4" s="286"/>
      <c r="HM4" s="286"/>
      <c r="HN4" s="286"/>
      <c r="HO4" s="286"/>
      <c r="HP4" s="286"/>
      <c r="HQ4" s="286"/>
      <c r="HR4" s="286"/>
      <c r="HS4" s="286"/>
      <c r="HT4" s="286"/>
      <c r="HU4" s="286"/>
      <c r="HV4" s="286"/>
      <c r="HW4" s="286"/>
      <c r="HX4" s="286"/>
      <c r="HY4" s="286"/>
      <c r="HZ4" s="286"/>
      <c r="IA4" s="286"/>
      <c r="IB4" s="286"/>
      <c r="IC4" s="286"/>
      <c r="ID4" s="286"/>
      <c r="IE4" s="286"/>
      <c r="IF4" s="286"/>
      <c r="IG4" s="286"/>
      <c r="IH4" s="286"/>
      <c r="II4" s="286"/>
      <c r="IJ4" s="286"/>
      <c r="IK4" s="286"/>
      <c r="IL4" s="286"/>
      <c r="IM4" s="286"/>
      <c r="IN4" s="286"/>
      <c r="IO4" s="286"/>
    </row>
    <row r="5" spans="1:13" ht="16.5">
      <c r="A5" s="3" t="s">
        <v>1798</v>
      </c>
      <c r="B5" s="548">
        <v>4470093</v>
      </c>
      <c r="C5" s="566">
        <v>1035354.18501</v>
      </c>
      <c r="D5" s="566">
        <v>208615.24483500002</v>
      </c>
      <c r="E5" s="566">
        <v>531408.50067</v>
      </c>
      <c r="F5" s="566">
        <v>680200.47711</v>
      </c>
      <c r="G5" s="566">
        <v>549106.092375</v>
      </c>
      <c r="H5" s="682"/>
      <c r="I5" s="512">
        <f>SUM(C5:G5)</f>
        <v>3004684.5</v>
      </c>
      <c r="J5" s="512"/>
      <c r="K5" s="548" t="s">
        <v>1823</v>
      </c>
      <c r="M5" s="512">
        <f aca="true" t="shared" si="0" ref="M5:M116">IF(K5="East Zone SIA",I5,"")</f>
      </c>
    </row>
    <row r="6" spans="1:13" ht="16.5">
      <c r="A6" s="3" t="s">
        <v>1798</v>
      </c>
      <c r="B6" s="548">
        <v>4470126</v>
      </c>
      <c r="C6" s="566">
        <v>-791747.4720294</v>
      </c>
      <c r="D6" s="566">
        <v>-159530.5211649</v>
      </c>
      <c r="E6" s="566">
        <v>-406374.3046698</v>
      </c>
      <c r="F6" s="566">
        <v>-520157.2718034</v>
      </c>
      <c r="G6" s="566">
        <v>-419907.8603325</v>
      </c>
      <c r="H6" s="682"/>
      <c r="I6" s="512">
        <f aca="true" t="shared" si="1" ref="I6:I69">SUM(C6:G6)</f>
        <v>-2297717.43</v>
      </c>
      <c r="J6" s="512"/>
      <c r="K6" s="548" t="s">
        <v>607</v>
      </c>
      <c r="M6" s="512">
        <f t="shared" si="0"/>
        <v>-2297717.43</v>
      </c>
    </row>
    <row r="7" spans="1:13" ht="16.5">
      <c r="A7" s="3" t="s">
        <v>1802</v>
      </c>
      <c r="B7" s="548">
        <v>4470203</v>
      </c>
      <c r="C7" s="566">
        <v>385340.502254714</v>
      </c>
      <c r="D7" s="566">
        <v>77642.90171090835</v>
      </c>
      <c r="E7" s="566">
        <v>197780.83820526066</v>
      </c>
      <c r="F7" s="566">
        <v>253158.57827042244</v>
      </c>
      <c r="G7" s="566">
        <v>204367.5685966945</v>
      </c>
      <c r="H7" s="682"/>
      <c r="I7" s="512">
        <f t="shared" si="1"/>
        <v>1118290.3890379998</v>
      </c>
      <c r="J7" s="512"/>
      <c r="K7" s="548" t="s">
        <v>1823</v>
      </c>
      <c r="M7" s="512">
        <f t="shared" si="0"/>
      </c>
    </row>
    <row r="8" spans="1:13" ht="16.5">
      <c r="A8" s="3" t="s">
        <v>1802</v>
      </c>
      <c r="B8" s="548">
        <v>4470098</v>
      </c>
      <c r="C8" s="566">
        <v>25382.69349748596</v>
      </c>
      <c r="D8" s="566">
        <v>5114.40132779166</v>
      </c>
      <c r="E8" s="566">
        <v>13027.98529213932</v>
      </c>
      <c r="F8" s="566">
        <v>16675.76224377756</v>
      </c>
      <c r="G8" s="566">
        <v>13461.8586008055</v>
      </c>
      <c r="H8" s="682"/>
      <c r="I8" s="512">
        <f t="shared" si="1"/>
        <v>73662.700962</v>
      </c>
      <c r="J8" s="512"/>
      <c r="K8" s="548" t="s">
        <v>607</v>
      </c>
      <c r="M8" s="512">
        <f t="shared" si="0"/>
        <v>73662.700962</v>
      </c>
    </row>
    <row r="9" spans="1:13" ht="16.5">
      <c r="A9" s="3" t="s">
        <v>1796</v>
      </c>
      <c r="B9" s="548">
        <v>4470203</v>
      </c>
      <c r="C9" s="566">
        <v>646917.1620697882</v>
      </c>
      <c r="D9" s="566">
        <v>130348.41999682339</v>
      </c>
      <c r="E9" s="566">
        <v>332038.3344467547</v>
      </c>
      <c r="F9" s="566">
        <v>425007.56616564706</v>
      </c>
      <c r="G9" s="566">
        <v>343096.26608698646</v>
      </c>
      <c r="H9" s="682"/>
      <c r="I9" s="512">
        <f t="shared" si="1"/>
        <v>1877407.748766</v>
      </c>
      <c r="J9" s="512"/>
      <c r="K9" s="548" t="s">
        <v>1823</v>
      </c>
      <c r="M9" s="512">
        <f t="shared" si="0"/>
      </c>
    </row>
    <row r="10" spans="1:13" ht="16.5">
      <c r="A10" s="3" t="s">
        <v>1796</v>
      </c>
      <c r="B10" s="548">
        <v>4470098</v>
      </c>
      <c r="C10" s="566">
        <v>42612.96164561172</v>
      </c>
      <c r="D10" s="566">
        <v>8586.15684907662</v>
      </c>
      <c r="E10" s="566">
        <v>21871.636185045238</v>
      </c>
      <c r="F10" s="566">
        <v>27995.59538375292</v>
      </c>
      <c r="G10" s="566">
        <v>22600.0311705135</v>
      </c>
      <c r="H10" s="682"/>
      <c r="I10" s="512">
        <f t="shared" si="1"/>
        <v>123666.381234</v>
      </c>
      <c r="J10" s="512"/>
      <c r="K10" s="548" t="s">
        <v>607</v>
      </c>
      <c r="M10" s="512">
        <f t="shared" si="0"/>
        <v>123666.381234</v>
      </c>
    </row>
    <row r="11" spans="1:13" ht="16.5">
      <c r="A11" s="3" t="s">
        <v>1799</v>
      </c>
      <c r="B11" s="548">
        <v>4470207</v>
      </c>
      <c r="C11" s="566">
        <v>560078.9278454591</v>
      </c>
      <c r="D11" s="566">
        <v>112851.2390745552</v>
      </c>
      <c r="E11" s="566">
        <v>287467.5233000984</v>
      </c>
      <c r="F11" s="566">
        <v>367957.1295073859</v>
      </c>
      <c r="G11" s="566">
        <v>297041.1052985015</v>
      </c>
      <c r="H11" s="682"/>
      <c r="I11" s="512">
        <f t="shared" si="1"/>
        <v>1625395.925026</v>
      </c>
      <c r="J11" s="512"/>
      <c r="K11" s="548" t="s">
        <v>1823</v>
      </c>
      <c r="M11" s="512">
        <f t="shared" si="0"/>
      </c>
    </row>
    <row r="12" spans="1:13" ht="16.5">
      <c r="A12" s="3" t="s">
        <v>1799</v>
      </c>
      <c r="B12" s="548">
        <v>4470209</v>
      </c>
      <c r="C12" s="566">
        <v>-238453.26582325905</v>
      </c>
      <c r="D12" s="566">
        <v>-48046.34699085518</v>
      </c>
      <c r="E12" s="566">
        <v>-122389.12471269834</v>
      </c>
      <c r="F12" s="566">
        <v>-156657.52602318587</v>
      </c>
      <c r="G12" s="566">
        <v>-126465.07147600148</v>
      </c>
      <c r="H12" s="682"/>
      <c r="I12" s="512">
        <f t="shared" si="1"/>
        <v>-692011.3350259999</v>
      </c>
      <c r="J12" s="512"/>
      <c r="K12" s="548" t="s">
        <v>607</v>
      </c>
      <c r="M12" s="512">
        <f t="shared" si="0"/>
        <v>-692011.3350259999</v>
      </c>
    </row>
    <row r="13" spans="1:13" ht="16.5">
      <c r="A13" s="3" t="s">
        <v>804</v>
      </c>
      <c r="B13" s="548">
        <v>5650012</v>
      </c>
      <c r="C13" s="566">
        <v>269379.09856019996</v>
      </c>
      <c r="D13" s="566">
        <v>54277.6447067</v>
      </c>
      <c r="E13" s="566">
        <v>138262.19563339997</v>
      </c>
      <c r="F13" s="566">
        <v>176974.98500219997</v>
      </c>
      <c r="G13" s="566">
        <v>142866.7660975</v>
      </c>
      <c r="H13" s="682"/>
      <c r="I13" s="512">
        <f t="shared" si="1"/>
        <v>781760.69</v>
      </c>
      <c r="J13" s="512"/>
      <c r="K13" s="548" t="s">
        <v>1823</v>
      </c>
      <c r="M13" s="512">
        <f t="shared" si="0"/>
      </c>
    </row>
    <row r="14" spans="1:13" ht="16.5">
      <c r="A14" s="3" t="s">
        <v>472</v>
      </c>
      <c r="B14" s="548">
        <v>4470107</v>
      </c>
      <c r="C14" s="566">
        <v>-6887.468485799999</v>
      </c>
      <c r="D14" s="566">
        <v>-1387.7675343</v>
      </c>
      <c r="E14" s="566">
        <v>-3535.0794485999995</v>
      </c>
      <c r="F14" s="566">
        <v>-4524.8857038</v>
      </c>
      <c r="G14" s="566">
        <v>-3652.8088274999996</v>
      </c>
      <c r="H14" s="682"/>
      <c r="I14" s="512">
        <f t="shared" si="1"/>
        <v>-19988.01</v>
      </c>
      <c r="J14" s="512"/>
      <c r="K14" s="548" t="s">
        <v>607</v>
      </c>
      <c r="M14" s="512">
        <f t="shared" si="0"/>
        <v>-19988.01</v>
      </c>
    </row>
    <row r="15" spans="1:13" ht="16.5">
      <c r="A15" s="3" t="s">
        <v>805</v>
      </c>
      <c r="B15" s="548">
        <v>4561005</v>
      </c>
      <c r="C15" s="566">
        <v>129.5172846</v>
      </c>
      <c r="D15" s="566">
        <v>26.096654100000002</v>
      </c>
      <c r="E15" s="566">
        <v>66.4763682</v>
      </c>
      <c r="F15" s="566">
        <v>85.0894506</v>
      </c>
      <c r="G15" s="566">
        <v>68.6902425</v>
      </c>
      <c r="H15" s="682"/>
      <c r="I15" s="512">
        <f t="shared" si="1"/>
        <v>375.87</v>
      </c>
      <c r="J15" s="512"/>
      <c r="K15" s="548" t="s">
        <v>1823</v>
      </c>
      <c r="M15" s="512">
        <f t="shared" si="0"/>
      </c>
    </row>
    <row r="16" spans="1:13" ht="16.5">
      <c r="A16" s="3" t="s">
        <v>1810</v>
      </c>
      <c r="B16" s="548">
        <v>4470106</v>
      </c>
      <c r="C16" s="566">
        <v>1016.5144458000001</v>
      </c>
      <c r="D16" s="566">
        <v>204.81919430000002</v>
      </c>
      <c r="E16" s="566">
        <v>521.7387686</v>
      </c>
      <c r="F16" s="566">
        <v>667.8232638000001</v>
      </c>
      <c r="G16" s="566">
        <v>539.1143275000001</v>
      </c>
      <c r="H16" s="682"/>
      <c r="I16" s="512">
        <f t="shared" si="1"/>
        <v>2950.01</v>
      </c>
      <c r="J16" s="512"/>
      <c r="K16" s="548" t="s">
        <v>607</v>
      </c>
      <c r="M16" s="512">
        <f t="shared" si="0"/>
        <v>2950.01</v>
      </c>
    </row>
    <row r="17" spans="1:13" ht="16.5">
      <c r="A17" s="3" t="s">
        <v>1804</v>
      </c>
      <c r="B17" s="548">
        <v>4470093</v>
      </c>
      <c r="C17" s="566">
        <v>5285683.928445263</v>
      </c>
      <c r="D17" s="566">
        <v>1065021.2872248958</v>
      </c>
      <c r="E17" s="566">
        <v>2712943.466204739</v>
      </c>
      <c r="F17" s="566">
        <v>3472555.3651443454</v>
      </c>
      <c r="G17" s="566">
        <v>2803293.1044267565</v>
      </c>
      <c r="H17" s="682"/>
      <c r="I17" s="512">
        <f t="shared" si="1"/>
        <v>15339497.151446</v>
      </c>
      <c r="J17" s="512"/>
      <c r="K17" s="548" t="s">
        <v>1823</v>
      </c>
      <c r="M17" s="512">
        <f t="shared" si="0"/>
      </c>
    </row>
    <row r="18" spans="1:13" ht="16.5">
      <c r="A18" s="3" t="s">
        <v>1804</v>
      </c>
      <c r="B18" s="548">
        <v>4470126</v>
      </c>
      <c r="C18" s="566">
        <v>1368834.425382337</v>
      </c>
      <c r="D18" s="566">
        <v>275808.7357197042</v>
      </c>
      <c r="E18" s="566">
        <v>702571.4100444603</v>
      </c>
      <c r="F18" s="566">
        <v>899288.2268792544</v>
      </c>
      <c r="G18" s="566">
        <v>725969.2705282434</v>
      </c>
      <c r="H18" s="682"/>
      <c r="I18" s="512">
        <f t="shared" si="1"/>
        <v>3972472.068553999</v>
      </c>
      <c r="J18" s="512"/>
      <c r="K18" s="548" t="s">
        <v>607</v>
      </c>
      <c r="M18" s="512">
        <f t="shared" si="0"/>
        <v>3972472.068553999</v>
      </c>
    </row>
    <row r="19" spans="1:13" ht="16.5">
      <c r="A19" s="3" t="s">
        <v>1805</v>
      </c>
      <c r="B19" s="548">
        <v>4470207</v>
      </c>
      <c r="C19" s="566">
        <v>6260024.553469266</v>
      </c>
      <c r="D19" s="566">
        <v>1261342.8079034511</v>
      </c>
      <c r="E19" s="566">
        <v>3213035.9931701617</v>
      </c>
      <c r="F19" s="566">
        <v>4112671.5375656523</v>
      </c>
      <c r="G19" s="566">
        <v>3320040.301661467</v>
      </c>
      <c r="H19" s="682"/>
      <c r="I19" s="512">
        <f t="shared" si="1"/>
        <v>18167115.19377</v>
      </c>
      <c r="J19" s="512"/>
      <c r="K19" s="548" t="s">
        <v>1823</v>
      </c>
      <c r="M19" s="512">
        <f t="shared" si="0"/>
      </c>
    </row>
    <row r="20" spans="1:13" ht="16.5">
      <c r="A20" s="3" t="s">
        <v>1805</v>
      </c>
      <c r="B20" s="548">
        <v>4470209</v>
      </c>
      <c r="C20" s="566">
        <v>1534801.1886167333</v>
      </c>
      <c r="D20" s="566">
        <v>309249.65617754887</v>
      </c>
      <c r="E20" s="566">
        <v>787755.9295918377</v>
      </c>
      <c r="F20" s="566">
        <v>1008324.0265803472</v>
      </c>
      <c r="G20" s="566">
        <v>813990.7052635323</v>
      </c>
      <c r="H20" s="682"/>
      <c r="I20" s="512">
        <f t="shared" si="1"/>
        <v>4454121.5062299995</v>
      </c>
      <c r="J20" s="512"/>
      <c r="K20" s="548" t="s">
        <v>607</v>
      </c>
      <c r="M20" s="512">
        <f t="shared" si="0"/>
        <v>4454121.5062299995</v>
      </c>
    </row>
    <row r="21" spans="1:13" ht="16.5">
      <c r="A21" s="3" t="s">
        <v>411</v>
      </c>
      <c r="B21" s="548">
        <v>5550040</v>
      </c>
      <c r="C21" s="566">
        <v>15968.288599799998</v>
      </c>
      <c r="D21" s="566">
        <v>3217.4771533000003</v>
      </c>
      <c r="E21" s="566">
        <v>8195.924086599998</v>
      </c>
      <c r="F21" s="566">
        <v>10490.7457578</v>
      </c>
      <c r="G21" s="566">
        <v>8468.8744025</v>
      </c>
      <c r="H21" s="682"/>
      <c r="I21" s="512">
        <f t="shared" si="1"/>
        <v>46341.30999999999</v>
      </c>
      <c r="J21" s="512"/>
      <c r="K21" s="548" t="s">
        <v>1823</v>
      </c>
      <c r="M21" s="512">
        <f t="shared" si="0"/>
      </c>
    </row>
    <row r="22" spans="1:13" ht="16.5">
      <c r="A22" s="3" t="s">
        <v>411</v>
      </c>
      <c r="B22" s="548">
        <v>5550039</v>
      </c>
      <c r="C22" s="566">
        <v>1046.2206876</v>
      </c>
      <c r="D22" s="566">
        <v>210.8047546</v>
      </c>
      <c r="E22" s="566">
        <v>536.9858691999999</v>
      </c>
      <c r="F22" s="566">
        <v>687.3394836</v>
      </c>
      <c r="G22" s="566">
        <v>554.869205</v>
      </c>
      <c r="H22" s="682"/>
      <c r="I22" s="512">
        <f t="shared" si="1"/>
        <v>3036.2200000000003</v>
      </c>
      <c r="J22" s="512"/>
      <c r="K22" s="548" t="s">
        <v>607</v>
      </c>
      <c r="M22" s="512">
        <f t="shared" si="0"/>
        <v>3036.2200000000003</v>
      </c>
    </row>
    <row r="23" spans="1:13" ht="16.5">
      <c r="A23" s="3" t="s">
        <v>806</v>
      </c>
      <c r="B23" s="548">
        <v>5550036</v>
      </c>
      <c r="C23" s="566">
        <v>2697.2895408</v>
      </c>
      <c r="D23" s="566">
        <v>543.4813768</v>
      </c>
      <c r="E23" s="566">
        <v>1384.4176336</v>
      </c>
      <c r="F23" s="566">
        <v>1772.0483088</v>
      </c>
      <c r="G23" s="566">
        <v>1430.52314</v>
      </c>
      <c r="H23" s="682"/>
      <c r="I23" s="512">
        <f t="shared" si="1"/>
        <v>7827.76</v>
      </c>
      <c r="J23" s="512"/>
      <c r="K23" s="548" t="s">
        <v>1823</v>
      </c>
      <c r="M23" s="512">
        <f t="shared" si="0"/>
      </c>
    </row>
    <row r="24" spans="1:13" ht="16.5">
      <c r="A24" s="3" t="s">
        <v>1841</v>
      </c>
      <c r="B24" s="548">
        <v>5550036</v>
      </c>
      <c r="C24" s="566">
        <v>15794.1757716</v>
      </c>
      <c r="D24" s="566">
        <v>3182.3948686</v>
      </c>
      <c r="E24" s="566">
        <v>8106.558497199999</v>
      </c>
      <c r="F24" s="566">
        <v>10376.358207599998</v>
      </c>
      <c r="G24" s="566">
        <v>8376.532654999999</v>
      </c>
      <c r="H24" s="682"/>
      <c r="I24" s="512">
        <f t="shared" si="1"/>
        <v>45836.020000000004</v>
      </c>
      <c r="J24" s="512"/>
      <c r="K24" s="548" t="s">
        <v>1823</v>
      </c>
      <c r="M24" s="512">
        <f t="shared" si="0"/>
      </c>
    </row>
    <row r="25" spans="1:13" ht="16.5">
      <c r="A25" s="3" t="s">
        <v>807</v>
      </c>
      <c r="B25" s="548">
        <v>4470116</v>
      </c>
      <c r="C25" s="566">
        <v>0.8028714</v>
      </c>
      <c r="D25" s="566">
        <v>0.16177190000000002</v>
      </c>
      <c r="E25" s="566">
        <v>0.4120838</v>
      </c>
      <c r="F25" s="566">
        <v>0.5274654</v>
      </c>
      <c r="G25" s="566">
        <v>0.4258075</v>
      </c>
      <c r="H25" s="682"/>
      <c r="I25" s="512">
        <f t="shared" si="1"/>
        <v>2.33</v>
      </c>
      <c r="J25" s="512"/>
      <c r="K25" s="548" t="s">
        <v>1823</v>
      </c>
      <c r="M25" s="512">
        <f t="shared" si="0"/>
      </c>
    </row>
    <row r="26" spans="1:13" ht="16.5">
      <c r="A26" s="3" t="s">
        <v>327</v>
      </c>
      <c r="B26" s="548">
        <v>4470116</v>
      </c>
      <c r="C26" s="566">
        <v>-2136.637206</v>
      </c>
      <c r="D26" s="566">
        <v>-430.514601</v>
      </c>
      <c r="E26" s="566">
        <v>-1096.655802</v>
      </c>
      <c r="F26" s="566">
        <v>-1403.714466</v>
      </c>
      <c r="G26" s="566">
        <v>-1133.177925</v>
      </c>
      <c r="H26" s="682"/>
      <c r="I26" s="512">
        <f t="shared" si="1"/>
        <v>-6200.699999999999</v>
      </c>
      <c r="J26" s="512"/>
      <c r="K26" s="548" t="s">
        <v>1823</v>
      </c>
      <c r="M26" s="512">
        <f t="shared" si="0"/>
      </c>
    </row>
    <row r="27" spans="1:13" ht="16.5">
      <c r="A27" s="3" t="s">
        <v>807</v>
      </c>
      <c r="B27" s="548">
        <v>4470115</v>
      </c>
      <c r="C27" s="566">
        <v>0.051687</v>
      </c>
      <c r="D27" s="566">
        <v>0.0104145</v>
      </c>
      <c r="E27" s="566">
        <v>0.026528999999999997</v>
      </c>
      <c r="F27" s="566">
        <v>0.033957</v>
      </c>
      <c r="G27" s="566">
        <v>0.0274125</v>
      </c>
      <c r="H27" s="682"/>
      <c r="I27" s="512">
        <f t="shared" si="1"/>
        <v>0.15</v>
      </c>
      <c r="J27" s="512"/>
      <c r="K27" s="548" t="s">
        <v>607</v>
      </c>
      <c r="M27" s="512">
        <f t="shared" si="0"/>
        <v>0.15</v>
      </c>
    </row>
    <row r="28" spans="1:13" ht="16.5">
      <c r="A28" s="3" t="s">
        <v>327</v>
      </c>
      <c r="B28" s="548">
        <v>4470115</v>
      </c>
      <c r="C28" s="566">
        <v>-139.9890708</v>
      </c>
      <c r="D28" s="566">
        <v>-28.2066318</v>
      </c>
      <c r="E28" s="566">
        <v>-71.8511436</v>
      </c>
      <c r="F28" s="566">
        <v>-91.9691388</v>
      </c>
      <c r="G28" s="566">
        <v>-74.24401499999999</v>
      </c>
      <c r="H28" s="682"/>
      <c r="I28" s="512">
        <f t="shared" si="1"/>
        <v>-406.26</v>
      </c>
      <c r="J28" s="512"/>
      <c r="K28" s="548" t="s">
        <v>607</v>
      </c>
      <c r="M28" s="512">
        <f t="shared" si="0"/>
        <v>-406.26</v>
      </c>
    </row>
    <row r="29" spans="1:13" ht="16.5">
      <c r="A29" s="3" t="s">
        <v>808</v>
      </c>
      <c r="B29" s="548">
        <v>5550075</v>
      </c>
      <c r="C29" s="566">
        <v>-57.865319400000004</v>
      </c>
      <c r="D29" s="566">
        <v>-11.659379900000001</v>
      </c>
      <c r="E29" s="566">
        <v>-29.7000998</v>
      </c>
      <c r="F29" s="566">
        <v>-38.0159934</v>
      </c>
      <c r="G29" s="566">
        <v>-30.689207500000002</v>
      </c>
      <c r="H29" s="682"/>
      <c r="I29" s="512">
        <f t="shared" si="1"/>
        <v>-167.93</v>
      </c>
      <c r="J29" s="512"/>
      <c r="K29" s="548" t="s">
        <v>1823</v>
      </c>
      <c r="M29" s="512">
        <f t="shared" si="0"/>
      </c>
    </row>
    <row r="30" spans="1:13" ht="16.5">
      <c r="A30" s="3" t="s">
        <v>1816</v>
      </c>
      <c r="B30" s="548">
        <v>5550074</v>
      </c>
      <c r="C30" s="566">
        <v>957893.962101</v>
      </c>
      <c r="D30" s="566">
        <v>193007.65508350002</v>
      </c>
      <c r="E30" s="566">
        <v>491651.071267</v>
      </c>
      <c r="F30" s="566">
        <v>629311.147311</v>
      </c>
      <c r="G30" s="566">
        <v>508024.6142375</v>
      </c>
      <c r="H30" s="682"/>
      <c r="I30" s="512">
        <f t="shared" si="1"/>
        <v>2779888.4499999997</v>
      </c>
      <c r="J30" s="512"/>
      <c r="K30" s="548" t="s">
        <v>1823</v>
      </c>
      <c r="M30" s="512">
        <f t="shared" si="0"/>
      </c>
    </row>
    <row r="31" spans="1:13" ht="16.5">
      <c r="A31" s="3" t="s">
        <v>1818</v>
      </c>
      <c r="B31" s="548">
        <v>5550078</v>
      </c>
      <c r="C31" s="566">
        <v>1346002.4000196</v>
      </c>
      <c r="D31" s="566">
        <v>271208.27277660003</v>
      </c>
      <c r="E31" s="566">
        <v>690852.5871132</v>
      </c>
      <c r="F31" s="566">
        <v>884288.1865356</v>
      </c>
      <c r="G31" s="566">
        <v>713860.173555</v>
      </c>
      <c r="H31" s="682"/>
      <c r="I31" s="512">
        <f t="shared" si="1"/>
        <v>3906211.62</v>
      </c>
      <c r="J31" s="512"/>
      <c r="K31" s="548" t="s">
        <v>1823</v>
      </c>
      <c r="M31" s="512">
        <f t="shared" si="0"/>
      </c>
    </row>
    <row r="32" spans="1:13" ht="16.5">
      <c r="A32" s="3" t="s">
        <v>1256</v>
      </c>
      <c r="B32" s="548">
        <v>5550083</v>
      </c>
      <c r="C32" s="566">
        <v>6472.656190199999</v>
      </c>
      <c r="D32" s="566">
        <v>1304.1863117</v>
      </c>
      <c r="E32" s="566">
        <v>3322.1718433999995</v>
      </c>
      <c r="F32" s="566">
        <v>4252.3649322</v>
      </c>
      <c r="G32" s="566">
        <v>3432.8107225</v>
      </c>
      <c r="H32" s="682"/>
      <c r="I32" s="512">
        <f t="shared" si="1"/>
        <v>18784.19</v>
      </c>
      <c r="J32" s="512"/>
      <c r="K32" s="548" t="s">
        <v>1823</v>
      </c>
      <c r="M32" s="512">
        <f t="shared" si="0"/>
      </c>
    </row>
    <row r="33" spans="1:13" ht="16.5">
      <c r="A33" s="3" t="s">
        <v>809</v>
      </c>
      <c r="B33" s="548">
        <v>5550083</v>
      </c>
      <c r="C33" s="566">
        <v>5918.685261600001</v>
      </c>
      <c r="D33" s="566">
        <v>1192.5657836</v>
      </c>
      <c r="E33" s="566">
        <v>3037.8393272</v>
      </c>
      <c r="F33" s="566">
        <v>3888.4205976</v>
      </c>
      <c r="G33" s="566">
        <v>3139.00903</v>
      </c>
      <c r="H33" s="682"/>
      <c r="I33" s="512">
        <f t="shared" si="1"/>
        <v>17176.52</v>
      </c>
      <c r="J33" s="512"/>
      <c r="K33" s="548" t="s">
        <v>1823</v>
      </c>
      <c r="M33" s="512">
        <f t="shared" si="0"/>
      </c>
    </row>
    <row r="34" spans="1:13" ht="16.5">
      <c r="A34" s="3" t="s">
        <v>1856</v>
      </c>
      <c r="B34" s="548">
        <v>4470203</v>
      </c>
      <c r="C34" s="566">
        <v>90067.6573704</v>
      </c>
      <c r="D34" s="566">
        <v>18147.882788400002</v>
      </c>
      <c r="E34" s="566">
        <v>46228.3530168</v>
      </c>
      <c r="F34" s="566">
        <v>59172.0827544</v>
      </c>
      <c r="G34" s="566">
        <v>47767.90407</v>
      </c>
      <c r="H34" s="682"/>
      <c r="I34" s="512">
        <f t="shared" si="1"/>
        <v>261383.88</v>
      </c>
      <c r="J34" s="512"/>
      <c r="K34" s="548" t="s">
        <v>1823</v>
      </c>
      <c r="M34" s="512">
        <f t="shared" si="0"/>
      </c>
    </row>
    <row r="35" spans="1:13" ht="16.5">
      <c r="A35" s="3" t="s">
        <v>1856</v>
      </c>
      <c r="B35" s="548">
        <v>4470098</v>
      </c>
      <c r="C35" s="566">
        <v>5901.1185732</v>
      </c>
      <c r="D35" s="566">
        <v>1189.0262422</v>
      </c>
      <c r="E35" s="566">
        <v>3028.8230044</v>
      </c>
      <c r="F35" s="566">
        <v>3876.8797452000003</v>
      </c>
      <c r="G35" s="566">
        <v>3129.692435</v>
      </c>
      <c r="H35" s="682"/>
      <c r="I35" s="512">
        <f t="shared" si="1"/>
        <v>17125.54</v>
      </c>
      <c r="J35" s="512"/>
      <c r="K35" s="548" t="s">
        <v>607</v>
      </c>
      <c r="M35" s="512">
        <f t="shared" si="0"/>
        <v>17125.54</v>
      </c>
    </row>
    <row r="36" spans="1:13" ht="16.5">
      <c r="A36" s="3" t="s">
        <v>810</v>
      </c>
      <c r="B36" s="548">
        <v>4470203</v>
      </c>
      <c r="C36" s="566">
        <v>382.355798281614</v>
      </c>
      <c r="D36" s="566">
        <v>77.041508719869</v>
      </c>
      <c r="E36" s="566">
        <v>196.248901515138</v>
      </c>
      <c r="F36" s="566">
        <v>251.19770623655398</v>
      </c>
      <c r="G36" s="566">
        <v>202.784613546825</v>
      </c>
      <c r="H36" s="682"/>
      <c r="I36" s="512">
        <f t="shared" si="1"/>
        <v>1109.6285283</v>
      </c>
      <c r="J36" s="512"/>
      <c r="K36" s="548" t="s">
        <v>1823</v>
      </c>
      <c r="M36" s="512">
        <f t="shared" si="0"/>
      </c>
    </row>
    <row r="37" spans="1:13" ht="16.5">
      <c r="A37" s="3" t="s">
        <v>1821</v>
      </c>
      <c r="B37" s="548">
        <v>5550041</v>
      </c>
      <c r="C37" s="566">
        <v>48080.505117</v>
      </c>
      <c r="D37" s="566">
        <v>9687.8213195</v>
      </c>
      <c r="E37" s="566">
        <v>24677.921338999997</v>
      </c>
      <c r="F37" s="566">
        <v>31587.627687</v>
      </c>
      <c r="G37" s="566">
        <v>25499.774537499998</v>
      </c>
      <c r="H37" s="682"/>
      <c r="I37" s="512">
        <f t="shared" si="1"/>
        <v>139533.65</v>
      </c>
      <c r="J37" s="512"/>
      <c r="K37" s="548" t="s">
        <v>1823</v>
      </c>
      <c r="M37" s="512">
        <f t="shared" si="0"/>
      </c>
    </row>
    <row r="38" spans="1:13" ht="16.5">
      <c r="A38" s="3" t="s">
        <v>810</v>
      </c>
      <c r="B38" s="548">
        <v>4470098</v>
      </c>
      <c r="C38" s="566">
        <v>25.051473118386</v>
      </c>
      <c r="D38" s="566">
        <v>5.047663180131</v>
      </c>
      <c r="E38" s="566">
        <v>12.857982284861999</v>
      </c>
      <c r="F38" s="566">
        <v>16.458159163446</v>
      </c>
      <c r="G38" s="566">
        <v>13.286193953175</v>
      </c>
      <c r="H38" s="682"/>
      <c r="I38" s="512">
        <f t="shared" si="1"/>
        <v>72.7014717</v>
      </c>
      <c r="J38" s="512"/>
      <c r="K38" s="548" t="s">
        <v>607</v>
      </c>
      <c r="M38" s="512">
        <f t="shared" si="0"/>
        <v>72.7014717</v>
      </c>
    </row>
    <row r="39" spans="1:13" ht="16.5">
      <c r="A39" s="3" t="s">
        <v>1858</v>
      </c>
      <c r="B39" s="548">
        <v>4470203</v>
      </c>
      <c r="C39" s="566">
        <v>509.0928294</v>
      </c>
      <c r="D39" s="566">
        <v>102.57796490000001</v>
      </c>
      <c r="E39" s="566">
        <v>261.2982698</v>
      </c>
      <c r="F39" s="566">
        <v>334.4606034</v>
      </c>
      <c r="G39" s="566">
        <v>270.0003325</v>
      </c>
      <c r="H39" s="682"/>
      <c r="I39" s="512">
        <f t="shared" si="1"/>
        <v>1477.43</v>
      </c>
      <c r="J39" s="512"/>
      <c r="K39" s="548" t="s">
        <v>1823</v>
      </c>
      <c r="M39" s="512">
        <f t="shared" si="0"/>
      </c>
    </row>
    <row r="40" spans="1:13" ht="16.5">
      <c r="A40" s="3" t="s">
        <v>1858</v>
      </c>
      <c r="B40" s="548">
        <v>4470098</v>
      </c>
      <c r="C40" s="566">
        <v>33.3518982</v>
      </c>
      <c r="D40" s="566">
        <v>6.720129700000001</v>
      </c>
      <c r="E40" s="566">
        <v>17.1182794</v>
      </c>
      <c r="F40" s="566">
        <v>21.911320200000002</v>
      </c>
      <c r="G40" s="566">
        <v>17.6883725</v>
      </c>
      <c r="H40" s="682"/>
      <c r="I40" s="512">
        <f t="shared" si="1"/>
        <v>96.79</v>
      </c>
      <c r="J40" s="512"/>
      <c r="K40" s="548" t="s">
        <v>607</v>
      </c>
      <c r="M40" s="512">
        <f t="shared" si="0"/>
        <v>96.79</v>
      </c>
    </row>
    <row r="41" spans="1:13" ht="16.5">
      <c r="A41" s="3" t="s">
        <v>811</v>
      </c>
      <c r="B41" s="548">
        <v>5550076</v>
      </c>
      <c r="C41" s="566">
        <v>-1.4679107999999998</v>
      </c>
      <c r="D41" s="566">
        <v>-0.29577180000000003</v>
      </c>
      <c r="E41" s="566">
        <v>-0.7534236</v>
      </c>
      <c r="F41" s="566">
        <v>-0.9643788</v>
      </c>
      <c r="G41" s="566">
        <v>-0.778515</v>
      </c>
      <c r="H41" s="682"/>
      <c r="I41" s="512">
        <f t="shared" si="1"/>
        <v>-4.26</v>
      </c>
      <c r="J41" s="512"/>
      <c r="K41" s="548" t="s">
        <v>1823</v>
      </c>
      <c r="M41" s="512">
        <f t="shared" si="0"/>
      </c>
    </row>
    <row r="42" spans="1:13" s="3" customFormat="1" ht="16.5">
      <c r="A42" s="3" t="s">
        <v>1800</v>
      </c>
      <c r="B42" s="548">
        <v>5550076</v>
      </c>
      <c r="C42" s="566">
        <v>21518.9899878</v>
      </c>
      <c r="D42" s="566">
        <v>4335.897251300001</v>
      </c>
      <c r="E42" s="566">
        <v>11044.8910826</v>
      </c>
      <c r="F42" s="566">
        <v>14137.410625800001</v>
      </c>
      <c r="G42" s="566">
        <v>11412.721052500001</v>
      </c>
      <c r="H42" s="682"/>
      <c r="I42" s="512">
        <f t="shared" si="1"/>
        <v>62449.91</v>
      </c>
      <c r="J42" s="512"/>
      <c r="K42" s="548" t="s">
        <v>1823</v>
      </c>
      <c r="M42" s="512">
        <f t="shared" si="0"/>
      </c>
    </row>
    <row r="43" spans="1:13" ht="16.5">
      <c r="A43" s="3" t="s">
        <v>1852</v>
      </c>
      <c r="B43" s="548">
        <v>4470115</v>
      </c>
      <c r="C43" s="566">
        <v>194313.468891</v>
      </c>
      <c r="D43" s="566">
        <v>39152.5455485</v>
      </c>
      <c r="E43" s="566">
        <v>99733.82119699998</v>
      </c>
      <c r="F43" s="566">
        <v>127658.84000099999</v>
      </c>
      <c r="G43" s="566">
        <v>103055.27436249999</v>
      </c>
      <c r="H43" s="682"/>
      <c r="I43" s="512">
        <f t="shared" si="1"/>
        <v>563913.95</v>
      </c>
      <c r="J43" s="512"/>
      <c r="K43" s="548" t="s">
        <v>607</v>
      </c>
      <c r="M43" s="512">
        <f t="shared" si="0"/>
        <v>563913.95</v>
      </c>
    </row>
    <row r="44" spans="1:13" ht="16.5">
      <c r="A44" s="3" t="s">
        <v>1859</v>
      </c>
      <c r="B44" s="548">
        <v>4470093</v>
      </c>
      <c r="C44" s="566">
        <v>-10425.7640952</v>
      </c>
      <c r="D44" s="566">
        <v>-2100.7046292</v>
      </c>
      <c r="E44" s="566">
        <v>-5351.1539784</v>
      </c>
      <c r="F44" s="566">
        <v>-6849.4528872</v>
      </c>
      <c r="G44" s="566">
        <v>-5529.364409999999</v>
      </c>
      <c r="H44" s="682"/>
      <c r="I44" s="512">
        <f t="shared" si="1"/>
        <v>-30256.44</v>
      </c>
      <c r="J44" s="512"/>
      <c r="K44" s="548" t="s">
        <v>1823</v>
      </c>
      <c r="M44" s="512">
        <f t="shared" si="0"/>
      </c>
    </row>
    <row r="45" spans="1:13" ht="16.5">
      <c r="A45" s="3" t="s">
        <v>1859</v>
      </c>
      <c r="B45" s="548">
        <v>4470126</v>
      </c>
      <c r="C45" s="566">
        <v>-683.0816087999999</v>
      </c>
      <c r="D45" s="566">
        <v>-137.6352548</v>
      </c>
      <c r="E45" s="566">
        <v>-350.60018959999996</v>
      </c>
      <c r="F45" s="566">
        <v>-448.76665679999996</v>
      </c>
      <c r="G45" s="566">
        <v>-362.27628999999996</v>
      </c>
      <c r="H45" s="682"/>
      <c r="I45" s="512">
        <f t="shared" si="1"/>
        <v>-1982.36</v>
      </c>
      <c r="J45" s="512"/>
      <c r="K45" s="548" t="s">
        <v>607</v>
      </c>
      <c r="M45" s="512">
        <f t="shared" si="0"/>
        <v>-1982.36</v>
      </c>
    </row>
    <row r="46" spans="1:13" ht="16.5">
      <c r="A46" s="3" t="s">
        <v>473</v>
      </c>
      <c r="B46" s="548">
        <v>4470207</v>
      </c>
      <c r="C46" s="566">
        <v>-1607.1176742</v>
      </c>
      <c r="D46" s="566">
        <v>-323.8208257</v>
      </c>
      <c r="E46" s="566">
        <v>-824.8732713999999</v>
      </c>
      <c r="F46" s="566">
        <v>-1055.8340561999998</v>
      </c>
      <c r="G46" s="566">
        <v>-852.3441724999999</v>
      </c>
      <c r="H46" s="682"/>
      <c r="I46" s="512">
        <f t="shared" si="1"/>
        <v>-4663.99</v>
      </c>
      <c r="J46" s="512"/>
      <c r="K46" s="548" t="s">
        <v>1823</v>
      </c>
      <c r="M46" s="512">
        <f t="shared" si="0"/>
      </c>
    </row>
    <row r="47" spans="1:13" ht="16.5">
      <c r="A47" s="3" t="s">
        <v>1860</v>
      </c>
      <c r="B47" s="548">
        <v>4470207</v>
      </c>
      <c r="C47" s="566">
        <v>-6141.7146666</v>
      </c>
      <c r="D47" s="566">
        <v>-1237.5043511000001</v>
      </c>
      <c r="E47" s="566">
        <v>-3152.3119622</v>
      </c>
      <c r="F47" s="566">
        <v>-4034.9450526</v>
      </c>
      <c r="G47" s="566">
        <v>-3257.2939675</v>
      </c>
      <c r="H47" s="682"/>
      <c r="I47" s="512">
        <f t="shared" si="1"/>
        <v>-17823.77</v>
      </c>
      <c r="J47" s="512"/>
      <c r="K47" s="548" t="s">
        <v>1823</v>
      </c>
      <c r="M47" s="512">
        <f t="shared" si="0"/>
      </c>
    </row>
    <row r="48" spans="1:13" ht="16.5">
      <c r="A48" s="3" t="s">
        <v>473</v>
      </c>
      <c r="B48" s="548">
        <v>4470209</v>
      </c>
      <c r="C48" s="566">
        <v>-105.29675639999999</v>
      </c>
      <c r="D48" s="566">
        <v>-21.2164194</v>
      </c>
      <c r="E48" s="566">
        <v>-54.04487879999999</v>
      </c>
      <c r="F48" s="566">
        <v>-69.17720039999999</v>
      </c>
      <c r="G48" s="566">
        <v>-55.844744999999996</v>
      </c>
      <c r="H48" s="682"/>
      <c r="I48" s="512">
        <f t="shared" si="1"/>
        <v>-305.58</v>
      </c>
      <c r="J48" s="512"/>
      <c r="K48" s="548" t="s">
        <v>607</v>
      </c>
      <c r="M48" s="512">
        <f t="shared" si="0"/>
        <v>-305.58</v>
      </c>
    </row>
    <row r="49" spans="1:13" ht="16.5">
      <c r="A49" s="3" t="s">
        <v>1860</v>
      </c>
      <c r="B49" s="548">
        <v>4470209</v>
      </c>
      <c r="C49" s="566">
        <v>-402.3970782</v>
      </c>
      <c r="D49" s="566">
        <v>-81.07965970000001</v>
      </c>
      <c r="E49" s="566">
        <v>-206.53533939999997</v>
      </c>
      <c r="F49" s="566">
        <v>-264.3643002</v>
      </c>
      <c r="G49" s="566">
        <v>-213.4136225</v>
      </c>
      <c r="H49" s="682"/>
      <c r="I49" s="512">
        <f t="shared" si="1"/>
        <v>-1167.79</v>
      </c>
      <c r="J49" s="512"/>
      <c r="K49" s="548" t="s">
        <v>607</v>
      </c>
      <c r="M49" s="512">
        <f t="shared" si="0"/>
        <v>-1167.79</v>
      </c>
    </row>
    <row r="50" spans="1:13" ht="16.5">
      <c r="A50" s="3" t="s">
        <v>474</v>
      </c>
      <c r="B50" s="548">
        <v>5550040</v>
      </c>
      <c r="C50" s="566">
        <v>-68.13380339999999</v>
      </c>
      <c r="D50" s="566">
        <v>-13.7283939</v>
      </c>
      <c r="E50" s="566">
        <v>-34.9705278</v>
      </c>
      <c r="F50" s="566">
        <v>-44.762117399999994</v>
      </c>
      <c r="G50" s="566">
        <v>-36.1351575</v>
      </c>
      <c r="H50" s="682"/>
      <c r="I50" s="512">
        <f t="shared" si="1"/>
        <v>-197.72999999999996</v>
      </c>
      <c r="J50" s="512"/>
      <c r="K50" s="548" t="s">
        <v>1823</v>
      </c>
      <c r="M50" s="512">
        <f t="shared" si="0"/>
      </c>
    </row>
    <row r="51" spans="1:13" ht="16.5">
      <c r="A51" s="3" t="s">
        <v>474</v>
      </c>
      <c r="B51" s="548">
        <v>5550039</v>
      </c>
      <c r="C51" s="566">
        <v>-4.462311</v>
      </c>
      <c r="D51" s="566">
        <v>-0.8991185</v>
      </c>
      <c r="E51" s="566">
        <v>-2.2903369999999996</v>
      </c>
      <c r="F51" s="566">
        <v>-2.931621</v>
      </c>
      <c r="G51" s="566">
        <v>-2.3666125</v>
      </c>
      <c r="H51" s="682"/>
      <c r="I51" s="512">
        <f t="shared" si="1"/>
        <v>-12.95</v>
      </c>
      <c r="J51" s="512"/>
      <c r="K51" s="548" t="s">
        <v>607</v>
      </c>
      <c r="M51" s="512">
        <f t="shared" si="0"/>
        <v>-12.95</v>
      </c>
    </row>
    <row r="52" spans="1:13" ht="16.5">
      <c r="A52" s="3" t="s">
        <v>1848</v>
      </c>
      <c r="B52" s="548">
        <v>5614000</v>
      </c>
      <c r="C52" s="566">
        <v>998.902962</v>
      </c>
      <c r="D52" s="566">
        <v>201.27062700000002</v>
      </c>
      <c r="E52" s="566">
        <v>512.699454</v>
      </c>
      <c r="F52" s="566">
        <v>656.252982</v>
      </c>
      <c r="G52" s="566">
        <v>529.773975</v>
      </c>
      <c r="H52" s="682"/>
      <c r="I52" s="512">
        <f t="shared" si="1"/>
        <v>2898.9</v>
      </c>
      <c r="J52" s="512"/>
      <c r="K52" s="548" t="s">
        <v>607</v>
      </c>
      <c r="M52" s="512">
        <f t="shared" si="0"/>
        <v>2898.9</v>
      </c>
    </row>
    <row r="53" spans="1:13" ht="16.5">
      <c r="A53" s="3" t="s">
        <v>475</v>
      </c>
      <c r="B53" s="548">
        <v>5614001</v>
      </c>
      <c r="C53" s="566">
        <v>-583.37394</v>
      </c>
      <c r="D53" s="566">
        <v>-117.54499000000001</v>
      </c>
      <c r="E53" s="566">
        <v>-299.42398</v>
      </c>
      <c r="F53" s="566">
        <v>-383.26134</v>
      </c>
      <c r="G53" s="566">
        <v>-309.39575</v>
      </c>
      <c r="H53" s="682"/>
      <c r="I53" s="512">
        <f t="shared" si="1"/>
        <v>-1693</v>
      </c>
      <c r="J53" s="512"/>
      <c r="K53" s="548" t="s">
        <v>1823</v>
      </c>
      <c r="M53" s="512">
        <f t="shared" si="0"/>
      </c>
    </row>
    <row r="54" spans="1:13" ht="16.5">
      <c r="A54" s="3" t="s">
        <v>475</v>
      </c>
      <c r="B54" s="548">
        <v>5614000</v>
      </c>
      <c r="C54" s="566">
        <v>-38.2208136</v>
      </c>
      <c r="D54" s="566">
        <v>-7.701175600000001</v>
      </c>
      <c r="E54" s="566">
        <v>-19.6173112</v>
      </c>
      <c r="F54" s="566">
        <v>-25.1100696</v>
      </c>
      <c r="G54" s="566">
        <v>-20.27063</v>
      </c>
      <c r="H54" s="682"/>
      <c r="I54" s="512">
        <f t="shared" si="1"/>
        <v>-110.92</v>
      </c>
      <c r="J54" s="512"/>
      <c r="K54" s="548" t="s">
        <v>607</v>
      </c>
      <c r="M54" s="512">
        <f t="shared" si="0"/>
        <v>-110.92</v>
      </c>
    </row>
    <row r="55" spans="1:13" ht="16.5">
      <c r="A55" s="3" t="s">
        <v>476</v>
      </c>
      <c r="B55" s="548">
        <v>5614001</v>
      </c>
      <c r="C55" s="566">
        <v>175.3533162</v>
      </c>
      <c r="D55" s="566">
        <v>35.3322327</v>
      </c>
      <c r="E55" s="566">
        <v>90.00228539999999</v>
      </c>
      <c r="F55" s="566">
        <v>115.2025182</v>
      </c>
      <c r="G55" s="566">
        <v>92.9996475</v>
      </c>
      <c r="H55" s="682"/>
      <c r="I55" s="512">
        <f t="shared" si="1"/>
        <v>508.88999999999993</v>
      </c>
      <c r="J55" s="512"/>
      <c r="K55" s="548" t="s">
        <v>1823</v>
      </c>
      <c r="M55" s="512">
        <f t="shared" si="0"/>
      </c>
    </row>
    <row r="56" spans="1:13" ht="16.5">
      <c r="A56" s="3" t="s">
        <v>476</v>
      </c>
      <c r="B56" s="548">
        <v>5614000</v>
      </c>
      <c r="C56" s="566">
        <v>11.488297200000002</v>
      </c>
      <c r="D56" s="566">
        <v>2.3147962000000004</v>
      </c>
      <c r="E56" s="566">
        <v>5.896512400000001</v>
      </c>
      <c r="F56" s="566">
        <v>7.5475092</v>
      </c>
      <c r="G56" s="566">
        <v>6.092885000000001</v>
      </c>
      <c r="H56" s="682"/>
      <c r="I56" s="512">
        <f t="shared" si="1"/>
        <v>33.34</v>
      </c>
      <c r="J56" s="512"/>
      <c r="K56" s="548" t="s">
        <v>607</v>
      </c>
      <c r="M56" s="512">
        <f t="shared" si="0"/>
        <v>33.34</v>
      </c>
    </row>
    <row r="57" spans="1:13" ht="16.5">
      <c r="A57" s="3" t="s">
        <v>477</v>
      </c>
      <c r="B57" s="548">
        <v>5614001</v>
      </c>
      <c r="C57" s="566">
        <v>2.3362524000000002</v>
      </c>
      <c r="D57" s="566">
        <v>0.4707354000000001</v>
      </c>
      <c r="E57" s="566">
        <v>1.1991108</v>
      </c>
      <c r="F57" s="566">
        <v>1.5348564</v>
      </c>
      <c r="G57" s="566">
        <v>1.239045</v>
      </c>
      <c r="H57" s="682"/>
      <c r="I57" s="512">
        <f t="shared" si="1"/>
        <v>6.78</v>
      </c>
      <c r="J57" s="512"/>
      <c r="K57" s="548" t="s">
        <v>1823</v>
      </c>
      <c r="M57" s="512">
        <f t="shared" si="0"/>
      </c>
    </row>
    <row r="58" spans="1:13" ht="16.5">
      <c r="A58" s="3" t="s">
        <v>477</v>
      </c>
      <c r="B58" s="548">
        <v>5614000</v>
      </c>
      <c r="C58" s="566">
        <v>0.1516152</v>
      </c>
      <c r="D58" s="566">
        <v>0.030549200000000002</v>
      </c>
      <c r="E58" s="566">
        <v>0.0778184</v>
      </c>
      <c r="F58" s="566">
        <v>0.09960719999999999</v>
      </c>
      <c r="G58" s="566">
        <v>0.08041</v>
      </c>
      <c r="H58" s="682"/>
      <c r="I58" s="512">
        <f t="shared" si="1"/>
        <v>0.44</v>
      </c>
      <c r="J58" s="512"/>
      <c r="K58" s="548" t="s">
        <v>607</v>
      </c>
      <c r="M58" s="512">
        <f t="shared" si="0"/>
        <v>0.44</v>
      </c>
    </row>
    <row r="59" spans="1:13" ht="16.5">
      <c r="A59" s="3" t="s">
        <v>478</v>
      </c>
      <c r="B59" s="548">
        <v>5618001</v>
      </c>
      <c r="C59" s="566">
        <v>23.77602</v>
      </c>
      <c r="D59" s="566">
        <v>4.79067</v>
      </c>
      <c r="E59" s="566">
        <v>12.203339999999999</v>
      </c>
      <c r="F59" s="566">
        <v>15.62022</v>
      </c>
      <c r="G59" s="566">
        <v>12.60975</v>
      </c>
      <c r="H59" s="682"/>
      <c r="I59" s="512">
        <f t="shared" si="1"/>
        <v>69</v>
      </c>
      <c r="J59" s="512"/>
      <c r="K59" s="548" t="s">
        <v>1823</v>
      </c>
      <c r="M59" s="512">
        <f t="shared" si="0"/>
      </c>
    </row>
    <row r="60" spans="1:13" ht="16.5">
      <c r="A60" s="3" t="s">
        <v>478</v>
      </c>
      <c r="B60" s="548">
        <v>5618000</v>
      </c>
      <c r="C60" s="566">
        <v>1.5575016</v>
      </c>
      <c r="D60" s="566">
        <v>0.3138236</v>
      </c>
      <c r="E60" s="566">
        <v>0.7994071999999999</v>
      </c>
      <c r="F60" s="566">
        <v>1.0232375999999999</v>
      </c>
      <c r="G60" s="566">
        <v>0.8260299999999999</v>
      </c>
      <c r="H60" s="682"/>
      <c r="I60" s="512">
        <f t="shared" si="1"/>
        <v>4.52</v>
      </c>
      <c r="J60" s="512"/>
      <c r="K60" s="548" t="s">
        <v>607</v>
      </c>
      <c r="M60" s="512">
        <f t="shared" si="0"/>
        <v>4.52</v>
      </c>
    </row>
    <row r="61" spans="1:13" ht="16.5">
      <c r="A61" s="3" t="s">
        <v>479</v>
      </c>
      <c r="B61" s="548">
        <v>5618001</v>
      </c>
      <c r="C61" s="566">
        <v>41.608035</v>
      </c>
      <c r="D61" s="566">
        <v>8.383672500000001</v>
      </c>
      <c r="E61" s="566">
        <v>21.355845</v>
      </c>
      <c r="F61" s="566">
        <v>27.335385</v>
      </c>
      <c r="G61" s="566">
        <v>22.0670625</v>
      </c>
      <c r="H61" s="682"/>
      <c r="I61" s="512">
        <f t="shared" si="1"/>
        <v>120.75</v>
      </c>
      <c r="J61" s="512"/>
      <c r="K61" s="548" t="s">
        <v>1823</v>
      </c>
      <c r="M61" s="512">
        <f t="shared" si="0"/>
      </c>
    </row>
    <row r="62" spans="1:13" ht="16.5">
      <c r="A62" s="3" t="s">
        <v>479</v>
      </c>
      <c r="B62" s="548">
        <v>5618000</v>
      </c>
      <c r="C62" s="566">
        <v>2.7256278</v>
      </c>
      <c r="D62" s="566">
        <v>0.5491913</v>
      </c>
      <c r="E62" s="566">
        <v>1.3989626</v>
      </c>
      <c r="F62" s="566">
        <v>1.7906658</v>
      </c>
      <c r="G62" s="566">
        <v>1.4455525</v>
      </c>
      <c r="H62" s="682"/>
      <c r="I62" s="512">
        <f t="shared" si="1"/>
        <v>7.909999999999999</v>
      </c>
      <c r="J62" s="512"/>
      <c r="K62" s="548" t="s">
        <v>607</v>
      </c>
      <c r="M62" s="512">
        <f t="shared" si="0"/>
        <v>7.909999999999999</v>
      </c>
    </row>
    <row r="63" spans="1:13" ht="16.5">
      <c r="A63" s="3" t="s">
        <v>1850</v>
      </c>
      <c r="B63" s="548">
        <v>4470110</v>
      </c>
      <c r="C63" s="566">
        <v>310.345977</v>
      </c>
      <c r="D63" s="566">
        <v>62.5321295</v>
      </c>
      <c r="E63" s="566">
        <v>159.28895899999998</v>
      </c>
      <c r="F63" s="566">
        <v>203.88914699999998</v>
      </c>
      <c r="G63" s="566">
        <v>164.5937875</v>
      </c>
      <c r="H63" s="682"/>
      <c r="I63" s="512">
        <f t="shared" si="1"/>
        <v>900.65</v>
      </c>
      <c r="J63" s="512"/>
      <c r="K63" s="548" t="s">
        <v>607</v>
      </c>
      <c r="M63" s="512">
        <f t="shared" si="0"/>
        <v>900.65</v>
      </c>
    </row>
    <row r="64" spans="1:13" ht="16.5">
      <c r="A64" s="3" t="s">
        <v>1851</v>
      </c>
      <c r="B64" s="548">
        <v>5550078</v>
      </c>
      <c r="C64" s="566">
        <v>1845.3223824</v>
      </c>
      <c r="D64" s="566">
        <v>371.81709040000004</v>
      </c>
      <c r="E64" s="566">
        <v>947.1348207999999</v>
      </c>
      <c r="F64" s="566">
        <v>1212.3282864</v>
      </c>
      <c r="G64" s="566">
        <v>978.67742</v>
      </c>
      <c r="H64" s="682"/>
      <c r="I64" s="512">
        <f t="shared" si="1"/>
        <v>5355.28</v>
      </c>
      <c r="J64" s="512"/>
      <c r="K64" s="548" t="s">
        <v>1823</v>
      </c>
      <c r="M64" s="512">
        <f t="shared" si="0"/>
      </c>
    </row>
    <row r="65" spans="1:13" ht="16.5">
      <c r="A65" s="3" t="s">
        <v>1849</v>
      </c>
      <c r="B65" s="548">
        <v>5550083</v>
      </c>
      <c r="C65" s="566">
        <v>65.6838396</v>
      </c>
      <c r="D65" s="566">
        <v>13.234746600000001</v>
      </c>
      <c r="E65" s="566">
        <v>33.7130532</v>
      </c>
      <c r="F65" s="566">
        <v>43.1525556</v>
      </c>
      <c r="G65" s="566">
        <v>34.835805</v>
      </c>
      <c r="H65" s="682"/>
      <c r="I65" s="512">
        <f t="shared" si="1"/>
        <v>190.61999999999998</v>
      </c>
      <c r="J65" s="512"/>
      <c r="K65" s="548" t="s">
        <v>1823</v>
      </c>
      <c r="M65" s="512">
        <f t="shared" si="0"/>
      </c>
    </row>
    <row r="66" spans="1:13" ht="16.5">
      <c r="A66" s="3" t="s">
        <v>1845</v>
      </c>
      <c r="B66" s="548">
        <v>4470214</v>
      </c>
      <c r="C66" s="566">
        <v>21.1158624</v>
      </c>
      <c r="D66" s="566">
        <v>4.2546704</v>
      </c>
      <c r="E66" s="566">
        <v>10.8379808</v>
      </c>
      <c r="F66" s="566">
        <v>13.8725664</v>
      </c>
      <c r="G66" s="566">
        <v>11.19892</v>
      </c>
      <c r="H66" s="682"/>
      <c r="I66" s="512">
        <f t="shared" si="1"/>
        <v>61.28</v>
      </c>
      <c r="J66" s="512"/>
      <c r="K66" s="548" t="s">
        <v>607</v>
      </c>
      <c r="M66" s="512">
        <f t="shared" si="0"/>
        <v>61.28</v>
      </c>
    </row>
    <row r="67" spans="1:13" ht="16.5">
      <c r="A67" s="3" t="s">
        <v>812</v>
      </c>
      <c r="B67" s="548">
        <v>4470203</v>
      </c>
      <c r="C67" s="566">
        <v>299.68715863386</v>
      </c>
      <c r="D67" s="566">
        <v>60.38446637631001</v>
      </c>
      <c r="E67" s="566">
        <v>153.81818699861998</v>
      </c>
      <c r="F67" s="566">
        <v>196.88658358446</v>
      </c>
      <c r="G67" s="566">
        <v>158.94082140675</v>
      </c>
      <c r="H67" s="682"/>
      <c r="I67" s="512">
        <f t="shared" si="1"/>
        <v>869.7172169999999</v>
      </c>
      <c r="J67" s="512"/>
      <c r="K67" s="548" t="s">
        <v>1823</v>
      </c>
      <c r="M67" s="512">
        <f t="shared" si="0"/>
      </c>
    </row>
    <row r="68" spans="1:13" ht="16.5">
      <c r="A68" s="3" t="s">
        <v>812</v>
      </c>
      <c r="B68" s="548">
        <v>4470098</v>
      </c>
      <c r="C68" s="566">
        <v>19.63512736614</v>
      </c>
      <c r="D68" s="566">
        <v>3.956314623690001</v>
      </c>
      <c r="E68" s="566">
        <v>10.07797500138</v>
      </c>
      <c r="F68" s="566">
        <v>12.899762415540001</v>
      </c>
      <c r="G68" s="566">
        <v>10.41360359325</v>
      </c>
      <c r="H68" s="682"/>
      <c r="I68" s="512">
        <f t="shared" si="1"/>
        <v>56.982783000000005</v>
      </c>
      <c r="J68" s="512"/>
      <c r="K68" s="548" t="s">
        <v>607</v>
      </c>
      <c r="M68" s="512">
        <f t="shared" si="0"/>
        <v>56.982783000000005</v>
      </c>
    </row>
    <row r="69" spans="1:13" ht="16.5">
      <c r="A69" s="3" t="s">
        <v>1846</v>
      </c>
      <c r="B69" s="548">
        <v>5550041</v>
      </c>
      <c r="C69" s="566">
        <v>73.5609384</v>
      </c>
      <c r="D69" s="566">
        <v>14.821916400000001</v>
      </c>
      <c r="E69" s="566">
        <v>37.7560728</v>
      </c>
      <c r="F69" s="566">
        <v>48.327602399999996</v>
      </c>
      <c r="G69" s="566">
        <v>39.01347</v>
      </c>
      <c r="H69" s="682"/>
      <c r="I69" s="512">
        <f t="shared" si="1"/>
        <v>213.48000000000002</v>
      </c>
      <c r="J69" s="512"/>
      <c r="K69" s="548" t="s">
        <v>1823</v>
      </c>
      <c r="M69" s="512">
        <f t="shared" si="0"/>
      </c>
    </row>
    <row r="70" spans="1:13" ht="16.5">
      <c r="A70" s="3" t="s">
        <v>813</v>
      </c>
      <c r="B70" s="548">
        <v>4470203</v>
      </c>
      <c r="C70" s="566">
        <v>8.1768834</v>
      </c>
      <c r="D70" s="566">
        <v>1.6475739000000003</v>
      </c>
      <c r="E70" s="566">
        <v>4.1968878</v>
      </c>
      <c r="F70" s="566">
        <v>5.3719974</v>
      </c>
      <c r="G70" s="566">
        <v>4.3366575</v>
      </c>
      <c r="H70" s="682"/>
      <c r="I70" s="512">
        <f aca="true" t="shared" si="2" ref="I70:I116">SUM(C70:G70)</f>
        <v>23.729999999999997</v>
      </c>
      <c r="J70" s="512"/>
      <c r="K70" s="548" t="s">
        <v>1823</v>
      </c>
      <c r="M70" s="512">
        <f t="shared" si="0"/>
      </c>
    </row>
    <row r="71" spans="1:13" ht="16.5">
      <c r="A71" s="3" t="s">
        <v>813</v>
      </c>
      <c r="B71" s="548">
        <v>4470098</v>
      </c>
      <c r="C71" s="566">
        <v>0.534099</v>
      </c>
      <c r="D71" s="566">
        <v>0.10761650000000002</v>
      </c>
      <c r="E71" s="566">
        <v>0.274133</v>
      </c>
      <c r="F71" s="566">
        <v>0.350889</v>
      </c>
      <c r="G71" s="566">
        <v>0.28326250000000003</v>
      </c>
      <c r="H71" s="682"/>
      <c r="I71" s="512">
        <f t="shared" si="2"/>
        <v>1.55</v>
      </c>
      <c r="J71" s="512"/>
      <c r="K71" s="548" t="s">
        <v>607</v>
      </c>
      <c r="M71" s="512">
        <f t="shared" si="0"/>
        <v>1.55</v>
      </c>
    </row>
    <row r="72" spans="1:13" ht="16.5">
      <c r="A72" s="3" t="s">
        <v>410</v>
      </c>
      <c r="B72" s="548">
        <v>4470100</v>
      </c>
      <c r="C72" s="566">
        <v>45489.5357352</v>
      </c>
      <c r="D72" s="566">
        <v>9165.7625692</v>
      </c>
      <c r="E72" s="566">
        <v>23348.0738584</v>
      </c>
      <c r="F72" s="566">
        <v>29885.4289272</v>
      </c>
      <c r="G72" s="566">
        <v>24125.63891</v>
      </c>
      <c r="H72" s="682"/>
      <c r="I72" s="512">
        <f t="shared" si="2"/>
        <v>132014.44</v>
      </c>
      <c r="J72" s="512"/>
      <c r="K72" s="548" t="s">
        <v>607</v>
      </c>
      <c r="M72" s="512">
        <f t="shared" si="0"/>
        <v>132014.44</v>
      </c>
    </row>
    <row r="73" spans="1:13" ht="16.5">
      <c r="A73" s="3" t="s">
        <v>1809</v>
      </c>
      <c r="B73" s="548">
        <v>4470099</v>
      </c>
      <c r="C73" s="566">
        <v>47984.8462632</v>
      </c>
      <c r="D73" s="566">
        <v>9668.5468572</v>
      </c>
      <c r="E73" s="566">
        <v>24628.8232344</v>
      </c>
      <c r="F73" s="566">
        <v>31524.7823352</v>
      </c>
      <c r="G73" s="566">
        <v>25449.04131</v>
      </c>
      <c r="H73" s="682"/>
      <c r="I73" s="512">
        <f t="shared" si="2"/>
        <v>139256.04</v>
      </c>
      <c r="J73" s="512"/>
      <c r="K73" s="548" t="s">
        <v>607</v>
      </c>
      <c r="M73" s="512">
        <f t="shared" si="0"/>
        <v>139256.04</v>
      </c>
    </row>
    <row r="74" spans="1:13" ht="16.5">
      <c r="A74" s="3" t="s">
        <v>1812</v>
      </c>
      <c r="B74" s="548">
        <v>4470169</v>
      </c>
      <c r="C74" s="566">
        <v>161974.65312</v>
      </c>
      <c r="D74" s="566">
        <v>32636.543520000003</v>
      </c>
      <c r="E74" s="566">
        <v>83135.51904</v>
      </c>
      <c r="F74" s="566">
        <v>106413.08832</v>
      </c>
      <c r="G74" s="566">
        <v>85904.196</v>
      </c>
      <c r="H74" s="682"/>
      <c r="I74" s="512">
        <f t="shared" si="2"/>
        <v>470064</v>
      </c>
      <c r="J74" s="512"/>
      <c r="K74" s="548" t="s">
        <v>607</v>
      </c>
      <c r="M74" s="512">
        <f t="shared" si="0"/>
        <v>470064</v>
      </c>
    </row>
    <row r="75" spans="1:13" ht="16.5">
      <c r="A75" s="3" t="s">
        <v>154</v>
      </c>
      <c r="B75" s="548">
        <v>4561002</v>
      </c>
      <c r="C75" s="566">
        <v>45310.757436</v>
      </c>
      <c r="D75" s="566">
        <v>10919.229299999999</v>
      </c>
      <c r="E75" s="566">
        <v>35993.0151</v>
      </c>
      <c r="F75" s="566">
        <v>51441.70248</v>
      </c>
      <c r="G75" s="566">
        <v>18101.655683999998</v>
      </c>
      <c r="H75" s="682"/>
      <c r="I75" s="512">
        <f t="shared" si="2"/>
        <v>161766.36</v>
      </c>
      <c r="J75" s="512"/>
      <c r="K75" s="548" t="s">
        <v>1823</v>
      </c>
      <c r="M75" s="512">
        <f t="shared" si="0"/>
      </c>
    </row>
    <row r="76" spans="1:13" ht="16.5">
      <c r="A76" s="3" t="s">
        <v>1806</v>
      </c>
      <c r="B76" s="548">
        <v>4561003</v>
      </c>
      <c r="C76" s="566">
        <v>32025.760088000003</v>
      </c>
      <c r="D76" s="566">
        <v>7717.7394</v>
      </c>
      <c r="E76" s="566">
        <v>25439.9558</v>
      </c>
      <c r="F76" s="566">
        <v>36359.12784</v>
      </c>
      <c r="G76" s="566">
        <v>12794.296872</v>
      </c>
      <c r="H76" s="682"/>
      <c r="I76" s="512">
        <f t="shared" si="2"/>
        <v>114336.88</v>
      </c>
      <c r="J76" s="512"/>
      <c r="K76" s="548" t="s">
        <v>1823</v>
      </c>
      <c r="M76" s="512">
        <f t="shared" si="0"/>
      </c>
    </row>
    <row r="77" spans="1:13" ht="16.5">
      <c r="A77" s="3" t="s">
        <v>814</v>
      </c>
      <c r="B77" s="548">
        <v>5550078</v>
      </c>
      <c r="C77" s="566">
        <v>-1023.9711570000001</v>
      </c>
      <c r="D77" s="566">
        <v>-206.3216595</v>
      </c>
      <c r="E77" s="566">
        <v>-525.566019</v>
      </c>
      <c r="F77" s="566">
        <v>-672.722127</v>
      </c>
      <c r="G77" s="566">
        <v>-543.0690375</v>
      </c>
      <c r="H77" s="682"/>
      <c r="I77" s="512">
        <f t="shared" si="2"/>
        <v>-2971.65</v>
      </c>
      <c r="J77" s="512"/>
      <c r="K77" s="548" t="s">
        <v>1823</v>
      </c>
      <c r="M77" s="512">
        <f t="shared" si="0"/>
      </c>
    </row>
    <row r="78" spans="1:13" ht="16.5">
      <c r="A78" s="3" t="s">
        <v>815</v>
      </c>
      <c r="B78" s="548">
        <v>5550083</v>
      </c>
      <c r="C78" s="566">
        <v>-424.92227280000003</v>
      </c>
      <c r="D78" s="566">
        <v>-85.61829880000002</v>
      </c>
      <c r="E78" s="566">
        <v>-218.0966776</v>
      </c>
      <c r="F78" s="566">
        <v>-279.1627608</v>
      </c>
      <c r="G78" s="566">
        <v>-225.35999</v>
      </c>
      <c r="H78" s="682"/>
      <c r="I78" s="512">
        <f t="shared" si="2"/>
        <v>-1233.16</v>
      </c>
      <c r="J78" s="512"/>
      <c r="K78" s="548" t="s">
        <v>1823</v>
      </c>
      <c r="M78" s="512">
        <f t="shared" si="0"/>
      </c>
    </row>
    <row r="79" spans="1:13" ht="16.5">
      <c r="A79" s="3" t="s">
        <v>816</v>
      </c>
      <c r="B79" s="548">
        <v>4470115</v>
      </c>
      <c r="C79" s="566">
        <v>-130767.6241422</v>
      </c>
      <c r="D79" s="566">
        <v>-26348.587103700003</v>
      </c>
      <c r="E79" s="566">
        <v>-67118.1206274</v>
      </c>
      <c r="F79" s="566">
        <v>-85910.89080420001</v>
      </c>
      <c r="G79" s="566">
        <v>-69353.36732250001</v>
      </c>
      <c r="H79" s="682"/>
      <c r="I79" s="512">
        <f t="shared" si="2"/>
        <v>-379498.5900000001</v>
      </c>
      <c r="J79" s="512"/>
      <c r="K79" s="548" t="s">
        <v>607</v>
      </c>
      <c r="M79" s="512">
        <f t="shared" si="0"/>
        <v>-379498.5900000001</v>
      </c>
    </row>
    <row r="80" spans="1:13" ht="16.5">
      <c r="A80" s="3" t="s">
        <v>817</v>
      </c>
      <c r="B80" s="548">
        <v>4470126</v>
      </c>
      <c r="C80" s="566">
        <v>8031.246662999999</v>
      </c>
      <c r="D80" s="566">
        <v>1618.2293105</v>
      </c>
      <c r="E80" s="566">
        <v>4122.137921</v>
      </c>
      <c r="F80" s="566">
        <v>5276.3178929999995</v>
      </c>
      <c r="G80" s="566">
        <v>4259.4182125</v>
      </c>
      <c r="H80" s="682"/>
      <c r="I80" s="512">
        <f t="shared" si="2"/>
        <v>23307.35</v>
      </c>
      <c r="J80" s="512"/>
      <c r="K80" s="548" t="s">
        <v>607</v>
      </c>
      <c r="M80" s="512">
        <f t="shared" si="0"/>
        <v>23307.35</v>
      </c>
    </row>
    <row r="81" spans="1:13" ht="16.5">
      <c r="A81" s="3" t="s">
        <v>818</v>
      </c>
      <c r="B81" s="548">
        <v>4470209</v>
      </c>
      <c r="C81" s="566">
        <v>6762.3411504000005</v>
      </c>
      <c r="D81" s="566">
        <v>1362.5554184000002</v>
      </c>
      <c r="E81" s="566">
        <v>3470.8562768</v>
      </c>
      <c r="F81" s="566">
        <v>4442.6803344</v>
      </c>
      <c r="G81" s="566">
        <v>3586.44682</v>
      </c>
      <c r="H81" s="682"/>
      <c r="I81" s="512">
        <f t="shared" si="2"/>
        <v>19624.88</v>
      </c>
      <c r="J81" s="512"/>
      <c r="K81" s="548" t="s">
        <v>607</v>
      </c>
      <c r="M81" s="512">
        <f t="shared" si="0"/>
        <v>19624.88</v>
      </c>
    </row>
    <row r="82" spans="1:13" ht="16.5">
      <c r="A82" s="3" t="s">
        <v>819</v>
      </c>
      <c r="B82" s="548">
        <v>4470206</v>
      </c>
      <c r="C82" s="566">
        <v>3501.191235</v>
      </c>
      <c r="D82" s="566">
        <v>705.4608725</v>
      </c>
      <c r="E82" s="566">
        <v>1797.030245</v>
      </c>
      <c r="F82" s="566">
        <v>2300.190585</v>
      </c>
      <c r="G82" s="566">
        <v>1856.8770625</v>
      </c>
      <c r="H82" s="682"/>
      <c r="I82" s="512">
        <f t="shared" si="2"/>
        <v>10160.75</v>
      </c>
      <c r="J82" s="512"/>
      <c r="K82" s="548" t="s">
        <v>607</v>
      </c>
      <c r="M82" s="512">
        <f t="shared" si="0"/>
        <v>10160.75</v>
      </c>
    </row>
    <row r="83" spans="1:13" ht="16.5">
      <c r="A83" s="3" t="s">
        <v>820</v>
      </c>
      <c r="B83" s="548">
        <v>5614001</v>
      </c>
      <c r="C83" s="566">
        <v>-577.8262020000001</v>
      </c>
      <c r="D83" s="566">
        <v>-116.42716700000001</v>
      </c>
      <c r="E83" s="566">
        <v>-296.576534</v>
      </c>
      <c r="F83" s="566">
        <v>-379.616622</v>
      </c>
      <c r="G83" s="566">
        <v>-306.453475</v>
      </c>
      <c r="H83" s="682"/>
      <c r="I83" s="512">
        <f t="shared" si="2"/>
        <v>-1676.9</v>
      </c>
      <c r="J83" s="512"/>
      <c r="K83" s="548" t="s">
        <v>1823</v>
      </c>
      <c r="M83" s="512">
        <f t="shared" si="0"/>
      </c>
    </row>
    <row r="84" spans="1:13" ht="16.5">
      <c r="A84" s="3" t="s">
        <v>821</v>
      </c>
      <c r="B84" s="548">
        <v>4470110</v>
      </c>
      <c r="C84" s="566">
        <v>-179.5227342</v>
      </c>
      <c r="D84" s="566">
        <v>-36.172335700000005</v>
      </c>
      <c r="E84" s="566">
        <v>-92.14229139999999</v>
      </c>
      <c r="F84" s="566">
        <v>-117.9417162</v>
      </c>
      <c r="G84" s="566">
        <v>-95.2109225</v>
      </c>
      <c r="H84" s="682"/>
      <c r="I84" s="512">
        <f t="shared" si="2"/>
        <v>-520.99</v>
      </c>
      <c r="J84" s="512"/>
      <c r="K84" s="548" t="s">
        <v>607</v>
      </c>
      <c r="M84" s="512">
        <f t="shared" si="0"/>
        <v>-520.99</v>
      </c>
    </row>
    <row r="85" spans="1:13" ht="16.5">
      <c r="A85" s="3" t="s">
        <v>1807</v>
      </c>
      <c r="B85" s="548">
        <v>4561005</v>
      </c>
      <c r="C85" s="566">
        <v>-251733.1843266</v>
      </c>
      <c r="D85" s="566">
        <v>-50722.13996110001</v>
      </c>
      <c r="E85" s="566">
        <v>-129205.2091822</v>
      </c>
      <c r="F85" s="566">
        <v>-165382.0833126</v>
      </c>
      <c r="G85" s="566">
        <v>-133508.1532175</v>
      </c>
      <c r="H85" s="682"/>
      <c r="I85" s="512">
        <f t="shared" si="2"/>
        <v>-730550.77</v>
      </c>
      <c r="J85" s="512"/>
      <c r="K85" s="548" t="s">
        <v>1823</v>
      </c>
      <c r="M85" s="512">
        <f t="shared" si="0"/>
      </c>
    </row>
    <row r="86" spans="1:13" ht="16.5">
      <c r="A86" s="3" t="s">
        <v>1842</v>
      </c>
      <c r="B86" s="548">
        <v>4561005</v>
      </c>
      <c r="C86" s="566">
        <v>-872.252583</v>
      </c>
      <c r="D86" s="566">
        <v>-175.7516305</v>
      </c>
      <c r="E86" s="566">
        <v>-447.69456099999996</v>
      </c>
      <c r="F86" s="566">
        <v>-573.047013</v>
      </c>
      <c r="G86" s="566">
        <v>-462.60421249999996</v>
      </c>
      <c r="H86" s="682"/>
      <c r="I86" s="512">
        <f t="shared" si="2"/>
        <v>-2531.35</v>
      </c>
      <c r="J86" s="512"/>
      <c r="K86" s="548" t="s">
        <v>1823</v>
      </c>
      <c r="M86" s="512">
        <f t="shared" si="0"/>
      </c>
    </row>
    <row r="87" spans="1:13" ht="16.5">
      <c r="A87" s="3" t="s">
        <v>1811</v>
      </c>
      <c r="B87" s="548">
        <v>4561005</v>
      </c>
      <c r="C87" s="566">
        <v>-127122.16759859999</v>
      </c>
      <c r="D87" s="566">
        <v>-25614.0579731</v>
      </c>
      <c r="E87" s="566">
        <v>-65247.044406199995</v>
      </c>
      <c r="F87" s="566">
        <v>-83515.9217046</v>
      </c>
      <c r="G87" s="566">
        <v>-67419.97831749999</v>
      </c>
      <c r="H87" s="682"/>
      <c r="I87" s="512">
        <f t="shared" si="2"/>
        <v>-368919.17</v>
      </c>
      <c r="J87" s="512"/>
      <c r="K87" s="548" t="s">
        <v>1823</v>
      </c>
      <c r="M87" s="512">
        <f t="shared" si="0"/>
      </c>
    </row>
    <row r="88" spans="1:13" ht="16.5">
      <c r="A88" s="3" t="s">
        <v>822</v>
      </c>
      <c r="B88" s="548">
        <v>4470101</v>
      </c>
      <c r="C88" s="566">
        <v>0</v>
      </c>
      <c r="D88" s="566">
        <v>0</v>
      </c>
      <c r="E88" s="566">
        <v>0</v>
      </c>
      <c r="F88" s="566">
        <v>0</v>
      </c>
      <c r="G88" s="566">
        <v>0</v>
      </c>
      <c r="H88" s="682"/>
      <c r="I88" s="512">
        <f t="shared" si="2"/>
        <v>0</v>
      </c>
      <c r="J88" s="512"/>
      <c r="K88" s="548" t="s">
        <v>1823</v>
      </c>
      <c r="M88" s="512">
        <f t="shared" si="0"/>
      </c>
    </row>
    <row r="89" spans="1:13" ht="16.5">
      <c r="A89" s="3" t="s">
        <v>1808</v>
      </c>
      <c r="B89" s="548">
        <v>4470101</v>
      </c>
      <c r="C89" s="566">
        <v>-7951723.265979908</v>
      </c>
      <c r="D89" s="566">
        <v>-1602206.0083492517</v>
      </c>
      <c r="E89" s="566">
        <v>-4081321.541648403</v>
      </c>
      <c r="F89" s="566">
        <v>-5224073.112056799</v>
      </c>
      <c r="G89" s="566">
        <v>-4217242.518015637</v>
      </c>
      <c r="H89" s="682"/>
      <c r="I89" s="512">
        <f t="shared" si="2"/>
        <v>-23076566.44605</v>
      </c>
      <c r="J89" s="512"/>
      <c r="K89" s="548" t="s">
        <v>1823</v>
      </c>
      <c r="M89" s="512">
        <f t="shared" si="0"/>
      </c>
    </row>
    <row r="90" spans="1:13" ht="16.5">
      <c r="A90" s="3" t="s">
        <v>822</v>
      </c>
      <c r="B90" s="548">
        <v>4470100</v>
      </c>
      <c r="C90" s="566">
        <v>0</v>
      </c>
      <c r="D90" s="566">
        <v>0</v>
      </c>
      <c r="E90" s="566">
        <v>0</v>
      </c>
      <c r="F90" s="566">
        <v>0</v>
      </c>
      <c r="G90" s="566">
        <v>0</v>
      </c>
      <c r="H90" s="682"/>
      <c r="I90" s="512">
        <f t="shared" si="2"/>
        <v>0</v>
      </c>
      <c r="J90" s="512"/>
      <c r="K90" s="548" t="s">
        <v>607</v>
      </c>
      <c r="M90" s="512">
        <f t="shared" si="0"/>
        <v>0</v>
      </c>
    </row>
    <row r="91" spans="1:13" ht="16.5">
      <c r="A91" s="3" t="s">
        <v>1808</v>
      </c>
      <c r="B91" s="548">
        <v>4470100</v>
      </c>
      <c r="C91" s="566">
        <v>-968914.778848308</v>
      </c>
      <c r="D91" s="566">
        <v>-195228.257865918</v>
      </c>
      <c r="E91" s="566">
        <v>-497307.643470636</v>
      </c>
      <c r="F91" s="566">
        <v>-636551.534144988</v>
      </c>
      <c r="G91" s="566">
        <v>-513869.56827015</v>
      </c>
      <c r="H91" s="682"/>
      <c r="I91" s="512">
        <f t="shared" si="2"/>
        <v>-2811871.7826</v>
      </c>
      <c r="J91" s="512"/>
      <c r="K91" s="548" t="s">
        <v>607</v>
      </c>
      <c r="M91" s="512">
        <f t="shared" si="0"/>
        <v>-2811871.7826</v>
      </c>
    </row>
    <row r="92" spans="1:13" ht="16.5">
      <c r="A92" s="3" t="s">
        <v>1808</v>
      </c>
      <c r="B92" s="548">
        <v>4470109</v>
      </c>
      <c r="C92" s="566">
        <v>207375.64511321703</v>
      </c>
      <c r="D92" s="566">
        <v>41784.46526266951</v>
      </c>
      <c r="E92" s="566">
        <v>106438.146714039</v>
      </c>
      <c r="F92" s="566">
        <v>136240.346336787</v>
      </c>
      <c r="G92" s="566">
        <v>109982.87522328751</v>
      </c>
      <c r="H92" s="682"/>
      <c r="I92" s="512">
        <f t="shared" si="2"/>
        <v>601821.4786500001</v>
      </c>
      <c r="J92" s="512"/>
      <c r="K92" s="548" t="s">
        <v>607</v>
      </c>
      <c r="M92" s="512">
        <f t="shared" si="0"/>
        <v>601821.4786500001</v>
      </c>
    </row>
    <row r="93" spans="1:13" ht="16.5">
      <c r="A93" s="3" t="s">
        <v>1857</v>
      </c>
      <c r="B93" s="548">
        <v>4470208</v>
      </c>
      <c r="C93" s="566">
        <v>2678.9820054</v>
      </c>
      <c r="D93" s="566">
        <v>539.7925609</v>
      </c>
      <c r="E93" s="566">
        <v>1375.0210617999999</v>
      </c>
      <c r="F93" s="566">
        <v>1760.0207394</v>
      </c>
      <c r="G93" s="566">
        <v>1420.8136325</v>
      </c>
      <c r="H93" s="682"/>
      <c r="I93" s="512">
        <f t="shared" si="2"/>
        <v>7774.629999999999</v>
      </c>
      <c r="J93" s="512"/>
      <c r="K93" s="548" t="s">
        <v>1823</v>
      </c>
      <c r="M93" s="512">
        <f t="shared" si="0"/>
      </c>
    </row>
    <row r="94" spans="1:13" ht="16.5">
      <c r="A94" s="3" t="s">
        <v>1822</v>
      </c>
      <c r="B94" s="548">
        <v>4470208</v>
      </c>
      <c r="C94" s="566">
        <v>-3968715.566223784</v>
      </c>
      <c r="D94" s="566">
        <v>-799663.1312406911</v>
      </c>
      <c r="E94" s="566">
        <v>-2036992.9625699066</v>
      </c>
      <c r="F94" s="566">
        <v>-2607341.7780536893</v>
      </c>
      <c r="G94" s="566">
        <v>-2104831.301083628</v>
      </c>
      <c r="H94" s="682"/>
      <c r="I94" s="512">
        <f t="shared" si="2"/>
        <v>-11517544.739171699</v>
      </c>
      <c r="J94" s="512"/>
      <c r="K94" s="548" t="s">
        <v>1823</v>
      </c>
      <c r="M94" s="512">
        <f t="shared" si="0"/>
      </c>
    </row>
    <row r="95" spans="1:13" ht="16.5">
      <c r="A95" s="3" t="s">
        <v>1857</v>
      </c>
      <c r="B95" s="548">
        <v>4470206</v>
      </c>
      <c r="C95" s="566">
        <v>175.5221604</v>
      </c>
      <c r="D95" s="566">
        <v>35.366253400000005</v>
      </c>
      <c r="E95" s="566">
        <v>90.08894679999999</v>
      </c>
      <c r="F95" s="566">
        <v>115.3134444</v>
      </c>
      <c r="G95" s="566">
        <v>93.089195</v>
      </c>
      <c r="H95" s="682"/>
      <c r="I95" s="512">
        <f t="shared" si="2"/>
        <v>509.38</v>
      </c>
      <c r="J95" s="512"/>
      <c r="K95" s="548" t="s">
        <v>607</v>
      </c>
      <c r="M95" s="512">
        <f t="shared" si="0"/>
        <v>509.38</v>
      </c>
    </row>
    <row r="96" spans="1:13" ht="16.5">
      <c r="A96" s="3" t="s">
        <v>1822</v>
      </c>
      <c r="B96" s="548">
        <v>4470206</v>
      </c>
      <c r="C96" s="566">
        <v>-465181.92519581644</v>
      </c>
      <c r="D96" s="566">
        <v>-93730.28343590903</v>
      </c>
      <c r="E96" s="566">
        <v>-238760.44834329354</v>
      </c>
      <c r="F96" s="566">
        <v>-305612.2938819111</v>
      </c>
      <c r="G96" s="566">
        <v>-246711.92997137224</v>
      </c>
      <c r="H96" s="682"/>
      <c r="I96" s="512">
        <f t="shared" si="2"/>
        <v>-1349996.8808283024</v>
      </c>
      <c r="J96" s="512"/>
      <c r="K96" s="548" t="s">
        <v>607</v>
      </c>
      <c r="M96" s="512">
        <f t="shared" si="0"/>
        <v>-1349996.8808283024</v>
      </c>
    </row>
    <row r="97" spans="1:13" ht="16.5">
      <c r="A97" s="3" t="s">
        <v>1817</v>
      </c>
      <c r="B97" s="548">
        <v>5550075</v>
      </c>
      <c r="C97" s="566">
        <v>-980796.4821384</v>
      </c>
      <c r="D97" s="566">
        <v>-197622.32211640003</v>
      </c>
      <c r="E97" s="566">
        <v>-503406.0764728</v>
      </c>
      <c r="F97" s="566">
        <v>-644357.5008023999</v>
      </c>
      <c r="G97" s="566">
        <v>-520171.09846999997</v>
      </c>
      <c r="H97" s="682"/>
      <c r="I97" s="512">
        <f t="shared" si="2"/>
        <v>-2846353.48</v>
      </c>
      <c r="J97" s="512"/>
      <c r="K97" s="548" t="s">
        <v>1823</v>
      </c>
      <c r="M97" s="512">
        <f t="shared" si="0"/>
      </c>
    </row>
    <row r="98" spans="1:13" s="3" customFormat="1" ht="16.5">
      <c r="A98" s="3" t="s">
        <v>1819</v>
      </c>
      <c r="B98" s="548">
        <v>5550079</v>
      </c>
      <c r="C98" s="566">
        <v>-189512.21866559997</v>
      </c>
      <c r="D98" s="566">
        <v>-38185.1336176</v>
      </c>
      <c r="E98" s="566">
        <v>-97269.51939519998</v>
      </c>
      <c r="F98" s="566">
        <v>-124504.54484159999</v>
      </c>
      <c r="G98" s="566">
        <v>-100508.90348</v>
      </c>
      <c r="H98" s="682"/>
      <c r="I98" s="512">
        <f t="shared" si="2"/>
        <v>-549980.32</v>
      </c>
      <c r="J98" s="512"/>
      <c r="K98" s="548" t="s">
        <v>1823</v>
      </c>
      <c r="M98" s="512">
        <f t="shared" si="0"/>
      </c>
    </row>
    <row r="99" spans="1:13" ht="16.5">
      <c r="A99" s="3" t="s">
        <v>1853</v>
      </c>
      <c r="B99" s="548">
        <v>5550084</v>
      </c>
      <c r="C99" s="566">
        <v>-1326.5675297999999</v>
      </c>
      <c r="D99" s="566">
        <v>-267.2923083</v>
      </c>
      <c r="E99" s="566">
        <v>-680.8773966</v>
      </c>
      <c r="F99" s="566">
        <v>-871.5199878</v>
      </c>
      <c r="G99" s="566">
        <v>-703.5527774999999</v>
      </c>
      <c r="H99" s="682"/>
      <c r="I99" s="512">
        <f t="shared" si="2"/>
        <v>-3849.81</v>
      </c>
      <c r="J99" s="512"/>
      <c r="K99" s="548" t="s">
        <v>1823</v>
      </c>
      <c r="M99" s="512">
        <f t="shared" si="0"/>
      </c>
    </row>
    <row r="100" spans="1:13" ht="16.5">
      <c r="A100" s="3" t="s">
        <v>471</v>
      </c>
      <c r="B100" s="548">
        <v>4470214</v>
      </c>
      <c r="C100" s="566">
        <v>-1131.4077552</v>
      </c>
      <c r="D100" s="566">
        <v>-227.96923920000003</v>
      </c>
      <c r="E100" s="566">
        <v>-580.7091984</v>
      </c>
      <c r="F100" s="566">
        <v>-743.3051472</v>
      </c>
      <c r="G100" s="566">
        <v>-600.04866</v>
      </c>
      <c r="H100" s="682"/>
      <c r="I100" s="512">
        <f t="shared" si="2"/>
        <v>-3283.44</v>
      </c>
      <c r="J100" s="512"/>
      <c r="K100" s="548" t="s">
        <v>607</v>
      </c>
      <c r="M100" s="512">
        <f t="shared" si="0"/>
        <v>-3283.44</v>
      </c>
    </row>
    <row r="101" spans="1:13" ht="16.5">
      <c r="A101" s="3" t="s">
        <v>1803</v>
      </c>
      <c r="B101" s="548">
        <v>4470202</v>
      </c>
      <c r="C101" s="566">
        <v>-322762.455976296</v>
      </c>
      <c r="D101" s="566">
        <v>-65033.946597116</v>
      </c>
      <c r="E101" s="566">
        <v>-165661.87231983198</v>
      </c>
      <c r="F101" s="566">
        <v>-212046.447222456</v>
      </c>
      <c r="G101" s="566">
        <v>-171178.9390843</v>
      </c>
      <c r="H101" s="682"/>
      <c r="I101" s="512">
        <f t="shared" si="2"/>
        <v>-936683.6612</v>
      </c>
      <c r="J101" s="512"/>
      <c r="K101" s="548" t="s">
        <v>1823</v>
      </c>
      <c r="M101" s="512">
        <f t="shared" si="0"/>
      </c>
    </row>
    <row r="102" spans="1:13" ht="16.5">
      <c r="A102" s="3" t="s">
        <v>1803</v>
      </c>
      <c r="B102" s="548">
        <v>4470098</v>
      </c>
      <c r="C102" s="566">
        <v>-20601.858892104</v>
      </c>
      <c r="D102" s="566">
        <v>-4151.102974284</v>
      </c>
      <c r="E102" s="566">
        <v>-10574.162062967998</v>
      </c>
      <c r="F102" s="566">
        <v>-13534.879609943999</v>
      </c>
      <c r="G102" s="566">
        <v>-10926.3152607</v>
      </c>
      <c r="H102" s="682"/>
      <c r="I102" s="512">
        <f t="shared" si="2"/>
        <v>-59788.3188</v>
      </c>
      <c r="J102" s="512"/>
      <c r="K102" s="548" t="s">
        <v>607</v>
      </c>
      <c r="M102" s="512">
        <f t="shared" si="0"/>
        <v>-59788.3188</v>
      </c>
    </row>
    <row r="103" spans="1:13" ht="16.5">
      <c r="A103" s="3" t="s">
        <v>480</v>
      </c>
      <c r="B103" s="548">
        <v>4470202</v>
      </c>
      <c r="C103" s="566">
        <v>-94097.6100612</v>
      </c>
      <c r="D103" s="566">
        <v>-18959.884690200004</v>
      </c>
      <c r="E103" s="566">
        <v>-48296.7767004</v>
      </c>
      <c r="F103" s="566">
        <v>-61819.6557132</v>
      </c>
      <c r="G103" s="566">
        <v>-49905.212835</v>
      </c>
      <c r="H103" s="682"/>
      <c r="I103" s="512">
        <f t="shared" si="2"/>
        <v>-273079.14</v>
      </c>
      <c r="J103" s="512"/>
      <c r="K103" s="548" t="s">
        <v>1823</v>
      </c>
      <c r="M103" s="512">
        <f t="shared" si="0"/>
      </c>
    </row>
    <row r="104" spans="1:13" ht="16.5">
      <c r="A104" s="3" t="s">
        <v>1797</v>
      </c>
      <c r="B104" s="548">
        <v>4470202</v>
      </c>
      <c r="C104" s="566">
        <v>-867057.9463455537</v>
      </c>
      <c r="D104" s="566">
        <v>-174704.95448015496</v>
      </c>
      <c r="E104" s="566">
        <v>-445028.3486873139</v>
      </c>
      <c r="F104" s="566">
        <v>-569634.2732999781</v>
      </c>
      <c r="G104" s="566">
        <v>-459849.2068449995</v>
      </c>
      <c r="H104" s="682"/>
      <c r="I104" s="512">
        <f t="shared" si="2"/>
        <v>-2516274.729658</v>
      </c>
      <c r="J104" s="512"/>
      <c r="K104" s="548" t="s">
        <v>1823</v>
      </c>
      <c r="M104" s="512">
        <f t="shared" si="0"/>
      </c>
    </row>
    <row r="105" spans="1:13" ht="16.5">
      <c r="A105" s="3" t="s">
        <v>480</v>
      </c>
      <c r="B105" s="548">
        <v>4470098</v>
      </c>
      <c r="C105" s="566">
        <v>-56066.9357052</v>
      </c>
      <c r="D105" s="566">
        <v>-11297.020564200002</v>
      </c>
      <c r="E105" s="566">
        <v>-28777.0568484</v>
      </c>
      <c r="F105" s="566">
        <v>-36834.5025972</v>
      </c>
      <c r="G105" s="566">
        <v>-29735.424285</v>
      </c>
      <c r="H105" s="682"/>
      <c r="I105" s="512">
        <f t="shared" si="2"/>
        <v>-162710.94</v>
      </c>
      <c r="J105" s="512"/>
      <c r="K105" s="548" t="s">
        <v>607</v>
      </c>
      <c r="M105" s="512">
        <f t="shared" si="0"/>
        <v>-162710.94</v>
      </c>
    </row>
    <row r="106" spans="1:13" ht="16.5">
      <c r="A106" s="3" t="s">
        <v>1797</v>
      </c>
      <c r="B106" s="548">
        <v>4470098</v>
      </c>
      <c r="C106" s="566">
        <v>-548893.5665384464</v>
      </c>
      <c r="D106" s="566">
        <v>-110597.48193384506</v>
      </c>
      <c r="E106" s="566">
        <v>-281726.49654068606</v>
      </c>
      <c r="F106" s="566">
        <v>-360608.6412240219</v>
      </c>
      <c r="G106" s="566">
        <v>-291108.88410500047</v>
      </c>
      <c r="H106" s="682"/>
      <c r="I106" s="512">
        <f t="shared" si="2"/>
        <v>-1592935.0703419999</v>
      </c>
      <c r="J106" s="512"/>
      <c r="K106" s="548" t="s">
        <v>607</v>
      </c>
      <c r="M106" s="512">
        <f t="shared" si="0"/>
        <v>-1592935.0703419999</v>
      </c>
    </row>
    <row r="107" spans="1:13" ht="16.5">
      <c r="A107" s="3" t="s">
        <v>1843</v>
      </c>
      <c r="B107" s="548">
        <v>4470202</v>
      </c>
      <c r="C107" s="566">
        <v>-21037.0603998</v>
      </c>
      <c r="D107" s="566">
        <v>-4238.7924533000005</v>
      </c>
      <c r="E107" s="566">
        <v>-10797.534686599998</v>
      </c>
      <c r="F107" s="566">
        <v>-13820.7955578</v>
      </c>
      <c r="G107" s="566">
        <v>-11157.1269025</v>
      </c>
      <c r="H107" s="682"/>
      <c r="I107" s="512">
        <f t="shared" si="2"/>
        <v>-61051.310000000005</v>
      </c>
      <c r="J107" s="512"/>
      <c r="K107" s="548" t="s">
        <v>1823</v>
      </c>
      <c r="M107" s="512">
        <f t="shared" si="0"/>
      </c>
    </row>
    <row r="108" spans="1:13" ht="16.5">
      <c r="A108" s="3" t="s">
        <v>1843</v>
      </c>
      <c r="B108" s="548">
        <v>4470098</v>
      </c>
      <c r="C108" s="566">
        <v>-14640.8734032</v>
      </c>
      <c r="D108" s="566">
        <v>-2950.0140472000003</v>
      </c>
      <c r="E108" s="566">
        <v>-7514.6116144</v>
      </c>
      <c r="F108" s="566">
        <v>-9618.668875200001</v>
      </c>
      <c r="G108" s="566">
        <v>-7764.87206</v>
      </c>
      <c r="H108" s="682"/>
      <c r="I108" s="512">
        <f t="shared" si="2"/>
        <v>-42489.04</v>
      </c>
      <c r="J108" s="512"/>
      <c r="K108" s="548" t="s">
        <v>607</v>
      </c>
      <c r="M108" s="512">
        <f t="shared" si="0"/>
        <v>-42489.04</v>
      </c>
    </row>
    <row r="109" spans="1:13" ht="16.5">
      <c r="A109" s="3" t="s">
        <v>1801</v>
      </c>
      <c r="B109" s="548">
        <v>5550077</v>
      </c>
      <c r="C109" s="566">
        <v>-9561.1232844</v>
      </c>
      <c r="D109" s="566">
        <v>-1926.4867074000001</v>
      </c>
      <c r="E109" s="566">
        <v>-4907.3662548</v>
      </c>
      <c r="F109" s="566">
        <v>-6281.4066084</v>
      </c>
      <c r="G109" s="566">
        <v>-5070.797145</v>
      </c>
      <c r="H109" s="682"/>
      <c r="I109" s="512">
        <f t="shared" si="2"/>
        <v>-27747.18</v>
      </c>
      <c r="J109" s="512"/>
      <c r="K109" s="548" t="s">
        <v>1823</v>
      </c>
      <c r="M109" s="512">
        <f t="shared" si="0"/>
      </c>
    </row>
    <row r="110" spans="1:13" ht="16.5">
      <c r="A110" s="3" t="s">
        <v>1861</v>
      </c>
      <c r="B110" s="548">
        <v>4470208</v>
      </c>
      <c r="C110" s="566">
        <v>-5140.823478</v>
      </c>
      <c r="D110" s="566">
        <v>-1035.8331130000001</v>
      </c>
      <c r="E110" s="566">
        <v>-2638.592026</v>
      </c>
      <c r="F110" s="566">
        <v>-3377.385858</v>
      </c>
      <c r="G110" s="566">
        <v>-2726.465525</v>
      </c>
      <c r="H110" s="682"/>
      <c r="I110" s="512">
        <f t="shared" si="2"/>
        <v>-14919.1</v>
      </c>
      <c r="J110" s="512"/>
      <c r="K110" s="548" t="s">
        <v>1823</v>
      </c>
      <c r="M110" s="512">
        <f t="shared" si="0"/>
      </c>
    </row>
    <row r="111" spans="1:13" ht="16.5">
      <c r="A111" s="3" t="s">
        <v>1861</v>
      </c>
      <c r="B111" s="548">
        <v>4470206</v>
      </c>
      <c r="C111" s="566">
        <v>-336.8200584</v>
      </c>
      <c r="D111" s="566">
        <v>-67.86643640000001</v>
      </c>
      <c r="E111" s="566">
        <v>-172.8771128</v>
      </c>
      <c r="F111" s="566">
        <v>-221.2819224</v>
      </c>
      <c r="G111" s="566">
        <v>-178.63447</v>
      </c>
      <c r="H111" s="682"/>
      <c r="I111" s="512">
        <f t="shared" si="2"/>
        <v>-977.4799999999999</v>
      </c>
      <c r="J111" s="512"/>
      <c r="K111" s="548" t="s">
        <v>607</v>
      </c>
      <c r="M111" s="512">
        <f t="shared" si="0"/>
        <v>-977.4799999999999</v>
      </c>
    </row>
    <row r="112" spans="1:13" ht="16.5">
      <c r="A112" s="3" t="s">
        <v>1795</v>
      </c>
      <c r="B112" s="548">
        <v>4470109</v>
      </c>
      <c r="C112" s="566">
        <v>-145109.3504184</v>
      </c>
      <c r="D112" s="566">
        <v>-29238.3254964</v>
      </c>
      <c r="E112" s="566">
        <v>-74479.19123279999</v>
      </c>
      <c r="F112" s="566">
        <v>-95333.0278824</v>
      </c>
      <c r="G112" s="566">
        <v>-76959.58497</v>
      </c>
      <c r="H112" s="682"/>
      <c r="I112" s="512">
        <f t="shared" si="2"/>
        <v>-421119.48</v>
      </c>
      <c r="J112" s="512"/>
      <c r="K112" s="548" t="s">
        <v>607</v>
      </c>
      <c r="M112" s="512">
        <f t="shared" si="0"/>
        <v>-421119.48</v>
      </c>
    </row>
    <row r="113" spans="1:13" ht="16.5">
      <c r="A113" s="3" t="s">
        <v>1820</v>
      </c>
      <c r="B113" s="548">
        <v>4470099</v>
      </c>
      <c r="C113" s="566">
        <v>-1378600.5432528001</v>
      </c>
      <c r="D113" s="566">
        <v>-277776.52712880005</v>
      </c>
      <c r="E113" s="566">
        <v>-707583.9923376</v>
      </c>
      <c r="F113" s="566">
        <v>-905704.3095408</v>
      </c>
      <c r="G113" s="566">
        <v>-731148.78774</v>
      </c>
      <c r="H113" s="682"/>
      <c r="I113" s="512">
        <f t="shared" si="2"/>
        <v>-4000814.1600000006</v>
      </c>
      <c r="J113" s="512"/>
      <c r="K113" s="548" t="s">
        <v>607</v>
      </c>
      <c r="M113" s="512">
        <f t="shared" si="0"/>
        <v>-4000814.1600000006</v>
      </c>
    </row>
    <row r="114" spans="1:13" ht="16.5">
      <c r="A114" s="3" t="s">
        <v>1813</v>
      </c>
      <c r="B114" s="548">
        <v>5550035</v>
      </c>
      <c r="C114" s="566">
        <v>-94377.7467096</v>
      </c>
      <c r="D114" s="566">
        <v>-19016.329891600002</v>
      </c>
      <c r="E114" s="566">
        <v>-48440.5603432</v>
      </c>
      <c r="F114" s="566">
        <v>-62003.6981256</v>
      </c>
      <c r="G114" s="566">
        <v>-50053.78493</v>
      </c>
      <c r="H114" s="682"/>
      <c r="I114" s="512">
        <f t="shared" si="2"/>
        <v>-273892.12</v>
      </c>
      <c r="J114" s="512"/>
      <c r="K114" s="548" t="s">
        <v>607</v>
      </c>
      <c r="M114" s="512">
        <f t="shared" si="0"/>
        <v>-273892.12</v>
      </c>
    </row>
    <row r="115" spans="1:13" ht="16.5">
      <c r="A115" s="3" t="s">
        <v>1813</v>
      </c>
      <c r="B115" s="548">
        <v>4470169</v>
      </c>
      <c r="C115" s="566">
        <v>-90676.6542792</v>
      </c>
      <c r="D115" s="566">
        <v>-18270.590593200002</v>
      </c>
      <c r="E115" s="566">
        <v>-46540.9283064</v>
      </c>
      <c r="F115" s="566">
        <v>-59572.1777112</v>
      </c>
      <c r="G115" s="566">
        <v>-48090.88911</v>
      </c>
      <c r="H115" s="682"/>
      <c r="I115" s="512">
        <f t="shared" si="2"/>
        <v>-263151.24</v>
      </c>
      <c r="J115" s="512"/>
      <c r="K115" s="548" t="s">
        <v>607</v>
      </c>
      <c r="M115" s="512">
        <f t="shared" si="0"/>
        <v>-263151.24</v>
      </c>
    </row>
    <row r="116" spans="1:13" ht="16.5">
      <c r="A116" s="3" t="s">
        <v>1844</v>
      </c>
      <c r="B116" s="548">
        <v>4470099</v>
      </c>
      <c r="C116" s="566">
        <v>-135.5956758</v>
      </c>
      <c r="D116" s="566">
        <v>-27.321399300000003</v>
      </c>
      <c r="E116" s="566">
        <v>-69.59617859999999</v>
      </c>
      <c r="F116" s="566">
        <v>-89.08279379999999</v>
      </c>
      <c r="G116" s="566">
        <v>-71.9139525</v>
      </c>
      <c r="H116" s="682"/>
      <c r="I116" s="512">
        <f t="shared" si="2"/>
        <v>-393.51</v>
      </c>
      <c r="J116" s="512"/>
      <c r="K116" s="548" t="s">
        <v>607</v>
      </c>
      <c r="M116" s="512">
        <f t="shared" si="0"/>
        <v>-393.51</v>
      </c>
    </row>
    <row r="117" spans="1:13" ht="15">
      <c r="A117" s="3"/>
      <c r="B117" s="548"/>
      <c r="C117" s="512"/>
      <c r="D117" s="512"/>
      <c r="E117" s="512"/>
      <c r="F117" s="512"/>
      <c r="G117" s="512"/>
      <c r="H117" s="568"/>
      <c r="I117" s="512"/>
      <c r="J117" s="450"/>
      <c r="K117" s="548"/>
      <c r="L117" s="390"/>
      <c r="M117" s="512">
        <f>IF(K117="East Zone SIA",I117,"")</f>
      </c>
    </row>
    <row r="118" spans="1:13" s="390" customFormat="1" ht="15">
      <c r="A118" s="3" t="s">
        <v>1854</v>
      </c>
      <c r="B118" s="548">
        <v>5614000</v>
      </c>
      <c r="C118" s="566">
        <v>33110.07798741816</v>
      </c>
      <c r="D118" s="566">
        <v>6671.4</v>
      </c>
      <c r="E118" s="566">
        <v>16994.16</v>
      </c>
      <c r="F118" s="566">
        <v>21752.45</v>
      </c>
      <c r="G118" s="566">
        <v>17560.12</v>
      </c>
      <c r="H118" s="722"/>
      <c r="I118" s="512">
        <f>SUM(C118:G118)</f>
        <v>96088.20798741815</v>
      </c>
      <c r="J118" s="450"/>
      <c r="K118" s="548" t="s">
        <v>607</v>
      </c>
      <c r="M118" s="512">
        <f aca="true" t="shared" si="3" ref="M118:M150">IF(K118="East Zone SIA",I118,"")</f>
        <v>96088.20798741815</v>
      </c>
    </row>
    <row r="119" spans="1:13" s="390" customFormat="1" ht="15">
      <c r="A119" s="3" t="s">
        <v>1855</v>
      </c>
      <c r="B119" s="548">
        <v>5614001</v>
      </c>
      <c r="C119" s="566">
        <v>505352.679690548</v>
      </c>
      <c r="D119" s="566">
        <v>101824.36</v>
      </c>
      <c r="E119" s="566">
        <v>259378.59</v>
      </c>
      <c r="F119" s="566">
        <v>332003.42</v>
      </c>
      <c r="G119" s="566">
        <v>268016.72</v>
      </c>
      <c r="H119" s="722"/>
      <c r="I119" s="512">
        <f aca="true" t="shared" si="4" ref="I119:I150">SUM(C119:G119)</f>
        <v>1466575.7696905478</v>
      </c>
      <c r="J119" s="450"/>
      <c r="K119" s="548" t="s">
        <v>1823</v>
      </c>
      <c r="M119" s="512">
        <f t="shared" si="3"/>
      </c>
    </row>
    <row r="120" spans="1:13" s="390" customFormat="1" ht="15">
      <c r="A120" s="3" t="s">
        <v>1854</v>
      </c>
      <c r="B120" s="548">
        <v>5618000</v>
      </c>
      <c r="C120" s="566">
        <v>2165.2248225489293</v>
      </c>
      <c r="D120" s="566">
        <v>436.27</v>
      </c>
      <c r="E120" s="566">
        <v>1111.33</v>
      </c>
      <c r="F120" s="566">
        <v>1422.5</v>
      </c>
      <c r="G120" s="566">
        <v>1148.34</v>
      </c>
      <c r="H120" s="722"/>
      <c r="I120" s="512">
        <f t="shared" si="4"/>
        <v>6283.66482254893</v>
      </c>
      <c r="J120" s="450"/>
      <c r="K120" s="548" t="s">
        <v>607</v>
      </c>
      <c r="M120" s="512">
        <f t="shared" si="3"/>
        <v>6283.66482254893</v>
      </c>
    </row>
    <row r="121" spans="1:13" s="390" customFormat="1" ht="15">
      <c r="A121" s="3" t="s">
        <v>1855</v>
      </c>
      <c r="B121" s="548">
        <v>5618001</v>
      </c>
      <c r="C121" s="566">
        <v>33047.413190931766</v>
      </c>
      <c r="D121" s="566">
        <v>6658.78</v>
      </c>
      <c r="E121" s="566">
        <v>16962</v>
      </c>
      <c r="F121" s="566">
        <v>21711.28</v>
      </c>
      <c r="G121" s="566">
        <v>17526.89</v>
      </c>
      <c r="H121" s="722"/>
      <c r="I121" s="512">
        <f t="shared" si="4"/>
        <v>95906.36319093176</v>
      </c>
      <c r="J121" s="450"/>
      <c r="K121" s="548" t="s">
        <v>1823</v>
      </c>
      <c r="M121" s="512">
        <f t="shared" si="3"/>
      </c>
    </row>
    <row r="122" spans="1:13" s="390" customFormat="1" ht="15">
      <c r="A122" s="3" t="s">
        <v>1854</v>
      </c>
      <c r="B122" s="548">
        <v>5757000</v>
      </c>
      <c r="C122" s="566">
        <v>31008.351116832942</v>
      </c>
      <c r="D122" s="566">
        <v>6247.93</v>
      </c>
      <c r="E122" s="566">
        <v>15915.43</v>
      </c>
      <c r="F122" s="566">
        <v>20371.68</v>
      </c>
      <c r="G122" s="566">
        <v>16445.46</v>
      </c>
      <c r="H122" s="722"/>
      <c r="I122" s="512">
        <f t="shared" si="4"/>
        <v>89988.85111683293</v>
      </c>
      <c r="J122" s="450"/>
      <c r="K122" s="548" t="s">
        <v>607</v>
      </c>
      <c r="M122" s="512">
        <f t="shared" si="3"/>
        <v>89988.85111683293</v>
      </c>
    </row>
    <row r="123" spans="1:13" s="390" customFormat="1" ht="15">
      <c r="A123" s="3" t="s">
        <v>1855</v>
      </c>
      <c r="B123" s="548">
        <v>5757001</v>
      </c>
      <c r="C123" s="566">
        <v>473274.5831917202</v>
      </c>
      <c r="D123" s="566">
        <v>95360.89</v>
      </c>
      <c r="E123" s="566">
        <v>242914.11</v>
      </c>
      <c r="F123" s="566">
        <v>310928.96</v>
      </c>
      <c r="G123" s="566">
        <v>251003.92</v>
      </c>
      <c r="H123" s="722"/>
      <c r="I123" s="512">
        <f t="shared" si="4"/>
        <v>1373482.4631917202</v>
      </c>
      <c r="J123" s="450"/>
      <c r="K123" s="548" t="s">
        <v>1823</v>
      </c>
      <c r="M123" s="512">
        <f t="shared" si="3"/>
      </c>
    </row>
    <row r="124" spans="1:13" s="390" customFormat="1" ht="15">
      <c r="A124" s="3" t="s">
        <v>1854</v>
      </c>
      <c r="B124" s="548">
        <v>5618000</v>
      </c>
      <c r="C124" s="566">
        <v>1468.1591241</v>
      </c>
      <c r="D124" s="566">
        <v>295.82</v>
      </c>
      <c r="E124" s="566">
        <v>753.55</v>
      </c>
      <c r="F124" s="566">
        <v>964.54</v>
      </c>
      <c r="G124" s="566">
        <v>778.64</v>
      </c>
      <c r="H124" s="722"/>
      <c r="I124" s="512">
        <f t="shared" si="4"/>
        <v>4260.7091241</v>
      </c>
      <c r="J124" s="450"/>
      <c r="K124" s="548" t="s">
        <v>607</v>
      </c>
      <c r="M124" s="512">
        <f t="shared" si="3"/>
        <v>4260.7091241</v>
      </c>
    </row>
    <row r="125" spans="1:13" s="390" customFormat="1" ht="15">
      <c r="A125" s="3" t="s">
        <v>1855</v>
      </c>
      <c r="B125" s="548">
        <v>5618001</v>
      </c>
      <c r="C125" s="566">
        <v>22408.170875899992</v>
      </c>
      <c r="D125" s="566">
        <v>4515.06</v>
      </c>
      <c r="E125" s="566">
        <v>11501.27</v>
      </c>
      <c r="F125" s="566">
        <v>14721.58</v>
      </c>
      <c r="G125" s="566">
        <v>11884.3</v>
      </c>
      <c r="H125" s="722"/>
      <c r="I125" s="512">
        <f t="shared" si="4"/>
        <v>65030.380875899995</v>
      </c>
      <c r="J125" s="450"/>
      <c r="K125" s="548" t="s">
        <v>1823</v>
      </c>
      <c r="M125" s="512">
        <f t="shared" si="3"/>
      </c>
    </row>
    <row r="126" spans="1:13" s="390" customFormat="1" ht="15">
      <c r="A126" s="3" t="s">
        <v>1854</v>
      </c>
      <c r="B126" s="548">
        <v>5618000</v>
      </c>
      <c r="C126" s="566">
        <v>1878.3716415999988</v>
      </c>
      <c r="D126" s="566">
        <v>378.48</v>
      </c>
      <c r="E126" s="566">
        <v>964.1</v>
      </c>
      <c r="F126" s="566">
        <v>1234.04</v>
      </c>
      <c r="G126" s="566">
        <v>996.21</v>
      </c>
      <c r="H126" s="722"/>
      <c r="I126" s="512">
        <f t="shared" si="4"/>
        <v>5451.201641599999</v>
      </c>
      <c r="J126" s="450"/>
      <c r="K126" s="548" t="s">
        <v>607</v>
      </c>
      <c r="M126" s="512">
        <f t="shared" si="3"/>
        <v>5451.201641599999</v>
      </c>
    </row>
    <row r="127" spans="1:13" s="390" customFormat="1" ht="15">
      <c r="A127" s="3" t="s">
        <v>1855</v>
      </c>
      <c r="B127" s="548">
        <v>5618001</v>
      </c>
      <c r="C127" s="566">
        <v>28669.278358400006</v>
      </c>
      <c r="D127" s="566">
        <v>5776.62</v>
      </c>
      <c r="E127" s="566">
        <v>14714.86</v>
      </c>
      <c r="F127" s="566">
        <v>18834.96</v>
      </c>
      <c r="G127" s="566">
        <v>15204.92</v>
      </c>
      <c r="H127" s="722"/>
      <c r="I127" s="512">
        <f t="shared" si="4"/>
        <v>83200.63835840001</v>
      </c>
      <c r="J127" s="450"/>
      <c r="K127" s="548" t="s">
        <v>1823</v>
      </c>
      <c r="M127" s="512">
        <f t="shared" si="3"/>
      </c>
    </row>
    <row r="128" spans="1:13" ht="15">
      <c r="A128" s="3"/>
      <c r="B128" s="548"/>
      <c r="C128" s="512"/>
      <c r="D128" s="512"/>
      <c r="E128" s="512"/>
      <c r="F128" s="512"/>
      <c r="G128" s="512"/>
      <c r="H128" s="722"/>
      <c r="I128" s="512">
        <f t="shared" si="4"/>
        <v>0</v>
      </c>
      <c r="J128" s="450"/>
      <c r="K128" s="548"/>
      <c r="L128" s="390"/>
      <c r="M128" s="512">
        <f t="shared" si="3"/>
      </c>
    </row>
    <row r="129" spans="1:13" s="390" customFormat="1" ht="15">
      <c r="A129" s="3" t="s">
        <v>578</v>
      </c>
      <c r="B129" s="548">
        <v>5757000</v>
      </c>
      <c r="C129" s="566">
        <v>2509.401417600001</v>
      </c>
      <c r="D129" s="566">
        <v>505.63</v>
      </c>
      <c r="E129" s="566">
        <v>1287.99</v>
      </c>
      <c r="F129" s="566">
        <v>1648.62</v>
      </c>
      <c r="G129" s="566">
        <v>1330.88</v>
      </c>
      <c r="H129" s="722"/>
      <c r="I129" s="512">
        <f t="shared" si="4"/>
        <v>7282.521417600001</v>
      </c>
      <c r="J129" s="450"/>
      <c r="K129" s="548" t="s">
        <v>607</v>
      </c>
      <c r="M129" s="512">
        <f t="shared" si="3"/>
        <v>7282.521417600001</v>
      </c>
    </row>
    <row r="130" spans="1:13" s="390" customFormat="1" ht="15">
      <c r="A130" s="3" t="s">
        <v>578</v>
      </c>
      <c r="B130" s="548">
        <v>5757001</v>
      </c>
      <c r="C130" s="566">
        <v>38300.65858240002</v>
      </c>
      <c r="D130" s="566">
        <v>7717.26</v>
      </c>
      <c r="E130" s="566">
        <v>19658.29</v>
      </c>
      <c r="F130" s="566">
        <v>25162.53</v>
      </c>
      <c r="G130" s="566">
        <v>20312.98</v>
      </c>
      <c r="H130" s="722"/>
      <c r="I130" s="512">
        <f t="shared" si="4"/>
        <v>111151.71858240002</v>
      </c>
      <c r="J130" s="450"/>
      <c r="K130" s="548" t="s">
        <v>1823</v>
      </c>
      <c r="M130" s="512">
        <f t="shared" si="3"/>
      </c>
    </row>
    <row r="131" spans="1:13" ht="15">
      <c r="A131" s="3"/>
      <c r="B131" s="548"/>
      <c r="C131" s="450"/>
      <c r="D131" s="512"/>
      <c r="E131" s="512"/>
      <c r="F131" s="512"/>
      <c r="G131" s="512"/>
      <c r="H131" s="568"/>
      <c r="I131" s="512"/>
      <c r="J131" s="450"/>
      <c r="K131" s="549"/>
      <c r="L131" s="390"/>
      <c r="M131" s="512">
        <f t="shared" si="3"/>
      </c>
    </row>
    <row r="132" spans="1:13" s="390" customFormat="1" ht="15">
      <c r="A132" s="3" t="s">
        <v>263</v>
      </c>
      <c r="B132" s="548">
        <v>4470107</v>
      </c>
      <c r="C132" s="566">
        <v>-24.619999999701978</v>
      </c>
      <c r="D132" s="566">
        <v>-4.96</v>
      </c>
      <c r="E132" s="566">
        <v>-12.63</v>
      </c>
      <c r="F132" s="566">
        <v>-16.17</v>
      </c>
      <c r="G132" s="566">
        <v>-13.05</v>
      </c>
      <c r="H132" s="568"/>
      <c r="I132" s="512">
        <f t="shared" si="4"/>
        <v>-71.42999999970198</v>
      </c>
      <c r="J132" s="450"/>
      <c r="K132" s="549" t="s">
        <v>607</v>
      </c>
      <c r="M132" s="512">
        <f t="shared" si="3"/>
        <v>-71.42999999970198</v>
      </c>
    </row>
    <row r="133" spans="1:13" s="390" customFormat="1" ht="15">
      <c r="A133" s="3" t="s">
        <v>264</v>
      </c>
      <c r="B133" s="548">
        <v>4470110</v>
      </c>
      <c r="C133" s="566">
        <v>2829.27999999993</v>
      </c>
      <c r="D133" s="566">
        <v>570.08</v>
      </c>
      <c r="E133" s="566">
        <v>1452.16</v>
      </c>
      <c r="F133" s="566">
        <v>1858.76</v>
      </c>
      <c r="G133" s="566">
        <v>1500.52</v>
      </c>
      <c r="H133" s="568"/>
      <c r="I133" s="512">
        <f t="shared" si="4"/>
        <v>8210.79999999993</v>
      </c>
      <c r="J133" s="450"/>
      <c r="K133" s="549" t="s">
        <v>607</v>
      </c>
      <c r="M133" s="512">
        <f t="shared" si="3"/>
        <v>8210.79999999993</v>
      </c>
    </row>
    <row r="134" spans="1:13" s="390" customFormat="1" ht="15">
      <c r="A134" s="3" t="s">
        <v>265</v>
      </c>
      <c r="B134" s="548">
        <v>5550039</v>
      </c>
      <c r="C134" s="566">
        <v>1152.2</v>
      </c>
      <c r="D134" s="566">
        <v>232.16</v>
      </c>
      <c r="E134" s="566">
        <v>591.38</v>
      </c>
      <c r="F134" s="566">
        <v>756.96</v>
      </c>
      <c r="G134" s="566">
        <v>611.08</v>
      </c>
      <c r="H134" s="568"/>
      <c r="I134" s="512">
        <f t="shared" si="4"/>
        <v>3343.78</v>
      </c>
      <c r="J134" s="450"/>
      <c r="K134" s="549" t="s">
        <v>607</v>
      </c>
      <c r="M134" s="512">
        <f t="shared" si="3"/>
        <v>3343.78</v>
      </c>
    </row>
    <row r="135" spans="1:13" s="390" customFormat="1" ht="15">
      <c r="A135" s="3" t="s">
        <v>266</v>
      </c>
      <c r="B135" s="548">
        <v>4470107</v>
      </c>
      <c r="C135" s="566">
        <v>0</v>
      </c>
      <c r="D135" s="566">
        <v>0</v>
      </c>
      <c r="E135" s="566">
        <v>0</v>
      </c>
      <c r="F135" s="566">
        <v>0</v>
      </c>
      <c r="G135" s="566">
        <v>0</v>
      </c>
      <c r="H135" s="568"/>
      <c r="I135" s="512">
        <f t="shared" si="4"/>
        <v>0</v>
      </c>
      <c r="J135" s="450"/>
      <c r="K135" s="549" t="s">
        <v>607</v>
      </c>
      <c r="M135" s="512">
        <f t="shared" si="3"/>
        <v>0</v>
      </c>
    </row>
    <row r="136" spans="1:13" ht="15">
      <c r="A136" s="3"/>
      <c r="B136" s="548"/>
      <c r="C136" s="450"/>
      <c r="D136" s="512"/>
      <c r="E136" s="512"/>
      <c r="F136" s="512"/>
      <c r="G136" s="512"/>
      <c r="H136" s="568"/>
      <c r="I136" s="512"/>
      <c r="J136" s="450"/>
      <c r="K136" s="549"/>
      <c r="L136" s="390"/>
      <c r="M136" s="512">
        <f t="shared" si="3"/>
      </c>
    </row>
    <row r="137" spans="1:13" s="390" customFormat="1" ht="15">
      <c r="A137" s="3" t="s">
        <v>1874</v>
      </c>
      <c r="B137" s="548">
        <v>4470124</v>
      </c>
      <c r="C137" s="566">
        <v>-78.41607060000001</v>
      </c>
      <c r="D137" s="566">
        <v>-15.8001851</v>
      </c>
      <c r="E137" s="566">
        <v>-40.248030199999995</v>
      </c>
      <c r="F137" s="566">
        <v>-51.517296599999995</v>
      </c>
      <c r="G137" s="566">
        <v>-41.5884175</v>
      </c>
      <c r="H137" s="568"/>
      <c r="I137" s="512">
        <f t="shared" si="4"/>
        <v>-227.57</v>
      </c>
      <c r="J137" s="450"/>
      <c r="K137" s="549" t="s">
        <v>607</v>
      </c>
      <c r="M137" s="512">
        <f t="shared" si="3"/>
        <v>-227.57</v>
      </c>
    </row>
    <row r="138" spans="1:13" ht="15">
      <c r="A138" s="3"/>
      <c r="B138" s="548"/>
      <c r="C138" s="450"/>
      <c r="D138" s="512"/>
      <c r="E138" s="512"/>
      <c r="F138" s="512"/>
      <c r="G138" s="512"/>
      <c r="H138" s="568"/>
      <c r="I138" s="512"/>
      <c r="J138" s="450"/>
      <c r="K138" s="549"/>
      <c r="L138" s="390"/>
      <c r="M138" s="512">
        <f t="shared" si="3"/>
      </c>
    </row>
    <row r="139" spans="1:13" s="390" customFormat="1" ht="15">
      <c r="A139" s="3" t="s">
        <v>1459</v>
      </c>
      <c r="B139" s="548">
        <v>4470093</v>
      </c>
      <c r="C139" s="566">
        <v>-152332.58</v>
      </c>
      <c r="D139" s="566">
        <v>-30693.74</v>
      </c>
      <c r="E139" s="566">
        <v>-78186.6</v>
      </c>
      <c r="F139" s="566">
        <v>-100078.49</v>
      </c>
      <c r="G139" s="566">
        <v>-80790.46</v>
      </c>
      <c r="H139" s="722"/>
      <c r="I139" s="512">
        <f t="shared" si="4"/>
        <v>-442081.87</v>
      </c>
      <c r="J139" s="450"/>
      <c r="K139" s="549" t="s">
        <v>1823</v>
      </c>
      <c r="M139" s="512">
        <f t="shared" si="3"/>
      </c>
    </row>
    <row r="140" spans="1:13" s="390" customFormat="1" ht="15">
      <c r="A140" s="3" t="s">
        <v>1460</v>
      </c>
      <c r="B140" s="548">
        <v>4470116</v>
      </c>
      <c r="C140" s="566">
        <v>1533.57</v>
      </c>
      <c r="D140" s="566">
        <v>309</v>
      </c>
      <c r="E140" s="566">
        <v>787.12</v>
      </c>
      <c r="F140" s="566">
        <v>1007.52</v>
      </c>
      <c r="G140" s="566">
        <v>813.34</v>
      </c>
      <c r="H140" s="722"/>
      <c r="I140" s="512">
        <f t="shared" si="4"/>
        <v>4450.55</v>
      </c>
      <c r="J140" s="450"/>
      <c r="K140" s="549" t="s">
        <v>1823</v>
      </c>
      <c r="M140" s="512">
        <f t="shared" si="3"/>
      </c>
    </row>
    <row r="141" spans="1:13" s="390" customFormat="1" ht="15">
      <c r="A141" s="3" t="s">
        <v>2142</v>
      </c>
      <c r="B141" s="548">
        <v>5550039</v>
      </c>
      <c r="C141" s="566">
        <v>0</v>
      </c>
      <c r="D141" s="566">
        <v>0</v>
      </c>
      <c r="E141" s="566">
        <v>0</v>
      </c>
      <c r="F141" s="566">
        <v>0</v>
      </c>
      <c r="G141" s="566">
        <v>0</v>
      </c>
      <c r="H141" s="722"/>
      <c r="I141" s="512">
        <f t="shared" si="4"/>
        <v>0</v>
      </c>
      <c r="J141" s="450"/>
      <c r="K141" s="549" t="s">
        <v>607</v>
      </c>
      <c r="M141" s="512">
        <f t="shared" si="3"/>
        <v>0</v>
      </c>
    </row>
    <row r="142" spans="1:13" s="390" customFormat="1" ht="15">
      <c r="A142" s="3" t="s">
        <v>2143</v>
      </c>
      <c r="B142" s="548">
        <v>5550040</v>
      </c>
      <c r="C142" s="566">
        <v>0</v>
      </c>
      <c r="D142" s="566">
        <v>0</v>
      </c>
      <c r="E142" s="566">
        <v>0</v>
      </c>
      <c r="F142" s="566">
        <v>0</v>
      </c>
      <c r="G142" s="566">
        <v>0</v>
      </c>
      <c r="H142" s="722"/>
      <c r="I142" s="512">
        <f t="shared" si="4"/>
        <v>0</v>
      </c>
      <c r="J142" s="450"/>
      <c r="K142" s="549" t="s">
        <v>1823</v>
      </c>
      <c r="M142" s="512">
        <f t="shared" si="3"/>
      </c>
    </row>
    <row r="143" spans="1:13" s="390" customFormat="1" ht="15">
      <c r="A143" s="3" t="s">
        <v>481</v>
      </c>
      <c r="B143" s="548">
        <v>4470107</v>
      </c>
      <c r="C143" s="566">
        <v>0.01</v>
      </c>
      <c r="D143" s="566">
        <v>0</v>
      </c>
      <c r="E143" s="566">
        <v>0.01</v>
      </c>
      <c r="F143" s="566">
        <v>0.01</v>
      </c>
      <c r="G143" s="566">
        <v>0.01</v>
      </c>
      <c r="H143" s="722"/>
      <c r="I143" s="512">
        <f t="shared" si="4"/>
        <v>0.04</v>
      </c>
      <c r="J143" s="450"/>
      <c r="K143" s="549" t="s">
        <v>607</v>
      </c>
      <c r="M143" s="512">
        <f t="shared" si="3"/>
        <v>0.04</v>
      </c>
    </row>
    <row r="144" spans="1:13" s="390" customFormat="1" ht="15">
      <c r="A144" s="3" t="s">
        <v>189</v>
      </c>
      <c r="B144" s="548">
        <v>4470116</v>
      </c>
      <c r="C144" s="566">
        <v>0</v>
      </c>
      <c r="D144" s="566">
        <v>0</v>
      </c>
      <c r="E144" s="566">
        <v>0</v>
      </c>
      <c r="F144" s="566">
        <v>0</v>
      </c>
      <c r="G144" s="566">
        <v>0</v>
      </c>
      <c r="H144" s="722"/>
      <c r="I144" s="512">
        <f t="shared" si="4"/>
        <v>0</v>
      </c>
      <c r="J144" s="450"/>
      <c r="K144" s="549" t="s">
        <v>1823</v>
      </c>
      <c r="M144" s="512">
        <f t="shared" si="3"/>
      </c>
    </row>
    <row r="145" spans="1:13" ht="15">
      <c r="A145" s="3"/>
      <c r="B145" s="548"/>
      <c r="C145" s="450"/>
      <c r="D145" s="512"/>
      <c r="E145" s="512"/>
      <c r="F145" s="512"/>
      <c r="G145" s="512"/>
      <c r="H145" s="568"/>
      <c r="I145" s="512"/>
      <c r="J145" s="450"/>
      <c r="K145" s="549"/>
      <c r="L145" s="390"/>
      <c r="M145" s="512">
        <f t="shared" si="3"/>
      </c>
    </row>
    <row r="146" spans="1:13" s="390" customFormat="1" ht="15">
      <c r="A146" s="3" t="s">
        <v>488</v>
      </c>
      <c r="B146" s="548">
        <v>4470143</v>
      </c>
      <c r="C146" s="566">
        <v>0</v>
      </c>
      <c r="D146" s="566">
        <v>0</v>
      </c>
      <c r="E146" s="566">
        <v>0</v>
      </c>
      <c r="F146" s="566">
        <v>0</v>
      </c>
      <c r="G146" s="566">
        <v>0</v>
      </c>
      <c r="H146" s="568"/>
      <c r="I146" s="512">
        <f t="shared" si="4"/>
        <v>0</v>
      </c>
      <c r="J146" s="450"/>
      <c r="K146" s="549" t="s">
        <v>607</v>
      </c>
      <c r="M146" s="512">
        <f t="shared" si="3"/>
        <v>0</v>
      </c>
    </row>
    <row r="147" spans="1:13" s="390" customFormat="1" ht="15">
      <c r="A147" s="3" t="s">
        <v>1960</v>
      </c>
      <c r="B147" s="548">
        <v>4470143</v>
      </c>
      <c r="C147" s="566">
        <v>-261932.51</v>
      </c>
      <c r="D147" s="566">
        <v>-73278.14</v>
      </c>
      <c r="E147" s="566">
        <v>-197746.12</v>
      </c>
      <c r="F147" s="566">
        <v>-239803.96</v>
      </c>
      <c r="G147" s="566">
        <v>-205829.27</v>
      </c>
      <c r="H147" s="568"/>
      <c r="I147" s="512">
        <f t="shared" si="4"/>
        <v>-978590</v>
      </c>
      <c r="J147" s="450"/>
      <c r="K147" s="549" t="s">
        <v>607</v>
      </c>
      <c r="M147" s="512">
        <f t="shared" si="3"/>
        <v>-978590</v>
      </c>
    </row>
    <row r="148" spans="1:13" ht="15">
      <c r="A148" s="3"/>
      <c r="B148" s="548"/>
      <c r="C148" s="450"/>
      <c r="D148" s="512"/>
      <c r="E148" s="512"/>
      <c r="F148" s="512"/>
      <c r="G148" s="512"/>
      <c r="H148" s="512"/>
      <c r="I148" s="512"/>
      <c r="J148" s="450"/>
      <c r="K148" s="549"/>
      <c r="L148" s="390"/>
      <c r="M148" s="512">
        <f t="shared" si="3"/>
      </c>
    </row>
    <row r="149" spans="1:13" s="390" customFormat="1" ht="15">
      <c r="A149" s="3" t="s">
        <v>1826</v>
      </c>
      <c r="B149" s="548">
        <v>4470125</v>
      </c>
      <c r="C149" s="566">
        <v>288049.61</v>
      </c>
      <c r="D149" s="566">
        <v>58039.6</v>
      </c>
      <c r="E149" s="566">
        <v>147845.08</v>
      </c>
      <c r="F149" s="566">
        <v>189241.03</v>
      </c>
      <c r="G149" s="566">
        <v>152768.79</v>
      </c>
      <c r="H149" s="566"/>
      <c r="I149" s="512">
        <f t="shared" si="4"/>
        <v>835944.11</v>
      </c>
      <c r="J149" s="450"/>
      <c r="K149" s="549" t="s">
        <v>607</v>
      </c>
      <c r="M149" s="512">
        <f t="shared" si="3"/>
        <v>835944.11</v>
      </c>
    </row>
    <row r="150" spans="1:13" s="390" customFormat="1" ht="15">
      <c r="A150" s="3" t="s">
        <v>1827</v>
      </c>
      <c r="B150" s="548">
        <v>4470216</v>
      </c>
      <c r="C150" s="566">
        <v>361698.74</v>
      </c>
      <c r="D150" s="566">
        <v>72879.28</v>
      </c>
      <c r="E150" s="566">
        <v>185646.41</v>
      </c>
      <c r="F150" s="566">
        <v>237626.57</v>
      </c>
      <c r="G150" s="566">
        <v>191829.03</v>
      </c>
      <c r="H150" s="568"/>
      <c r="I150" s="512">
        <f t="shared" si="4"/>
        <v>1049680.03</v>
      </c>
      <c r="J150" s="450"/>
      <c r="K150" s="549" t="s">
        <v>1823</v>
      </c>
      <c r="M150" s="512">
        <f t="shared" si="3"/>
      </c>
    </row>
    <row r="151" spans="1:13" ht="15">
      <c r="A151" s="3"/>
      <c r="B151" s="548"/>
      <c r="C151" s="450"/>
      <c r="D151" s="450"/>
      <c r="E151" s="450"/>
      <c r="F151" s="450"/>
      <c r="G151" s="450"/>
      <c r="H151" s="568"/>
      <c r="I151" s="450"/>
      <c r="J151" s="450"/>
      <c r="K151" s="549"/>
      <c r="L151" s="390"/>
      <c r="M151" s="450"/>
    </row>
    <row r="152" spans="1:13" ht="15.75" thickBot="1">
      <c r="A152" s="8" t="s">
        <v>689</v>
      </c>
      <c r="C152" s="447">
        <f>ROUND(SUM(C5:C150),2)</f>
        <v>2338897.5</v>
      </c>
      <c r="D152" s="447">
        <f>ROUND(SUM(D5:D150),2)</f>
        <v>453821.77</v>
      </c>
      <c r="E152" s="447">
        <f>ROUND(SUM(E5:E150),2)</f>
        <v>1158901.51</v>
      </c>
      <c r="F152" s="447">
        <f>ROUND(SUM(F5:F150),2)</f>
        <v>1505865.8</v>
      </c>
      <c r="G152" s="447">
        <f>ROUND(SUM(G5:G150),2)</f>
        <v>1163416.13</v>
      </c>
      <c r="H152" s="447"/>
      <c r="I152" s="447">
        <f>ROUND(SUM(I3:I150),0)</f>
        <v>6620903</v>
      </c>
      <c r="J152" s="447"/>
      <c r="M152" s="534">
        <f>SUM(M3:M150)</f>
        <v>-3687338.8816015027</v>
      </c>
    </row>
    <row r="153" spans="1:13" ht="15.75" thickTop="1">
      <c r="A153" s="3"/>
      <c r="C153" s="501"/>
      <c r="D153" s="501"/>
      <c r="E153" s="501"/>
      <c r="F153" s="501"/>
      <c r="G153" s="501"/>
      <c r="I153" s="501"/>
      <c r="J153" s="501"/>
      <c r="M153" s="450"/>
    </row>
    <row r="154" spans="1:13" ht="15">
      <c r="A154" s="8" t="s">
        <v>688</v>
      </c>
      <c r="C154" s="508">
        <f>INPUT!J211</f>
        <v>2514150</v>
      </c>
      <c r="D154" s="508">
        <f>INPUT!J212</f>
        <v>509634</v>
      </c>
      <c r="E154" s="508">
        <f>INPUT!J213</f>
        <v>1321158</v>
      </c>
      <c r="F154" s="508">
        <f>INPUT!J214</f>
        <v>1688723</v>
      </c>
      <c r="G154" s="508">
        <f>INPUT!J215</f>
        <v>1323274</v>
      </c>
      <c r="H154" s="447"/>
      <c r="I154" s="513">
        <f>SUM(C154:H154)</f>
        <v>7356939</v>
      </c>
      <c r="J154" s="447"/>
      <c r="M154" s="450"/>
    </row>
    <row r="155" spans="3:13" ht="15">
      <c r="C155" s="447"/>
      <c r="D155" s="447"/>
      <c r="E155" s="447"/>
      <c r="F155" s="447"/>
      <c r="G155" s="447"/>
      <c r="H155" s="447"/>
      <c r="I155" s="450"/>
      <c r="J155" s="447"/>
      <c r="M155" s="450"/>
    </row>
    <row r="156" spans="1:13" ht="15.75" thickBot="1">
      <c r="A156" s="8" t="s">
        <v>690</v>
      </c>
      <c r="B156" s="520" t="s">
        <v>1777</v>
      </c>
      <c r="C156" s="509">
        <f>C152-C154</f>
        <v>-175252.5</v>
      </c>
      <c r="D156" s="509">
        <f>D152-D154</f>
        <v>-55812.22999999998</v>
      </c>
      <c r="E156" s="509">
        <f>E152-E154</f>
        <v>-162256.49</v>
      </c>
      <c r="F156" s="509">
        <f>F152-F154</f>
        <v>-182857.19999999995</v>
      </c>
      <c r="G156" s="509">
        <f>G152-G154</f>
        <v>-159857.8700000001</v>
      </c>
      <c r="H156" s="447"/>
      <c r="I156" s="509">
        <f>SUM(C156:H156)</f>
        <v>-736036.29</v>
      </c>
      <c r="J156" s="447"/>
      <c r="M156" s="450"/>
    </row>
    <row r="157" spans="2:13" ht="15.75" thickTop="1">
      <c r="B157" s="520"/>
      <c r="C157" s="447"/>
      <c r="D157" s="447"/>
      <c r="E157" s="447"/>
      <c r="F157" s="447"/>
      <c r="G157" s="447"/>
      <c r="H157" s="447"/>
      <c r="I157" s="447"/>
      <c r="J157" s="447"/>
      <c r="M157" s="450"/>
    </row>
    <row r="158" spans="1:10" ht="16.5">
      <c r="A158" s="850" t="s">
        <v>1792</v>
      </c>
      <c r="B158" s="850"/>
      <c r="C158" s="850"/>
      <c r="D158" s="850"/>
      <c r="E158" s="850"/>
      <c r="F158" s="850"/>
      <c r="G158" s="850"/>
      <c r="H158" s="850"/>
      <c r="I158" s="850"/>
      <c r="J158" s="136"/>
    </row>
    <row r="160" spans="1:13" ht="49.5">
      <c r="A160" s="139" t="s">
        <v>1471</v>
      </c>
      <c r="B160" s="511" t="s">
        <v>612</v>
      </c>
      <c r="C160" s="503" t="s">
        <v>1472</v>
      </c>
      <c r="D160" s="503" t="s">
        <v>1473</v>
      </c>
      <c r="E160" s="503" t="s">
        <v>1474</v>
      </c>
      <c r="F160" s="503" t="s">
        <v>1475</v>
      </c>
      <c r="G160" s="503" t="s">
        <v>1476</v>
      </c>
      <c r="H160" s="504"/>
      <c r="I160" s="503" t="s">
        <v>1478</v>
      </c>
      <c r="J160" s="504"/>
      <c r="K160" s="503" t="s">
        <v>1192</v>
      </c>
      <c r="M160" s="544" t="s">
        <v>608</v>
      </c>
    </row>
    <row r="161" spans="3:21" ht="15">
      <c r="C161" s="507"/>
      <c r="D161" s="507"/>
      <c r="E161" s="507"/>
      <c r="F161" s="507"/>
      <c r="G161" s="507"/>
      <c r="H161" s="447"/>
      <c r="I161" s="507"/>
      <c r="J161" s="507"/>
      <c r="Q161" s="282"/>
      <c r="R161" s="282"/>
      <c r="S161" s="282"/>
      <c r="T161" s="282"/>
      <c r="U161" s="282"/>
    </row>
    <row r="162" spans="1:13" ht="15">
      <c r="A162" s="3" t="s">
        <v>1798</v>
      </c>
      <c r="B162" s="548">
        <v>4470126</v>
      </c>
      <c r="C162" s="566">
        <v>35101.572066</v>
      </c>
      <c r="D162" s="566">
        <v>7072.674411</v>
      </c>
      <c r="E162" s="566">
        <v>18016.321421999997</v>
      </c>
      <c r="F162" s="566">
        <v>23060.809925999998</v>
      </c>
      <c r="G162" s="566">
        <v>18616.322174999998</v>
      </c>
      <c r="H162" s="447"/>
      <c r="I162" s="512">
        <f aca="true" t="shared" si="5" ref="I162:I224">SUM(C162:G162)</f>
        <v>101867.7</v>
      </c>
      <c r="J162" s="512"/>
      <c r="K162" s="549" t="s">
        <v>607</v>
      </c>
      <c r="M162" s="512">
        <f aca="true" t="shared" si="6" ref="M162:M225">IF(K162="East Zone SIA",I162,"")</f>
        <v>101867.7</v>
      </c>
    </row>
    <row r="163" spans="1:13" ht="15">
      <c r="A163" s="3" t="s">
        <v>1802</v>
      </c>
      <c r="B163" s="548">
        <v>4470141</v>
      </c>
      <c r="C163" s="566">
        <v>28543.7425914</v>
      </c>
      <c r="D163" s="566">
        <v>5751.326391900001</v>
      </c>
      <c r="E163" s="566">
        <v>14650.4333238</v>
      </c>
      <c r="F163" s="566">
        <v>18752.4883854</v>
      </c>
      <c r="G163" s="566">
        <v>15138.3393075</v>
      </c>
      <c r="H163" s="447"/>
      <c r="I163" s="512">
        <f t="shared" si="5"/>
        <v>82836.33</v>
      </c>
      <c r="J163" s="512"/>
      <c r="K163" s="549" t="s">
        <v>1823</v>
      </c>
      <c r="M163" s="512">
        <f t="shared" si="6"/>
      </c>
    </row>
    <row r="164" spans="1:13" ht="15">
      <c r="A164" s="3" t="s">
        <v>1796</v>
      </c>
      <c r="B164" s="548">
        <v>4470098</v>
      </c>
      <c r="C164" s="566">
        <v>44432.4676692</v>
      </c>
      <c r="D164" s="566">
        <v>8952.772158200001</v>
      </c>
      <c r="E164" s="566">
        <v>22805.5204364</v>
      </c>
      <c r="F164" s="566">
        <v>29190.9630012</v>
      </c>
      <c r="G164" s="566">
        <v>23565.016735</v>
      </c>
      <c r="H164" s="447"/>
      <c r="I164" s="512">
        <f t="shared" si="5"/>
        <v>128946.73999999999</v>
      </c>
      <c r="J164" s="512"/>
      <c r="K164" s="549" t="s">
        <v>607</v>
      </c>
      <c r="M164" s="512">
        <f t="shared" si="6"/>
        <v>128946.73999999999</v>
      </c>
    </row>
    <row r="165" spans="1:13" ht="15">
      <c r="A165" s="3" t="s">
        <v>1799</v>
      </c>
      <c r="B165" s="548">
        <v>4470209</v>
      </c>
      <c r="C165" s="566">
        <v>14096.095869</v>
      </c>
      <c r="D165" s="566">
        <v>2840.2459115000006</v>
      </c>
      <c r="E165" s="566">
        <v>7234.997723</v>
      </c>
      <c r="F165" s="566">
        <v>9260.764359</v>
      </c>
      <c r="G165" s="566">
        <v>7475.9461375</v>
      </c>
      <c r="H165" s="447"/>
      <c r="I165" s="512">
        <f t="shared" si="5"/>
        <v>40908.05000000001</v>
      </c>
      <c r="J165" s="512"/>
      <c r="K165" s="549" t="s">
        <v>607</v>
      </c>
      <c r="M165" s="512">
        <f t="shared" si="6"/>
        <v>40908.05000000001</v>
      </c>
    </row>
    <row r="166" spans="1:13" ht="15">
      <c r="A166" s="3" t="s">
        <v>1824</v>
      </c>
      <c r="B166" s="548">
        <v>4470141</v>
      </c>
      <c r="C166" s="566">
        <v>709772.3896704</v>
      </c>
      <c r="D166" s="566">
        <v>143013.2248384</v>
      </c>
      <c r="E166" s="566">
        <v>364299.56711679994</v>
      </c>
      <c r="F166" s="566">
        <v>466301.79805439996</v>
      </c>
      <c r="G166" s="566">
        <v>376431.90031999996</v>
      </c>
      <c r="H166" s="447"/>
      <c r="I166" s="512">
        <f t="shared" si="5"/>
        <v>2059818.88</v>
      </c>
      <c r="J166" s="512"/>
      <c r="K166" s="549" t="s">
        <v>1823</v>
      </c>
      <c r="M166" s="512">
        <f t="shared" si="6"/>
      </c>
    </row>
    <row r="167" spans="1:13" ht="15">
      <c r="A167" s="3" t="s">
        <v>804</v>
      </c>
      <c r="B167" s="548">
        <v>4470141</v>
      </c>
      <c r="C167" s="566">
        <v>17078.5770468</v>
      </c>
      <c r="D167" s="566">
        <v>3441.1910278</v>
      </c>
      <c r="E167" s="566">
        <v>8765.7935356</v>
      </c>
      <c r="F167" s="566">
        <v>11220.1760748</v>
      </c>
      <c r="G167" s="566">
        <v>9057.722314999999</v>
      </c>
      <c r="H167" s="447"/>
      <c r="I167" s="512">
        <f t="shared" si="5"/>
        <v>49563.46</v>
      </c>
      <c r="J167" s="512"/>
      <c r="K167" s="549" t="s">
        <v>1823</v>
      </c>
      <c r="M167" s="512">
        <f t="shared" si="6"/>
      </c>
    </row>
    <row r="168" spans="1:13" ht="15">
      <c r="A168" s="3" t="s">
        <v>1815</v>
      </c>
      <c r="B168" s="548">
        <v>4470141</v>
      </c>
      <c r="C168" s="566">
        <v>40074.7091328</v>
      </c>
      <c r="D168" s="566">
        <v>8074.720108800001</v>
      </c>
      <c r="E168" s="566">
        <v>20568.8462976</v>
      </c>
      <c r="F168" s="566">
        <v>26328.0302208</v>
      </c>
      <c r="G168" s="566">
        <v>21253.85424</v>
      </c>
      <c r="H168" s="447"/>
      <c r="I168" s="512">
        <f t="shared" si="5"/>
        <v>116300.15999999999</v>
      </c>
      <c r="J168" s="512"/>
      <c r="K168" s="549" t="s">
        <v>1823</v>
      </c>
      <c r="M168" s="512">
        <f t="shared" si="6"/>
      </c>
    </row>
    <row r="169" spans="1:13" ht="15">
      <c r="A169" s="3" t="s">
        <v>485</v>
      </c>
      <c r="B169" s="548">
        <v>4470126</v>
      </c>
      <c r="C169" s="566">
        <v>-9547.8535086</v>
      </c>
      <c r="D169" s="566">
        <v>-1923.8129581</v>
      </c>
      <c r="E169" s="566">
        <v>-4900.555376199999</v>
      </c>
      <c r="F169" s="566">
        <v>-6272.6887146</v>
      </c>
      <c r="G169" s="566">
        <v>-5063.7594425</v>
      </c>
      <c r="H169" s="447"/>
      <c r="I169" s="512">
        <f t="shared" si="5"/>
        <v>-27708.67</v>
      </c>
      <c r="J169" s="512"/>
      <c r="K169" s="549" t="s">
        <v>607</v>
      </c>
      <c r="M169" s="512">
        <f t="shared" si="6"/>
        <v>-27708.67</v>
      </c>
    </row>
    <row r="170" spans="1:13" ht="15">
      <c r="A170" s="3" t="s">
        <v>486</v>
      </c>
      <c r="B170" s="548">
        <v>4470141</v>
      </c>
      <c r="C170" s="566">
        <v>7226.0562396</v>
      </c>
      <c r="D170" s="566">
        <v>1455.9901466000001</v>
      </c>
      <c r="E170" s="566">
        <v>3708.8638531999995</v>
      </c>
      <c r="F170" s="566">
        <v>4747.3289556</v>
      </c>
      <c r="G170" s="566">
        <v>3832.380805</v>
      </c>
      <c r="H170" s="447"/>
      <c r="I170" s="512">
        <f t="shared" si="5"/>
        <v>20970.620000000003</v>
      </c>
      <c r="J170" s="512"/>
      <c r="K170" s="549" t="s">
        <v>1823</v>
      </c>
      <c r="M170" s="512">
        <f t="shared" si="6"/>
      </c>
    </row>
    <row r="171" spans="1:13" ht="15">
      <c r="A171" s="3" t="s">
        <v>1804</v>
      </c>
      <c r="B171" s="548">
        <v>4470126</v>
      </c>
      <c r="C171" s="566">
        <v>-909092.199357</v>
      </c>
      <c r="D171" s="566">
        <v>-183174.5063595</v>
      </c>
      <c r="E171" s="566">
        <v>-466602.95541899995</v>
      </c>
      <c r="F171" s="566">
        <v>-597249.672327</v>
      </c>
      <c r="G171" s="566">
        <v>-482142.31653749995</v>
      </c>
      <c r="H171" s="447"/>
      <c r="I171" s="512">
        <f t="shared" si="5"/>
        <v>-2638261.65</v>
      </c>
      <c r="J171" s="512"/>
      <c r="K171" s="549" t="s">
        <v>607</v>
      </c>
      <c r="M171" s="512">
        <f t="shared" si="6"/>
        <v>-2638261.65</v>
      </c>
    </row>
    <row r="172" spans="1:13" ht="15">
      <c r="A172" s="3" t="s">
        <v>1805</v>
      </c>
      <c r="B172" s="548">
        <v>4470209</v>
      </c>
      <c r="C172" s="566">
        <v>-467671.849653</v>
      </c>
      <c r="D172" s="566">
        <v>-94231.98247550002</v>
      </c>
      <c r="E172" s="566">
        <v>-240038.433251</v>
      </c>
      <c r="F172" s="566">
        <v>-307248.10878300003</v>
      </c>
      <c r="G172" s="566">
        <v>-248032.4758375</v>
      </c>
      <c r="H172" s="447"/>
      <c r="I172" s="512">
        <f t="shared" si="5"/>
        <v>-1357222.85</v>
      </c>
      <c r="J172" s="512"/>
      <c r="K172" s="549" t="s">
        <v>607</v>
      </c>
      <c r="M172" s="512">
        <f t="shared" si="6"/>
        <v>-1357222.85</v>
      </c>
    </row>
    <row r="173" spans="1:13" ht="15">
      <c r="A173" s="3" t="s">
        <v>411</v>
      </c>
      <c r="B173" s="548">
        <v>4470141</v>
      </c>
      <c r="C173" s="566">
        <v>1153.963962</v>
      </c>
      <c r="D173" s="566">
        <v>232.51412700000003</v>
      </c>
      <c r="E173" s="566">
        <v>592.2864539999999</v>
      </c>
      <c r="F173" s="566">
        <v>758.1239820000001</v>
      </c>
      <c r="G173" s="566">
        <v>612.011475</v>
      </c>
      <c r="H173" s="447"/>
      <c r="I173" s="512">
        <f t="shared" si="5"/>
        <v>3348.9000000000005</v>
      </c>
      <c r="J173" s="512"/>
      <c r="K173" s="549" t="s">
        <v>1823</v>
      </c>
      <c r="M173" s="512">
        <f t="shared" si="6"/>
      </c>
    </row>
    <row r="174" spans="1:13" ht="15">
      <c r="A174" s="3" t="s">
        <v>807</v>
      </c>
      <c r="B174" s="548">
        <v>4470141</v>
      </c>
      <c r="C174" s="566">
        <v>0.0585786</v>
      </c>
      <c r="D174" s="566">
        <v>0.011803100000000002</v>
      </c>
      <c r="E174" s="566">
        <v>0.0300662</v>
      </c>
      <c r="F174" s="566">
        <v>0.0384846</v>
      </c>
      <c r="G174" s="566">
        <v>0.0310675</v>
      </c>
      <c r="H174" s="447"/>
      <c r="I174" s="512">
        <f t="shared" si="5"/>
        <v>0.17</v>
      </c>
      <c r="J174" s="512"/>
      <c r="K174" s="549" t="s">
        <v>1823</v>
      </c>
      <c r="M174" s="512">
        <f t="shared" si="6"/>
      </c>
    </row>
    <row r="175" spans="1:13" ht="15">
      <c r="A175" s="3" t="s">
        <v>327</v>
      </c>
      <c r="B175" s="548">
        <v>4470141</v>
      </c>
      <c r="C175" s="566">
        <v>-6.360946800000001</v>
      </c>
      <c r="D175" s="566">
        <v>-1.2816778000000002</v>
      </c>
      <c r="E175" s="566">
        <v>-3.2648356</v>
      </c>
      <c r="F175" s="566">
        <v>-4.1789748</v>
      </c>
      <c r="G175" s="566">
        <v>-3.373565</v>
      </c>
      <c r="H175" s="447"/>
      <c r="I175" s="512">
        <f t="shared" si="5"/>
        <v>-18.46</v>
      </c>
      <c r="J175" s="512"/>
      <c r="K175" s="549" t="s">
        <v>1823</v>
      </c>
      <c r="M175" s="512">
        <f t="shared" si="6"/>
      </c>
    </row>
    <row r="176" spans="1:13" ht="15">
      <c r="A176" s="3" t="s">
        <v>412</v>
      </c>
      <c r="B176" s="548">
        <v>4470141</v>
      </c>
      <c r="C176" s="566">
        <v>52250.4503244</v>
      </c>
      <c r="D176" s="566">
        <v>10528.0305474</v>
      </c>
      <c r="E176" s="566">
        <v>26818.1979348</v>
      </c>
      <c r="F176" s="566">
        <v>34327.172048399996</v>
      </c>
      <c r="G176" s="566">
        <v>27711.329145</v>
      </c>
      <c r="H176" s="447"/>
      <c r="I176" s="512">
        <f t="shared" si="5"/>
        <v>151635.18</v>
      </c>
      <c r="J176" s="512"/>
      <c r="K176" s="549" t="s">
        <v>1823</v>
      </c>
      <c r="M176" s="512">
        <f t="shared" si="6"/>
      </c>
    </row>
    <row r="177" spans="1:13" ht="15">
      <c r="A177" s="3" t="s">
        <v>823</v>
      </c>
      <c r="B177" s="548">
        <v>4470141</v>
      </c>
      <c r="C177" s="566">
        <v>1581.1570169999998</v>
      </c>
      <c r="D177" s="566">
        <v>318.5899695</v>
      </c>
      <c r="E177" s="566">
        <v>811.5486389999999</v>
      </c>
      <c r="F177" s="566">
        <v>1038.778587</v>
      </c>
      <c r="G177" s="566">
        <v>838.5757874999999</v>
      </c>
      <c r="H177" s="447"/>
      <c r="I177" s="512">
        <f t="shared" si="5"/>
        <v>4588.65</v>
      </c>
      <c r="J177" s="512"/>
      <c r="K177" s="549" t="s">
        <v>1823</v>
      </c>
      <c r="M177" s="512">
        <f t="shared" si="6"/>
      </c>
    </row>
    <row r="178" spans="1:13" ht="15">
      <c r="A178" s="3" t="s">
        <v>824</v>
      </c>
      <c r="B178" s="548">
        <v>4470141</v>
      </c>
      <c r="C178" s="566">
        <v>13984.4243826</v>
      </c>
      <c r="D178" s="566">
        <v>2817.7450371000004</v>
      </c>
      <c r="E178" s="566">
        <v>7177.6809342</v>
      </c>
      <c r="F178" s="566">
        <v>9187.3991286</v>
      </c>
      <c r="G178" s="566">
        <v>7416.7205175</v>
      </c>
      <c r="H178" s="447"/>
      <c r="I178" s="512">
        <f t="shared" si="5"/>
        <v>40583.97</v>
      </c>
      <c r="J178" s="512"/>
      <c r="K178" s="549" t="s">
        <v>1823</v>
      </c>
      <c r="M178" s="512">
        <f t="shared" si="6"/>
      </c>
    </row>
    <row r="179" spans="1:13" ht="15">
      <c r="A179" s="3" t="s">
        <v>825</v>
      </c>
      <c r="B179" s="548">
        <v>4470141</v>
      </c>
      <c r="C179" s="566">
        <v>157.8831102</v>
      </c>
      <c r="D179" s="566">
        <v>31.812131700000002</v>
      </c>
      <c r="E179" s="566">
        <v>81.03548339999999</v>
      </c>
      <c r="F179" s="566">
        <v>103.7250522</v>
      </c>
      <c r="G179" s="566">
        <v>83.7342225</v>
      </c>
      <c r="H179" s="447"/>
      <c r="I179" s="512">
        <f t="shared" si="5"/>
        <v>458.19</v>
      </c>
      <c r="J179" s="512"/>
      <c r="K179" s="549" t="s">
        <v>1823</v>
      </c>
      <c r="M179" s="512">
        <f t="shared" si="6"/>
      </c>
    </row>
    <row r="180" spans="1:13" ht="15">
      <c r="A180" s="3" t="s">
        <v>1814</v>
      </c>
      <c r="B180" s="548">
        <v>4470141</v>
      </c>
      <c r="C180" s="566">
        <v>1432.505205</v>
      </c>
      <c r="D180" s="566">
        <v>288.6378675</v>
      </c>
      <c r="E180" s="566">
        <v>735.251235</v>
      </c>
      <c r="F180" s="566">
        <v>941.118255</v>
      </c>
      <c r="G180" s="566">
        <v>759.7374374999999</v>
      </c>
      <c r="H180" s="447"/>
      <c r="I180" s="512">
        <f t="shared" si="5"/>
        <v>4157.25</v>
      </c>
      <c r="J180" s="512"/>
      <c r="K180" s="549" t="s">
        <v>1823</v>
      </c>
      <c r="M180" s="512">
        <f t="shared" si="6"/>
      </c>
    </row>
    <row r="181" spans="1:13" ht="15">
      <c r="A181" s="3" t="s">
        <v>413</v>
      </c>
      <c r="B181" s="548">
        <v>4470141</v>
      </c>
      <c r="C181" s="566">
        <v>1832.7624414</v>
      </c>
      <c r="D181" s="566">
        <v>369.2863669</v>
      </c>
      <c r="E181" s="566">
        <v>940.6882737999999</v>
      </c>
      <c r="F181" s="566">
        <v>1204.0767354</v>
      </c>
      <c r="G181" s="566">
        <v>972.0161825</v>
      </c>
      <c r="H181" s="447"/>
      <c r="I181" s="512">
        <f t="shared" si="5"/>
        <v>5318.83</v>
      </c>
      <c r="J181" s="512"/>
      <c r="K181" s="549" t="s">
        <v>1823</v>
      </c>
      <c r="M181" s="512">
        <f t="shared" si="6"/>
      </c>
    </row>
    <row r="182" spans="1:13" ht="15">
      <c r="A182" s="3" t="s">
        <v>1825</v>
      </c>
      <c r="B182" s="548">
        <v>4470141</v>
      </c>
      <c r="C182" s="566">
        <v>18938.4338136</v>
      </c>
      <c r="D182" s="566">
        <v>3815.9366756000004</v>
      </c>
      <c r="E182" s="566">
        <v>9720.388311199998</v>
      </c>
      <c r="F182" s="566">
        <v>12442.053069599999</v>
      </c>
      <c r="G182" s="566">
        <v>10044.108129999999</v>
      </c>
      <c r="H182" s="532"/>
      <c r="I182" s="512">
        <f t="shared" si="5"/>
        <v>54960.92</v>
      </c>
      <c r="J182" s="512"/>
      <c r="K182" s="549" t="s">
        <v>1823</v>
      </c>
      <c r="M182" s="512">
        <f t="shared" si="6"/>
      </c>
    </row>
    <row r="183" spans="1:13" ht="15">
      <c r="A183" s="3" t="s">
        <v>1816</v>
      </c>
      <c r="B183" s="548">
        <v>4470141</v>
      </c>
      <c r="C183" s="566">
        <v>71075.2726662</v>
      </c>
      <c r="D183" s="566">
        <v>14321.075457700003</v>
      </c>
      <c r="E183" s="566">
        <v>36480.2737354</v>
      </c>
      <c r="F183" s="566">
        <v>46694.5853682</v>
      </c>
      <c r="G183" s="566">
        <v>37695.182772500004</v>
      </c>
      <c r="H183" s="532"/>
      <c r="I183" s="512">
        <f t="shared" si="5"/>
        <v>206266.39</v>
      </c>
      <c r="J183" s="512"/>
      <c r="K183" s="549" t="s">
        <v>1823</v>
      </c>
      <c r="M183" s="512">
        <f t="shared" si="6"/>
      </c>
    </row>
    <row r="184" spans="1:13" ht="15">
      <c r="A184" s="3" t="s">
        <v>808</v>
      </c>
      <c r="B184" s="548">
        <v>4470141</v>
      </c>
      <c r="C184" s="566">
        <v>-4.290020999999999</v>
      </c>
      <c r="D184" s="566">
        <v>-0.8644035</v>
      </c>
      <c r="E184" s="566">
        <v>-2.201907</v>
      </c>
      <c r="F184" s="566">
        <v>-2.818431</v>
      </c>
      <c r="G184" s="566">
        <v>-2.2752375</v>
      </c>
      <c r="H184" s="532"/>
      <c r="I184" s="512">
        <f t="shared" si="5"/>
        <v>-12.45</v>
      </c>
      <c r="J184" s="512"/>
      <c r="K184" s="549" t="s">
        <v>1823</v>
      </c>
      <c r="M184" s="512">
        <f t="shared" si="6"/>
      </c>
    </row>
    <row r="185" spans="1:13" ht="15">
      <c r="A185" s="3" t="s">
        <v>1818</v>
      </c>
      <c r="B185" s="548">
        <v>4470141</v>
      </c>
      <c r="C185" s="566">
        <v>96803.9344896</v>
      </c>
      <c r="D185" s="566">
        <v>19505.1865216</v>
      </c>
      <c r="E185" s="566">
        <v>49685.83160319999</v>
      </c>
      <c r="F185" s="566">
        <v>63597.6397056</v>
      </c>
      <c r="G185" s="566">
        <v>51340.52768</v>
      </c>
      <c r="H185" s="532"/>
      <c r="I185" s="512">
        <f t="shared" si="5"/>
        <v>280933.12</v>
      </c>
      <c r="J185" s="512"/>
      <c r="K185" s="551" t="s">
        <v>1823</v>
      </c>
      <c r="M185" s="512">
        <f t="shared" si="6"/>
      </c>
    </row>
    <row r="186" spans="1:13" ht="15">
      <c r="A186" s="3" t="s">
        <v>1256</v>
      </c>
      <c r="B186" s="548">
        <v>4470141</v>
      </c>
      <c r="C186" s="566">
        <v>2489.8902846</v>
      </c>
      <c r="D186" s="566">
        <v>501.69215410000004</v>
      </c>
      <c r="E186" s="566">
        <v>1277.9673682</v>
      </c>
      <c r="F186" s="566">
        <v>1635.7924506</v>
      </c>
      <c r="G186" s="566">
        <v>1320.5277425</v>
      </c>
      <c r="H186" s="532"/>
      <c r="I186" s="512">
        <f t="shared" si="5"/>
        <v>7225.870000000001</v>
      </c>
      <c r="J186" s="512"/>
      <c r="K186" s="549" t="s">
        <v>1823</v>
      </c>
      <c r="M186" s="512">
        <f t="shared" si="6"/>
      </c>
    </row>
    <row r="187" spans="1:13" ht="15">
      <c r="A187" s="3" t="s">
        <v>809</v>
      </c>
      <c r="B187" s="548">
        <v>4470141</v>
      </c>
      <c r="C187" s="566">
        <v>2450.4772242</v>
      </c>
      <c r="D187" s="566">
        <v>493.7507507</v>
      </c>
      <c r="E187" s="566">
        <v>1257.7381214</v>
      </c>
      <c r="F187" s="566">
        <v>1609.8991062</v>
      </c>
      <c r="G187" s="566">
        <v>1299.6247974999999</v>
      </c>
      <c r="H187" s="532"/>
      <c r="I187" s="512">
        <f t="shared" si="5"/>
        <v>7111.489999999999</v>
      </c>
      <c r="J187" s="512"/>
      <c r="K187" s="551" t="s">
        <v>1823</v>
      </c>
      <c r="M187" s="512">
        <f t="shared" si="6"/>
      </c>
    </row>
    <row r="188" spans="1:13" ht="15">
      <c r="A188" s="3" t="s">
        <v>826</v>
      </c>
      <c r="B188" s="548">
        <v>4470141</v>
      </c>
      <c r="C188" s="566">
        <v>819.1493591999999</v>
      </c>
      <c r="D188" s="566">
        <v>165.05177319999999</v>
      </c>
      <c r="E188" s="566">
        <v>420.43866639999993</v>
      </c>
      <c r="F188" s="566">
        <v>538.1595911999999</v>
      </c>
      <c r="G188" s="566">
        <v>434.44060999999994</v>
      </c>
      <c r="H188" s="532"/>
      <c r="I188" s="512">
        <f t="shared" si="5"/>
        <v>2377.24</v>
      </c>
      <c r="J188" s="512"/>
      <c r="K188" s="551" t="s">
        <v>1823</v>
      </c>
      <c r="M188" s="512">
        <f t="shared" si="6"/>
      </c>
    </row>
    <row r="189" spans="1:13" ht="15">
      <c r="A189" s="3" t="s">
        <v>1856</v>
      </c>
      <c r="B189" s="548">
        <v>4470098</v>
      </c>
      <c r="C189" s="566">
        <v>3808.9287414</v>
      </c>
      <c r="D189" s="566">
        <v>767.4674169000001</v>
      </c>
      <c r="E189" s="566">
        <v>1954.9803737999998</v>
      </c>
      <c r="F189" s="566">
        <v>2502.3660354</v>
      </c>
      <c r="G189" s="566">
        <v>2020.0874325</v>
      </c>
      <c r="H189" s="532"/>
      <c r="I189" s="512">
        <f t="shared" si="5"/>
        <v>11053.83</v>
      </c>
      <c r="J189" s="512"/>
      <c r="K189" s="549" t="s">
        <v>607</v>
      </c>
      <c r="M189" s="512">
        <f t="shared" si="6"/>
        <v>11053.83</v>
      </c>
    </row>
    <row r="190" spans="1:13" s="3" customFormat="1" ht="15" customHeight="1">
      <c r="A190" s="3" t="s">
        <v>810</v>
      </c>
      <c r="B190" s="548">
        <v>4470098</v>
      </c>
      <c r="C190" s="566">
        <v>23.152330199999998</v>
      </c>
      <c r="D190" s="566">
        <v>4.6650017</v>
      </c>
      <c r="E190" s="566">
        <v>11.883223399999999</v>
      </c>
      <c r="F190" s="566">
        <v>15.2104722</v>
      </c>
      <c r="G190" s="566">
        <v>12.2789725</v>
      </c>
      <c r="H190" s="532"/>
      <c r="I190" s="512">
        <f t="shared" si="5"/>
        <v>67.19</v>
      </c>
      <c r="J190" s="512"/>
      <c r="K190" s="549" t="s">
        <v>607</v>
      </c>
      <c r="M190" s="512">
        <f t="shared" si="6"/>
        <v>67.19</v>
      </c>
    </row>
    <row r="191" spans="1:13" s="3" customFormat="1" ht="15" customHeight="1">
      <c r="A191" s="3" t="s">
        <v>1821</v>
      </c>
      <c r="B191" s="548">
        <v>4470141</v>
      </c>
      <c r="C191" s="566">
        <v>3365.392257</v>
      </c>
      <c r="D191" s="566">
        <v>678.0985095</v>
      </c>
      <c r="E191" s="566">
        <v>1727.3297189999998</v>
      </c>
      <c r="F191" s="566">
        <v>2210.9742269999997</v>
      </c>
      <c r="G191" s="566">
        <v>1784.8552874999998</v>
      </c>
      <c r="H191" s="532"/>
      <c r="I191" s="512">
        <f t="shared" si="5"/>
        <v>9766.65</v>
      </c>
      <c r="J191" s="512"/>
      <c r="K191" s="549" t="s">
        <v>1823</v>
      </c>
      <c r="M191" s="512">
        <f t="shared" si="6"/>
      </c>
    </row>
    <row r="192" spans="1:13" ht="15">
      <c r="A192" s="3" t="s">
        <v>1858</v>
      </c>
      <c r="B192" s="548">
        <v>4470141</v>
      </c>
      <c r="C192" s="566">
        <v>26.70495</v>
      </c>
      <c r="D192" s="566">
        <v>5.380825000000001</v>
      </c>
      <c r="E192" s="566">
        <v>13.70665</v>
      </c>
      <c r="F192" s="566">
        <v>17.54445</v>
      </c>
      <c r="G192" s="566">
        <v>14.163125</v>
      </c>
      <c r="H192" s="532"/>
      <c r="I192" s="512">
        <f t="shared" si="5"/>
        <v>77.5</v>
      </c>
      <c r="J192" s="512"/>
      <c r="K192" s="549" t="s">
        <v>1823</v>
      </c>
      <c r="M192" s="512">
        <f t="shared" si="6"/>
      </c>
    </row>
    <row r="193" spans="1:13" ht="15">
      <c r="A193" s="3" t="s">
        <v>1800</v>
      </c>
      <c r="B193" s="548">
        <v>4470141</v>
      </c>
      <c r="C193" s="566">
        <v>1824.0859169999999</v>
      </c>
      <c r="D193" s="566">
        <v>367.5381195</v>
      </c>
      <c r="E193" s="566">
        <v>936.2349389999998</v>
      </c>
      <c r="F193" s="566">
        <v>1198.376487</v>
      </c>
      <c r="G193" s="566">
        <v>967.4145374999999</v>
      </c>
      <c r="H193" s="532"/>
      <c r="I193" s="512">
        <f t="shared" si="5"/>
        <v>5293.65</v>
      </c>
      <c r="J193" s="512"/>
      <c r="K193" s="549" t="s">
        <v>1823</v>
      </c>
      <c r="M193" s="512">
        <f t="shared" si="6"/>
      </c>
    </row>
    <row r="194" spans="1:13" ht="15">
      <c r="A194" s="3" t="s">
        <v>811</v>
      </c>
      <c r="B194" s="548">
        <v>4470141</v>
      </c>
      <c r="C194" s="566">
        <v>-0.12749459999999999</v>
      </c>
      <c r="D194" s="566">
        <v>-0.025689100000000003</v>
      </c>
      <c r="E194" s="566">
        <v>-0.0654382</v>
      </c>
      <c r="F194" s="566">
        <v>-0.0837606</v>
      </c>
      <c r="G194" s="566">
        <v>-0.0676175</v>
      </c>
      <c r="H194" s="532"/>
      <c r="I194" s="512">
        <f t="shared" si="5"/>
        <v>-0.37</v>
      </c>
      <c r="J194" s="512"/>
      <c r="K194" s="549" t="s">
        <v>1823</v>
      </c>
      <c r="M194" s="512">
        <f t="shared" si="6"/>
      </c>
    </row>
    <row r="195" spans="1:13" ht="15">
      <c r="A195" s="3" t="s">
        <v>1852</v>
      </c>
      <c r="B195" s="548">
        <v>4470115</v>
      </c>
      <c r="C195" s="566">
        <v>-45965.169846599994</v>
      </c>
      <c r="D195" s="566">
        <v>-9261.5988811</v>
      </c>
      <c r="E195" s="566">
        <v>-23592.199022199995</v>
      </c>
      <c r="F195" s="566">
        <v>-30197.908032599997</v>
      </c>
      <c r="G195" s="566">
        <v>-24377.894217499997</v>
      </c>
      <c r="H195" s="532"/>
      <c r="I195" s="512">
        <f t="shared" si="5"/>
        <v>-133394.76999999996</v>
      </c>
      <c r="J195" s="512"/>
      <c r="K195" s="549" t="s">
        <v>607</v>
      </c>
      <c r="M195" s="512">
        <f t="shared" si="6"/>
        <v>-133394.76999999996</v>
      </c>
    </row>
    <row r="196" spans="1:13" ht="15">
      <c r="A196" s="3" t="s">
        <v>1859</v>
      </c>
      <c r="B196" s="548">
        <v>4470126</v>
      </c>
      <c r="C196" s="566">
        <v>2160.1306704</v>
      </c>
      <c r="D196" s="566">
        <v>435.2483384</v>
      </c>
      <c r="E196" s="566">
        <v>1108.7141168</v>
      </c>
      <c r="F196" s="566">
        <v>1419.1490544</v>
      </c>
      <c r="G196" s="566">
        <v>1145.63782</v>
      </c>
      <c r="H196" s="532"/>
      <c r="I196" s="512">
        <f t="shared" si="5"/>
        <v>6268.88</v>
      </c>
      <c r="J196" s="512"/>
      <c r="K196" s="549" t="s">
        <v>607</v>
      </c>
      <c r="M196" s="512">
        <f t="shared" si="6"/>
        <v>6268.88</v>
      </c>
    </row>
    <row r="197" spans="1:13" ht="15">
      <c r="A197" s="3" t="s">
        <v>473</v>
      </c>
      <c r="B197" s="548">
        <v>4470209</v>
      </c>
      <c r="C197" s="566">
        <v>344.321565</v>
      </c>
      <c r="D197" s="566">
        <v>69.37792750000001</v>
      </c>
      <c r="E197" s="566">
        <v>176.727355</v>
      </c>
      <c r="F197" s="566">
        <v>226.210215</v>
      </c>
      <c r="G197" s="566">
        <v>182.6129375</v>
      </c>
      <c r="H197" s="532"/>
      <c r="I197" s="512">
        <f t="shared" si="5"/>
        <v>999.25</v>
      </c>
      <c r="J197" s="512"/>
      <c r="K197" s="549" t="s">
        <v>607</v>
      </c>
      <c r="M197" s="512">
        <f t="shared" si="6"/>
        <v>999.25</v>
      </c>
    </row>
    <row r="198" spans="1:13" ht="15">
      <c r="A198" s="3" t="s">
        <v>1860</v>
      </c>
      <c r="B198" s="548">
        <v>4470209</v>
      </c>
      <c r="C198" s="566">
        <v>1435.4892677999999</v>
      </c>
      <c r="D198" s="566">
        <v>289.2391313</v>
      </c>
      <c r="E198" s="566">
        <v>736.7828426</v>
      </c>
      <c r="F198" s="566">
        <v>943.0787058</v>
      </c>
      <c r="G198" s="566">
        <v>761.3200525</v>
      </c>
      <c r="H198" s="532"/>
      <c r="I198" s="512">
        <f t="shared" si="5"/>
        <v>4165.91</v>
      </c>
      <c r="J198" s="512"/>
      <c r="K198" s="549" t="s">
        <v>607</v>
      </c>
      <c r="M198" s="512">
        <f t="shared" si="6"/>
        <v>4165.91</v>
      </c>
    </row>
    <row r="199" spans="1:13" ht="15">
      <c r="A199" s="3" t="s">
        <v>474</v>
      </c>
      <c r="B199" s="548">
        <v>4470141</v>
      </c>
      <c r="C199" s="566">
        <v>11.8604436</v>
      </c>
      <c r="D199" s="566">
        <v>2.3897806000000004</v>
      </c>
      <c r="E199" s="566">
        <v>6.0875212</v>
      </c>
      <c r="F199" s="566">
        <v>7.7919996000000005</v>
      </c>
      <c r="G199" s="566">
        <v>6.290255</v>
      </c>
      <c r="H199" s="532"/>
      <c r="I199" s="512">
        <f t="shared" si="5"/>
        <v>34.42</v>
      </c>
      <c r="J199" s="512"/>
      <c r="K199" s="549" t="s">
        <v>1823</v>
      </c>
      <c r="M199" s="512">
        <f t="shared" si="6"/>
      </c>
    </row>
    <row r="200" spans="1:13" ht="15">
      <c r="A200" s="3" t="s">
        <v>1848</v>
      </c>
      <c r="B200" s="548">
        <v>4470141</v>
      </c>
      <c r="C200" s="566">
        <v>-204.6253872</v>
      </c>
      <c r="D200" s="566">
        <v>-41.2303112</v>
      </c>
      <c r="E200" s="566">
        <v>-105.0265424</v>
      </c>
      <c r="F200" s="566">
        <v>-134.4334992</v>
      </c>
      <c r="G200" s="566">
        <v>-108.52426</v>
      </c>
      <c r="H200" s="532"/>
      <c r="I200" s="512">
        <f t="shared" si="5"/>
        <v>-593.84</v>
      </c>
      <c r="J200" s="512"/>
      <c r="K200" s="549" t="s">
        <v>1823</v>
      </c>
      <c r="M200" s="512">
        <f t="shared" si="6"/>
      </c>
    </row>
    <row r="201" spans="1:13" ht="15">
      <c r="A201" s="3" t="s">
        <v>475</v>
      </c>
      <c r="B201" s="548">
        <v>4470141</v>
      </c>
      <c r="C201" s="566">
        <v>127.33609320000001</v>
      </c>
      <c r="D201" s="566">
        <v>25.657162200000002</v>
      </c>
      <c r="E201" s="566">
        <v>65.3568444</v>
      </c>
      <c r="F201" s="566">
        <v>83.6564652</v>
      </c>
      <c r="G201" s="566">
        <v>67.533435</v>
      </c>
      <c r="H201" s="532"/>
      <c r="I201" s="512">
        <f t="shared" si="5"/>
        <v>369.54</v>
      </c>
      <c r="J201" s="512"/>
      <c r="K201" s="549" t="s">
        <v>1823</v>
      </c>
      <c r="M201" s="512">
        <f t="shared" si="6"/>
      </c>
    </row>
    <row r="202" spans="1:13" ht="15">
      <c r="A202" s="3" t="s">
        <v>476</v>
      </c>
      <c r="B202" s="548">
        <v>4470141</v>
      </c>
      <c r="C202" s="566">
        <v>-38.2759464</v>
      </c>
      <c r="D202" s="566">
        <v>-7.712284400000001</v>
      </c>
      <c r="E202" s="566">
        <v>-19.645608799999998</v>
      </c>
      <c r="F202" s="566">
        <v>-25.146290399999998</v>
      </c>
      <c r="G202" s="566">
        <v>-20.29987</v>
      </c>
      <c r="H202" s="532"/>
      <c r="I202" s="512">
        <f t="shared" si="5"/>
        <v>-111.08</v>
      </c>
      <c r="J202" s="512"/>
      <c r="K202" s="549" t="s">
        <v>1823</v>
      </c>
      <c r="M202" s="512">
        <f t="shared" si="6"/>
      </c>
    </row>
    <row r="203" spans="1:13" ht="15">
      <c r="A203" s="3" t="s">
        <v>477</v>
      </c>
      <c r="B203" s="548">
        <v>4470141</v>
      </c>
      <c r="C203" s="566">
        <v>-0.5099783999999999</v>
      </c>
      <c r="D203" s="566">
        <v>-0.10275640000000001</v>
      </c>
      <c r="E203" s="566">
        <v>-0.2617528</v>
      </c>
      <c r="F203" s="566">
        <v>-0.3350424</v>
      </c>
      <c r="G203" s="566">
        <v>-0.27047</v>
      </c>
      <c r="H203" s="532"/>
      <c r="I203" s="512">
        <f t="shared" si="5"/>
        <v>-1.48</v>
      </c>
      <c r="J203" s="512"/>
      <c r="K203" s="549" t="s">
        <v>1823</v>
      </c>
      <c r="M203" s="512">
        <f t="shared" si="6"/>
      </c>
    </row>
    <row r="204" spans="1:13" ht="15">
      <c r="A204" s="3" t="s">
        <v>478</v>
      </c>
      <c r="B204" s="548">
        <v>4470141</v>
      </c>
      <c r="C204" s="566">
        <v>-5.1893748</v>
      </c>
      <c r="D204" s="566">
        <v>-1.0456158000000002</v>
      </c>
      <c r="E204" s="566">
        <v>-2.6635116</v>
      </c>
      <c r="F204" s="566">
        <v>-3.4092828</v>
      </c>
      <c r="G204" s="566">
        <v>-2.752215</v>
      </c>
      <c r="H204" s="532"/>
      <c r="I204" s="512">
        <f t="shared" si="5"/>
        <v>-15.06</v>
      </c>
      <c r="J204" s="512"/>
      <c r="K204" s="549" t="s">
        <v>1823</v>
      </c>
      <c r="M204" s="512">
        <f t="shared" si="6"/>
      </c>
    </row>
    <row r="205" spans="1:13" ht="15">
      <c r="A205" s="3" t="s">
        <v>479</v>
      </c>
      <c r="B205" s="548">
        <v>4470141</v>
      </c>
      <c r="C205" s="566">
        <v>-9.083128799999999</v>
      </c>
      <c r="D205" s="566">
        <v>-1.8301748000000002</v>
      </c>
      <c r="E205" s="566">
        <v>-4.662029599999999</v>
      </c>
      <c r="F205" s="566">
        <v>-5.9673768</v>
      </c>
      <c r="G205" s="566">
        <v>-4.81729</v>
      </c>
      <c r="H205" s="532"/>
      <c r="I205" s="512">
        <f t="shared" si="5"/>
        <v>-26.36</v>
      </c>
      <c r="J205" s="512"/>
      <c r="K205" s="549" t="s">
        <v>1823</v>
      </c>
      <c r="M205" s="512">
        <f t="shared" si="6"/>
      </c>
    </row>
    <row r="206" spans="1:13" ht="15">
      <c r="A206" s="3" t="s">
        <v>1850</v>
      </c>
      <c r="B206" s="548">
        <v>4470141</v>
      </c>
      <c r="C206" s="566">
        <v>-64.2262662</v>
      </c>
      <c r="D206" s="566">
        <v>-12.9410577</v>
      </c>
      <c r="E206" s="566">
        <v>-32.964935399999995</v>
      </c>
      <c r="F206" s="566">
        <v>-42.1949682</v>
      </c>
      <c r="G206" s="566">
        <v>-34.062772499999994</v>
      </c>
      <c r="H206" s="532"/>
      <c r="I206" s="512">
        <f t="shared" si="5"/>
        <v>-186.39</v>
      </c>
      <c r="J206" s="512"/>
      <c r="K206" s="549" t="s">
        <v>1823</v>
      </c>
      <c r="M206" s="512">
        <f t="shared" si="6"/>
      </c>
    </row>
    <row r="207" spans="1:13" ht="15">
      <c r="A207" s="3" t="s">
        <v>1851</v>
      </c>
      <c r="B207" s="548">
        <v>4470141</v>
      </c>
      <c r="C207" s="566">
        <v>-363.05293379999995</v>
      </c>
      <c r="D207" s="566">
        <v>-73.1521423</v>
      </c>
      <c r="E207" s="566">
        <v>-186.34146459999997</v>
      </c>
      <c r="F207" s="566">
        <v>-238.51623179999999</v>
      </c>
      <c r="G207" s="566">
        <v>-192.5472275</v>
      </c>
      <c r="H207" s="532"/>
      <c r="I207" s="512">
        <f t="shared" si="5"/>
        <v>-1053.61</v>
      </c>
      <c r="J207" s="512"/>
      <c r="K207" s="549" t="s">
        <v>1823</v>
      </c>
      <c r="M207" s="512">
        <f t="shared" si="6"/>
      </c>
    </row>
    <row r="208" spans="1:13" ht="15">
      <c r="A208" s="3" t="s">
        <v>1849</v>
      </c>
      <c r="B208" s="548">
        <v>4470141</v>
      </c>
      <c r="C208" s="566">
        <v>-16.3951164</v>
      </c>
      <c r="D208" s="566">
        <v>-3.3034794</v>
      </c>
      <c r="E208" s="566">
        <v>-8.4149988</v>
      </c>
      <c r="F208" s="566">
        <v>-10.7711604</v>
      </c>
      <c r="G208" s="566">
        <v>-8.695245</v>
      </c>
      <c r="H208" s="532"/>
      <c r="I208" s="512">
        <f t="shared" si="5"/>
        <v>-47.58</v>
      </c>
      <c r="J208" s="512"/>
      <c r="K208" s="549" t="s">
        <v>1823</v>
      </c>
      <c r="M208" s="512">
        <f t="shared" si="6"/>
      </c>
    </row>
    <row r="209" spans="1:13" ht="15">
      <c r="A209" s="3" t="s">
        <v>827</v>
      </c>
      <c r="B209" s="548">
        <v>4470141</v>
      </c>
      <c r="C209" s="566">
        <v>-4.8447948</v>
      </c>
      <c r="D209" s="566">
        <v>-0.9761858000000001</v>
      </c>
      <c r="E209" s="566">
        <v>-2.4866516</v>
      </c>
      <c r="F209" s="566">
        <v>-3.1829028</v>
      </c>
      <c r="G209" s="566">
        <v>-2.569465</v>
      </c>
      <c r="H209" s="532"/>
      <c r="I209" s="512">
        <f t="shared" si="5"/>
        <v>-14.060000000000002</v>
      </c>
      <c r="J209" s="512"/>
      <c r="K209" s="549" t="s">
        <v>1823</v>
      </c>
      <c r="M209" s="512">
        <f t="shared" si="6"/>
      </c>
    </row>
    <row r="210" spans="1:13" ht="15">
      <c r="A210" s="3" t="s">
        <v>812</v>
      </c>
      <c r="B210" s="548">
        <v>4470098</v>
      </c>
      <c r="C210" s="566">
        <v>-51.9902304</v>
      </c>
      <c r="D210" s="566">
        <v>-10.4755984</v>
      </c>
      <c r="E210" s="566">
        <v>-26.684636799999996</v>
      </c>
      <c r="F210" s="566">
        <v>-34.156214399999996</v>
      </c>
      <c r="G210" s="566">
        <v>-27.57332</v>
      </c>
      <c r="H210" s="532"/>
      <c r="I210" s="512">
        <f t="shared" si="5"/>
        <v>-150.88</v>
      </c>
      <c r="J210" s="512"/>
      <c r="K210" s="549" t="s">
        <v>607</v>
      </c>
      <c r="M210" s="512">
        <f t="shared" si="6"/>
        <v>-150.88</v>
      </c>
    </row>
    <row r="211" spans="1:13" ht="15">
      <c r="A211" s="3" t="s">
        <v>1846</v>
      </c>
      <c r="B211" s="548">
        <v>4470141</v>
      </c>
      <c r="C211" s="566">
        <v>-11.577888</v>
      </c>
      <c r="D211" s="566">
        <v>-2.3328480000000003</v>
      </c>
      <c r="E211" s="566">
        <v>-5.942496</v>
      </c>
      <c r="F211" s="566">
        <v>-7.606368000000001</v>
      </c>
      <c r="G211" s="566">
        <v>-6.1404000000000005</v>
      </c>
      <c r="H211" s="532"/>
      <c r="I211" s="512">
        <f t="shared" si="5"/>
        <v>-33.6</v>
      </c>
      <c r="J211" s="512"/>
      <c r="K211" s="549" t="s">
        <v>1823</v>
      </c>
      <c r="M211" s="512">
        <f t="shared" si="6"/>
      </c>
    </row>
    <row r="212" spans="1:13" ht="15">
      <c r="A212" s="3" t="s">
        <v>828</v>
      </c>
      <c r="B212" s="548">
        <v>4470141</v>
      </c>
      <c r="C212" s="566">
        <v>-0.7684134</v>
      </c>
      <c r="D212" s="566">
        <v>-0.15482890000000002</v>
      </c>
      <c r="E212" s="566">
        <v>-0.39439779999999997</v>
      </c>
      <c r="F212" s="566">
        <v>-0.5048274</v>
      </c>
      <c r="G212" s="566">
        <v>-0.40753249999999996</v>
      </c>
      <c r="H212" s="532"/>
      <c r="I212" s="512">
        <f t="shared" si="5"/>
        <v>-2.23</v>
      </c>
      <c r="J212" s="512"/>
      <c r="K212" s="549" t="s">
        <v>1823</v>
      </c>
      <c r="M212" s="512">
        <f t="shared" si="6"/>
      </c>
    </row>
    <row r="213" spans="1:13" ht="15">
      <c r="A213" s="3" t="s">
        <v>410</v>
      </c>
      <c r="B213" s="548">
        <v>4470100</v>
      </c>
      <c r="C213" s="566">
        <v>279810.2484408</v>
      </c>
      <c r="D213" s="566">
        <v>56379.4345268</v>
      </c>
      <c r="E213" s="566">
        <v>143616.1139336</v>
      </c>
      <c r="F213" s="566">
        <v>183827.9762088</v>
      </c>
      <c r="G213" s="566">
        <v>148398.98689</v>
      </c>
      <c r="H213" s="532"/>
      <c r="I213" s="512">
        <f t="shared" si="5"/>
        <v>812032.76</v>
      </c>
      <c r="J213" s="512"/>
      <c r="K213" s="549" t="s">
        <v>607</v>
      </c>
      <c r="M213" s="512">
        <f t="shared" si="6"/>
        <v>812032.76</v>
      </c>
    </row>
    <row r="214" spans="1:13" ht="15">
      <c r="A214" s="3" t="s">
        <v>1809</v>
      </c>
      <c r="B214" s="548">
        <v>4470141</v>
      </c>
      <c r="C214" s="566">
        <v>1863035.4897336</v>
      </c>
      <c r="D214" s="566">
        <v>375386.13399560004</v>
      </c>
      <c r="E214" s="566">
        <v>956226.2949511999</v>
      </c>
      <c r="F214" s="566">
        <v>1223965.3321896</v>
      </c>
      <c r="G214" s="566">
        <v>988071.6691299999</v>
      </c>
      <c r="H214" s="532"/>
      <c r="I214" s="512">
        <f t="shared" si="5"/>
        <v>5406684.920000001</v>
      </c>
      <c r="J214" s="512"/>
      <c r="K214" s="549" t="s">
        <v>1823</v>
      </c>
      <c r="M214" s="512">
        <f t="shared" si="6"/>
      </c>
    </row>
    <row r="215" spans="1:13" ht="15">
      <c r="A215" s="3" t="s">
        <v>154</v>
      </c>
      <c r="B215" s="548">
        <v>4470141</v>
      </c>
      <c r="C215" s="566">
        <v>2322.8020760000004</v>
      </c>
      <c r="D215" s="566">
        <v>559.7613</v>
      </c>
      <c r="E215" s="566">
        <v>1845.1391</v>
      </c>
      <c r="F215" s="566">
        <v>2637.0976800000003</v>
      </c>
      <c r="G215" s="566">
        <v>927.959844</v>
      </c>
      <c r="H215" s="532"/>
      <c r="I215" s="512">
        <f t="shared" si="5"/>
        <v>8292.760000000002</v>
      </c>
      <c r="J215" s="512"/>
      <c r="K215" s="549" t="s">
        <v>1823</v>
      </c>
      <c r="M215" s="512">
        <f t="shared" si="6"/>
      </c>
    </row>
    <row r="216" spans="1:13" ht="15">
      <c r="A216" s="3" t="s">
        <v>1806</v>
      </c>
      <c r="B216" s="548">
        <v>4470141</v>
      </c>
      <c r="C216" s="566">
        <v>2030.1087800000003</v>
      </c>
      <c r="D216" s="566">
        <v>489.22650000000004</v>
      </c>
      <c r="E216" s="566">
        <v>1612.6355</v>
      </c>
      <c r="F216" s="566">
        <v>2304.8004</v>
      </c>
      <c r="G216" s="566">
        <v>811.02882</v>
      </c>
      <c r="H216" s="532"/>
      <c r="I216" s="512">
        <f t="shared" si="5"/>
        <v>7247.800000000001</v>
      </c>
      <c r="J216" s="512"/>
      <c r="K216" s="549" t="s">
        <v>1823</v>
      </c>
      <c r="M216" s="512">
        <f t="shared" si="6"/>
      </c>
    </row>
    <row r="217" spans="1:13" ht="15">
      <c r="A217" s="3" t="s">
        <v>1807</v>
      </c>
      <c r="B217" s="548">
        <v>4470141</v>
      </c>
      <c r="C217" s="566">
        <v>-12904.734639600001</v>
      </c>
      <c r="D217" s="566">
        <v>-2600.1965466000006</v>
      </c>
      <c r="E217" s="566">
        <v>-6623.5166532</v>
      </c>
      <c r="F217" s="566">
        <v>-8478.071355600001</v>
      </c>
      <c r="G217" s="566">
        <v>-6844.100805</v>
      </c>
      <c r="H217" s="532"/>
      <c r="I217" s="512">
        <f t="shared" si="5"/>
        <v>-37450.62</v>
      </c>
      <c r="J217" s="512"/>
      <c r="K217" s="549" t="s">
        <v>1823</v>
      </c>
      <c r="M217" s="512">
        <f t="shared" si="6"/>
      </c>
    </row>
    <row r="218" spans="1:13" ht="15">
      <c r="A218" s="3" t="s">
        <v>1811</v>
      </c>
      <c r="B218" s="548">
        <v>4470141</v>
      </c>
      <c r="C218" s="566">
        <v>-7488.626199599999</v>
      </c>
      <c r="D218" s="566">
        <v>-1508.8958066</v>
      </c>
      <c r="E218" s="566">
        <v>-3843.6311731999995</v>
      </c>
      <c r="F218" s="566">
        <v>-4919.8305156</v>
      </c>
      <c r="G218" s="566">
        <v>-3971.6363049999995</v>
      </c>
      <c r="H218" s="532"/>
      <c r="I218" s="512">
        <f t="shared" si="5"/>
        <v>-21732.62</v>
      </c>
      <c r="J218" s="512"/>
      <c r="K218" s="549" t="s">
        <v>1823</v>
      </c>
      <c r="M218" s="512">
        <f t="shared" si="6"/>
      </c>
    </row>
    <row r="219" spans="1:13" ht="15">
      <c r="A219" s="3" t="s">
        <v>1842</v>
      </c>
      <c r="B219" s="548">
        <v>4470141</v>
      </c>
      <c r="C219" s="566">
        <v>-50.7531882</v>
      </c>
      <c r="D219" s="566">
        <v>-10.2263447</v>
      </c>
      <c r="E219" s="566">
        <v>-26.049709399999998</v>
      </c>
      <c r="F219" s="566">
        <v>-33.3435102</v>
      </c>
      <c r="G219" s="566">
        <v>-26.9172475</v>
      </c>
      <c r="H219" s="532"/>
      <c r="I219" s="512">
        <f t="shared" si="5"/>
        <v>-147.29</v>
      </c>
      <c r="J219" s="512"/>
      <c r="K219" s="549" t="s">
        <v>1823</v>
      </c>
      <c r="M219" s="512">
        <f t="shared" si="6"/>
      </c>
    </row>
    <row r="220" spans="1:13" ht="15">
      <c r="A220" s="3" t="s">
        <v>1808</v>
      </c>
      <c r="B220" s="548">
        <v>4470100</v>
      </c>
      <c r="C220" s="566">
        <v>-241586.2647048</v>
      </c>
      <c r="D220" s="566">
        <v>-48677.62017080001</v>
      </c>
      <c r="E220" s="566">
        <v>-123997.1756216</v>
      </c>
      <c r="F220" s="566">
        <v>-158715.8239128</v>
      </c>
      <c r="G220" s="566">
        <v>-128126.67559000001</v>
      </c>
      <c r="H220" s="532"/>
      <c r="I220" s="512">
        <f t="shared" si="5"/>
        <v>-701103.5599999999</v>
      </c>
      <c r="J220" s="512"/>
      <c r="K220" s="549" t="s">
        <v>607</v>
      </c>
      <c r="M220" s="512">
        <f t="shared" si="6"/>
        <v>-701103.5599999999</v>
      </c>
    </row>
    <row r="221" spans="1:13" ht="15">
      <c r="A221" s="3" t="s">
        <v>1857</v>
      </c>
      <c r="B221" s="548">
        <v>4470206</v>
      </c>
      <c r="C221" s="566">
        <v>213.863577</v>
      </c>
      <c r="D221" s="566">
        <v>43.0917295</v>
      </c>
      <c r="E221" s="566">
        <v>109.76815899999998</v>
      </c>
      <c r="F221" s="566">
        <v>140.502747</v>
      </c>
      <c r="G221" s="566">
        <v>113.42378749999999</v>
      </c>
      <c r="H221" s="532"/>
      <c r="I221" s="512">
        <f t="shared" si="5"/>
        <v>620.65</v>
      </c>
      <c r="J221" s="512"/>
      <c r="K221" s="549" t="s">
        <v>607</v>
      </c>
      <c r="M221" s="512">
        <f t="shared" si="6"/>
        <v>620.65</v>
      </c>
    </row>
    <row r="222" spans="1:13" ht="15">
      <c r="A222" s="3" t="s">
        <v>1861</v>
      </c>
      <c r="B222" s="548">
        <v>4470141</v>
      </c>
      <c r="C222" s="566">
        <v>1162.5061002</v>
      </c>
      <c r="D222" s="566">
        <v>234.23529670000002</v>
      </c>
      <c r="E222" s="566">
        <v>596.6708133999999</v>
      </c>
      <c r="F222" s="566">
        <v>763.7359422</v>
      </c>
      <c r="G222" s="566">
        <v>616.5418475</v>
      </c>
      <c r="H222" s="532"/>
      <c r="I222" s="512">
        <f t="shared" si="5"/>
        <v>3373.69</v>
      </c>
      <c r="J222" s="512"/>
      <c r="K222" s="549" t="s">
        <v>1823</v>
      </c>
      <c r="M222" s="512">
        <f t="shared" si="6"/>
      </c>
    </row>
    <row r="223" spans="1:13" ht="15">
      <c r="A223" s="3" t="s">
        <v>1795</v>
      </c>
      <c r="B223" s="548">
        <v>4470100</v>
      </c>
      <c r="C223" s="566">
        <v>-279811.1167824</v>
      </c>
      <c r="D223" s="566">
        <v>-56379.609490400006</v>
      </c>
      <c r="E223" s="566">
        <v>-143616.5596208</v>
      </c>
      <c r="F223" s="566">
        <v>-183828.54668640002</v>
      </c>
      <c r="G223" s="566">
        <v>-148399.44742</v>
      </c>
      <c r="H223" s="532"/>
      <c r="I223" s="512">
        <f t="shared" si="5"/>
        <v>-812035.2799999999</v>
      </c>
      <c r="J223" s="512"/>
      <c r="K223" s="549" t="s">
        <v>607</v>
      </c>
      <c r="M223" s="512">
        <f t="shared" si="6"/>
        <v>-812035.2799999999</v>
      </c>
    </row>
    <row r="224" spans="1:13" ht="15">
      <c r="A224" s="3" t="s">
        <v>1844</v>
      </c>
      <c r="B224" s="548">
        <v>4470141</v>
      </c>
      <c r="C224" s="566">
        <v>-5264.079744</v>
      </c>
      <c r="D224" s="566">
        <v>-1060.668224</v>
      </c>
      <c r="E224" s="566">
        <v>-2701.8548479999995</v>
      </c>
      <c r="F224" s="566">
        <v>-3458.3619839999997</v>
      </c>
      <c r="G224" s="566">
        <v>-2791.8352</v>
      </c>
      <c r="H224" s="532"/>
      <c r="I224" s="512">
        <f t="shared" si="5"/>
        <v>-15276.799999999997</v>
      </c>
      <c r="J224" s="512"/>
      <c r="K224" s="549" t="s">
        <v>1823</v>
      </c>
      <c r="M224" s="512">
        <f t="shared" si="6"/>
      </c>
    </row>
    <row r="225" spans="1:13" ht="15">
      <c r="A225" s="3"/>
      <c r="B225" s="548"/>
      <c r="C225" s="512"/>
      <c r="D225" s="512"/>
      <c r="E225" s="512"/>
      <c r="F225" s="512"/>
      <c r="G225" s="512"/>
      <c r="H225" s="532"/>
      <c r="I225" s="512"/>
      <c r="J225" s="512"/>
      <c r="K225" s="549"/>
      <c r="M225" s="512">
        <f t="shared" si="6"/>
      </c>
    </row>
    <row r="226" spans="1:13" ht="15">
      <c r="A226" s="3"/>
      <c r="B226" s="548"/>
      <c r="C226" s="450"/>
      <c r="D226" s="450"/>
      <c r="E226" s="450"/>
      <c r="F226" s="450"/>
      <c r="G226" s="450"/>
      <c r="H226" s="532"/>
      <c r="I226" s="450"/>
      <c r="J226" s="512"/>
      <c r="K226" s="174"/>
      <c r="M226" s="450"/>
    </row>
    <row r="227" spans="1:13" ht="15">
      <c r="A227" s="8" t="s">
        <v>693</v>
      </c>
      <c r="C227" s="447">
        <f>ROUND(SUM(C162:C226),0)</f>
        <v>1342834</v>
      </c>
      <c r="D227" s="447">
        <f>ROUND(SUM(D162:D226),0)</f>
        <v>270742</v>
      </c>
      <c r="E227" s="447">
        <f>ROUND(SUM(E162:E226),0)</f>
        <v>690450</v>
      </c>
      <c r="F227" s="447">
        <f>ROUND(SUM(F162:F226),0)</f>
        <v>884289</v>
      </c>
      <c r="G227" s="447">
        <f>ROUND(SUM(G162:G226),0)</f>
        <v>711610</v>
      </c>
      <c r="H227" s="447"/>
      <c r="I227" s="450">
        <f>ROUND(SUM(I162:I226),0)</f>
        <v>3899926</v>
      </c>
      <c r="J227" s="450"/>
      <c r="K227" s="3"/>
      <c r="M227" s="450"/>
    </row>
    <row r="228" spans="3:11" ht="15">
      <c r="C228" s="501"/>
      <c r="D228" s="501"/>
      <c r="E228" s="501"/>
      <c r="F228" s="501"/>
      <c r="G228" s="501"/>
      <c r="I228" s="532"/>
      <c r="J228" s="532"/>
      <c r="K228" s="3"/>
    </row>
    <row r="229" spans="1:13" ht="15">
      <c r="A229" s="8" t="s">
        <v>692</v>
      </c>
      <c r="C229" s="508">
        <f>INPUT!L211</f>
        <v>1397194</v>
      </c>
      <c r="D229" s="508">
        <f>INPUT!L212</f>
        <v>281695</v>
      </c>
      <c r="E229" s="508">
        <f>INPUT!L213</f>
        <v>718351</v>
      </c>
      <c r="F229" s="508">
        <f>INPUT!L214</f>
        <v>920002</v>
      </c>
      <c r="G229" s="508">
        <f>INPUT!L215</f>
        <v>740440</v>
      </c>
      <c r="H229" s="447"/>
      <c r="I229" s="513">
        <f>SUM(C229:H229)</f>
        <v>4057682</v>
      </c>
      <c r="J229" s="450"/>
      <c r="K229" s="3"/>
      <c r="M229" s="450"/>
    </row>
    <row r="230" spans="9:13" ht="15">
      <c r="I230" s="564"/>
      <c r="J230" s="564"/>
      <c r="K230" s="3"/>
      <c r="M230" s="450"/>
    </row>
    <row r="231" spans="1:13" ht="15.75" thickBot="1">
      <c r="A231" s="8" t="s">
        <v>690</v>
      </c>
      <c r="B231" s="187" t="s">
        <v>1777</v>
      </c>
      <c r="C231" s="509">
        <f>C227-C229</f>
        <v>-54360</v>
      </c>
      <c r="D231" s="509">
        <f>D227-D229</f>
        <v>-10953</v>
      </c>
      <c r="E231" s="509">
        <f>E227-E229</f>
        <v>-27901</v>
      </c>
      <c r="F231" s="509">
        <f>F227-F229</f>
        <v>-35713</v>
      </c>
      <c r="G231" s="509">
        <f>G227-G229</f>
        <v>-28830</v>
      </c>
      <c r="H231" s="447"/>
      <c r="I231" s="534">
        <f>SUM(C231:H231)</f>
        <v>-157757</v>
      </c>
      <c r="J231" s="450"/>
      <c r="K231" s="3"/>
      <c r="M231" s="534">
        <f>SUM(M161:M230)</f>
        <v>-4562946.7</v>
      </c>
    </row>
    <row r="232" ht="15.75" thickTop="1">
      <c r="M232" s="450"/>
    </row>
    <row r="233" ht="15">
      <c r="A233" s="8" t="s">
        <v>1479</v>
      </c>
    </row>
    <row r="234" ht="15">
      <c r="A234" s="8" t="s">
        <v>691</v>
      </c>
    </row>
  </sheetData>
  <mergeCells count="2">
    <mergeCell ref="A158:I158"/>
    <mergeCell ref="A1:M1"/>
  </mergeCells>
  <printOptions/>
  <pageMargins left="0.25" right="0.25" top="0.46" bottom="0.25" header="0.17" footer="0.5"/>
  <pageSetup fitToHeight="3" fitToWidth="1" horizontalDpi="600" verticalDpi="600" orientation="portrait" scale="46" r:id="rId1"/>
  <headerFooter alignWithMargins="0">
    <oddHeader>&amp;L&amp;"Comic Sans MS,Bold"ACTUAL:&amp;"Arial,Regular"
&amp;"Comic Sans MS,Regular"JUNE 2008&amp;R&amp;"Comic Sans MS,Bold"APPENDIX IX&amp;"Arial,Regular"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M4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7.28125" style="0" customWidth="1"/>
    <col min="2" max="2" width="11.8515625" style="0" customWidth="1"/>
    <col min="3" max="3" width="14.7109375" style="0" bestFit="1" customWidth="1"/>
    <col min="4" max="4" width="13.57421875" style="0" bestFit="1" customWidth="1"/>
    <col min="5" max="5" width="15.00390625" style="0" bestFit="1" customWidth="1"/>
    <col min="6" max="6" width="15.28125" style="0" bestFit="1" customWidth="1"/>
    <col min="7" max="7" width="15.00390625" style="0" bestFit="1" customWidth="1"/>
    <col min="8" max="8" width="2.7109375" style="0" customWidth="1"/>
    <col min="9" max="9" width="18.7109375" style="0" customWidth="1"/>
    <col min="10" max="10" width="13.140625" style="0" bestFit="1" customWidth="1"/>
    <col min="11" max="11" width="9.7109375" style="0" bestFit="1" customWidth="1"/>
    <col min="12" max="12" width="12.8515625" style="0" bestFit="1" customWidth="1"/>
  </cols>
  <sheetData>
    <row r="1" spans="1:9" ht="16.5">
      <c r="A1" s="145" t="s">
        <v>1729</v>
      </c>
      <c r="B1" s="266"/>
      <c r="C1" s="266"/>
      <c r="D1" s="8"/>
      <c r="E1" s="8"/>
      <c r="F1" s="8"/>
      <c r="G1" s="8"/>
      <c r="H1" s="201"/>
      <c r="I1" s="498" t="s">
        <v>1470</v>
      </c>
    </row>
    <row r="2" spans="1:9" ht="15">
      <c r="A2" s="499" t="str">
        <f>INPUT!C1</f>
        <v>February 2009</v>
      </c>
      <c r="B2" s="8"/>
      <c r="C2" s="8"/>
      <c r="D2" s="8"/>
      <c r="E2" s="8"/>
      <c r="F2" s="8"/>
      <c r="G2" s="8"/>
      <c r="H2" s="201"/>
      <c r="I2" s="8"/>
    </row>
    <row r="3" spans="1:9" ht="15">
      <c r="A3" s="8"/>
      <c r="B3" s="8"/>
      <c r="C3" s="8"/>
      <c r="D3" s="8"/>
      <c r="E3" s="8"/>
      <c r="F3" s="8"/>
      <c r="G3" s="8"/>
      <c r="H3" s="201"/>
      <c r="I3" s="8"/>
    </row>
    <row r="4" spans="1:9" ht="16.5">
      <c r="A4" s="850" t="s">
        <v>2083</v>
      </c>
      <c r="B4" s="850"/>
      <c r="C4" s="850"/>
      <c r="D4" s="850"/>
      <c r="E4" s="850"/>
      <c r="F4" s="850"/>
      <c r="G4" s="850"/>
      <c r="H4" s="850"/>
      <c r="I4" s="850"/>
    </row>
    <row r="5" spans="1:9" ht="15">
      <c r="A5" s="8"/>
      <c r="B5" s="8"/>
      <c r="C5" s="500"/>
      <c r="D5" s="500"/>
      <c r="E5" s="500"/>
      <c r="F5" s="500"/>
      <c r="G5" s="500"/>
      <c r="H5" s="501"/>
      <c r="I5" s="500"/>
    </row>
    <row r="6" spans="1:9" ht="33" customHeight="1">
      <c r="A6" s="139" t="s">
        <v>1471</v>
      </c>
      <c r="B6" s="502" t="s">
        <v>612</v>
      </c>
      <c r="C6" s="503" t="s">
        <v>1472</v>
      </c>
      <c r="D6" s="503" t="s">
        <v>1473</v>
      </c>
      <c r="E6" s="503" t="s">
        <v>1474</v>
      </c>
      <c r="F6" s="503" t="s">
        <v>1475</v>
      </c>
      <c r="G6" s="503" t="s">
        <v>1476</v>
      </c>
      <c r="H6" s="504"/>
      <c r="I6" s="505" t="s">
        <v>589</v>
      </c>
    </row>
    <row r="7" spans="1:9" ht="16.5">
      <c r="A7" s="506"/>
      <c r="B7" s="506"/>
      <c r="C7" s="504"/>
      <c r="D7" s="504"/>
      <c r="E7" s="504"/>
      <c r="F7" s="504"/>
      <c r="G7" s="504"/>
      <c r="H7" s="504"/>
      <c r="I7" s="504"/>
    </row>
    <row r="8" spans="1:9" ht="16.5">
      <c r="A8" s="506" t="s">
        <v>577</v>
      </c>
      <c r="B8" s="506"/>
      <c r="C8" s="504"/>
      <c r="D8" s="504"/>
      <c r="E8" s="504"/>
      <c r="F8" s="504"/>
      <c r="G8" s="504"/>
      <c r="H8" s="504"/>
      <c r="I8" s="504"/>
    </row>
    <row r="9" spans="1:10" ht="16.5">
      <c r="A9" s="535" t="s">
        <v>1044</v>
      </c>
      <c r="B9" s="552">
        <v>4470099</v>
      </c>
      <c r="C9" s="565">
        <v>-17167.58</v>
      </c>
      <c r="D9" s="565">
        <v>-3459.13</v>
      </c>
      <c r="E9" s="565">
        <v>-8811.48</v>
      </c>
      <c r="F9" s="565">
        <v>-11278.65</v>
      </c>
      <c r="G9" s="565">
        <v>-9104.93</v>
      </c>
      <c r="H9" s="563"/>
      <c r="I9" s="543">
        <f>SUM(C9:G9)</f>
        <v>-49821.770000000004</v>
      </c>
      <c r="J9" t="s">
        <v>607</v>
      </c>
    </row>
    <row r="10" spans="1:10" ht="16.5">
      <c r="A10" s="542" t="s">
        <v>801</v>
      </c>
      <c r="B10" s="552">
        <v>4470143</v>
      </c>
      <c r="C10" s="565">
        <v>-258435</v>
      </c>
      <c r="D10" s="565">
        <v>-52072.5</v>
      </c>
      <c r="E10" s="565">
        <v>-132645</v>
      </c>
      <c r="F10" s="565">
        <v>-169785</v>
      </c>
      <c r="G10" s="565">
        <v>-137062.5</v>
      </c>
      <c r="H10" s="563"/>
      <c r="I10" s="543">
        <f aca="true" t="shared" si="0" ref="I10:I15">SUM(C10:G10)</f>
        <v>-750000</v>
      </c>
      <c r="J10" t="s">
        <v>607</v>
      </c>
    </row>
    <row r="11" spans="1:10" ht="16.5">
      <c r="A11" s="542" t="s">
        <v>1412</v>
      </c>
      <c r="B11" s="553">
        <v>5550075</v>
      </c>
      <c r="C11" s="565">
        <v>34892.43</v>
      </c>
      <c r="D11" s="565">
        <v>7030.53</v>
      </c>
      <c r="E11" s="565">
        <v>17908.98</v>
      </c>
      <c r="F11" s="565">
        <v>22923.41</v>
      </c>
      <c r="G11" s="565">
        <v>18505.4</v>
      </c>
      <c r="H11" s="563"/>
      <c r="I11" s="543">
        <f t="shared" si="0"/>
        <v>101260.75</v>
      </c>
      <c r="J11" t="s">
        <v>1261</v>
      </c>
    </row>
    <row r="12" spans="1:10" ht="16.5">
      <c r="A12" s="542" t="s">
        <v>1413</v>
      </c>
      <c r="B12" s="553">
        <v>5550079</v>
      </c>
      <c r="C12" s="565">
        <v>9415.52</v>
      </c>
      <c r="D12" s="565">
        <v>1897.15</v>
      </c>
      <c r="E12" s="565">
        <v>4832.63</v>
      </c>
      <c r="F12" s="565">
        <v>6185.75</v>
      </c>
      <c r="G12" s="565">
        <v>4993.58</v>
      </c>
      <c r="H12" s="563"/>
      <c r="I12" s="543">
        <f t="shared" si="0"/>
        <v>27324.629999999997</v>
      </c>
      <c r="J12" t="s">
        <v>1261</v>
      </c>
    </row>
    <row r="13" spans="1:10" ht="16.5">
      <c r="A13" s="775" t="s">
        <v>1411</v>
      </c>
      <c r="B13" s="553">
        <v>5550084</v>
      </c>
      <c r="C13" s="565">
        <v>65.91</v>
      </c>
      <c r="D13" s="565">
        <v>13.28</v>
      </c>
      <c r="E13" s="565">
        <v>33.83</v>
      </c>
      <c r="F13" s="565">
        <v>43.3</v>
      </c>
      <c r="G13" s="565">
        <v>34.95</v>
      </c>
      <c r="H13" s="563"/>
      <c r="I13" s="543">
        <f t="shared" si="0"/>
        <v>191.26999999999998</v>
      </c>
      <c r="J13" t="s">
        <v>1261</v>
      </c>
    </row>
    <row r="14" spans="1:10" ht="16.5">
      <c r="A14" s="542" t="s">
        <v>576</v>
      </c>
      <c r="B14" s="553">
        <v>4470141</v>
      </c>
      <c r="C14" s="565">
        <v>-2915134.6</v>
      </c>
      <c r="D14" s="565">
        <v>-587547.25</v>
      </c>
      <c r="E14" s="565">
        <v>-1497452.93</v>
      </c>
      <c r="F14" s="565">
        <v>-1917248.94</v>
      </c>
      <c r="G14" s="565">
        <v>-1545488.93</v>
      </c>
      <c r="H14" s="563"/>
      <c r="I14" s="543">
        <f t="shared" si="0"/>
        <v>-8462872.65</v>
      </c>
      <c r="J14" t="s">
        <v>1261</v>
      </c>
    </row>
    <row r="15" spans="1:10" ht="16.5">
      <c r="A15" s="542" t="s">
        <v>1822</v>
      </c>
      <c r="B15" s="553">
        <v>4470206</v>
      </c>
      <c r="C15" s="565">
        <v>-213.87</v>
      </c>
      <c r="D15" s="565">
        <v>-43.09</v>
      </c>
      <c r="E15" s="565">
        <v>-109.77</v>
      </c>
      <c r="F15" s="565">
        <v>-140.5</v>
      </c>
      <c r="G15" s="565">
        <v>-113.42</v>
      </c>
      <c r="H15" s="563"/>
      <c r="I15" s="543">
        <f t="shared" si="0"/>
        <v>-620.65</v>
      </c>
      <c r="J15" t="s">
        <v>607</v>
      </c>
    </row>
    <row r="16" spans="1:9" ht="16.5">
      <c r="A16" s="542"/>
      <c r="B16" s="553"/>
      <c r="C16" s="543"/>
      <c r="D16" s="543"/>
      <c r="E16" s="543"/>
      <c r="F16" s="543"/>
      <c r="G16" s="543"/>
      <c r="H16" s="563"/>
      <c r="I16" s="543"/>
    </row>
    <row r="17" spans="1:9" ht="16.5">
      <c r="A17" s="145" t="s">
        <v>188</v>
      </c>
      <c r="B17" s="533"/>
      <c r="C17" s="507"/>
      <c r="D17" s="507"/>
      <c r="E17" s="507"/>
      <c r="F17" s="507"/>
      <c r="G17" s="507"/>
      <c r="H17" s="447"/>
      <c r="I17" s="543"/>
    </row>
    <row r="18" spans="1:10" ht="15">
      <c r="A18" s="3" t="s">
        <v>2076</v>
      </c>
      <c r="B18" s="297">
        <v>4470141</v>
      </c>
      <c r="C18" s="565">
        <v>-100190.06</v>
      </c>
      <c r="D18" s="565">
        <v>-20204.86</v>
      </c>
      <c r="E18" s="565">
        <v>-51547.61</v>
      </c>
      <c r="F18" s="565">
        <v>-66032.92</v>
      </c>
      <c r="G18" s="565">
        <v>-53078.74</v>
      </c>
      <c r="H18" s="447"/>
      <c r="I18" s="543">
        <f aca="true" t="shared" si="1" ref="I18:I34">SUM(C18:G18)</f>
        <v>-291054.19</v>
      </c>
      <c r="J18" t="s">
        <v>1823</v>
      </c>
    </row>
    <row r="19" spans="1:10" ht="15">
      <c r="A19" s="3" t="s">
        <v>2077</v>
      </c>
      <c r="B19" s="297">
        <v>4470141</v>
      </c>
      <c r="C19" s="565">
        <v>125058.25</v>
      </c>
      <c r="D19" s="565">
        <v>25198.19</v>
      </c>
      <c r="E19" s="565">
        <v>64187.71</v>
      </c>
      <c r="F19" s="565">
        <v>82159.98</v>
      </c>
      <c r="G19" s="565">
        <v>66325.37</v>
      </c>
      <c r="H19" s="447"/>
      <c r="I19" s="543">
        <f t="shared" si="1"/>
        <v>362929.5</v>
      </c>
      <c r="J19" t="s">
        <v>1823</v>
      </c>
    </row>
    <row r="20" spans="1:10" ht="15">
      <c r="A20" s="3" t="s">
        <v>2078</v>
      </c>
      <c r="B20" s="297">
        <v>4470141</v>
      </c>
      <c r="C20" s="565">
        <v>100190.06</v>
      </c>
      <c r="D20" s="565">
        <v>20204.86</v>
      </c>
      <c r="E20" s="565">
        <v>51547.61</v>
      </c>
      <c r="F20" s="565">
        <v>66032.92</v>
      </c>
      <c r="G20" s="565">
        <v>53078.74</v>
      </c>
      <c r="H20" s="447"/>
      <c r="I20" s="543">
        <f t="shared" si="1"/>
        <v>291054.19</v>
      </c>
      <c r="J20" t="s">
        <v>1823</v>
      </c>
    </row>
    <row r="21" spans="1:10" ht="15">
      <c r="A21" s="3" t="s">
        <v>2079</v>
      </c>
      <c r="B21" s="297">
        <v>4470141</v>
      </c>
      <c r="C21" s="565">
        <v>-125058.25</v>
      </c>
      <c r="D21" s="565">
        <v>-25198.19</v>
      </c>
      <c r="E21" s="565">
        <v>-64187.71</v>
      </c>
      <c r="F21" s="565">
        <v>-82159.98</v>
      </c>
      <c r="G21" s="565">
        <v>-66325.37</v>
      </c>
      <c r="H21" s="447"/>
      <c r="I21" s="543">
        <f t="shared" si="1"/>
        <v>-362929.5</v>
      </c>
      <c r="J21" t="s">
        <v>1823</v>
      </c>
    </row>
    <row r="22" spans="1:10" ht="15">
      <c r="A22" s="8" t="s">
        <v>1798</v>
      </c>
      <c r="B22" s="729">
        <v>4470126</v>
      </c>
      <c r="C22" s="565">
        <v>5134.4935434</v>
      </c>
      <c r="D22" s="565">
        <v>1034.5576839</v>
      </c>
      <c r="E22" s="565">
        <v>2635.3431078</v>
      </c>
      <c r="F22" s="565">
        <v>3373.2272574</v>
      </c>
      <c r="G22" s="565">
        <v>2723.1084075</v>
      </c>
      <c r="H22" s="447"/>
      <c r="I22" s="543">
        <f t="shared" si="1"/>
        <v>14900.73</v>
      </c>
      <c r="J22" t="s">
        <v>607</v>
      </c>
    </row>
    <row r="23" spans="1:10" ht="15">
      <c r="A23" s="8" t="s">
        <v>1799</v>
      </c>
      <c r="B23" s="297">
        <v>4470209</v>
      </c>
      <c r="C23" s="565">
        <v>2438.885553</v>
      </c>
      <c r="D23" s="565">
        <v>491.41512550000004</v>
      </c>
      <c r="E23" s="565">
        <v>1251.788551</v>
      </c>
      <c r="F23" s="565">
        <v>1602.283683</v>
      </c>
      <c r="G23" s="565">
        <v>1293.4770875</v>
      </c>
      <c r="H23" s="447"/>
      <c r="I23" s="543">
        <f t="shared" si="1"/>
        <v>7077.85</v>
      </c>
      <c r="J23" t="s">
        <v>607</v>
      </c>
    </row>
    <row r="24" spans="1:10" ht="15">
      <c r="A24" s="8" t="s">
        <v>472</v>
      </c>
      <c r="B24" s="297">
        <v>4470126</v>
      </c>
      <c r="C24" s="565">
        <v>-1132.0348907999999</v>
      </c>
      <c r="D24" s="565">
        <v>-228.0956018</v>
      </c>
      <c r="E24" s="565">
        <v>-581.0310835999999</v>
      </c>
      <c r="F24" s="565">
        <v>-743.7171588</v>
      </c>
      <c r="G24" s="565">
        <v>-600.381265</v>
      </c>
      <c r="H24" s="447"/>
      <c r="I24" s="543">
        <f t="shared" si="1"/>
        <v>-3285.2599999999998</v>
      </c>
      <c r="J24" t="s">
        <v>607</v>
      </c>
    </row>
    <row r="25" spans="1:10" ht="15">
      <c r="A25" s="8" t="s">
        <v>1804</v>
      </c>
      <c r="B25" s="297">
        <v>4470126</v>
      </c>
      <c r="C25" s="565">
        <v>-77740.5628596</v>
      </c>
      <c r="D25" s="565">
        <v>-15664.0759166</v>
      </c>
      <c r="E25" s="565">
        <v>-39901.3173932</v>
      </c>
      <c r="F25" s="565">
        <v>-51073.505775599995</v>
      </c>
      <c r="G25" s="565">
        <v>-41230.158055</v>
      </c>
      <c r="H25" s="447"/>
      <c r="I25" s="543">
        <f t="shared" si="1"/>
        <v>-225609.62000000002</v>
      </c>
      <c r="J25" t="s">
        <v>607</v>
      </c>
    </row>
    <row r="26" spans="1:10" ht="15">
      <c r="A26" s="8" t="s">
        <v>1805</v>
      </c>
      <c r="B26" s="297">
        <v>4470209</v>
      </c>
      <c r="C26" s="565">
        <v>-44852.3383992</v>
      </c>
      <c r="D26" s="565">
        <v>-9037.372613200001</v>
      </c>
      <c r="E26" s="565">
        <v>-23021.024346399998</v>
      </c>
      <c r="F26" s="565">
        <v>-29466.8070312</v>
      </c>
      <c r="G26" s="565">
        <v>-23787.69761</v>
      </c>
      <c r="H26" s="447"/>
      <c r="I26" s="543">
        <f t="shared" si="1"/>
        <v>-130165.24</v>
      </c>
      <c r="J26" t="s">
        <v>607</v>
      </c>
    </row>
    <row r="27" spans="1:10" ht="15">
      <c r="A27" s="8" t="s">
        <v>473</v>
      </c>
      <c r="B27" s="297">
        <v>4470209</v>
      </c>
      <c r="C27" s="565">
        <v>-2.222541</v>
      </c>
      <c r="D27" s="565">
        <v>-0.44782350000000004</v>
      </c>
      <c r="E27" s="565">
        <v>-1.140747</v>
      </c>
      <c r="F27" s="565">
        <v>-1.460151</v>
      </c>
      <c r="G27" s="565">
        <v>-1.1787375</v>
      </c>
      <c r="H27" s="447"/>
      <c r="I27" s="543">
        <f t="shared" si="1"/>
        <v>-6.449999999999999</v>
      </c>
      <c r="J27" t="s">
        <v>607</v>
      </c>
    </row>
    <row r="28" spans="1:10" ht="15">
      <c r="A28" s="8" t="s">
        <v>410</v>
      </c>
      <c r="B28" s="297">
        <v>4470100</v>
      </c>
      <c r="C28" s="565">
        <v>36181.1894472</v>
      </c>
      <c r="D28" s="565">
        <v>7290.208321200001</v>
      </c>
      <c r="E28" s="565">
        <v>18570.448562399997</v>
      </c>
      <c r="F28" s="565">
        <v>23770.090159199997</v>
      </c>
      <c r="G28" s="565">
        <v>19188.90351</v>
      </c>
      <c r="H28" s="447"/>
      <c r="I28" s="543">
        <f t="shared" si="1"/>
        <v>105000.84</v>
      </c>
      <c r="J28" t="s">
        <v>607</v>
      </c>
    </row>
    <row r="29" spans="1:10" ht="15">
      <c r="A29" s="8" t="s">
        <v>1809</v>
      </c>
      <c r="B29" s="297">
        <v>4470099</v>
      </c>
      <c r="C29" s="565">
        <v>199827.20718240002</v>
      </c>
      <c r="D29" s="565">
        <v>40263.517890400006</v>
      </c>
      <c r="E29" s="565">
        <v>102563.8164208</v>
      </c>
      <c r="F29" s="565">
        <v>131281.2210864</v>
      </c>
      <c r="G29" s="565">
        <v>105979.51742</v>
      </c>
      <c r="H29" s="447"/>
      <c r="I29" s="543">
        <f t="shared" si="1"/>
        <v>579915.28</v>
      </c>
      <c r="J29" t="s">
        <v>607</v>
      </c>
    </row>
    <row r="30" spans="1:10" ht="15">
      <c r="A30" s="8" t="s">
        <v>1808</v>
      </c>
      <c r="B30" s="297">
        <v>4470100</v>
      </c>
      <c r="C30" s="565">
        <v>-56583.688548</v>
      </c>
      <c r="D30" s="565">
        <v>-11401.141958000002</v>
      </c>
      <c r="E30" s="565">
        <v>-29042.286716</v>
      </c>
      <c r="F30" s="565">
        <v>-37173.995628000004</v>
      </c>
      <c r="G30" s="565">
        <v>-30009.48715</v>
      </c>
      <c r="H30" s="447"/>
      <c r="I30" s="543">
        <f t="shared" si="1"/>
        <v>-164210.6</v>
      </c>
      <c r="J30" t="s">
        <v>607</v>
      </c>
    </row>
    <row r="31" spans="1:10" ht="15">
      <c r="A31" s="8" t="s">
        <v>1857</v>
      </c>
      <c r="B31" s="297">
        <v>4470206</v>
      </c>
      <c r="C31" s="565">
        <v>17.849244</v>
      </c>
      <c r="D31" s="565">
        <v>3.596474</v>
      </c>
      <c r="E31" s="565">
        <v>9.161347999999998</v>
      </c>
      <c r="F31" s="565">
        <v>11.726484</v>
      </c>
      <c r="G31" s="565">
        <v>9.46645</v>
      </c>
      <c r="H31" s="447"/>
      <c r="I31" s="543">
        <f t="shared" si="1"/>
        <v>51.8</v>
      </c>
      <c r="J31" t="s">
        <v>607</v>
      </c>
    </row>
    <row r="32" spans="1:10" ht="15">
      <c r="A32" s="8" t="s">
        <v>1795</v>
      </c>
      <c r="B32" s="297">
        <v>4470100</v>
      </c>
      <c r="C32" s="565">
        <v>-36180.3211056</v>
      </c>
      <c r="D32" s="565">
        <v>-7290.033357600001</v>
      </c>
      <c r="E32" s="565">
        <v>-18570.0028752</v>
      </c>
      <c r="F32" s="565">
        <v>-23769.519681600003</v>
      </c>
      <c r="G32" s="565">
        <v>-19188.44298</v>
      </c>
      <c r="H32" s="447"/>
      <c r="I32" s="543">
        <f t="shared" si="1"/>
        <v>-104998.32</v>
      </c>
      <c r="J32" t="s">
        <v>607</v>
      </c>
    </row>
    <row r="33" spans="1:10" ht="15">
      <c r="A33" s="3" t="s">
        <v>1820</v>
      </c>
      <c r="B33" s="297">
        <v>4470099</v>
      </c>
      <c r="C33" s="565">
        <v>-1403.81892</v>
      </c>
      <c r="D33" s="565">
        <v>-282.85782</v>
      </c>
      <c r="E33" s="565">
        <v>-720.5276399999999</v>
      </c>
      <c r="F33" s="565">
        <v>-922.27212</v>
      </c>
      <c r="G33" s="565">
        <v>-744.5235</v>
      </c>
      <c r="H33" s="447"/>
      <c r="I33" s="543">
        <f t="shared" si="1"/>
        <v>-4074</v>
      </c>
      <c r="J33" t="s">
        <v>607</v>
      </c>
    </row>
    <row r="34" spans="1:10" ht="15">
      <c r="A34" s="3" t="s">
        <v>799</v>
      </c>
      <c r="B34" s="297">
        <v>4470002</v>
      </c>
      <c r="C34" s="565">
        <v>15044.51</v>
      </c>
      <c r="D34" s="565">
        <v>3031.34</v>
      </c>
      <c r="E34" s="565">
        <v>7721.78</v>
      </c>
      <c r="F34" s="565">
        <v>9883.85</v>
      </c>
      <c r="G34" s="565">
        <v>7978.94</v>
      </c>
      <c r="H34" s="447"/>
      <c r="I34" s="543">
        <f t="shared" si="1"/>
        <v>43660.42</v>
      </c>
      <c r="J34" t="s">
        <v>607</v>
      </c>
    </row>
    <row r="35" spans="1:9" ht="15">
      <c r="A35" s="8"/>
      <c r="B35" s="297"/>
      <c r="C35" s="543"/>
      <c r="D35" s="543"/>
      <c r="E35" s="543"/>
      <c r="F35" s="543"/>
      <c r="G35" s="543"/>
      <c r="H35" s="450"/>
      <c r="I35" s="543"/>
    </row>
    <row r="36" spans="1:9" ht="16.5">
      <c r="A36" s="145" t="s">
        <v>187</v>
      </c>
      <c r="B36" s="729"/>
      <c r="C36" s="543"/>
      <c r="D36" s="543"/>
      <c r="E36" s="543"/>
      <c r="F36" s="543"/>
      <c r="G36" s="543"/>
      <c r="H36" s="450"/>
      <c r="I36" s="543"/>
    </row>
    <row r="37" spans="1:10" ht="15">
      <c r="A37" s="3" t="s">
        <v>458</v>
      </c>
      <c r="B37" s="297">
        <v>4470141</v>
      </c>
      <c r="C37" s="566">
        <v>236283.23</v>
      </c>
      <c r="D37" s="566">
        <v>47609.11</v>
      </c>
      <c r="E37" s="566">
        <v>121275.32</v>
      </c>
      <c r="F37" s="566">
        <v>155231.88</v>
      </c>
      <c r="G37" s="566">
        <v>125314.18</v>
      </c>
      <c r="H37" s="447">
        <v>-1804.1199999999371</v>
      </c>
      <c r="I37" s="543">
        <f>SUM(C37:G37)</f>
        <v>685713.72</v>
      </c>
      <c r="J37" t="s">
        <v>1823</v>
      </c>
    </row>
    <row r="38" spans="1:10" ht="15">
      <c r="A38" s="3" t="s">
        <v>458</v>
      </c>
      <c r="B38" s="297">
        <v>4470124</v>
      </c>
      <c r="C38" s="566">
        <v>47</v>
      </c>
      <c r="D38" s="566">
        <v>9.47</v>
      </c>
      <c r="E38" s="566">
        <v>24.13</v>
      </c>
      <c r="F38" s="566">
        <v>30.88</v>
      </c>
      <c r="G38" s="566">
        <v>24.93</v>
      </c>
      <c r="H38" s="447">
        <v>136.41</v>
      </c>
      <c r="I38" s="543">
        <f aca="true" t="shared" si="2" ref="I38:I114">SUM(C38:G38)</f>
        <v>136.41</v>
      </c>
      <c r="J38" t="s">
        <v>607</v>
      </c>
    </row>
    <row r="39" spans="1:10" ht="15">
      <c r="A39" s="3" t="s">
        <v>459</v>
      </c>
      <c r="B39" s="297">
        <v>4470141</v>
      </c>
      <c r="C39" s="566">
        <v>-236283.23</v>
      </c>
      <c r="D39" s="566">
        <v>-47609.11</v>
      </c>
      <c r="E39" s="566">
        <v>-121275.32</v>
      </c>
      <c r="F39" s="566">
        <v>-155231.88</v>
      </c>
      <c r="G39" s="566">
        <v>-125314.18</v>
      </c>
      <c r="H39" s="447"/>
      <c r="I39" s="543">
        <f t="shared" si="2"/>
        <v>-685713.72</v>
      </c>
      <c r="J39" t="s">
        <v>1823</v>
      </c>
    </row>
    <row r="40" spans="1:10" ht="15">
      <c r="A40" s="3" t="s">
        <v>1798</v>
      </c>
      <c r="B40" s="297">
        <v>4470093</v>
      </c>
      <c r="C40" s="566">
        <v>-433.67805059999995</v>
      </c>
      <c r="D40" s="566">
        <v>-87.3825151</v>
      </c>
      <c r="E40" s="566">
        <v>-222.59069019999998</v>
      </c>
      <c r="F40" s="566">
        <v>-284.91507659999996</v>
      </c>
      <c r="G40" s="566">
        <v>-230.00366749999998</v>
      </c>
      <c r="H40" s="447"/>
      <c r="I40" s="543">
        <f t="shared" si="2"/>
        <v>-1258.57</v>
      </c>
      <c r="J40" t="s">
        <v>1823</v>
      </c>
    </row>
    <row r="41" spans="1:10" ht="15">
      <c r="A41" s="3" t="s">
        <v>1802</v>
      </c>
      <c r="B41" s="297">
        <v>4470203</v>
      </c>
      <c r="C41" s="566">
        <v>1494.5321817692402</v>
      </c>
      <c r="D41" s="566">
        <v>301.13578669754</v>
      </c>
      <c r="E41" s="566">
        <v>767.08735755908</v>
      </c>
      <c r="F41" s="566">
        <v>981.86834786964</v>
      </c>
      <c r="G41" s="566">
        <v>792.6338041045001</v>
      </c>
      <c r="H41" s="447"/>
      <c r="I41" s="543">
        <f t="shared" si="2"/>
        <v>4337.257478</v>
      </c>
      <c r="J41" t="s">
        <v>1823</v>
      </c>
    </row>
    <row r="42" spans="1:10" ht="15">
      <c r="A42" s="3" t="s">
        <v>1802</v>
      </c>
      <c r="B42" s="297">
        <v>4470098</v>
      </c>
      <c r="C42" s="566">
        <v>97.46187623076001</v>
      </c>
      <c r="D42" s="566">
        <v>19.637756302460005</v>
      </c>
      <c r="E42" s="566">
        <v>50.02352844092</v>
      </c>
      <c r="F42" s="566">
        <v>64.02989013036</v>
      </c>
      <c r="G42" s="566">
        <v>51.6894708955</v>
      </c>
      <c r="H42" s="447"/>
      <c r="I42" s="543">
        <f t="shared" si="2"/>
        <v>282.84252200000003</v>
      </c>
      <c r="J42" t="s">
        <v>607</v>
      </c>
    </row>
    <row r="43" spans="1:10" ht="15">
      <c r="A43" s="3" t="s">
        <v>1796</v>
      </c>
      <c r="B43" s="297">
        <v>4470203</v>
      </c>
      <c r="C43" s="566">
        <v>2179.28054952816</v>
      </c>
      <c r="D43" s="566">
        <v>439.1068795453601</v>
      </c>
      <c r="E43" s="566">
        <v>1118.54303206672</v>
      </c>
      <c r="F43" s="566">
        <v>1431.73002148176</v>
      </c>
      <c r="G43" s="566">
        <v>1155.794069378</v>
      </c>
      <c r="H43" s="447"/>
      <c r="I43" s="543">
        <f t="shared" si="2"/>
        <v>6324.454552000001</v>
      </c>
      <c r="J43" t="s">
        <v>1823</v>
      </c>
    </row>
    <row r="44" spans="1:10" ht="15">
      <c r="A44" s="3" t="s">
        <v>1796</v>
      </c>
      <c r="B44" s="297">
        <v>4470098</v>
      </c>
      <c r="C44" s="566">
        <v>132.61004447184</v>
      </c>
      <c r="D44" s="566">
        <v>26.719819454640003</v>
      </c>
      <c r="E44" s="566">
        <v>68.06376593328</v>
      </c>
      <c r="F44" s="566">
        <v>87.12131251824</v>
      </c>
      <c r="G44" s="566">
        <v>70.330505622</v>
      </c>
      <c r="H44" s="447"/>
      <c r="I44" s="543">
        <f t="shared" si="2"/>
        <v>384.84544800000003</v>
      </c>
      <c r="J44" t="s">
        <v>607</v>
      </c>
    </row>
    <row r="45" spans="1:10" ht="15">
      <c r="A45" s="3" t="s">
        <v>1799</v>
      </c>
      <c r="B45" s="297">
        <v>4470207</v>
      </c>
      <c r="C45" s="566">
        <v>-142.569975</v>
      </c>
      <c r="D45" s="566">
        <v>-28.726662500000003</v>
      </c>
      <c r="E45" s="566">
        <v>-73.17582499999999</v>
      </c>
      <c r="F45" s="566">
        <v>-93.664725</v>
      </c>
      <c r="G45" s="566">
        <v>-75.6128125</v>
      </c>
      <c r="H45" s="447"/>
      <c r="I45" s="543">
        <f t="shared" si="2"/>
        <v>-413.75</v>
      </c>
      <c r="J45" t="s">
        <v>1823</v>
      </c>
    </row>
    <row r="46" spans="1:10" ht="15">
      <c r="A46" s="3" t="s">
        <v>804</v>
      </c>
      <c r="B46" s="297">
        <v>5650012</v>
      </c>
      <c r="C46" s="566">
        <v>1030.7111418</v>
      </c>
      <c r="D46" s="566">
        <v>207.6797103</v>
      </c>
      <c r="E46" s="566">
        <v>529.0254006</v>
      </c>
      <c r="F46" s="566">
        <v>677.1501198</v>
      </c>
      <c r="G46" s="566">
        <v>546.6436275</v>
      </c>
      <c r="H46" s="447"/>
      <c r="I46" s="543">
        <f t="shared" si="2"/>
        <v>2991.21</v>
      </c>
      <c r="J46" t="s">
        <v>1823</v>
      </c>
    </row>
    <row r="47" spans="1:10" ht="15">
      <c r="A47" s="3" t="s">
        <v>1804</v>
      </c>
      <c r="B47" s="297">
        <v>4470093</v>
      </c>
      <c r="C47" s="566">
        <v>-72838.5677796</v>
      </c>
      <c r="D47" s="566">
        <v>-14676.3647366</v>
      </c>
      <c r="E47" s="566">
        <v>-37385.3070332</v>
      </c>
      <c r="F47" s="566">
        <v>-47853.023895599996</v>
      </c>
      <c r="G47" s="566">
        <v>-38630.356555</v>
      </c>
      <c r="H47" s="447"/>
      <c r="I47" s="543">
        <f t="shared" si="2"/>
        <v>-211383.62</v>
      </c>
      <c r="J47" t="s">
        <v>1823</v>
      </c>
    </row>
    <row r="48" spans="1:10" ht="15">
      <c r="A48" s="3" t="s">
        <v>1805</v>
      </c>
      <c r="B48" s="297">
        <v>4470207</v>
      </c>
      <c r="C48" s="566">
        <v>-29960.059428</v>
      </c>
      <c r="D48" s="566">
        <v>-6036.702438000001</v>
      </c>
      <c r="E48" s="566">
        <v>-15377.375676</v>
      </c>
      <c r="F48" s="566">
        <v>-19682.971308</v>
      </c>
      <c r="G48" s="566">
        <v>-15889.49115</v>
      </c>
      <c r="H48" s="447"/>
      <c r="I48" s="543">
        <f t="shared" si="2"/>
        <v>-86946.59999999999</v>
      </c>
      <c r="J48" t="s">
        <v>1823</v>
      </c>
    </row>
    <row r="49" spans="1:10" ht="15">
      <c r="A49" s="3" t="s">
        <v>411</v>
      </c>
      <c r="B49" s="297">
        <v>5550040</v>
      </c>
      <c r="C49" s="566">
        <v>67.95117599999999</v>
      </c>
      <c r="D49" s="566">
        <v>13.691596</v>
      </c>
      <c r="E49" s="566">
        <v>34.876791999999995</v>
      </c>
      <c r="F49" s="566">
        <v>44.642135999999994</v>
      </c>
      <c r="G49" s="566">
        <v>36.0383</v>
      </c>
      <c r="H49" s="447"/>
      <c r="I49" s="543">
        <f t="shared" si="2"/>
        <v>197.2</v>
      </c>
      <c r="J49" t="s">
        <v>1823</v>
      </c>
    </row>
    <row r="50" spans="1:10" ht="15">
      <c r="A50" s="3" t="s">
        <v>411</v>
      </c>
      <c r="B50" s="297">
        <v>5550039</v>
      </c>
      <c r="C50" s="566">
        <v>4.4485278</v>
      </c>
      <c r="D50" s="566">
        <v>0.8963413000000001</v>
      </c>
      <c r="E50" s="566">
        <v>2.2832626</v>
      </c>
      <c r="F50" s="566">
        <v>2.9225658</v>
      </c>
      <c r="G50" s="566">
        <v>2.3593025</v>
      </c>
      <c r="H50" s="447"/>
      <c r="I50" s="543">
        <f t="shared" si="2"/>
        <v>12.910000000000002</v>
      </c>
      <c r="J50" t="s">
        <v>607</v>
      </c>
    </row>
    <row r="51" spans="1:10" ht="15">
      <c r="A51" s="3" t="s">
        <v>327</v>
      </c>
      <c r="B51" s="297">
        <v>4470116</v>
      </c>
      <c r="C51" s="566">
        <v>-0.4100502</v>
      </c>
      <c r="D51" s="566">
        <v>-0.0826217</v>
      </c>
      <c r="E51" s="566">
        <v>-0.21046339999999997</v>
      </c>
      <c r="F51" s="566">
        <v>-0.26939219999999997</v>
      </c>
      <c r="G51" s="566">
        <v>-0.21747249999999999</v>
      </c>
      <c r="H51" s="447"/>
      <c r="I51" s="543">
        <f t="shared" si="2"/>
        <v>-1.19</v>
      </c>
      <c r="J51" t="s">
        <v>1823</v>
      </c>
    </row>
    <row r="52" spans="1:10" ht="15">
      <c r="A52" s="3" t="s">
        <v>807</v>
      </c>
      <c r="B52" s="297">
        <v>4470116</v>
      </c>
      <c r="C52" s="566">
        <v>0.0034458</v>
      </c>
      <c r="D52" s="566">
        <v>0.0006943</v>
      </c>
      <c r="E52" s="566">
        <v>0.0017686</v>
      </c>
      <c r="F52" s="566">
        <v>0.0022638</v>
      </c>
      <c r="G52" s="566">
        <v>0.0018275</v>
      </c>
      <c r="H52" s="447"/>
      <c r="I52" s="543">
        <f t="shared" si="2"/>
        <v>0.009999999999999998</v>
      </c>
      <c r="J52" t="s">
        <v>1823</v>
      </c>
    </row>
    <row r="53" spans="1:10" ht="15">
      <c r="A53" s="3" t="s">
        <v>327</v>
      </c>
      <c r="B53" s="297">
        <v>4470115</v>
      </c>
      <c r="C53" s="566">
        <v>-0.024120600000000002</v>
      </c>
      <c r="D53" s="566">
        <v>-0.004860100000000001</v>
      </c>
      <c r="E53" s="566">
        <v>-0.012380200000000001</v>
      </c>
      <c r="F53" s="566">
        <v>-0.015846600000000002</v>
      </c>
      <c r="G53" s="566">
        <v>-0.012792500000000002</v>
      </c>
      <c r="H53" s="447"/>
      <c r="I53" s="543">
        <f t="shared" si="2"/>
        <v>-0.07</v>
      </c>
      <c r="J53" t="s">
        <v>607</v>
      </c>
    </row>
    <row r="54" spans="1:10" ht="15">
      <c r="A54" s="3" t="s">
        <v>807</v>
      </c>
      <c r="B54" s="297">
        <v>4470115</v>
      </c>
      <c r="C54" s="566">
        <v>0</v>
      </c>
      <c r="D54" s="566">
        <v>0</v>
      </c>
      <c r="E54" s="566">
        <v>0</v>
      </c>
      <c r="F54" s="566">
        <v>0</v>
      </c>
      <c r="G54" s="566">
        <v>0</v>
      </c>
      <c r="H54" s="447"/>
      <c r="I54" s="543">
        <f t="shared" si="2"/>
        <v>0</v>
      </c>
      <c r="J54" t="s">
        <v>607</v>
      </c>
    </row>
    <row r="55" spans="1:10" ht="15">
      <c r="A55" s="3" t="s">
        <v>412</v>
      </c>
      <c r="B55" s="297">
        <v>5614001</v>
      </c>
      <c r="C55" s="566">
        <v>2749.179843</v>
      </c>
      <c r="D55" s="566">
        <v>553.9368405</v>
      </c>
      <c r="E55" s="566">
        <v>1411.050981</v>
      </c>
      <c r="F55" s="566">
        <v>1806.138873</v>
      </c>
      <c r="G55" s="566">
        <v>1458.0434625</v>
      </c>
      <c r="H55" s="447"/>
      <c r="I55" s="543">
        <f t="shared" si="2"/>
        <v>7978.349999999999</v>
      </c>
      <c r="J55" t="s">
        <v>1823</v>
      </c>
    </row>
    <row r="56" spans="1:10" ht="15">
      <c r="A56" s="3" t="s">
        <v>412</v>
      </c>
      <c r="B56" s="297">
        <v>5614000</v>
      </c>
      <c r="C56" s="566">
        <v>180.1223034</v>
      </c>
      <c r="D56" s="566">
        <v>36.293143900000004</v>
      </c>
      <c r="E56" s="566">
        <v>92.4500278</v>
      </c>
      <c r="F56" s="566">
        <v>118.3356174</v>
      </c>
      <c r="G56" s="566">
        <v>95.5289075</v>
      </c>
      <c r="H56" s="447"/>
      <c r="I56" s="543">
        <f t="shared" si="2"/>
        <v>522.73</v>
      </c>
      <c r="J56" t="s">
        <v>607</v>
      </c>
    </row>
    <row r="57" spans="1:10" ht="15">
      <c r="A57" s="3" t="s">
        <v>823</v>
      </c>
      <c r="B57" s="297">
        <v>5614001</v>
      </c>
      <c r="C57" s="566">
        <v>72.603006</v>
      </c>
      <c r="D57" s="566">
        <v>14.628901</v>
      </c>
      <c r="E57" s="566">
        <v>37.264402</v>
      </c>
      <c r="F57" s="566">
        <v>47.698266</v>
      </c>
      <c r="G57" s="566">
        <v>38.505424999999995</v>
      </c>
      <c r="H57" s="447"/>
      <c r="I57" s="543">
        <f t="shared" si="2"/>
        <v>210.7</v>
      </c>
      <c r="J57" t="s">
        <v>1823</v>
      </c>
    </row>
    <row r="58" spans="1:10" ht="15">
      <c r="A58" s="3" t="s">
        <v>823</v>
      </c>
      <c r="B58" s="297">
        <v>5614000</v>
      </c>
      <c r="C58" s="566">
        <v>4.755204</v>
      </c>
      <c r="D58" s="566">
        <v>0.9581340000000002</v>
      </c>
      <c r="E58" s="566">
        <v>2.440668</v>
      </c>
      <c r="F58" s="566">
        <v>3.124044</v>
      </c>
      <c r="G58" s="566">
        <v>2.52195</v>
      </c>
      <c r="H58" s="447"/>
      <c r="I58" s="543">
        <f t="shared" si="2"/>
        <v>13.8</v>
      </c>
      <c r="J58" t="s">
        <v>607</v>
      </c>
    </row>
    <row r="59" spans="1:10" ht="15">
      <c r="A59" s="3" t="s">
        <v>824</v>
      </c>
      <c r="B59" s="297">
        <v>5614001</v>
      </c>
      <c r="C59" s="566">
        <v>752.0286209999999</v>
      </c>
      <c r="D59" s="566">
        <v>151.5275035</v>
      </c>
      <c r="E59" s="566">
        <v>385.98810699999996</v>
      </c>
      <c r="F59" s="566">
        <v>494.06303099999997</v>
      </c>
      <c r="G59" s="566">
        <v>398.84273749999994</v>
      </c>
      <c r="H59" s="447"/>
      <c r="I59" s="543">
        <f t="shared" si="2"/>
        <v>2182.45</v>
      </c>
      <c r="J59" t="s">
        <v>1823</v>
      </c>
    </row>
    <row r="60" spans="1:10" ht="15">
      <c r="A60" s="3" t="s">
        <v>824</v>
      </c>
      <c r="B60" s="297">
        <v>5614000</v>
      </c>
      <c r="C60" s="566">
        <v>49.2714942</v>
      </c>
      <c r="D60" s="566">
        <v>9.9277957</v>
      </c>
      <c r="E60" s="566">
        <v>25.2892114</v>
      </c>
      <c r="F60" s="566">
        <v>32.3700762</v>
      </c>
      <c r="G60" s="566">
        <v>26.1314225</v>
      </c>
      <c r="H60" s="447"/>
      <c r="I60" s="543">
        <f t="shared" si="2"/>
        <v>142.99</v>
      </c>
      <c r="J60" t="s">
        <v>607</v>
      </c>
    </row>
    <row r="61" spans="1:10" ht="15">
      <c r="A61" s="3" t="s">
        <v>825</v>
      </c>
      <c r="B61" s="297">
        <v>5614001</v>
      </c>
      <c r="C61" s="566">
        <v>8.4904512</v>
      </c>
      <c r="D61" s="566">
        <v>1.7107552000000001</v>
      </c>
      <c r="E61" s="566">
        <v>4.3578304</v>
      </c>
      <c r="F61" s="566">
        <v>5.5780032</v>
      </c>
      <c r="G61" s="566">
        <v>4.50296</v>
      </c>
      <c r="H61" s="447"/>
      <c r="I61" s="543">
        <f t="shared" si="2"/>
        <v>24.64</v>
      </c>
      <c r="J61" t="s">
        <v>1823</v>
      </c>
    </row>
    <row r="62" spans="1:10" ht="15">
      <c r="A62" s="3" t="s">
        <v>825</v>
      </c>
      <c r="B62" s="297">
        <v>5614000</v>
      </c>
      <c r="C62" s="566">
        <v>0.5547738</v>
      </c>
      <c r="D62" s="566">
        <v>0.11178230000000001</v>
      </c>
      <c r="E62" s="566">
        <v>0.2847446</v>
      </c>
      <c r="F62" s="566">
        <v>0.3644718</v>
      </c>
      <c r="G62" s="566">
        <v>0.29422750000000003</v>
      </c>
      <c r="H62" s="447"/>
      <c r="I62" s="543">
        <f t="shared" si="2"/>
        <v>1.61</v>
      </c>
      <c r="J62" t="s">
        <v>607</v>
      </c>
    </row>
    <row r="63" spans="1:10" ht="15">
      <c r="A63" s="3" t="s">
        <v>1814</v>
      </c>
      <c r="B63" s="297">
        <v>5618001</v>
      </c>
      <c r="C63" s="566">
        <v>91.64794260000001</v>
      </c>
      <c r="D63" s="566">
        <v>18.466297100000002</v>
      </c>
      <c r="E63" s="566">
        <v>47.0394542</v>
      </c>
      <c r="F63" s="566">
        <v>60.210288600000005</v>
      </c>
      <c r="G63" s="566">
        <v>48.60601750000001</v>
      </c>
      <c r="H63" s="447"/>
      <c r="I63" s="543">
        <f t="shared" si="2"/>
        <v>265.97</v>
      </c>
      <c r="J63" t="s">
        <v>1823</v>
      </c>
    </row>
    <row r="64" spans="1:10" ht="15">
      <c r="A64" s="3" t="s">
        <v>1814</v>
      </c>
      <c r="B64" s="297">
        <v>5618000</v>
      </c>
      <c r="C64" s="566">
        <v>6.0025836</v>
      </c>
      <c r="D64" s="566">
        <v>1.2094706000000002</v>
      </c>
      <c r="E64" s="566">
        <v>3.0809012</v>
      </c>
      <c r="F64" s="566">
        <v>3.9435396000000003</v>
      </c>
      <c r="G64" s="566">
        <v>3.1835050000000003</v>
      </c>
      <c r="H64" s="447"/>
      <c r="I64" s="543">
        <f t="shared" si="2"/>
        <v>17.42</v>
      </c>
      <c r="J64" t="s">
        <v>607</v>
      </c>
    </row>
    <row r="65" spans="1:10" ht="15">
      <c r="A65" s="3" t="s">
        <v>413</v>
      </c>
      <c r="B65" s="297">
        <v>5618000</v>
      </c>
      <c r="C65" s="566">
        <v>124.9343706</v>
      </c>
      <c r="D65" s="566">
        <v>25.173235100000003</v>
      </c>
      <c r="E65" s="566">
        <v>64.1241302</v>
      </c>
      <c r="F65" s="566">
        <v>82.0785966</v>
      </c>
      <c r="G65" s="566">
        <v>66.25966749999999</v>
      </c>
      <c r="H65" s="447"/>
      <c r="I65" s="543">
        <f t="shared" si="2"/>
        <v>362.56999999999994</v>
      </c>
      <c r="J65" t="s">
        <v>607</v>
      </c>
    </row>
    <row r="66" spans="1:10" ht="15">
      <c r="A66" s="3" t="s">
        <v>1816</v>
      </c>
      <c r="B66" s="297">
        <v>5550074</v>
      </c>
      <c r="C66" s="566">
        <v>3477.897627</v>
      </c>
      <c r="D66" s="566">
        <v>700.7674045</v>
      </c>
      <c r="E66" s="566">
        <v>1785.0745089999998</v>
      </c>
      <c r="F66" s="566">
        <v>2284.8872969999998</v>
      </c>
      <c r="G66" s="566">
        <v>1844.5231625</v>
      </c>
      <c r="H66" s="447"/>
      <c r="I66" s="543">
        <f t="shared" si="2"/>
        <v>10093.15</v>
      </c>
      <c r="J66" t="s">
        <v>1823</v>
      </c>
    </row>
    <row r="67" spans="1:10" ht="15">
      <c r="A67" s="3" t="s">
        <v>808</v>
      </c>
      <c r="B67" s="297">
        <v>5550074</v>
      </c>
      <c r="C67" s="566">
        <v>-0.2101938</v>
      </c>
      <c r="D67" s="566">
        <v>-0.0423523</v>
      </c>
      <c r="E67" s="566">
        <v>-0.1078846</v>
      </c>
      <c r="F67" s="566">
        <v>-0.1380918</v>
      </c>
      <c r="G67" s="566">
        <v>-0.1114775</v>
      </c>
      <c r="H67" s="447"/>
      <c r="I67" s="543">
        <f t="shared" si="2"/>
        <v>-0.61</v>
      </c>
      <c r="J67" t="s">
        <v>1823</v>
      </c>
    </row>
    <row r="68" spans="1:10" ht="15">
      <c r="A68" s="3" t="s">
        <v>1818</v>
      </c>
      <c r="B68" s="297">
        <v>5550078</v>
      </c>
      <c r="C68" s="566">
        <v>5499.0247254</v>
      </c>
      <c r="D68" s="566">
        <v>1108.0076809</v>
      </c>
      <c r="E68" s="566">
        <v>2822.4433017999995</v>
      </c>
      <c r="F68" s="566">
        <v>3612.7146593999996</v>
      </c>
      <c r="G68" s="566">
        <v>2916.4396325</v>
      </c>
      <c r="H68" s="447"/>
      <c r="I68" s="543">
        <f t="shared" si="2"/>
        <v>15958.63</v>
      </c>
      <c r="J68" t="s">
        <v>1823</v>
      </c>
    </row>
    <row r="69" spans="1:10" ht="15">
      <c r="A69" s="3" t="s">
        <v>1256</v>
      </c>
      <c r="B69" s="297">
        <v>5550083</v>
      </c>
      <c r="C69" s="566">
        <v>140.5507362</v>
      </c>
      <c r="D69" s="566">
        <v>28.3198027</v>
      </c>
      <c r="E69" s="566">
        <v>72.1394254</v>
      </c>
      <c r="F69" s="566">
        <v>92.3381382</v>
      </c>
      <c r="G69" s="566">
        <v>74.54189749999999</v>
      </c>
      <c r="H69" s="447"/>
      <c r="I69" s="543">
        <f t="shared" si="2"/>
        <v>407.89</v>
      </c>
      <c r="J69" t="s">
        <v>1823</v>
      </c>
    </row>
    <row r="70" spans="1:10" ht="15">
      <c r="A70" s="3" t="s">
        <v>809</v>
      </c>
      <c r="B70" s="297">
        <v>5550083</v>
      </c>
      <c r="C70" s="566">
        <v>137.4943116</v>
      </c>
      <c r="D70" s="566">
        <v>27.7039586</v>
      </c>
      <c r="E70" s="566">
        <v>70.57067719999999</v>
      </c>
      <c r="F70" s="566">
        <v>90.33014759999999</v>
      </c>
      <c r="G70" s="566">
        <v>72.92090499999999</v>
      </c>
      <c r="H70" s="447"/>
      <c r="I70" s="543">
        <f t="shared" si="2"/>
        <v>399.02</v>
      </c>
      <c r="J70" t="s">
        <v>1823</v>
      </c>
    </row>
    <row r="71" spans="1:10" ht="15">
      <c r="A71" s="3" t="s">
        <v>826</v>
      </c>
      <c r="B71" s="297">
        <v>5550090</v>
      </c>
      <c r="C71" s="566">
        <v>46.1082498</v>
      </c>
      <c r="D71" s="566">
        <v>9.2904283</v>
      </c>
      <c r="E71" s="566">
        <v>23.6656366</v>
      </c>
      <c r="F71" s="566">
        <v>30.2919078</v>
      </c>
      <c r="G71" s="566">
        <v>24.4537775</v>
      </c>
      <c r="H71" s="447"/>
      <c r="I71" s="543">
        <f t="shared" si="2"/>
        <v>133.81</v>
      </c>
      <c r="J71" t="s">
        <v>1823</v>
      </c>
    </row>
    <row r="72" spans="1:10" ht="15">
      <c r="A72" s="3" t="s">
        <v>1856</v>
      </c>
      <c r="B72" s="297">
        <v>4470203</v>
      </c>
      <c r="C72" s="566">
        <v>189.2571192</v>
      </c>
      <c r="D72" s="566">
        <v>38.1337332</v>
      </c>
      <c r="E72" s="566">
        <v>97.1385864</v>
      </c>
      <c r="F72" s="566">
        <v>124.3369512</v>
      </c>
      <c r="G72" s="566">
        <v>100.37361</v>
      </c>
      <c r="H72" s="447"/>
      <c r="I72" s="543">
        <f t="shared" si="2"/>
        <v>549.24</v>
      </c>
      <c r="J72" t="s">
        <v>1823</v>
      </c>
    </row>
    <row r="73" spans="1:10" ht="15">
      <c r="A73" s="3" t="s">
        <v>1856</v>
      </c>
      <c r="B73" s="297">
        <v>4470098</v>
      </c>
      <c r="C73" s="566">
        <v>12.3979884</v>
      </c>
      <c r="D73" s="566">
        <v>2.4980914</v>
      </c>
      <c r="E73" s="566">
        <v>6.3634227999999995</v>
      </c>
      <c r="F73" s="566">
        <v>8.145152399999999</v>
      </c>
      <c r="G73" s="566">
        <v>6.5753449999999996</v>
      </c>
      <c r="H73" s="447"/>
      <c r="I73" s="543">
        <f t="shared" si="2"/>
        <v>35.98</v>
      </c>
      <c r="J73" t="s">
        <v>607</v>
      </c>
    </row>
    <row r="74" spans="1:10" ht="15">
      <c r="A74" s="3" t="s">
        <v>810</v>
      </c>
      <c r="B74" s="297">
        <v>4470203</v>
      </c>
      <c r="C74" s="566">
        <v>0.7787508</v>
      </c>
      <c r="D74" s="566">
        <v>0.1569118</v>
      </c>
      <c r="E74" s="566">
        <v>0.39970359999999994</v>
      </c>
      <c r="F74" s="566">
        <v>0.5116187999999999</v>
      </c>
      <c r="G74" s="566">
        <v>0.41301499999999997</v>
      </c>
      <c r="H74" s="447"/>
      <c r="I74" s="543">
        <f t="shared" si="2"/>
        <v>2.26</v>
      </c>
      <c r="J74" t="s">
        <v>1823</v>
      </c>
    </row>
    <row r="75" spans="1:10" ht="15">
      <c r="A75" s="3" t="s">
        <v>1821</v>
      </c>
      <c r="B75" s="297">
        <v>5550041</v>
      </c>
      <c r="C75" s="566">
        <v>192.6581238</v>
      </c>
      <c r="D75" s="566">
        <v>38.8190073</v>
      </c>
      <c r="E75" s="566">
        <v>98.8841946</v>
      </c>
      <c r="F75" s="566">
        <v>126.5713218</v>
      </c>
      <c r="G75" s="566">
        <v>102.1773525</v>
      </c>
      <c r="H75" s="447"/>
      <c r="I75" s="543">
        <f t="shared" si="2"/>
        <v>559.11</v>
      </c>
      <c r="J75" t="s">
        <v>1823</v>
      </c>
    </row>
    <row r="76" spans="1:10" ht="15">
      <c r="A76" s="3" t="s">
        <v>1858</v>
      </c>
      <c r="B76" s="297">
        <v>4470203</v>
      </c>
      <c r="C76" s="566">
        <v>1.9951182</v>
      </c>
      <c r="D76" s="566">
        <v>0.4019997</v>
      </c>
      <c r="E76" s="566">
        <v>1.0240194</v>
      </c>
      <c r="F76" s="566">
        <v>1.3107402</v>
      </c>
      <c r="G76" s="566">
        <v>1.0581225</v>
      </c>
      <c r="H76" s="447"/>
      <c r="I76" s="543">
        <f t="shared" si="2"/>
        <v>5.789999999999999</v>
      </c>
      <c r="J76" t="s">
        <v>1823</v>
      </c>
    </row>
    <row r="77" spans="1:10" ht="15">
      <c r="A77" s="3" t="s">
        <v>1858</v>
      </c>
      <c r="B77" s="297">
        <v>4470098</v>
      </c>
      <c r="C77" s="566">
        <v>0.12749459999999999</v>
      </c>
      <c r="D77" s="566">
        <v>0.025689100000000003</v>
      </c>
      <c r="E77" s="566">
        <v>0.0654382</v>
      </c>
      <c r="F77" s="566">
        <v>0.0837606</v>
      </c>
      <c r="G77" s="566">
        <v>0.0676175</v>
      </c>
      <c r="H77" s="447"/>
      <c r="I77" s="543">
        <f t="shared" si="2"/>
        <v>0.37</v>
      </c>
      <c r="J77" t="s">
        <v>607</v>
      </c>
    </row>
    <row r="78" spans="1:10" ht="15">
      <c r="A78" s="3" t="s">
        <v>1800</v>
      </c>
      <c r="B78" s="297">
        <v>5550076</v>
      </c>
      <c r="C78" s="566">
        <v>69.4432074</v>
      </c>
      <c r="D78" s="566">
        <v>13.992227900000001</v>
      </c>
      <c r="E78" s="566">
        <v>35.642595799999995</v>
      </c>
      <c r="F78" s="566">
        <v>45.6223614</v>
      </c>
      <c r="G78" s="566">
        <v>36.8296075</v>
      </c>
      <c r="H78" s="447"/>
      <c r="I78" s="543">
        <f t="shared" si="2"/>
        <v>201.53000000000003</v>
      </c>
      <c r="J78" t="s">
        <v>1823</v>
      </c>
    </row>
    <row r="79" spans="1:10" ht="15">
      <c r="A79" s="3" t="s">
        <v>811</v>
      </c>
      <c r="B79" s="297">
        <v>5550076</v>
      </c>
      <c r="C79" s="566">
        <v>-0.0068916</v>
      </c>
      <c r="D79" s="566">
        <v>-0.0013886</v>
      </c>
      <c r="E79" s="566">
        <v>-0.0035372</v>
      </c>
      <c r="F79" s="566">
        <v>-0.0045276</v>
      </c>
      <c r="G79" s="566">
        <v>-0.003655</v>
      </c>
      <c r="H79" s="447"/>
      <c r="I79" s="543">
        <f t="shared" si="2"/>
        <v>-0.019999999999999997</v>
      </c>
      <c r="J79" t="s">
        <v>1823</v>
      </c>
    </row>
    <row r="80" spans="1:10" ht="15">
      <c r="A80" s="3" t="s">
        <v>1852</v>
      </c>
      <c r="B80" s="297">
        <v>4470115</v>
      </c>
      <c r="C80" s="566">
        <v>-33.9859254</v>
      </c>
      <c r="D80" s="566">
        <v>-6.8478809</v>
      </c>
      <c r="E80" s="566">
        <v>-17.4437018</v>
      </c>
      <c r="F80" s="566">
        <v>-22.327859399999998</v>
      </c>
      <c r="G80" s="566">
        <v>-18.0246325</v>
      </c>
      <c r="H80" s="447"/>
      <c r="I80" s="543">
        <f t="shared" si="2"/>
        <v>-98.63</v>
      </c>
      <c r="J80" t="s">
        <v>607</v>
      </c>
    </row>
    <row r="81" spans="1:10" ht="15">
      <c r="A81" s="3" t="s">
        <v>1859</v>
      </c>
      <c r="B81" s="297">
        <v>4470093</v>
      </c>
      <c r="C81" s="566">
        <v>-8.0356056</v>
      </c>
      <c r="D81" s="566">
        <v>-1.6191076000000002</v>
      </c>
      <c r="E81" s="566">
        <v>-4.1243752</v>
      </c>
      <c r="F81" s="566">
        <v>-5.2791816</v>
      </c>
      <c r="G81" s="566">
        <v>-4.26173</v>
      </c>
      <c r="H81" s="447"/>
      <c r="I81" s="543">
        <f t="shared" si="2"/>
        <v>-23.32</v>
      </c>
      <c r="J81" t="s">
        <v>1823</v>
      </c>
    </row>
    <row r="82" spans="1:10" ht="15">
      <c r="A82" s="3" t="s">
        <v>473</v>
      </c>
      <c r="B82" s="297">
        <v>4470207</v>
      </c>
      <c r="C82" s="566">
        <v>0.7167264</v>
      </c>
      <c r="D82" s="566">
        <v>0.14441440000000003</v>
      </c>
      <c r="E82" s="566">
        <v>0.3678688</v>
      </c>
      <c r="F82" s="566">
        <v>0.4708704</v>
      </c>
      <c r="G82" s="566">
        <v>0.38012</v>
      </c>
      <c r="H82" s="447"/>
      <c r="I82" s="543">
        <f t="shared" si="2"/>
        <v>2.08</v>
      </c>
      <c r="J82" t="s">
        <v>1823</v>
      </c>
    </row>
    <row r="83" spans="1:10" ht="15">
      <c r="A83" s="3" t="s">
        <v>1847</v>
      </c>
      <c r="B83" s="297">
        <v>4470207</v>
      </c>
      <c r="C83" s="566">
        <v>42.4074606</v>
      </c>
      <c r="D83" s="566">
        <v>8.5447501</v>
      </c>
      <c r="E83" s="566">
        <v>21.766160199999998</v>
      </c>
      <c r="F83" s="566">
        <v>27.860586599999998</v>
      </c>
      <c r="G83" s="566">
        <v>22.4910425</v>
      </c>
      <c r="H83" s="447"/>
      <c r="I83" s="543">
        <f t="shared" si="2"/>
        <v>123.07</v>
      </c>
      <c r="J83" t="s">
        <v>1823</v>
      </c>
    </row>
    <row r="84" spans="1:10" ht="15">
      <c r="A84" s="3" t="s">
        <v>474</v>
      </c>
      <c r="B84" s="297">
        <v>5550040</v>
      </c>
      <c r="C84" s="566">
        <v>0.103374</v>
      </c>
      <c r="D84" s="566">
        <v>0.020829</v>
      </c>
      <c r="E84" s="566">
        <v>0.053057999999999994</v>
      </c>
      <c r="F84" s="566">
        <v>0.067914</v>
      </c>
      <c r="G84" s="566">
        <v>0.054825</v>
      </c>
      <c r="H84" s="447"/>
      <c r="I84" s="543">
        <f t="shared" si="2"/>
        <v>0.3</v>
      </c>
      <c r="J84" t="s">
        <v>1823</v>
      </c>
    </row>
    <row r="85" spans="1:10" ht="15">
      <c r="A85" s="3" t="s">
        <v>474</v>
      </c>
      <c r="B85" s="297">
        <v>5550039</v>
      </c>
      <c r="C85" s="566">
        <v>0.0034458</v>
      </c>
      <c r="D85" s="566">
        <v>0.0006943</v>
      </c>
      <c r="E85" s="566">
        <v>0.0017686</v>
      </c>
      <c r="F85" s="566">
        <v>0.0022638</v>
      </c>
      <c r="G85" s="566">
        <v>0.0018275</v>
      </c>
      <c r="H85" s="447"/>
      <c r="I85" s="543">
        <f t="shared" si="2"/>
        <v>0.009999999999999998</v>
      </c>
      <c r="J85" t="s">
        <v>607</v>
      </c>
    </row>
    <row r="86" spans="1:10" ht="15">
      <c r="A86" s="3" t="s">
        <v>1848</v>
      </c>
      <c r="B86" s="297">
        <v>5614001</v>
      </c>
      <c r="C86" s="566">
        <v>-0.2997846</v>
      </c>
      <c r="D86" s="566">
        <v>-0.0604041</v>
      </c>
      <c r="E86" s="566">
        <v>-0.15386819999999998</v>
      </c>
      <c r="F86" s="566">
        <v>-0.1969506</v>
      </c>
      <c r="G86" s="566">
        <v>-0.1589925</v>
      </c>
      <c r="H86" s="447"/>
      <c r="I86" s="543">
        <f t="shared" si="2"/>
        <v>-0.87</v>
      </c>
      <c r="J86" t="s">
        <v>1823</v>
      </c>
    </row>
    <row r="87" spans="1:10" ht="15">
      <c r="A87" s="3" t="s">
        <v>1848</v>
      </c>
      <c r="B87" s="297">
        <v>5614000</v>
      </c>
      <c r="C87" s="566">
        <v>-0.017229</v>
      </c>
      <c r="D87" s="566">
        <v>-0.0034715000000000006</v>
      </c>
      <c r="E87" s="566">
        <v>-0.008843</v>
      </c>
      <c r="F87" s="566">
        <v>-0.011319000000000001</v>
      </c>
      <c r="G87" s="566">
        <v>-0.0091375</v>
      </c>
      <c r="H87" s="447"/>
      <c r="I87" s="543">
        <f t="shared" si="2"/>
        <v>-0.05</v>
      </c>
      <c r="J87" t="s">
        <v>607</v>
      </c>
    </row>
    <row r="88" spans="1:10" ht="15">
      <c r="A88" s="3" t="s">
        <v>475</v>
      </c>
      <c r="B88" s="297">
        <v>5614001</v>
      </c>
      <c r="C88" s="566">
        <v>0.18607320000000002</v>
      </c>
      <c r="D88" s="566">
        <v>0.0374922</v>
      </c>
      <c r="E88" s="566">
        <v>0.0955044</v>
      </c>
      <c r="F88" s="566">
        <v>0.12224520000000001</v>
      </c>
      <c r="G88" s="566">
        <v>0.09868500000000001</v>
      </c>
      <c r="H88" s="447"/>
      <c r="I88" s="543">
        <f t="shared" si="2"/>
        <v>0.54</v>
      </c>
      <c r="J88" t="s">
        <v>1823</v>
      </c>
    </row>
    <row r="89" spans="1:10" ht="15">
      <c r="A89" s="3" t="s">
        <v>475</v>
      </c>
      <c r="B89" s="297">
        <v>5614000</v>
      </c>
      <c r="C89" s="566">
        <v>0.0103374</v>
      </c>
      <c r="D89" s="566">
        <v>0.0020829</v>
      </c>
      <c r="E89" s="566">
        <v>0.005305799999999999</v>
      </c>
      <c r="F89" s="566">
        <v>0.0067913999999999995</v>
      </c>
      <c r="G89" s="566">
        <v>0.0054824999999999995</v>
      </c>
      <c r="H89" s="447"/>
      <c r="I89" s="543">
        <f t="shared" si="2"/>
        <v>0.03</v>
      </c>
      <c r="J89" t="s">
        <v>607</v>
      </c>
    </row>
    <row r="90" spans="1:10" ht="15">
      <c r="A90" s="3" t="s">
        <v>476</v>
      </c>
      <c r="B90" s="297">
        <v>5614001</v>
      </c>
      <c r="C90" s="566">
        <v>-0.0551328</v>
      </c>
      <c r="D90" s="566">
        <v>-0.0111088</v>
      </c>
      <c r="E90" s="566">
        <v>-0.0282976</v>
      </c>
      <c r="F90" s="566">
        <v>-0.0362208</v>
      </c>
      <c r="G90" s="566">
        <v>-0.02924</v>
      </c>
      <c r="H90" s="447"/>
      <c r="I90" s="543">
        <f t="shared" si="2"/>
        <v>-0.15999999999999998</v>
      </c>
      <c r="J90" t="s">
        <v>1823</v>
      </c>
    </row>
    <row r="91" spans="1:10" ht="15">
      <c r="A91" s="3" t="s">
        <v>476</v>
      </c>
      <c r="B91" s="297">
        <v>5614000</v>
      </c>
      <c r="C91" s="566">
        <v>-0.0034458</v>
      </c>
      <c r="D91" s="566">
        <v>-0.0006943</v>
      </c>
      <c r="E91" s="566">
        <v>-0.0017686</v>
      </c>
      <c r="F91" s="566">
        <v>-0.0022638</v>
      </c>
      <c r="G91" s="566">
        <v>-0.0018275</v>
      </c>
      <c r="H91" s="447"/>
      <c r="I91" s="543">
        <f t="shared" si="2"/>
        <v>-0.009999999999999998</v>
      </c>
      <c r="J91" t="s">
        <v>607</v>
      </c>
    </row>
    <row r="92" spans="1:10" ht="15">
      <c r="A92" s="3" t="s">
        <v>478</v>
      </c>
      <c r="B92" s="297">
        <v>5618001</v>
      </c>
      <c r="C92" s="566">
        <v>-0.0068916</v>
      </c>
      <c r="D92" s="566">
        <v>-0.0013886</v>
      </c>
      <c r="E92" s="566">
        <v>-0.0035372</v>
      </c>
      <c r="F92" s="566">
        <v>-0.0045276</v>
      </c>
      <c r="G92" s="566">
        <v>-0.003655</v>
      </c>
      <c r="H92" s="447"/>
      <c r="I92" s="543">
        <f t="shared" si="2"/>
        <v>-0.019999999999999997</v>
      </c>
      <c r="J92" t="s">
        <v>1823</v>
      </c>
    </row>
    <row r="93" spans="1:10" ht="15">
      <c r="A93" s="3" t="s">
        <v>478</v>
      </c>
      <c r="B93" s="297">
        <v>5618000</v>
      </c>
      <c r="C93" s="566">
        <v>0</v>
      </c>
      <c r="D93" s="566">
        <v>0</v>
      </c>
      <c r="E93" s="566">
        <v>0</v>
      </c>
      <c r="F93" s="566">
        <v>0</v>
      </c>
      <c r="G93" s="566">
        <v>0</v>
      </c>
      <c r="H93" s="447"/>
      <c r="I93" s="543">
        <f t="shared" si="2"/>
        <v>0</v>
      </c>
      <c r="J93" t="s">
        <v>607</v>
      </c>
    </row>
    <row r="94" spans="1:10" ht="15">
      <c r="A94" s="3" t="s">
        <v>479</v>
      </c>
      <c r="B94" s="297">
        <v>5618001</v>
      </c>
      <c r="C94" s="566">
        <v>-0.0137832</v>
      </c>
      <c r="D94" s="566">
        <v>-0.0027772</v>
      </c>
      <c r="E94" s="566">
        <v>-0.0070744</v>
      </c>
      <c r="F94" s="566">
        <v>-0.0090552</v>
      </c>
      <c r="G94" s="566">
        <v>-0.00731</v>
      </c>
      <c r="H94" s="447"/>
      <c r="I94" s="543">
        <f t="shared" si="2"/>
        <v>-0.039999999999999994</v>
      </c>
      <c r="J94" t="s">
        <v>1823</v>
      </c>
    </row>
    <row r="95" spans="1:10" ht="15">
      <c r="A95" s="3" t="s">
        <v>1850</v>
      </c>
      <c r="B95" s="297">
        <v>4470110</v>
      </c>
      <c r="C95" s="566">
        <v>-0.09648240000000001</v>
      </c>
      <c r="D95" s="566">
        <v>-0.019440400000000004</v>
      </c>
      <c r="E95" s="566">
        <v>-0.049520800000000004</v>
      </c>
      <c r="F95" s="566">
        <v>-0.06338640000000001</v>
      </c>
      <c r="G95" s="566">
        <v>-0.05117000000000001</v>
      </c>
      <c r="H95" s="447"/>
      <c r="I95" s="543">
        <f t="shared" si="2"/>
        <v>-0.28</v>
      </c>
      <c r="J95" t="s">
        <v>607</v>
      </c>
    </row>
    <row r="96" spans="1:10" ht="15">
      <c r="A96" s="3" t="s">
        <v>1851</v>
      </c>
      <c r="B96" s="297">
        <v>5550078</v>
      </c>
      <c r="C96" s="566">
        <v>-0.1619526</v>
      </c>
      <c r="D96" s="566">
        <v>-0.032632100000000004</v>
      </c>
      <c r="E96" s="566">
        <v>-0.0831242</v>
      </c>
      <c r="F96" s="566">
        <v>-0.1063986</v>
      </c>
      <c r="G96" s="566">
        <v>-0.0858925</v>
      </c>
      <c r="H96" s="447"/>
      <c r="I96" s="543">
        <f t="shared" si="2"/>
        <v>-0.47</v>
      </c>
      <c r="J96" t="s">
        <v>1823</v>
      </c>
    </row>
    <row r="97" spans="1:10" ht="15">
      <c r="A97" s="8" t="s">
        <v>1849</v>
      </c>
      <c r="B97" s="297">
        <v>5550083</v>
      </c>
      <c r="C97" s="566">
        <v>0.0068916</v>
      </c>
      <c r="D97" s="566">
        <v>0.0013886</v>
      </c>
      <c r="E97" s="566">
        <v>0.0035372</v>
      </c>
      <c r="F97" s="566">
        <v>0.0045276</v>
      </c>
      <c r="G97" s="566">
        <v>0.003655</v>
      </c>
      <c r="H97" s="447"/>
      <c r="I97" s="543">
        <f t="shared" si="2"/>
        <v>0.019999999999999997</v>
      </c>
      <c r="J97" t="s">
        <v>1823</v>
      </c>
    </row>
    <row r="98" spans="1:10" ht="15">
      <c r="A98" s="8" t="s">
        <v>812</v>
      </c>
      <c r="B98" s="297">
        <v>4470203</v>
      </c>
      <c r="C98" s="566">
        <v>-0.21343857202799998</v>
      </c>
      <c r="D98" s="566">
        <v>-0.043006094538</v>
      </c>
      <c r="E98" s="566">
        <v>-0.109550019876</v>
      </c>
      <c r="F98" s="566">
        <v>-0.140223529908</v>
      </c>
      <c r="G98" s="566">
        <v>-0.11319838365</v>
      </c>
      <c r="H98" s="447"/>
      <c r="I98" s="543">
        <f t="shared" si="2"/>
        <v>-0.6194166</v>
      </c>
      <c r="J98" t="s">
        <v>1823</v>
      </c>
    </row>
    <row r="99" spans="1:10" ht="15">
      <c r="A99" s="8" t="s">
        <v>812</v>
      </c>
      <c r="B99" s="297">
        <v>4470098</v>
      </c>
      <c r="C99" s="566">
        <v>-0.013984227972000001</v>
      </c>
      <c r="D99" s="566">
        <v>-0.0028177054620000005</v>
      </c>
      <c r="E99" s="566">
        <v>-0.007177580124000001</v>
      </c>
      <c r="F99" s="566">
        <v>-0.009187270092</v>
      </c>
      <c r="G99" s="566">
        <v>-0.007416616350000001</v>
      </c>
      <c r="H99" s="447"/>
      <c r="I99" s="543">
        <f t="shared" si="2"/>
        <v>-0.040583400000000006</v>
      </c>
      <c r="J99" t="s">
        <v>607</v>
      </c>
    </row>
    <row r="100" spans="1:10" ht="15">
      <c r="A100" s="8" t="s">
        <v>1846</v>
      </c>
      <c r="B100" s="297">
        <v>5550041</v>
      </c>
      <c r="C100" s="566">
        <v>-0.017229</v>
      </c>
      <c r="D100" s="566">
        <v>-0.0034715000000000006</v>
      </c>
      <c r="E100" s="566">
        <v>-0.008843</v>
      </c>
      <c r="F100" s="566">
        <v>-0.011319000000000001</v>
      </c>
      <c r="G100" s="566">
        <v>-0.0091375</v>
      </c>
      <c r="H100" s="447"/>
      <c r="I100" s="543">
        <f t="shared" si="2"/>
        <v>-0.05</v>
      </c>
      <c r="J100" t="s">
        <v>1823</v>
      </c>
    </row>
    <row r="101" spans="1:10" ht="15">
      <c r="A101" s="8" t="s">
        <v>410</v>
      </c>
      <c r="B101" s="297">
        <v>4470101</v>
      </c>
      <c r="C101" s="566">
        <v>32850.7134816</v>
      </c>
      <c r="D101" s="566">
        <v>6619.1451536</v>
      </c>
      <c r="E101" s="566">
        <v>16861.0400672</v>
      </c>
      <c r="F101" s="566">
        <v>21582.0550176</v>
      </c>
      <c r="G101" s="566">
        <v>17422.56628</v>
      </c>
      <c r="H101" s="447"/>
      <c r="I101" s="543">
        <f t="shared" si="2"/>
        <v>95335.52</v>
      </c>
      <c r="J101" t="s">
        <v>1823</v>
      </c>
    </row>
    <row r="102" spans="1:10" ht="15">
      <c r="A102" s="8" t="s">
        <v>1809</v>
      </c>
      <c r="B102" s="297">
        <v>4470099</v>
      </c>
      <c r="C102" s="566">
        <v>129098.9506968</v>
      </c>
      <c r="D102" s="566">
        <v>26012.363302800004</v>
      </c>
      <c r="E102" s="566">
        <v>66261.6530856</v>
      </c>
      <c r="F102" s="566">
        <v>84814.6162248</v>
      </c>
      <c r="G102" s="566">
        <v>68468.37669</v>
      </c>
      <c r="H102" s="447"/>
      <c r="I102" s="543">
        <f t="shared" si="2"/>
        <v>374655.96</v>
      </c>
      <c r="J102" t="s">
        <v>607</v>
      </c>
    </row>
    <row r="103" spans="1:10" ht="15">
      <c r="A103" s="296" t="s">
        <v>154</v>
      </c>
      <c r="B103" s="297">
        <v>4561002</v>
      </c>
      <c r="C103" s="566">
        <v>173.40430800000001</v>
      </c>
      <c r="D103" s="566">
        <v>41.78790000000001</v>
      </c>
      <c r="E103" s="566">
        <v>137.74530000000001</v>
      </c>
      <c r="F103" s="566">
        <v>196.86744000000002</v>
      </c>
      <c r="G103" s="566">
        <v>69.275052</v>
      </c>
      <c r="H103" s="447"/>
      <c r="I103" s="543">
        <f t="shared" si="2"/>
        <v>619.08</v>
      </c>
      <c r="J103" t="s">
        <v>1823</v>
      </c>
    </row>
    <row r="104" spans="1:10" ht="15">
      <c r="A104" s="296" t="s">
        <v>1806</v>
      </c>
      <c r="B104" s="297">
        <v>4561003</v>
      </c>
      <c r="C104" s="566">
        <v>122.50453600000002</v>
      </c>
      <c r="D104" s="566">
        <v>29.521800000000002</v>
      </c>
      <c r="E104" s="566">
        <v>97.3126</v>
      </c>
      <c r="F104" s="566">
        <v>139.08048</v>
      </c>
      <c r="G104" s="566">
        <v>48.940584</v>
      </c>
      <c r="H104" s="447"/>
      <c r="I104" s="543">
        <f t="shared" si="2"/>
        <v>437.36</v>
      </c>
      <c r="J104" t="s">
        <v>1823</v>
      </c>
    </row>
    <row r="105" spans="1:10" ht="15">
      <c r="A105" s="296" t="s">
        <v>1807</v>
      </c>
      <c r="B105" s="297">
        <v>4561005</v>
      </c>
      <c r="C105" s="566">
        <v>-963.1975824000001</v>
      </c>
      <c r="D105" s="566">
        <v>-194.07629040000003</v>
      </c>
      <c r="E105" s="566">
        <v>-494.3732208</v>
      </c>
      <c r="F105" s="566">
        <v>-632.7954864000001</v>
      </c>
      <c r="G105" s="566">
        <v>-510.83742</v>
      </c>
      <c r="H105" s="447"/>
      <c r="I105" s="543">
        <f t="shared" si="2"/>
        <v>-2795.2799999999997</v>
      </c>
      <c r="J105" t="s">
        <v>1823</v>
      </c>
    </row>
    <row r="106" spans="1:10" ht="15">
      <c r="A106" s="296" t="s">
        <v>1842</v>
      </c>
      <c r="B106" s="297">
        <v>4561005</v>
      </c>
      <c r="C106" s="566">
        <v>-3.5216076000000003</v>
      </c>
      <c r="D106" s="566">
        <v>-0.7095746</v>
      </c>
      <c r="E106" s="566">
        <v>-1.8075092</v>
      </c>
      <c r="F106" s="566">
        <v>-2.3136036</v>
      </c>
      <c r="G106" s="566">
        <v>-1.8677050000000002</v>
      </c>
      <c r="H106" s="447"/>
      <c r="I106" s="543">
        <f t="shared" si="2"/>
        <v>-10.22</v>
      </c>
      <c r="J106" t="s">
        <v>1823</v>
      </c>
    </row>
    <row r="107" spans="1:10" ht="15">
      <c r="A107" s="296" t="s">
        <v>1811</v>
      </c>
      <c r="B107" s="297">
        <v>4561005</v>
      </c>
      <c r="C107" s="566">
        <v>-486.4022364</v>
      </c>
      <c r="D107" s="566">
        <v>-98.00599940000001</v>
      </c>
      <c r="E107" s="566">
        <v>-249.65203879999999</v>
      </c>
      <c r="F107" s="566">
        <v>-319.55348039999996</v>
      </c>
      <c r="G107" s="566">
        <v>-257.96624499999996</v>
      </c>
      <c r="H107" s="447"/>
      <c r="I107" s="543">
        <f t="shared" si="2"/>
        <v>-1411.58</v>
      </c>
      <c r="J107" t="s">
        <v>1823</v>
      </c>
    </row>
    <row r="108" spans="1:10" ht="15">
      <c r="A108" s="296" t="s">
        <v>1808</v>
      </c>
      <c r="B108" s="297">
        <v>4470101</v>
      </c>
      <c r="C108" s="566">
        <v>-24092.1066798</v>
      </c>
      <c r="D108" s="566">
        <v>-4854.3588333</v>
      </c>
      <c r="E108" s="566">
        <v>-12365.575446599998</v>
      </c>
      <c r="F108" s="566">
        <v>-15827.880637799999</v>
      </c>
      <c r="G108" s="566">
        <v>-12777.388402499999</v>
      </c>
      <c r="H108" s="447"/>
      <c r="I108" s="543">
        <f t="shared" si="2"/>
        <v>-69917.31</v>
      </c>
      <c r="J108" t="s">
        <v>1823</v>
      </c>
    </row>
    <row r="109" spans="1:10" ht="15">
      <c r="A109" s="296" t="s">
        <v>1857</v>
      </c>
      <c r="B109" s="297">
        <v>4470208</v>
      </c>
      <c r="C109" s="566">
        <v>10.891835008944</v>
      </c>
      <c r="D109" s="566">
        <v>2.1946140364240003</v>
      </c>
      <c r="E109" s="566">
        <v>5.590370711247999</v>
      </c>
      <c r="F109" s="566">
        <v>7.155649223184</v>
      </c>
      <c r="G109" s="566">
        <v>5.776547820199999</v>
      </c>
      <c r="H109" s="447"/>
      <c r="I109" s="543">
        <f t="shared" si="2"/>
        <v>31.6090168</v>
      </c>
      <c r="J109" t="s">
        <v>1823</v>
      </c>
    </row>
    <row r="110" spans="1:10" ht="15">
      <c r="A110" s="296" t="s">
        <v>1857</v>
      </c>
      <c r="B110" s="297">
        <v>4470206</v>
      </c>
      <c r="C110" s="566">
        <v>0.713619391056</v>
      </c>
      <c r="D110" s="566">
        <v>0.14378836357600003</v>
      </c>
      <c r="E110" s="566">
        <v>0.366274088752</v>
      </c>
      <c r="F110" s="566">
        <v>0.468829176816</v>
      </c>
      <c r="G110" s="566">
        <v>0.37847217980000003</v>
      </c>
      <c r="H110" s="447"/>
      <c r="I110" s="543">
        <f t="shared" si="2"/>
        <v>2.0709832</v>
      </c>
      <c r="J110" t="s">
        <v>607</v>
      </c>
    </row>
    <row r="111" spans="1:10" ht="15">
      <c r="A111" s="296" t="s">
        <v>1861</v>
      </c>
      <c r="B111" s="297">
        <v>4470208</v>
      </c>
      <c r="C111" s="566">
        <v>0.9510407999999999</v>
      </c>
      <c r="D111" s="566">
        <v>0.1916268</v>
      </c>
      <c r="E111" s="566">
        <v>0.48813359999999995</v>
      </c>
      <c r="F111" s="566">
        <v>0.6248087999999999</v>
      </c>
      <c r="G111" s="566">
        <v>0.5043899999999999</v>
      </c>
      <c r="H111" s="447"/>
      <c r="I111" s="543">
        <f t="shared" si="2"/>
        <v>2.76</v>
      </c>
      <c r="J111" t="s">
        <v>1823</v>
      </c>
    </row>
    <row r="112" spans="1:10" ht="15">
      <c r="A112" s="296" t="s">
        <v>1861</v>
      </c>
      <c r="B112" s="297">
        <v>4470206</v>
      </c>
      <c r="C112" s="566">
        <v>0.0620244</v>
      </c>
      <c r="D112" s="566">
        <v>0.0124974</v>
      </c>
      <c r="E112" s="566">
        <v>0.031834799999999996</v>
      </c>
      <c r="F112" s="566">
        <v>0.0407484</v>
      </c>
      <c r="G112" s="566">
        <v>0.032895</v>
      </c>
      <c r="H112" s="447"/>
      <c r="I112" s="543">
        <f t="shared" si="2"/>
        <v>0.18</v>
      </c>
      <c r="J112" t="s">
        <v>607</v>
      </c>
    </row>
    <row r="113" spans="1:10" ht="15">
      <c r="A113" s="296" t="s">
        <v>1795</v>
      </c>
      <c r="B113" s="297">
        <v>4470101</v>
      </c>
      <c r="C113" s="566">
        <v>-33965.7605784</v>
      </c>
      <c r="D113" s="566">
        <v>-6843.8178564</v>
      </c>
      <c r="E113" s="566">
        <v>-17433.3519528</v>
      </c>
      <c r="F113" s="566">
        <v>-22314.6116424</v>
      </c>
      <c r="G113" s="566">
        <v>-18013.93797</v>
      </c>
      <c r="H113" s="447"/>
      <c r="I113" s="543">
        <f t="shared" si="2"/>
        <v>-98571.47999999998</v>
      </c>
      <c r="J113" t="s">
        <v>1823</v>
      </c>
    </row>
    <row r="114" spans="1:10" ht="15">
      <c r="A114" s="296" t="s">
        <v>1844</v>
      </c>
      <c r="B114" s="297">
        <v>4470099</v>
      </c>
      <c r="C114" s="566">
        <v>-364.77927959999994</v>
      </c>
      <c r="D114" s="566">
        <v>-73.4999866</v>
      </c>
      <c r="E114" s="566">
        <v>-187.22753319999998</v>
      </c>
      <c r="F114" s="566">
        <v>-239.65039559999997</v>
      </c>
      <c r="G114" s="566">
        <v>-193.46280499999997</v>
      </c>
      <c r="H114" s="447"/>
      <c r="I114" s="543">
        <f t="shared" si="2"/>
        <v>-1058.6199999999997</v>
      </c>
      <c r="J114" t="s">
        <v>607</v>
      </c>
    </row>
    <row r="115" spans="1:9" ht="15">
      <c r="A115" s="296"/>
      <c r="B115" s="297"/>
      <c r="C115" s="507"/>
      <c r="D115" s="507"/>
      <c r="E115" s="507"/>
      <c r="F115" s="507"/>
      <c r="G115" s="507"/>
      <c r="H115" s="447"/>
      <c r="I115" s="543"/>
    </row>
    <row r="116" spans="1:9" ht="15">
      <c r="A116" s="777" t="s">
        <v>2084</v>
      </c>
      <c r="B116" s="729"/>
      <c r="C116" s="512"/>
      <c r="D116" s="512"/>
      <c r="E116" s="512"/>
      <c r="F116" s="512"/>
      <c r="G116" s="512"/>
      <c r="H116" s="450"/>
      <c r="I116" s="543"/>
    </row>
    <row r="117" spans="1:10" ht="15">
      <c r="A117" s="570" t="s">
        <v>1798</v>
      </c>
      <c r="B117" s="297">
        <v>4470093</v>
      </c>
      <c r="C117" s="566">
        <v>7498.629357000001</v>
      </c>
      <c r="D117" s="566">
        <v>1510.9113595000001</v>
      </c>
      <c r="E117" s="566">
        <v>3848.765419</v>
      </c>
      <c r="F117" s="566">
        <v>4926.402327000001</v>
      </c>
      <c r="G117" s="566">
        <v>3976.9415375000003</v>
      </c>
      <c r="H117" s="447">
        <v>0</v>
      </c>
      <c r="I117" s="543">
        <f>SUM(C117:G117)</f>
        <v>21761.65</v>
      </c>
      <c r="J117" t="s">
        <v>1823</v>
      </c>
    </row>
    <row r="118" spans="1:10" ht="15">
      <c r="A118" s="542" t="s">
        <v>1802</v>
      </c>
      <c r="B118" s="553">
        <v>4470203</v>
      </c>
      <c r="C118" s="566">
        <v>4333.1313538359</v>
      </c>
      <c r="D118" s="566">
        <v>873.08987723265</v>
      </c>
      <c r="E118" s="566">
        <v>2224.0339289553</v>
      </c>
      <c r="F118" s="566">
        <v>2846.7533689749</v>
      </c>
      <c r="G118" s="566">
        <v>2298.1013260012496</v>
      </c>
      <c r="H118" s="447">
        <v>0</v>
      </c>
      <c r="I118" s="543">
        <f aca="true" t="shared" si="3" ref="I118:I184">SUM(C118:G118)</f>
        <v>12575.109854999999</v>
      </c>
      <c r="J118" t="s">
        <v>1823</v>
      </c>
    </row>
    <row r="119" spans="1:10" ht="15">
      <c r="A119" s="296" t="s">
        <v>1802</v>
      </c>
      <c r="B119" s="553">
        <v>4470098</v>
      </c>
      <c r="C119" s="566">
        <v>284.6886001641</v>
      </c>
      <c r="D119" s="566">
        <v>57.36238176735001</v>
      </c>
      <c r="E119" s="566">
        <v>146.1199890447</v>
      </c>
      <c r="F119" s="566">
        <v>187.0329250251</v>
      </c>
      <c r="G119" s="566">
        <v>150.98624899875</v>
      </c>
      <c r="H119" s="447">
        <v>0</v>
      </c>
      <c r="I119" s="543">
        <f t="shared" si="3"/>
        <v>826.190145</v>
      </c>
      <c r="J119" t="s">
        <v>607</v>
      </c>
    </row>
    <row r="120" spans="1:10" ht="15">
      <c r="A120" s="542" t="s">
        <v>1796</v>
      </c>
      <c r="B120" s="297">
        <v>4470203</v>
      </c>
      <c r="C120" s="566">
        <v>6451.006207987368</v>
      </c>
      <c r="D120" s="566">
        <v>1299.8240206064281</v>
      </c>
      <c r="E120" s="566">
        <v>3311.0597189176556</v>
      </c>
      <c r="F120" s="566">
        <v>4238.141463126648</v>
      </c>
      <c r="G120" s="566">
        <v>3421.3285289619</v>
      </c>
      <c r="H120" s="447">
        <v>0</v>
      </c>
      <c r="I120" s="543">
        <f t="shared" si="3"/>
        <v>18721.3599396</v>
      </c>
      <c r="J120" t="s">
        <v>1823</v>
      </c>
    </row>
    <row r="121" spans="1:10" ht="15">
      <c r="A121" s="542" t="s">
        <v>1796</v>
      </c>
      <c r="B121" s="297">
        <v>4470098</v>
      </c>
      <c r="C121" s="566">
        <v>422.661848812632</v>
      </c>
      <c r="D121" s="566">
        <v>85.16284219357202</v>
      </c>
      <c r="E121" s="566">
        <v>216.936486682344</v>
      </c>
      <c r="F121" s="566">
        <v>277.67772167335204</v>
      </c>
      <c r="G121" s="566">
        <v>224.1611610381</v>
      </c>
      <c r="H121" s="447">
        <v>0</v>
      </c>
      <c r="I121" s="543">
        <f t="shared" si="3"/>
        <v>1226.6000604</v>
      </c>
      <c r="J121" t="s">
        <v>607</v>
      </c>
    </row>
    <row r="122" spans="1:10" ht="15">
      <c r="A122" s="542" t="s">
        <v>1799</v>
      </c>
      <c r="B122" s="297">
        <v>4470207</v>
      </c>
      <c r="C122" s="566">
        <v>3962.5390596</v>
      </c>
      <c r="D122" s="566">
        <v>798.4186166000001</v>
      </c>
      <c r="E122" s="566">
        <v>2033.8227932</v>
      </c>
      <c r="F122" s="566">
        <v>2603.2839756000003</v>
      </c>
      <c r="G122" s="566">
        <v>2101.555555</v>
      </c>
      <c r="H122" s="447">
        <v>245138.7</v>
      </c>
      <c r="I122" s="543">
        <f t="shared" si="3"/>
        <v>11499.619999999999</v>
      </c>
      <c r="J122" t="s">
        <v>1823</v>
      </c>
    </row>
    <row r="123" spans="1:10" ht="15">
      <c r="A123" s="542" t="s">
        <v>804</v>
      </c>
      <c r="B123" s="297">
        <v>5650012</v>
      </c>
      <c r="C123" s="566">
        <v>3002.411685</v>
      </c>
      <c r="D123" s="566">
        <v>604.9609475000001</v>
      </c>
      <c r="E123" s="566">
        <v>1541.025395</v>
      </c>
      <c r="F123" s="566">
        <v>1972.505535</v>
      </c>
      <c r="G123" s="566">
        <v>1592.3464374999999</v>
      </c>
      <c r="H123" s="447">
        <v>-272187.4</v>
      </c>
      <c r="I123" s="543">
        <f t="shared" si="3"/>
        <v>8713.25</v>
      </c>
      <c r="J123" t="s">
        <v>1823</v>
      </c>
    </row>
    <row r="124" spans="1:10" ht="15">
      <c r="A124" s="542" t="s">
        <v>1804</v>
      </c>
      <c r="B124" s="297">
        <v>4470093</v>
      </c>
      <c r="C124" s="566">
        <v>-128652.5197404</v>
      </c>
      <c r="D124" s="566">
        <v>-25922.411183400003</v>
      </c>
      <c r="E124" s="566">
        <v>-66032.51680679999</v>
      </c>
      <c r="F124" s="566">
        <v>-84521.3228244</v>
      </c>
      <c r="G124" s="566">
        <v>-68231.609445</v>
      </c>
      <c r="H124" s="447"/>
      <c r="I124" s="543">
        <f t="shared" si="3"/>
        <v>-373360.38000000006</v>
      </c>
      <c r="J124" t="s">
        <v>1823</v>
      </c>
    </row>
    <row r="125" spans="1:10" ht="15">
      <c r="A125" s="542" t="s">
        <v>1805</v>
      </c>
      <c r="B125" s="297">
        <v>4470207</v>
      </c>
      <c r="C125" s="566">
        <v>-74854.77427560001</v>
      </c>
      <c r="D125" s="566">
        <v>-15082.613552600002</v>
      </c>
      <c r="E125" s="566">
        <v>-38420.1502652</v>
      </c>
      <c r="F125" s="566">
        <v>-49177.618551600004</v>
      </c>
      <c r="G125" s="566">
        <v>-39699.663355</v>
      </c>
      <c r="H125" s="447"/>
      <c r="I125" s="543">
        <f t="shared" si="3"/>
        <v>-217234.82</v>
      </c>
      <c r="J125" t="s">
        <v>1823</v>
      </c>
    </row>
    <row r="126" spans="1:10" ht="15">
      <c r="A126" s="542" t="s">
        <v>411</v>
      </c>
      <c r="B126" s="297">
        <v>5550040</v>
      </c>
      <c r="C126" s="566">
        <v>157.692297715596</v>
      </c>
      <c r="D126" s="566">
        <v>31.773684573666</v>
      </c>
      <c r="E126" s="566">
        <v>80.937546502932</v>
      </c>
      <c r="F126" s="566">
        <v>103.59969341475599</v>
      </c>
      <c r="G126" s="566">
        <v>83.63302399304999</v>
      </c>
      <c r="H126" s="447"/>
      <c r="I126" s="543">
        <f t="shared" si="3"/>
        <v>457.63624619999996</v>
      </c>
      <c r="J126" t="s">
        <v>1823</v>
      </c>
    </row>
    <row r="127" spans="1:10" ht="15">
      <c r="A127" s="542" t="s">
        <v>411</v>
      </c>
      <c r="B127" s="297">
        <v>5550039</v>
      </c>
      <c r="C127" s="566">
        <v>10.331801884404001</v>
      </c>
      <c r="D127" s="566">
        <v>2.0817720263340003</v>
      </c>
      <c r="E127" s="566">
        <v>5.302926697068</v>
      </c>
      <c r="F127" s="566">
        <v>6.787722185244</v>
      </c>
      <c r="G127" s="566">
        <v>5.47953100695</v>
      </c>
      <c r="H127" s="447"/>
      <c r="I127" s="543">
        <f t="shared" si="3"/>
        <v>29.983753800000002</v>
      </c>
      <c r="J127" t="s">
        <v>607</v>
      </c>
    </row>
    <row r="128" spans="1:10" ht="15">
      <c r="A128" s="542" t="s">
        <v>327</v>
      </c>
      <c r="B128" s="297">
        <v>4470116</v>
      </c>
      <c r="C128" s="566">
        <v>-1.128637297542</v>
      </c>
      <c r="D128" s="566">
        <v>-0.227411015057</v>
      </c>
      <c r="E128" s="566">
        <v>-0.579287226314</v>
      </c>
      <c r="F128" s="566">
        <v>-0.741485029362</v>
      </c>
      <c r="G128" s="566">
        <v>-0.598579331725</v>
      </c>
      <c r="H128" s="447"/>
      <c r="I128" s="543">
        <f t="shared" si="3"/>
        <v>-3.2753998999999996</v>
      </c>
      <c r="J128" t="s">
        <v>1823</v>
      </c>
    </row>
    <row r="129" spans="1:10" ht="15">
      <c r="A129" s="542" t="s">
        <v>327</v>
      </c>
      <c r="B129" s="297">
        <v>4470115</v>
      </c>
      <c r="C129" s="566">
        <v>-0.07394690245800001</v>
      </c>
      <c r="D129" s="566">
        <v>-0.014899684943000003</v>
      </c>
      <c r="E129" s="566">
        <v>-0.037954173686</v>
      </c>
      <c r="F129" s="566">
        <v>-0.048581170638</v>
      </c>
      <c r="G129" s="566">
        <v>-0.039218168275</v>
      </c>
      <c r="H129" s="447"/>
      <c r="I129" s="543">
        <f t="shared" si="3"/>
        <v>-0.2146001</v>
      </c>
      <c r="J129" t="s">
        <v>607</v>
      </c>
    </row>
    <row r="130" spans="1:10" ht="15">
      <c r="A130" s="542" t="s">
        <v>412</v>
      </c>
      <c r="B130" s="297">
        <v>5614001</v>
      </c>
      <c r="C130" s="566">
        <v>7585.884966802308</v>
      </c>
      <c r="D130" s="566">
        <v>1528.4926381249181</v>
      </c>
      <c r="E130" s="566">
        <v>3893.5504533886356</v>
      </c>
      <c r="F130" s="566">
        <v>4983.726968438988</v>
      </c>
      <c r="G130" s="566">
        <v>4023.2180558451496</v>
      </c>
      <c r="H130" s="447"/>
      <c r="I130" s="543">
        <f t="shared" si="3"/>
        <v>22014.8730826</v>
      </c>
      <c r="J130" t="s">
        <v>1823</v>
      </c>
    </row>
    <row r="131" spans="1:10" ht="15">
      <c r="A131" s="542" t="s">
        <v>412</v>
      </c>
      <c r="B131" s="297">
        <v>5614000</v>
      </c>
      <c r="C131" s="566">
        <v>497.01768399769196</v>
      </c>
      <c r="D131" s="566">
        <v>100.144923675082</v>
      </c>
      <c r="E131" s="566">
        <v>255.10055021136398</v>
      </c>
      <c r="F131" s="566">
        <v>326.52755036101195</v>
      </c>
      <c r="G131" s="566">
        <v>263.59620915485</v>
      </c>
      <c r="H131" s="447"/>
      <c r="I131" s="543">
        <f t="shared" si="3"/>
        <v>1442.3869173999997</v>
      </c>
      <c r="J131" t="s">
        <v>607</v>
      </c>
    </row>
    <row r="132" spans="1:10" ht="15">
      <c r="A132" s="542" t="s">
        <v>823</v>
      </c>
      <c r="B132" s="297">
        <v>5614001</v>
      </c>
      <c r="C132" s="566">
        <v>198.785690666502</v>
      </c>
      <c r="D132" s="566">
        <v>40.053660987217</v>
      </c>
      <c r="E132" s="566">
        <v>102.02924502663399</v>
      </c>
      <c r="F132" s="566">
        <v>130.596972119922</v>
      </c>
      <c r="G132" s="566">
        <v>105.427143099725</v>
      </c>
      <c r="H132" s="447"/>
      <c r="I132" s="543">
        <f t="shared" si="3"/>
        <v>576.8927119</v>
      </c>
      <c r="J132" t="s">
        <v>1823</v>
      </c>
    </row>
    <row r="133" spans="1:10" ht="15">
      <c r="A133" s="542" t="s">
        <v>823</v>
      </c>
      <c r="B133" s="297">
        <v>5614000</v>
      </c>
      <c r="C133" s="566">
        <v>13.024189533498001</v>
      </c>
      <c r="D133" s="566">
        <v>2.6242657127830005</v>
      </c>
      <c r="E133" s="566">
        <v>6.684828373366</v>
      </c>
      <c r="F133" s="566">
        <v>8.556550080078</v>
      </c>
      <c r="G133" s="566">
        <v>6.907454400275</v>
      </c>
      <c r="H133" s="447"/>
      <c r="I133" s="543">
        <f t="shared" si="3"/>
        <v>37.7972881</v>
      </c>
      <c r="J133" t="s">
        <v>607</v>
      </c>
    </row>
    <row r="134" spans="1:10" ht="15">
      <c r="A134" s="542" t="s">
        <v>824</v>
      </c>
      <c r="B134" s="297">
        <v>5614001</v>
      </c>
      <c r="C134" s="566">
        <v>2080.4051650634638</v>
      </c>
      <c r="D134" s="566">
        <v>419.184313106844</v>
      </c>
      <c r="E134" s="566">
        <v>1067.7940028240878</v>
      </c>
      <c r="F134" s="566">
        <v>1366.771493606904</v>
      </c>
      <c r="G134" s="566">
        <v>1103.3549361987</v>
      </c>
      <c r="H134" s="447"/>
      <c r="I134" s="543">
        <f t="shared" si="3"/>
        <v>6037.5099107999995</v>
      </c>
      <c r="J134" t="s">
        <v>1823</v>
      </c>
    </row>
    <row r="135" spans="1:10" ht="15">
      <c r="A135" s="542" t="s">
        <v>824</v>
      </c>
      <c r="B135" s="297">
        <v>5614000</v>
      </c>
      <c r="C135" s="566">
        <v>136.305541336536</v>
      </c>
      <c r="D135" s="566">
        <v>27.464431293156004</v>
      </c>
      <c r="E135" s="566">
        <v>69.960525975912</v>
      </c>
      <c r="F135" s="566">
        <v>89.549156793096</v>
      </c>
      <c r="G135" s="566">
        <v>72.29043380130001</v>
      </c>
      <c r="H135" s="447"/>
      <c r="I135" s="543">
        <f t="shared" si="3"/>
        <v>395.57008920000004</v>
      </c>
      <c r="J135" t="s">
        <v>607</v>
      </c>
    </row>
    <row r="136" spans="1:10" ht="15">
      <c r="A136" s="542" t="s">
        <v>825</v>
      </c>
      <c r="B136" s="297">
        <v>5614001</v>
      </c>
      <c r="C136" s="566">
        <v>23.481476840838</v>
      </c>
      <c r="D136" s="566">
        <v>4.731322006673</v>
      </c>
      <c r="E136" s="566">
        <v>12.052162035145999</v>
      </c>
      <c r="F136" s="566">
        <v>15.426712888817999</v>
      </c>
      <c r="G136" s="566">
        <v>12.453537328525</v>
      </c>
      <c r="H136" s="447"/>
      <c r="I136" s="543">
        <f t="shared" si="3"/>
        <v>68.1452111</v>
      </c>
      <c r="J136" t="s">
        <v>1823</v>
      </c>
    </row>
    <row r="137" spans="1:10" ht="15">
      <c r="A137" s="542" t="s">
        <v>825</v>
      </c>
      <c r="B137" s="297">
        <v>5614000</v>
      </c>
      <c r="C137" s="566">
        <v>1.538476959162</v>
      </c>
      <c r="D137" s="566">
        <v>0.30999029332700007</v>
      </c>
      <c r="E137" s="566">
        <v>0.789642564854</v>
      </c>
      <c r="F137" s="566">
        <v>1.010738911182</v>
      </c>
      <c r="G137" s="566">
        <v>0.8159401714750001</v>
      </c>
      <c r="H137" s="447"/>
      <c r="I137" s="543">
        <f t="shared" si="3"/>
        <v>4.4647889</v>
      </c>
      <c r="J137" t="s">
        <v>607</v>
      </c>
    </row>
    <row r="138" spans="1:10" ht="15">
      <c r="A138" s="542" t="s">
        <v>1814</v>
      </c>
      <c r="B138" s="297">
        <v>5618001</v>
      </c>
      <c r="C138" s="566">
        <v>253.51974872065202</v>
      </c>
      <c r="D138" s="566">
        <v>51.082117806242</v>
      </c>
      <c r="E138" s="566">
        <v>130.122185729684</v>
      </c>
      <c r="F138" s="566">
        <v>166.555809145572</v>
      </c>
      <c r="G138" s="566">
        <v>134.45566799785001</v>
      </c>
      <c r="H138" s="447"/>
      <c r="I138" s="543">
        <f t="shared" si="3"/>
        <v>735.7355294</v>
      </c>
      <c r="J138" t="s">
        <v>1823</v>
      </c>
    </row>
    <row r="139" spans="1:10" ht="15">
      <c r="A139" s="542" t="s">
        <v>1814</v>
      </c>
      <c r="B139" s="297">
        <v>5618000</v>
      </c>
      <c r="C139" s="566">
        <v>16.610296479348</v>
      </c>
      <c r="D139" s="566">
        <v>3.346836393758001</v>
      </c>
      <c r="E139" s="566">
        <v>8.525442670316</v>
      </c>
      <c r="F139" s="566">
        <v>10.912528054428002</v>
      </c>
      <c r="G139" s="566">
        <v>8.809367002150001</v>
      </c>
      <c r="H139" s="447"/>
      <c r="I139" s="543">
        <f t="shared" si="3"/>
        <v>48.20447060000001</v>
      </c>
      <c r="J139" t="s">
        <v>607</v>
      </c>
    </row>
    <row r="140" spans="1:10" ht="15">
      <c r="A140" s="542" t="s">
        <v>413</v>
      </c>
      <c r="B140" s="297">
        <v>5618000</v>
      </c>
      <c r="C140" s="566">
        <v>345.61374</v>
      </c>
      <c r="D140" s="566">
        <v>69.63829000000001</v>
      </c>
      <c r="E140" s="566">
        <v>177.39058</v>
      </c>
      <c r="F140" s="566">
        <v>227.05913999999999</v>
      </c>
      <c r="G140" s="566">
        <v>183.29825</v>
      </c>
      <c r="H140" s="447"/>
      <c r="I140" s="543">
        <f t="shared" si="3"/>
        <v>1003</v>
      </c>
      <c r="J140" t="s">
        <v>607</v>
      </c>
    </row>
    <row r="141" spans="1:10" ht="15">
      <c r="A141" s="542" t="s">
        <v>1816</v>
      </c>
      <c r="B141" s="297">
        <v>5550074</v>
      </c>
      <c r="C141" s="566">
        <v>10130.9000976</v>
      </c>
      <c r="D141" s="566">
        <v>2041.2919896000003</v>
      </c>
      <c r="E141" s="566">
        <v>5199.8113392</v>
      </c>
      <c r="F141" s="566">
        <v>6655.7349936</v>
      </c>
      <c r="G141" s="566">
        <v>5372.98158</v>
      </c>
      <c r="H141" s="447"/>
      <c r="I141" s="543">
        <f t="shared" si="3"/>
        <v>29400.719999999998</v>
      </c>
      <c r="J141" t="s">
        <v>1823</v>
      </c>
    </row>
    <row r="142" spans="1:10" ht="15">
      <c r="A142" s="542" t="s">
        <v>808</v>
      </c>
      <c r="B142" s="297">
        <v>5550074</v>
      </c>
      <c r="C142" s="566">
        <v>-0.6099066</v>
      </c>
      <c r="D142" s="566">
        <v>-0.12289110000000002</v>
      </c>
      <c r="E142" s="566">
        <v>-0.3130422</v>
      </c>
      <c r="F142" s="566">
        <v>-0.4006926</v>
      </c>
      <c r="G142" s="566">
        <v>-0.3234675</v>
      </c>
      <c r="H142" s="447"/>
      <c r="I142" s="543">
        <f t="shared" si="3"/>
        <v>-1.77</v>
      </c>
      <c r="J142" t="s">
        <v>1823</v>
      </c>
    </row>
    <row r="143" spans="1:10" ht="15">
      <c r="A143" s="542" t="s">
        <v>1818</v>
      </c>
      <c r="B143" s="297">
        <v>5550078</v>
      </c>
      <c r="C143" s="566">
        <v>15086.1706914</v>
      </c>
      <c r="D143" s="566">
        <v>3039.7377419000004</v>
      </c>
      <c r="E143" s="566">
        <v>7743.1660237999995</v>
      </c>
      <c r="F143" s="566">
        <v>9911.2174854</v>
      </c>
      <c r="G143" s="566">
        <v>8001.0380575</v>
      </c>
      <c r="H143" s="447"/>
      <c r="I143" s="543">
        <f t="shared" si="3"/>
        <v>43781.33</v>
      </c>
      <c r="J143" t="s">
        <v>1823</v>
      </c>
    </row>
    <row r="144" spans="1:10" ht="15">
      <c r="A144" s="542" t="s">
        <v>1256</v>
      </c>
      <c r="B144" s="297">
        <v>5550083</v>
      </c>
      <c r="C144" s="566">
        <v>389.5270152</v>
      </c>
      <c r="D144" s="566">
        <v>78.48644920000001</v>
      </c>
      <c r="E144" s="566">
        <v>199.9296184</v>
      </c>
      <c r="F144" s="566">
        <v>255.90900720000002</v>
      </c>
      <c r="G144" s="566">
        <v>206.58791</v>
      </c>
      <c r="H144" s="447"/>
      <c r="I144" s="543">
        <f t="shared" si="3"/>
        <v>1130.44</v>
      </c>
      <c r="J144" t="s">
        <v>1823</v>
      </c>
    </row>
    <row r="145" spans="1:10" ht="15">
      <c r="A145" s="542" t="s">
        <v>826</v>
      </c>
      <c r="B145" s="297">
        <v>5550090</v>
      </c>
      <c r="C145" s="566">
        <v>123.859281</v>
      </c>
      <c r="D145" s="566">
        <v>24.9566135</v>
      </c>
      <c r="E145" s="566">
        <v>63.572326999999994</v>
      </c>
      <c r="F145" s="566">
        <v>81.37229099999999</v>
      </c>
      <c r="G145" s="566">
        <v>65.6894875</v>
      </c>
      <c r="H145" s="447"/>
      <c r="I145" s="543">
        <f t="shared" si="3"/>
        <v>359.45</v>
      </c>
      <c r="J145" t="s">
        <v>1823</v>
      </c>
    </row>
    <row r="146" spans="1:10" ht="15">
      <c r="A146" s="542" t="s">
        <v>1856</v>
      </c>
      <c r="B146" s="297">
        <v>4470203</v>
      </c>
      <c r="C146" s="566">
        <v>239.203194805986</v>
      </c>
      <c r="D146" s="566">
        <v>48.197451434731</v>
      </c>
      <c r="E146" s="566">
        <v>122.77403515406199</v>
      </c>
      <c r="F146" s="566">
        <v>157.15020964704598</v>
      </c>
      <c r="G146" s="566">
        <v>126.86280065817499</v>
      </c>
      <c r="H146" s="447"/>
      <c r="I146" s="543">
        <f t="shared" si="3"/>
        <v>694.1876917</v>
      </c>
      <c r="J146" t="s">
        <v>1823</v>
      </c>
    </row>
    <row r="147" spans="1:10" ht="15">
      <c r="A147" s="542" t="s">
        <v>1856</v>
      </c>
      <c r="B147" s="297">
        <v>4470098</v>
      </c>
      <c r="C147" s="566">
        <v>15.672293794014</v>
      </c>
      <c r="D147" s="566">
        <v>3.1578366652690004</v>
      </c>
      <c r="E147" s="566">
        <v>8.044001045938</v>
      </c>
      <c r="F147" s="566">
        <v>10.296284952954</v>
      </c>
      <c r="G147" s="566">
        <v>8.311891841825</v>
      </c>
      <c r="H147" s="447"/>
      <c r="I147" s="543">
        <f t="shared" si="3"/>
        <v>45.4823083</v>
      </c>
      <c r="J147" t="s">
        <v>607</v>
      </c>
    </row>
    <row r="148" spans="1:10" ht="15">
      <c r="A148" s="542" t="s">
        <v>810</v>
      </c>
      <c r="B148" s="297">
        <v>4470203</v>
      </c>
      <c r="C148" s="566">
        <v>1.9951182</v>
      </c>
      <c r="D148" s="566">
        <v>0.4019997</v>
      </c>
      <c r="E148" s="566">
        <v>1.0240194</v>
      </c>
      <c r="F148" s="566">
        <v>1.3107402</v>
      </c>
      <c r="G148" s="566">
        <v>1.0581225</v>
      </c>
      <c r="H148" s="447"/>
      <c r="I148" s="543">
        <f t="shared" si="3"/>
        <v>5.789999999999999</v>
      </c>
      <c r="J148" t="s">
        <v>1823</v>
      </c>
    </row>
    <row r="149" spans="1:10" ht="15">
      <c r="A149" s="542" t="s">
        <v>1821</v>
      </c>
      <c r="B149" s="297">
        <v>5550041</v>
      </c>
      <c r="C149" s="566">
        <v>531.2527692</v>
      </c>
      <c r="D149" s="566">
        <v>107.0430082</v>
      </c>
      <c r="E149" s="566">
        <v>272.6721364</v>
      </c>
      <c r="F149" s="566">
        <v>349.0191012</v>
      </c>
      <c r="G149" s="566">
        <v>281.75298499999997</v>
      </c>
      <c r="H149" s="447"/>
      <c r="I149" s="543">
        <f t="shared" si="3"/>
        <v>1541.7400000000002</v>
      </c>
      <c r="J149" t="s">
        <v>1823</v>
      </c>
    </row>
    <row r="150" spans="1:10" ht="15">
      <c r="A150" s="542" t="s">
        <v>1858</v>
      </c>
      <c r="B150" s="297">
        <v>4470203</v>
      </c>
      <c r="C150" s="566">
        <v>4.967297676287999</v>
      </c>
      <c r="D150" s="566">
        <v>1.000869109248</v>
      </c>
      <c r="E150" s="566">
        <v>2.5495277352959995</v>
      </c>
      <c r="F150" s="566">
        <v>3.2633839687679997</v>
      </c>
      <c r="G150" s="566">
        <v>2.6344351103999997</v>
      </c>
      <c r="H150" s="447"/>
      <c r="I150" s="543">
        <f t="shared" si="3"/>
        <v>14.415513599999999</v>
      </c>
      <c r="J150" t="s">
        <v>1823</v>
      </c>
    </row>
    <row r="151" spans="1:10" ht="15">
      <c r="A151" s="542" t="s">
        <v>1858</v>
      </c>
      <c r="B151" s="297">
        <v>4470098</v>
      </c>
      <c r="C151" s="566">
        <v>0.325451123712</v>
      </c>
      <c r="D151" s="566">
        <v>0.06557569075200001</v>
      </c>
      <c r="E151" s="566">
        <v>0.167041864704</v>
      </c>
      <c r="F151" s="566">
        <v>0.213812831232</v>
      </c>
      <c r="G151" s="566">
        <v>0.1726048896</v>
      </c>
      <c r="H151" s="447"/>
      <c r="I151" s="543">
        <f t="shared" si="3"/>
        <v>0.9444864000000001</v>
      </c>
      <c r="J151" t="s">
        <v>607</v>
      </c>
    </row>
    <row r="152" spans="1:10" ht="15">
      <c r="A152" s="542" t="s">
        <v>1800</v>
      </c>
      <c r="B152" s="297">
        <v>5550076</v>
      </c>
      <c r="C152" s="566">
        <v>202.28913479999997</v>
      </c>
      <c r="D152" s="566">
        <v>40.7595758</v>
      </c>
      <c r="E152" s="566">
        <v>103.82743159999998</v>
      </c>
      <c r="F152" s="566">
        <v>132.89864279999998</v>
      </c>
      <c r="G152" s="566">
        <v>107.285215</v>
      </c>
      <c r="H152" s="447"/>
      <c r="I152" s="543">
        <f t="shared" si="3"/>
        <v>587.06</v>
      </c>
      <c r="J152" t="s">
        <v>1823</v>
      </c>
    </row>
    <row r="153" spans="1:10" ht="15">
      <c r="A153" s="542" t="s">
        <v>811</v>
      </c>
      <c r="B153" s="297">
        <v>5550076</v>
      </c>
      <c r="C153" s="566">
        <v>-0.0137832</v>
      </c>
      <c r="D153" s="566">
        <v>-0.0027772</v>
      </c>
      <c r="E153" s="566">
        <v>-0.0070744</v>
      </c>
      <c r="F153" s="566">
        <v>-0.0090552</v>
      </c>
      <c r="G153" s="566">
        <v>-0.00731</v>
      </c>
      <c r="H153" s="447">
        <v>303.95</v>
      </c>
      <c r="I153" s="543">
        <f t="shared" si="3"/>
        <v>-0.039999999999999994</v>
      </c>
      <c r="J153" t="s">
        <v>1823</v>
      </c>
    </row>
    <row r="154" spans="1:10" ht="15">
      <c r="A154" s="542" t="s">
        <v>410</v>
      </c>
      <c r="B154" s="297">
        <v>4470101</v>
      </c>
      <c r="C154" s="566">
        <v>76297.9924728</v>
      </c>
      <c r="D154" s="566">
        <v>15373.409998800002</v>
      </c>
      <c r="E154" s="566">
        <v>39160.900077599996</v>
      </c>
      <c r="F154" s="566">
        <v>50125.7749608</v>
      </c>
      <c r="G154" s="566">
        <v>40465.08249</v>
      </c>
      <c r="H154" s="447">
        <v>0</v>
      </c>
      <c r="I154" s="543">
        <f t="shared" si="3"/>
        <v>221423.16000000003</v>
      </c>
      <c r="J154" t="s">
        <v>1823</v>
      </c>
    </row>
    <row r="155" spans="1:10" ht="15">
      <c r="A155" s="542" t="s">
        <v>1809</v>
      </c>
      <c r="B155" s="297">
        <v>4470099</v>
      </c>
      <c r="C155" s="566">
        <v>329320.481448</v>
      </c>
      <c r="D155" s="566">
        <v>66355.33410800001</v>
      </c>
      <c r="E155" s="566">
        <v>169027.86101599998</v>
      </c>
      <c r="F155" s="566">
        <v>216354.897528</v>
      </c>
      <c r="G155" s="566">
        <v>174657.02589999998</v>
      </c>
      <c r="H155" s="447">
        <v>-23274.86</v>
      </c>
      <c r="I155" s="543">
        <f t="shared" si="3"/>
        <v>955715.5999999999</v>
      </c>
      <c r="J155" t="s">
        <v>607</v>
      </c>
    </row>
    <row r="156" spans="1:10" ht="15">
      <c r="A156" s="542" t="s">
        <v>154</v>
      </c>
      <c r="B156" s="297">
        <v>4561002</v>
      </c>
      <c r="C156" s="566">
        <v>504.99789200000004</v>
      </c>
      <c r="D156" s="566">
        <v>121.6971</v>
      </c>
      <c r="E156" s="566">
        <v>401.1497</v>
      </c>
      <c r="F156" s="566">
        <v>573.32856</v>
      </c>
      <c r="G156" s="566">
        <v>201.746748</v>
      </c>
      <c r="H156" s="447">
        <v>1371.6</v>
      </c>
      <c r="I156" s="543">
        <f t="shared" si="3"/>
        <v>1802.92</v>
      </c>
      <c r="J156" t="s">
        <v>1823</v>
      </c>
    </row>
    <row r="157" spans="1:10" ht="15">
      <c r="A157" s="542" t="s">
        <v>1806</v>
      </c>
      <c r="B157" s="297">
        <v>4561003</v>
      </c>
      <c r="C157" s="566">
        <v>356.925828</v>
      </c>
      <c r="D157" s="566">
        <v>86.0139</v>
      </c>
      <c r="E157" s="566">
        <v>283.5273</v>
      </c>
      <c r="F157" s="566">
        <v>405.22104</v>
      </c>
      <c r="G157" s="566">
        <v>142.59193199999999</v>
      </c>
      <c r="H157" s="447">
        <v>2306.77</v>
      </c>
      <c r="I157" s="543">
        <f t="shared" si="3"/>
        <v>1274.28</v>
      </c>
      <c r="J157" t="s">
        <v>1823</v>
      </c>
    </row>
    <row r="158" spans="1:10" ht="15">
      <c r="A158" s="542" t="s">
        <v>1807</v>
      </c>
      <c r="B158" s="297">
        <v>4561005</v>
      </c>
      <c r="C158" s="566">
        <v>-2805.7323126</v>
      </c>
      <c r="D158" s="566">
        <v>-565.3316921</v>
      </c>
      <c r="E158" s="566">
        <v>-1440.0772442</v>
      </c>
      <c r="F158" s="566">
        <v>-1843.2923586</v>
      </c>
      <c r="G158" s="566">
        <v>-1488.0363925</v>
      </c>
      <c r="H158" s="447">
        <v>-48763.14</v>
      </c>
      <c r="I158" s="543">
        <f t="shared" si="3"/>
        <v>-8142.47</v>
      </c>
      <c r="J158" t="s">
        <v>1823</v>
      </c>
    </row>
    <row r="159" spans="1:10" ht="15">
      <c r="A159" s="542" t="s">
        <v>1811</v>
      </c>
      <c r="B159" s="297">
        <v>4561005</v>
      </c>
      <c r="C159" s="566">
        <v>-1416.8612730000002</v>
      </c>
      <c r="D159" s="566">
        <v>-285.48574550000006</v>
      </c>
      <c r="E159" s="566">
        <v>-727.221791</v>
      </c>
      <c r="F159" s="566">
        <v>-930.8406030000001</v>
      </c>
      <c r="G159" s="566">
        <v>-751.4405875</v>
      </c>
      <c r="H159" s="447">
        <v>3415.15</v>
      </c>
      <c r="I159" s="543">
        <f t="shared" si="3"/>
        <v>-4111.85</v>
      </c>
      <c r="J159" t="s">
        <v>1823</v>
      </c>
    </row>
    <row r="160" spans="1:10" ht="15">
      <c r="A160" s="542" t="s">
        <v>1842</v>
      </c>
      <c r="B160" s="297">
        <v>4561005</v>
      </c>
      <c r="C160" s="566">
        <v>-9.906675</v>
      </c>
      <c r="D160" s="566">
        <v>-1.9961125000000002</v>
      </c>
      <c r="E160" s="566">
        <v>-5.084725</v>
      </c>
      <c r="F160" s="566">
        <v>-6.508425</v>
      </c>
      <c r="G160" s="566">
        <v>-5.2540625</v>
      </c>
      <c r="H160" s="447">
        <v>982.6</v>
      </c>
      <c r="I160" s="543">
        <f t="shared" si="3"/>
        <v>-28.75</v>
      </c>
      <c r="J160" t="s">
        <v>1823</v>
      </c>
    </row>
    <row r="161" spans="1:10" ht="15">
      <c r="A161" s="570" t="s">
        <v>1808</v>
      </c>
      <c r="B161" s="553">
        <v>4470101</v>
      </c>
      <c r="C161" s="566">
        <v>-103599.5482848</v>
      </c>
      <c r="D161" s="566">
        <v>-20874.4461008</v>
      </c>
      <c r="E161" s="566">
        <v>-53173.7654816</v>
      </c>
      <c r="F161" s="566">
        <v>-68062.17929279999</v>
      </c>
      <c r="G161" s="566">
        <v>-54944.620839999996</v>
      </c>
      <c r="H161" s="447">
        <v>2873.81</v>
      </c>
      <c r="I161" s="543">
        <f t="shared" si="3"/>
        <v>-300654.56</v>
      </c>
      <c r="J161" t="s">
        <v>1823</v>
      </c>
    </row>
    <row r="162" spans="1:10" ht="15">
      <c r="A162" s="570" t="s">
        <v>1857</v>
      </c>
      <c r="B162" s="553">
        <v>4470208</v>
      </c>
      <c r="C162" s="566">
        <v>26.760669447449995</v>
      </c>
      <c r="D162" s="566">
        <v>5.392052004575</v>
      </c>
      <c r="E162" s="566">
        <v>13.735248704149997</v>
      </c>
      <c r="F162" s="566">
        <v>17.58105621195</v>
      </c>
      <c r="G162" s="566">
        <v>14.192676131874999</v>
      </c>
      <c r="H162" s="447">
        <v>3524.45</v>
      </c>
      <c r="I162" s="543">
        <f t="shared" si="3"/>
        <v>77.66170249999999</v>
      </c>
      <c r="J162" t="s">
        <v>1823</v>
      </c>
    </row>
    <row r="163" spans="1:10" ht="15">
      <c r="A163" s="570" t="s">
        <v>1857</v>
      </c>
      <c r="B163" s="553">
        <v>4470206</v>
      </c>
      <c r="C163" s="566">
        <v>1.7533255525500002</v>
      </c>
      <c r="D163" s="566">
        <v>0.35328049542500006</v>
      </c>
      <c r="E163" s="566">
        <v>0.89991629585</v>
      </c>
      <c r="F163" s="566">
        <v>1.1518887880500002</v>
      </c>
      <c r="G163" s="566">
        <v>0.929886368125</v>
      </c>
      <c r="H163" s="447"/>
      <c r="I163" s="543">
        <f t="shared" si="3"/>
        <v>5.0882974999999995</v>
      </c>
      <c r="J163" t="s">
        <v>607</v>
      </c>
    </row>
    <row r="164" spans="1:10" ht="15">
      <c r="A164" s="542" t="s">
        <v>1795</v>
      </c>
      <c r="B164" s="297">
        <v>4470101</v>
      </c>
      <c r="C164" s="566">
        <v>-76295.2909656</v>
      </c>
      <c r="D164" s="566">
        <v>-15372.865667600001</v>
      </c>
      <c r="E164" s="566">
        <v>-39159.5134952</v>
      </c>
      <c r="F164" s="566">
        <v>-50124.0001416</v>
      </c>
      <c r="G164" s="566">
        <v>-40463.64973</v>
      </c>
      <c r="H164" s="447"/>
      <c r="I164" s="543">
        <f t="shared" si="3"/>
        <v>-221415.32</v>
      </c>
      <c r="J164" t="s">
        <v>1823</v>
      </c>
    </row>
    <row r="165" spans="1:10" ht="15">
      <c r="A165" s="390" t="s">
        <v>1844</v>
      </c>
      <c r="B165" s="297">
        <v>4470099</v>
      </c>
      <c r="C165" s="566">
        <v>-930.5176152</v>
      </c>
      <c r="D165" s="566">
        <v>-187.4915492</v>
      </c>
      <c r="E165" s="566">
        <v>-477.5998184</v>
      </c>
      <c r="F165" s="566">
        <v>-611.3256072</v>
      </c>
      <c r="G165" s="566">
        <v>-493.50541</v>
      </c>
      <c r="H165" s="447"/>
      <c r="I165" s="543">
        <f t="shared" si="3"/>
        <v>-2700.4399999999996</v>
      </c>
      <c r="J165" t="s">
        <v>607</v>
      </c>
    </row>
    <row r="166" spans="1:10" ht="15">
      <c r="A166" s="542" t="s">
        <v>954</v>
      </c>
      <c r="B166" s="297">
        <v>4470141</v>
      </c>
      <c r="C166" s="566">
        <v>0</v>
      </c>
      <c r="D166" s="566">
        <v>0</v>
      </c>
      <c r="E166" s="566">
        <v>0</v>
      </c>
      <c r="F166" s="566">
        <v>0</v>
      </c>
      <c r="G166" s="566">
        <v>0</v>
      </c>
      <c r="H166" s="447"/>
      <c r="I166" s="543">
        <f t="shared" si="3"/>
        <v>0</v>
      </c>
      <c r="J166" t="s">
        <v>1823</v>
      </c>
    </row>
    <row r="167" spans="1:10" ht="15">
      <c r="A167" s="542" t="s">
        <v>955</v>
      </c>
      <c r="B167" s="297">
        <v>5614001</v>
      </c>
      <c r="C167" s="566">
        <v>3.6</v>
      </c>
      <c r="D167" s="566">
        <v>0.72</v>
      </c>
      <c r="E167" s="566">
        <v>1.85</v>
      </c>
      <c r="F167" s="566">
        <v>2.36</v>
      </c>
      <c r="G167" s="566">
        <v>1.91</v>
      </c>
      <c r="H167" s="447"/>
      <c r="I167" s="543">
        <f t="shared" si="3"/>
        <v>10.44</v>
      </c>
      <c r="J167" t="s">
        <v>1823</v>
      </c>
    </row>
    <row r="168" spans="1:10" ht="15">
      <c r="A168" s="542" t="s">
        <v>955</v>
      </c>
      <c r="B168" s="297">
        <v>5618001</v>
      </c>
      <c r="C168" s="566">
        <v>0.21</v>
      </c>
      <c r="D168" s="566">
        <v>0.04</v>
      </c>
      <c r="E168" s="566">
        <v>0.1</v>
      </c>
      <c r="F168" s="566">
        <v>0.13</v>
      </c>
      <c r="G168" s="566">
        <v>0.11</v>
      </c>
      <c r="H168" s="447"/>
      <c r="I168" s="543">
        <f t="shared" si="3"/>
        <v>0.59</v>
      </c>
      <c r="J168" t="s">
        <v>1823</v>
      </c>
    </row>
    <row r="169" spans="1:10" ht="15">
      <c r="A169" s="542" t="s">
        <v>955</v>
      </c>
      <c r="B169" s="297">
        <v>5757001</v>
      </c>
      <c r="C169" s="566">
        <v>0.81</v>
      </c>
      <c r="D169" s="566">
        <v>0.16</v>
      </c>
      <c r="E169" s="566">
        <v>0.42</v>
      </c>
      <c r="F169" s="566">
        <v>0.53</v>
      </c>
      <c r="G169" s="566">
        <v>0.43</v>
      </c>
      <c r="H169" s="447"/>
      <c r="I169" s="543">
        <f t="shared" si="3"/>
        <v>2.35</v>
      </c>
      <c r="J169" t="s">
        <v>1823</v>
      </c>
    </row>
    <row r="170" spans="1:10" ht="15">
      <c r="A170" s="542" t="s">
        <v>956</v>
      </c>
      <c r="B170" s="297">
        <v>4561006</v>
      </c>
      <c r="C170" s="566">
        <v>3.8</v>
      </c>
      <c r="D170" s="566">
        <v>0.76</v>
      </c>
      <c r="E170" s="566">
        <v>1.95</v>
      </c>
      <c r="F170" s="566">
        <v>2.49</v>
      </c>
      <c r="G170" s="566">
        <v>2.01</v>
      </c>
      <c r="H170" s="447"/>
      <c r="I170" s="543">
        <f t="shared" si="3"/>
        <v>11.01</v>
      </c>
      <c r="J170" t="s">
        <v>1823</v>
      </c>
    </row>
    <row r="171" spans="1:10" ht="15">
      <c r="A171" s="542" t="s">
        <v>954</v>
      </c>
      <c r="B171" s="297">
        <v>4470141</v>
      </c>
      <c r="C171" s="566">
        <v>0</v>
      </c>
      <c r="D171" s="566">
        <v>0</v>
      </c>
      <c r="E171" s="566">
        <v>0</v>
      </c>
      <c r="F171" s="566">
        <v>0</v>
      </c>
      <c r="G171" s="566">
        <v>0</v>
      </c>
      <c r="H171" s="447"/>
      <c r="I171" s="543">
        <f t="shared" si="3"/>
        <v>0</v>
      </c>
      <c r="J171" t="s">
        <v>1823</v>
      </c>
    </row>
    <row r="172" spans="1:10" ht="15">
      <c r="A172" s="542" t="s">
        <v>955</v>
      </c>
      <c r="B172" s="297">
        <v>5614001</v>
      </c>
      <c r="C172" s="566">
        <v>1.81</v>
      </c>
      <c r="D172" s="566">
        <v>0.36</v>
      </c>
      <c r="E172" s="566">
        <v>0.92</v>
      </c>
      <c r="F172" s="566">
        <v>1.18</v>
      </c>
      <c r="G172" s="566">
        <v>0.95</v>
      </c>
      <c r="H172" s="447"/>
      <c r="I172" s="543">
        <f t="shared" si="3"/>
        <v>5.22</v>
      </c>
      <c r="J172" t="s">
        <v>1823</v>
      </c>
    </row>
    <row r="173" spans="1:10" ht="15">
      <c r="A173" s="542" t="s">
        <v>955</v>
      </c>
      <c r="B173" s="297">
        <v>5618001</v>
      </c>
      <c r="C173" s="566">
        <v>0.11</v>
      </c>
      <c r="D173" s="566">
        <v>0.02</v>
      </c>
      <c r="E173" s="566">
        <v>0.05</v>
      </c>
      <c r="F173" s="566">
        <v>0.07</v>
      </c>
      <c r="G173" s="566">
        <v>0.05</v>
      </c>
      <c r="H173" s="447"/>
      <c r="I173" s="543">
        <f t="shared" si="3"/>
        <v>0.3</v>
      </c>
      <c r="J173" t="s">
        <v>1823</v>
      </c>
    </row>
    <row r="174" spans="1:10" ht="15">
      <c r="A174" s="542" t="s">
        <v>955</v>
      </c>
      <c r="B174" s="297">
        <v>5757001</v>
      </c>
      <c r="C174" s="566">
        <v>0.41</v>
      </c>
      <c r="D174" s="566">
        <v>0.08</v>
      </c>
      <c r="E174" s="566">
        <v>0.21</v>
      </c>
      <c r="F174" s="566">
        <v>0.26</v>
      </c>
      <c r="G174" s="566">
        <v>0.21</v>
      </c>
      <c r="H174" s="447"/>
      <c r="I174" s="543">
        <f t="shared" si="3"/>
        <v>1.17</v>
      </c>
      <c r="J174" t="s">
        <v>1823</v>
      </c>
    </row>
    <row r="175" spans="1:10" ht="15">
      <c r="A175" s="542" t="s">
        <v>956</v>
      </c>
      <c r="B175" s="297">
        <v>4561006</v>
      </c>
      <c r="C175" s="566">
        <v>1.9</v>
      </c>
      <c r="D175" s="566">
        <v>0.38</v>
      </c>
      <c r="E175" s="566">
        <v>0.97</v>
      </c>
      <c r="F175" s="566">
        <v>1.25</v>
      </c>
      <c r="G175" s="566">
        <v>1.01</v>
      </c>
      <c r="H175" s="447"/>
      <c r="I175" s="543">
        <f t="shared" si="3"/>
        <v>5.51</v>
      </c>
      <c r="J175" t="s">
        <v>1823</v>
      </c>
    </row>
    <row r="176" spans="1:10" ht="15">
      <c r="A176" s="542" t="s">
        <v>954</v>
      </c>
      <c r="B176" s="297">
        <v>4470141</v>
      </c>
      <c r="C176" s="566">
        <v>0</v>
      </c>
      <c r="D176" s="566">
        <v>0</v>
      </c>
      <c r="E176" s="566">
        <v>0</v>
      </c>
      <c r="F176" s="566">
        <v>0</v>
      </c>
      <c r="G176" s="566">
        <v>0</v>
      </c>
      <c r="H176" s="447"/>
      <c r="I176" s="543">
        <f t="shared" si="3"/>
        <v>0</v>
      </c>
      <c r="J176" t="s">
        <v>1823</v>
      </c>
    </row>
    <row r="177" spans="1:10" ht="15">
      <c r="A177" s="542" t="s">
        <v>955</v>
      </c>
      <c r="B177" s="297">
        <v>5614001</v>
      </c>
      <c r="C177" s="566">
        <v>3.6</v>
      </c>
      <c r="D177" s="566">
        <v>0.72</v>
      </c>
      <c r="E177" s="566">
        <v>1.85</v>
      </c>
      <c r="F177" s="566">
        <v>2.36</v>
      </c>
      <c r="G177" s="566">
        <v>1.91</v>
      </c>
      <c r="H177" s="447"/>
      <c r="I177" s="543">
        <f t="shared" si="3"/>
        <v>10.44</v>
      </c>
      <c r="J177" t="s">
        <v>1823</v>
      </c>
    </row>
    <row r="178" spans="1:10" ht="15">
      <c r="A178" s="542" t="s">
        <v>955</v>
      </c>
      <c r="B178" s="297">
        <v>5618001</v>
      </c>
      <c r="C178" s="566">
        <v>0.21</v>
      </c>
      <c r="D178" s="566">
        <v>0.04</v>
      </c>
      <c r="E178" s="566">
        <v>0.1</v>
      </c>
      <c r="F178" s="566">
        <v>0.13</v>
      </c>
      <c r="G178" s="566">
        <v>0.11</v>
      </c>
      <c r="H178" s="447"/>
      <c r="I178" s="543">
        <f t="shared" si="3"/>
        <v>0.59</v>
      </c>
      <c r="J178" t="s">
        <v>1823</v>
      </c>
    </row>
    <row r="179" spans="1:10" ht="15">
      <c r="A179" s="542" t="s">
        <v>955</v>
      </c>
      <c r="B179" s="297">
        <v>5757001</v>
      </c>
      <c r="C179" s="566">
        <v>0.81</v>
      </c>
      <c r="D179" s="566">
        <v>0.16</v>
      </c>
      <c r="E179" s="566">
        <v>0.42</v>
      </c>
      <c r="F179" s="566">
        <v>0.53</v>
      </c>
      <c r="G179" s="566">
        <v>0.43</v>
      </c>
      <c r="H179" s="447"/>
      <c r="I179" s="543">
        <f t="shared" si="3"/>
        <v>2.35</v>
      </c>
      <c r="J179" t="s">
        <v>1823</v>
      </c>
    </row>
    <row r="180" spans="1:10" ht="15">
      <c r="A180" s="390" t="s">
        <v>956</v>
      </c>
      <c r="B180" s="297">
        <v>4561006</v>
      </c>
      <c r="C180" s="566">
        <v>3.8</v>
      </c>
      <c r="D180" s="566">
        <v>0.76</v>
      </c>
      <c r="E180" s="566">
        <v>1.95</v>
      </c>
      <c r="F180" s="566">
        <v>2.49</v>
      </c>
      <c r="G180" s="566">
        <v>2.01</v>
      </c>
      <c r="H180" s="447"/>
      <c r="I180" s="543">
        <f t="shared" si="3"/>
        <v>11.01</v>
      </c>
      <c r="J180" t="s">
        <v>1823</v>
      </c>
    </row>
    <row r="181" spans="1:9" ht="15">
      <c r="A181" s="390"/>
      <c r="B181" s="297"/>
      <c r="C181" s="512"/>
      <c r="D181" s="512"/>
      <c r="E181" s="512"/>
      <c r="F181" s="512"/>
      <c r="G181" s="512"/>
      <c r="H181" s="447"/>
      <c r="I181" s="543"/>
    </row>
    <row r="182" spans="1:9" ht="15">
      <c r="A182" s="848" t="s">
        <v>1161</v>
      </c>
      <c r="B182" s="297"/>
      <c r="C182" s="512"/>
      <c r="D182" s="512"/>
      <c r="E182" s="512"/>
      <c r="F182" s="512"/>
      <c r="G182" s="512"/>
      <c r="H182" s="447"/>
      <c r="I182" s="543">
        <f t="shared" si="3"/>
        <v>0</v>
      </c>
    </row>
    <row r="183" spans="1:10" ht="15">
      <c r="A183" s="390" t="s">
        <v>1798</v>
      </c>
      <c r="B183" s="297">
        <v>4470093</v>
      </c>
      <c r="C183" s="566">
        <v>1226.1638094</v>
      </c>
      <c r="D183" s="566">
        <v>247.0617949</v>
      </c>
      <c r="E183" s="566">
        <v>629.3439298</v>
      </c>
      <c r="F183" s="566">
        <v>805.5573833999999</v>
      </c>
      <c r="G183" s="566">
        <v>650.3030825</v>
      </c>
      <c r="H183" s="447"/>
      <c r="I183" s="543">
        <f t="shared" si="3"/>
        <v>3558.43</v>
      </c>
      <c r="J183" t="s">
        <v>1823</v>
      </c>
    </row>
    <row r="184" spans="1:10" ht="15">
      <c r="A184" s="390" t="s">
        <v>1796</v>
      </c>
      <c r="B184" s="297">
        <v>4470203</v>
      </c>
      <c r="C184" s="566">
        <v>1547.0711634</v>
      </c>
      <c r="D184" s="566">
        <v>311.7219539</v>
      </c>
      <c r="E184" s="566">
        <v>794.0536477999999</v>
      </c>
      <c r="F184" s="566">
        <v>1016.3850773999999</v>
      </c>
      <c r="G184" s="566">
        <v>820.4981574999999</v>
      </c>
      <c r="H184" s="447"/>
      <c r="I184" s="543">
        <f t="shared" si="3"/>
        <v>4489.73</v>
      </c>
      <c r="J184" t="s">
        <v>1823</v>
      </c>
    </row>
    <row r="185" spans="1:10" ht="15">
      <c r="A185" s="390" t="s">
        <v>1799</v>
      </c>
      <c r="B185" s="297">
        <v>4470207</v>
      </c>
      <c r="C185" s="566">
        <v>-1269.966819</v>
      </c>
      <c r="D185" s="566">
        <v>-255.88773650000005</v>
      </c>
      <c r="E185" s="566">
        <v>-651.826373</v>
      </c>
      <c r="F185" s="566">
        <v>-834.3348090000001</v>
      </c>
      <c r="G185" s="566">
        <v>-673.5342625000001</v>
      </c>
      <c r="H185" s="447"/>
      <c r="I185" s="543">
        <f aca="true" t="shared" si="4" ref="I185:I206">SUM(C185:G185)</f>
        <v>-3685.55</v>
      </c>
      <c r="J185" t="s">
        <v>1823</v>
      </c>
    </row>
    <row r="186" spans="1:10" ht="15">
      <c r="A186" s="390" t="s">
        <v>1804</v>
      </c>
      <c r="B186" s="297">
        <v>4470093</v>
      </c>
      <c r="C186" s="566">
        <v>64753.2944184</v>
      </c>
      <c r="D186" s="566">
        <v>13047.249496400002</v>
      </c>
      <c r="E186" s="566">
        <v>33235.4392328</v>
      </c>
      <c r="F186" s="566">
        <v>42541.2118824</v>
      </c>
      <c r="G186" s="566">
        <v>34342.28497</v>
      </c>
      <c r="H186" s="447"/>
      <c r="I186" s="543">
        <f t="shared" si="4"/>
        <v>187919.48</v>
      </c>
      <c r="J186" t="s">
        <v>1823</v>
      </c>
    </row>
    <row r="187" spans="1:10" ht="15">
      <c r="A187" s="390" t="s">
        <v>1805</v>
      </c>
      <c r="B187" s="297">
        <v>4470207</v>
      </c>
      <c r="C187" s="566">
        <v>55657.2404226</v>
      </c>
      <c r="D187" s="566">
        <v>11214.4703771</v>
      </c>
      <c r="E187" s="566">
        <v>28566.7756142</v>
      </c>
      <c r="F187" s="566">
        <v>36565.3435686</v>
      </c>
      <c r="G187" s="566">
        <v>29518.140017499998</v>
      </c>
      <c r="H187" s="447"/>
      <c r="I187" s="543">
        <f t="shared" si="4"/>
        <v>161521.97</v>
      </c>
      <c r="J187" t="s">
        <v>1823</v>
      </c>
    </row>
    <row r="188" spans="1:10" ht="15">
      <c r="A188" s="390" t="s">
        <v>412</v>
      </c>
      <c r="B188" s="297">
        <v>5614001</v>
      </c>
      <c r="C188" s="566">
        <v>299.9637816</v>
      </c>
      <c r="D188" s="566">
        <v>60.440203600000004</v>
      </c>
      <c r="E188" s="566">
        <v>153.9601672</v>
      </c>
      <c r="F188" s="566">
        <v>197.0683176</v>
      </c>
      <c r="G188" s="566">
        <v>159.08753</v>
      </c>
      <c r="H188" s="447"/>
      <c r="I188" s="543">
        <f t="shared" si="4"/>
        <v>870.52</v>
      </c>
      <c r="J188" t="s">
        <v>1823</v>
      </c>
    </row>
    <row r="189" spans="1:10" ht="15">
      <c r="A189" s="390" t="s">
        <v>823</v>
      </c>
      <c r="B189" s="297">
        <v>5614001</v>
      </c>
      <c r="C189" s="566">
        <v>46.4941794</v>
      </c>
      <c r="D189" s="566">
        <v>9.3681899</v>
      </c>
      <c r="E189" s="566">
        <v>23.8637198</v>
      </c>
      <c r="F189" s="566">
        <v>30.5454534</v>
      </c>
      <c r="G189" s="566">
        <v>24.6584575</v>
      </c>
      <c r="H189" s="447"/>
      <c r="I189" s="543">
        <f t="shared" si="4"/>
        <v>134.93</v>
      </c>
      <c r="J189" t="s">
        <v>1823</v>
      </c>
    </row>
    <row r="190" spans="1:10" ht="15">
      <c r="A190" s="390" t="s">
        <v>1856</v>
      </c>
      <c r="B190" s="297">
        <v>4470203</v>
      </c>
      <c r="C190" s="566">
        <v>579.0391236</v>
      </c>
      <c r="D190" s="566">
        <v>116.67156060000002</v>
      </c>
      <c r="E190" s="566">
        <v>297.1990812</v>
      </c>
      <c r="F190" s="566">
        <v>380.4134796</v>
      </c>
      <c r="G190" s="566">
        <v>307.09675500000003</v>
      </c>
      <c r="H190" s="447"/>
      <c r="I190" s="543">
        <f t="shared" si="4"/>
        <v>1680.42</v>
      </c>
      <c r="J190" t="s">
        <v>1823</v>
      </c>
    </row>
    <row r="191" spans="1:10" ht="15">
      <c r="A191" s="390" t="s">
        <v>810</v>
      </c>
      <c r="B191" s="297">
        <v>4470203</v>
      </c>
      <c r="C191" s="566">
        <v>3.1287864</v>
      </c>
      <c r="D191" s="566">
        <v>0.6304244000000001</v>
      </c>
      <c r="E191" s="566">
        <v>1.6058888</v>
      </c>
      <c r="F191" s="566">
        <v>2.0555304</v>
      </c>
      <c r="G191" s="566">
        <v>1.65937</v>
      </c>
      <c r="H191" s="447"/>
      <c r="I191" s="543">
        <f t="shared" si="4"/>
        <v>9.079999999999998</v>
      </c>
      <c r="J191" t="s">
        <v>1823</v>
      </c>
    </row>
    <row r="192" spans="1:10" ht="15">
      <c r="A192" s="390" t="s">
        <v>1853</v>
      </c>
      <c r="B192" s="297">
        <v>5550084</v>
      </c>
      <c r="C192" s="566">
        <v>-6.7916718000000005</v>
      </c>
      <c r="D192" s="566">
        <v>-1.3684653000000002</v>
      </c>
      <c r="E192" s="566">
        <v>-3.4859106</v>
      </c>
      <c r="F192" s="566">
        <v>-4.4619498</v>
      </c>
      <c r="G192" s="566">
        <v>-3.6020025</v>
      </c>
      <c r="H192" s="447"/>
      <c r="I192" s="543">
        <f t="shared" si="4"/>
        <v>-19.71</v>
      </c>
      <c r="J192" t="s">
        <v>1823</v>
      </c>
    </row>
    <row r="193" spans="1:9" ht="15">
      <c r="A193" s="390"/>
      <c r="B193" s="297"/>
      <c r="C193" s="566">
        <v>0</v>
      </c>
      <c r="D193" s="566">
        <v>0</v>
      </c>
      <c r="E193" s="566">
        <v>0</v>
      </c>
      <c r="F193" s="566">
        <v>0</v>
      </c>
      <c r="G193" s="566">
        <v>0</v>
      </c>
      <c r="H193" s="447"/>
      <c r="I193" s="543">
        <f t="shared" si="4"/>
        <v>0</v>
      </c>
    </row>
    <row r="194" spans="1:9" ht="15">
      <c r="A194" s="848" t="s">
        <v>1162</v>
      </c>
      <c r="B194" s="297"/>
      <c r="C194" s="512"/>
      <c r="D194" s="512"/>
      <c r="E194" s="512"/>
      <c r="F194" s="512"/>
      <c r="G194" s="512"/>
      <c r="H194" s="447"/>
      <c r="I194" s="543"/>
    </row>
    <row r="195" spans="1:10" ht="15">
      <c r="A195" s="390" t="s">
        <v>1798</v>
      </c>
      <c r="B195" s="297">
        <v>4470093</v>
      </c>
      <c r="C195" s="566">
        <v>5298.5136234</v>
      </c>
      <c r="D195" s="566">
        <v>1067.6063639000001</v>
      </c>
      <c r="E195" s="566">
        <v>2719.5284678</v>
      </c>
      <c r="F195" s="566">
        <v>3480.9841374</v>
      </c>
      <c r="G195" s="566">
        <v>2810.0974075</v>
      </c>
      <c r="H195" s="447"/>
      <c r="I195" s="543">
        <f t="shared" si="4"/>
        <v>15376.729999999998</v>
      </c>
      <c r="J195" t="s">
        <v>1823</v>
      </c>
    </row>
    <row r="196" spans="1:10" ht="15">
      <c r="A196" s="390" t="s">
        <v>1796</v>
      </c>
      <c r="B196" s="297">
        <v>4470203</v>
      </c>
      <c r="C196" s="566">
        <v>930.073107</v>
      </c>
      <c r="D196" s="566">
        <v>187.40198450000003</v>
      </c>
      <c r="E196" s="566">
        <v>477.371669</v>
      </c>
      <c r="F196" s="566">
        <v>611.033577</v>
      </c>
      <c r="G196" s="566">
        <v>493.2696625</v>
      </c>
      <c r="H196" s="447"/>
      <c r="I196" s="543">
        <f t="shared" si="4"/>
        <v>2699.15</v>
      </c>
      <c r="J196" t="s">
        <v>1823</v>
      </c>
    </row>
    <row r="197" spans="1:10" ht="15">
      <c r="A197" s="390" t="s">
        <v>1799</v>
      </c>
      <c r="B197" s="297">
        <v>4470207</v>
      </c>
      <c r="C197" s="566">
        <v>5393.6314866</v>
      </c>
      <c r="D197" s="566">
        <v>1086.7718211000001</v>
      </c>
      <c r="E197" s="566">
        <v>2768.3489022</v>
      </c>
      <c r="F197" s="566">
        <v>3543.4740726</v>
      </c>
      <c r="G197" s="566">
        <v>2860.5437175</v>
      </c>
      <c r="H197" s="447"/>
      <c r="I197" s="543">
        <f t="shared" si="4"/>
        <v>15652.77</v>
      </c>
      <c r="J197" t="s">
        <v>1823</v>
      </c>
    </row>
    <row r="198" spans="1:10" ht="15">
      <c r="A198" s="390" t="s">
        <v>412</v>
      </c>
      <c r="B198" s="297">
        <v>5614001</v>
      </c>
      <c r="C198" s="566">
        <v>57.379461600000006</v>
      </c>
      <c r="D198" s="566">
        <v>11.561483600000003</v>
      </c>
      <c r="E198" s="566">
        <v>29.4507272</v>
      </c>
      <c r="F198" s="566">
        <v>37.696797600000004</v>
      </c>
      <c r="G198" s="566">
        <v>30.431530000000002</v>
      </c>
      <c r="H198" s="447"/>
      <c r="I198" s="543">
        <f t="shared" si="4"/>
        <v>166.52000000000004</v>
      </c>
      <c r="J198" t="s">
        <v>1823</v>
      </c>
    </row>
    <row r="199" spans="1:10" ht="15">
      <c r="A199" s="390" t="s">
        <v>823</v>
      </c>
      <c r="B199" s="297">
        <v>5614001</v>
      </c>
      <c r="C199" s="566">
        <v>8.8970556</v>
      </c>
      <c r="D199" s="566">
        <v>1.7926826000000002</v>
      </c>
      <c r="E199" s="566">
        <v>4.5665252</v>
      </c>
      <c r="F199" s="566">
        <v>5.8451316</v>
      </c>
      <c r="G199" s="566">
        <v>4.718605</v>
      </c>
      <c r="H199" s="447"/>
      <c r="I199" s="543">
        <f t="shared" si="4"/>
        <v>25.820000000000004</v>
      </c>
      <c r="J199" t="s">
        <v>1823</v>
      </c>
    </row>
    <row r="200" spans="1:10" ht="15">
      <c r="A200" s="390" t="s">
        <v>1798</v>
      </c>
      <c r="B200" s="297">
        <v>4470093</v>
      </c>
      <c r="C200" s="566">
        <v>50777.2364382</v>
      </c>
      <c r="D200" s="566">
        <v>10231.190219700002</v>
      </c>
      <c r="E200" s="566">
        <v>26062.0524594</v>
      </c>
      <c r="F200" s="566">
        <v>33359.3092602</v>
      </c>
      <c r="G200" s="566">
        <v>26930.0016225</v>
      </c>
      <c r="H200" s="447"/>
      <c r="I200" s="543">
        <f t="shared" si="4"/>
        <v>147359.79000000004</v>
      </c>
      <c r="J200" t="s">
        <v>1823</v>
      </c>
    </row>
    <row r="201" spans="1:10" ht="15">
      <c r="A201" s="390" t="s">
        <v>1796</v>
      </c>
      <c r="B201" s="297">
        <v>4470203</v>
      </c>
      <c r="C201" s="566">
        <v>11314.1051184</v>
      </c>
      <c r="D201" s="566">
        <v>2279.6979464000005</v>
      </c>
      <c r="E201" s="566">
        <v>5807.1061328000005</v>
      </c>
      <c r="F201" s="566">
        <v>7433.0695824</v>
      </c>
      <c r="G201" s="566">
        <v>6000.50122</v>
      </c>
      <c r="H201" s="447"/>
      <c r="I201" s="543">
        <f t="shared" si="4"/>
        <v>32834.48</v>
      </c>
      <c r="J201" t="s">
        <v>1823</v>
      </c>
    </row>
    <row r="202" spans="1:10" ht="15">
      <c r="A202" s="390" t="s">
        <v>1799</v>
      </c>
      <c r="B202" s="297">
        <v>4470207</v>
      </c>
      <c r="C202" s="566">
        <v>49398.3444354</v>
      </c>
      <c r="D202" s="566">
        <v>9953.354965900002</v>
      </c>
      <c r="E202" s="566">
        <v>25354.3188718</v>
      </c>
      <c r="F202" s="566">
        <v>32453.413469400002</v>
      </c>
      <c r="G202" s="566">
        <v>26198.6982575</v>
      </c>
      <c r="H202" s="447"/>
      <c r="I202" s="543">
        <f t="shared" si="4"/>
        <v>143358.13</v>
      </c>
      <c r="J202" t="s">
        <v>1823</v>
      </c>
    </row>
    <row r="203" spans="1:10" ht="15">
      <c r="A203" s="390" t="s">
        <v>412</v>
      </c>
      <c r="B203" s="297">
        <v>5614001</v>
      </c>
      <c r="C203" s="566">
        <v>474.68307059999995</v>
      </c>
      <c r="D203" s="566">
        <v>95.6446851</v>
      </c>
      <c r="E203" s="566">
        <v>243.63703019999997</v>
      </c>
      <c r="F203" s="566">
        <v>311.8542966</v>
      </c>
      <c r="G203" s="566">
        <v>251.75091749999999</v>
      </c>
      <c r="H203" s="447"/>
      <c r="I203" s="543">
        <f t="shared" si="4"/>
        <v>1377.57</v>
      </c>
      <c r="J203" t="s">
        <v>1823</v>
      </c>
    </row>
    <row r="204" spans="1:10" ht="15">
      <c r="A204" s="390" t="s">
        <v>823</v>
      </c>
      <c r="B204" s="297">
        <v>5614001</v>
      </c>
      <c r="C204" s="566">
        <v>73.5953964</v>
      </c>
      <c r="D204" s="566">
        <v>14.828859400000002</v>
      </c>
      <c r="E204" s="566">
        <v>37.7737588</v>
      </c>
      <c r="F204" s="566">
        <v>48.350240400000004</v>
      </c>
      <c r="G204" s="566">
        <v>39.031745</v>
      </c>
      <c r="H204" s="447"/>
      <c r="I204" s="543">
        <f t="shared" si="4"/>
        <v>213.57999999999998</v>
      </c>
      <c r="J204" t="s">
        <v>1823</v>
      </c>
    </row>
    <row r="205" spans="1:10" ht="15">
      <c r="A205" s="390" t="s">
        <v>1856</v>
      </c>
      <c r="B205" s="297">
        <v>4470203</v>
      </c>
      <c r="C205" s="566">
        <v>49.1991324</v>
      </c>
      <c r="D205" s="566">
        <v>9.9132154</v>
      </c>
      <c r="E205" s="566">
        <v>25.2520708</v>
      </c>
      <c r="F205" s="566">
        <v>32.3225364</v>
      </c>
      <c r="G205" s="566">
        <v>26.093045</v>
      </c>
      <c r="H205" s="447"/>
      <c r="I205" s="543">
        <f t="shared" si="4"/>
        <v>142.77999999999997</v>
      </c>
      <c r="J205" t="s">
        <v>1823</v>
      </c>
    </row>
    <row r="206" spans="1:10" ht="15">
      <c r="A206" s="390" t="s">
        <v>810</v>
      </c>
      <c r="B206" s="297">
        <v>4470203</v>
      </c>
      <c r="C206" s="566">
        <v>2.9771712000000004</v>
      </c>
      <c r="D206" s="566">
        <v>0.5998752</v>
      </c>
      <c r="E206" s="566">
        <v>1.5280704</v>
      </c>
      <c r="F206" s="566">
        <v>1.9559232000000002</v>
      </c>
      <c r="G206" s="566">
        <v>1.5789600000000001</v>
      </c>
      <c r="H206" s="447"/>
      <c r="I206" s="543">
        <f t="shared" si="4"/>
        <v>8.64</v>
      </c>
      <c r="J206" t="s">
        <v>1823</v>
      </c>
    </row>
    <row r="207" spans="1:9" ht="15">
      <c r="A207" s="390"/>
      <c r="B207" s="297"/>
      <c r="C207" s="512"/>
      <c r="D207" s="512"/>
      <c r="E207" s="512"/>
      <c r="F207" s="512"/>
      <c r="G207" s="512"/>
      <c r="H207" s="447"/>
      <c r="I207" s="543"/>
    </row>
    <row r="208" spans="1:9" ht="15">
      <c r="A208" s="828" t="s">
        <v>328</v>
      </c>
      <c r="B208" s="297">
        <v>4470099</v>
      </c>
      <c r="C208" s="566">
        <v>0</v>
      </c>
      <c r="D208" s="566">
        <v>0</v>
      </c>
      <c r="E208" s="566">
        <v>0</v>
      </c>
      <c r="F208" s="566">
        <v>0</v>
      </c>
      <c r="G208" s="566">
        <v>0</v>
      </c>
      <c r="H208" s="447"/>
      <c r="I208" s="543">
        <f>SUM(C208:G208)</f>
        <v>0</v>
      </c>
    </row>
    <row r="209" spans="1:9" ht="15">
      <c r="A209" s="8"/>
      <c r="B209" s="533"/>
      <c r="C209" s="507"/>
      <c r="D209" s="507"/>
      <c r="E209" s="507"/>
      <c r="F209" s="507"/>
      <c r="G209" s="507"/>
      <c r="H209" s="447"/>
      <c r="I209" s="507"/>
    </row>
    <row r="210" spans="1:9" ht="15">
      <c r="A210" s="8" t="s">
        <v>2085</v>
      </c>
      <c r="B210" s="533"/>
      <c r="C210" s="447">
        <f>SUM(C9:C209)</f>
        <v>-2759380.5903488</v>
      </c>
      <c r="D210" s="447">
        <f>SUM(D9:D209)</f>
        <v>-556118.4420387993</v>
      </c>
      <c r="E210" s="447">
        <f>SUM(E9:E209)</f>
        <v>-1417184.7946576017</v>
      </c>
      <c r="F210" s="447">
        <f>SUM(F9:F209)</f>
        <v>-1814368.8702808009</v>
      </c>
      <c r="G210" s="447">
        <f>SUM(G9:G209)</f>
        <v>-1463035.4326740003</v>
      </c>
      <c r="H210" s="447"/>
      <c r="I210" s="447">
        <f>SUM(I9:I209)</f>
        <v>-8010088.129999997</v>
      </c>
    </row>
    <row r="211" spans="1:13" ht="15">
      <c r="A211" s="8"/>
      <c r="B211" s="3"/>
      <c r="C211" s="501"/>
      <c r="D211" s="501"/>
      <c r="E211" s="501"/>
      <c r="F211" s="501"/>
      <c r="G211" s="501"/>
      <c r="H211" s="501"/>
      <c r="I211" s="501"/>
      <c r="J211" s="8"/>
      <c r="K211" s="510"/>
      <c r="L211" s="8"/>
      <c r="M211" s="507"/>
    </row>
    <row r="212" spans="1:13" ht="15">
      <c r="A212" s="8" t="s">
        <v>2086</v>
      </c>
      <c r="B212" s="3"/>
      <c r="C212" s="508">
        <f>INPUT!J222</f>
        <v>-2988211</v>
      </c>
      <c r="D212" s="508">
        <f>INPUT!J223</f>
        <v>-607234</v>
      </c>
      <c r="E212" s="508">
        <f>INPUT!J224</f>
        <v>-1534962</v>
      </c>
      <c r="F212" s="508">
        <f>INPUT!J225</f>
        <v>-1964592</v>
      </c>
      <c r="G212" s="508">
        <f>INPUT!J226</f>
        <v>-1586578</v>
      </c>
      <c r="H212" s="447"/>
      <c r="I212" s="508">
        <f>SUM(C212:H212)</f>
        <v>-8681577</v>
      </c>
      <c r="J212" s="8"/>
      <c r="K212" s="510"/>
      <c r="L212" s="8"/>
      <c r="M212" s="447"/>
    </row>
    <row r="213" spans="1:13" ht="15">
      <c r="A213" s="8"/>
      <c r="B213" s="3"/>
      <c r="C213" s="447"/>
      <c r="D213" s="447"/>
      <c r="E213" s="447"/>
      <c r="F213" s="447"/>
      <c r="G213" s="447"/>
      <c r="H213" s="447"/>
      <c r="I213" s="447"/>
      <c r="J213" s="8"/>
      <c r="K213" s="510"/>
      <c r="L213" s="8"/>
      <c r="M213" s="447"/>
    </row>
    <row r="214" spans="1:13" ht="15.75" thickBot="1">
      <c r="A214" s="8" t="s">
        <v>2087</v>
      </c>
      <c r="B214" s="187" t="s">
        <v>1777</v>
      </c>
      <c r="C214" s="509">
        <f>ROUND(C210-C212,0)</f>
        <v>228830</v>
      </c>
      <c r="D214" s="509">
        <f>ROUND(D210-D212,0)</f>
        <v>51116</v>
      </c>
      <c r="E214" s="509">
        <f>ROUND(E210-E212,0)</f>
        <v>117777</v>
      </c>
      <c r="F214" s="509">
        <f>ROUND(F210-F212,0)</f>
        <v>150223</v>
      </c>
      <c r="G214" s="509">
        <f>ROUND(G210-G212,0)</f>
        <v>123543</v>
      </c>
      <c r="H214" s="447"/>
      <c r="I214" s="509">
        <f>SUM(C214:G214)</f>
        <v>671489</v>
      </c>
      <c r="J214" s="8"/>
      <c r="K214" s="510"/>
      <c r="L214" s="8"/>
      <c r="M214" s="447"/>
    </row>
    <row r="215" spans="1:10" ht="15.75" thickTop="1">
      <c r="A215" s="8"/>
      <c r="B215" s="533"/>
      <c r="C215" s="507"/>
      <c r="D215" s="507"/>
      <c r="E215" s="507"/>
      <c r="F215" s="507"/>
      <c r="G215" s="507"/>
      <c r="H215" s="447"/>
      <c r="I215" s="507"/>
      <c r="J215" s="714"/>
    </row>
    <row r="216" spans="1:9" ht="17.25" customHeight="1">
      <c r="A216" s="8"/>
      <c r="B216" s="8"/>
      <c r="C216" s="500"/>
      <c r="D216" s="500"/>
      <c r="E216" s="500"/>
      <c r="F216" s="500"/>
      <c r="G216" s="500"/>
      <c r="H216" s="501"/>
      <c r="I216" s="500"/>
    </row>
    <row r="217" spans="1:9" ht="15">
      <c r="A217" s="8"/>
      <c r="B217" s="533"/>
      <c r="C217" s="507"/>
      <c r="D217" s="507"/>
      <c r="E217" s="507"/>
      <c r="F217" s="507"/>
      <c r="G217" s="507"/>
      <c r="H217" s="447"/>
      <c r="I217" s="507"/>
    </row>
    <row r="218" spans="1:9" ht="15">
      <c r="A218" s="8"/>
      <c r="B218" s="8"/>
      <c r="C218" s="500"/>
      <c r="D218" s="500"/>
      <c r="E218" s="500"/>
      <c r="F218" s="500"/>
      <c r="G218" s="500"/>
      <c r="H218" s="501"/>
      <c r="I218" s="500"/>
    </row>
    <row r="219" spans="1:9" ht="15">
      <c r="A219" s="8"/>
      <c r="B219" s="8"/>
      <c r="C219" s="500"/>
      <c r="D219" s="500"/>
      <c r="E219" s="500"/>
      <c r="F219" s="500"/>
      <c r="G219" s="500"/>
      <c r="H219" s="501"/>
      <c r="I219" s="500"/>
    </row>
    <row r="220" spans="1:9" ht="15">
      <c r="A220" s="8"/>
      <c r="B220" s="8"/>
      <c r="C220" s="500"/>
      <c r="D220" s="500"/>
      <c r="E220" s="500"/>
      <c r="F220" s="500"/>
      <c r="G220" s="500"/>
      <c r="H220" s="501"/>
      <c r="I220" s="500"/>
    </row>
    <row r="221" spans="1:9" ht="15">
      <c r="A221" s="8"/>
      <c r="B221" s="8"/>
      <c r="C221" s="500"/>
      <c r="D221" s="500"/>
      <c r="E221" s="500"/>
      <c r="F221" s="500"/>
      <c r="G221" s="500"/>
      <c r="H221" s="501"/>
      <c r="I221" s="500"/>
    </row>
    <row r="222" spans="1:9" ht="15">
      <c r="A222" s="8"/>
      <c r="B222" s="8"/>
      <c r="C222" s="500"/>
      <c r="D222" s="500"/>
      <c r="E222" s="500"/>
      <c r="F222" s="500"/>
      <c r="G222" s="500"/>
      <c r="H222" s="501"/>
      <c r="I222" s="500"/>
    </row>
    <row r="223" spans="1:9" ht="15">
      <c r="A223" s="8"/>
      <c r="B223" s="8"/>
      <c r="C223" s="500"/>
      <c r="D223" s="500"/>
      <c r="E223" s="500"/>
      <c r="F223" s="500"/>
      <c r="G223" s="500"/>
      <c r="H223" s="501"/>
      <c r="I223" s="500"/>
    </row>
    <row r="224" spans="1:9" ht="15">
      <c r="A224" s="8"/>
      <c r="B224" s="8"/>
      <c r="C224" s="500"/>
      <c r="D224" s="500"/>
      <c r="E224" s="500"/>
      <c r="F224" s="500"/>
      <c r="G224" s="500"/>
      <c r="H224" s="501"/>
      <c r="I224" s="500"/>
    </row>
    <row r="225" spans="1:9" ht="15">
      <c r="A225" s="8"/>
      <c r="B225" s="8"/>
      <c r="C225" s="500"/>
      <c r="D225" s="500"/>
      <c r="E225" s="500"/>
      <c r="F225" s="500"/>
      <c r="G225" s="500"/>
      <c r="H225" s="501"/>
      <c r="I225" s="500"/>
    </row>
    <row r="226" spans="1:9" ht="15">
      <c r="A226" s="8"/>
      <c r="B226" s="8"/>
      <c r="C226" s="500"/>
      <c r="D226" s="500"/>
      <c r="E226" s="500"/>
      <c r="F226" s="500"/>
      <c r="G226" s="500"/>
      <c r="H226" s="501"/>
      <c r="I226" s="500"/>
    </row>
    <row r="227" spans="1:9" ht="15">
      <c r="A227" s="8"/>
      <c r="B227" s="8"/>
      <c r="C227" s="500"/>
      <c r="D227" s="500"/>
      <c r="E227" s="500"/>
      <c r="F227" s="500"/>
      <c r="G227" s="500"/>
      <c r="H227" s="501"/>
      <c r="I227" s="500"/>
    </row>
    <row r="228" spans="1:9" ht="15">
      <c r="A228" s="8"/>
      <c r="B228" s="8"/>
      <c r="C228" s="500"/>
      <c r="D228" s="500"/>
      <c r="E228" s="500"/>
      <c r="F228" s="500"/>
      <c r="G228" s="500"/>
      <c r="H228" s="501"/>
      <c r="I228" s="500"/>
    </row>
    <row r="229" spans="1:9" ht="15">
      <c r="A229" s="8"/>
      <c r="B229" s="8"/>
      <c r="C229" s="500"/>
      <c r="D229" s="500"/>
      <c r="E229" s="500"/>
      <c r="F229" s="500"/>
      <c r="G229" s="500"/>
      <c r="H229" s="501"/>
      <c r="I229" s="500"/>
    </row>
    <row r="230" spans="1:9" ht="15">
      <c r="A230" s="8"/>
      <c r="B230" s="8"/>
      <c r="C230" s="500"/>
      <c r="D230" s="500"/>
      <c r="E230" s="500"/>
      <c r="F230" s="500"/>
      <c r="G230" s="500"/>
      <c r="H230" s="501"/>
      <c r="I230" s="500"/>
    </row>
    <row r="231" spans="1:9" ht="15">
      <c r="A231" s="8"/>
      <c r="B231" s="8"/>
      <c r="C231" s="500"/>
      <c r="D231" s="500"/>
      <c r="E231" s="500"/>
      <c r="F231" s="500"/>
      <c r="G231" s="500"/>
      <c r="H231" s="501"/>
      <c r="I231" s="500"/>
    </row>
    <row r="232" spans="1:9" ht="15">
      <c r="A232" s="8"/>
      <c r="B232" s="8"/>
      <c r="C232" s="500"/>
      <c r="D232" s="500"/>
      <c r="E232" s="500"/>
      <c r="F232" s="500"/>
      <c r="G232" s="500"/>
      <c r="H232" s="501"/>
      <c r="I232" s="500"/>
    </row>
    <row r="233" spans="1:9" ht="15">
      <c r="A233" s="8"/>
      <c r="B233" s="8"/>
      <c r="C233" s="500"/>
      <c r="D233" s="500"/>
      <c r="E233" s="500"/>
      <c r="F233" s="500"/>
      <c r="G233" s="500"/>
      <c r="H233" s="501"/>
      <c r="I233" s="500"/>
    </row>
    <row r="234" spans="1:9" ht="15">
      <c r="A234" s="8"/>
      <c r="B234" s="8"/>
      <c r="C234" s="500"/>
      <c r="D234" s="500"/>
      <c r="E234" s="500"/>
      <c r="F234" s="500"/>
      <c r="G234" s="500"/>
      <c r="H234" s="501"/>
      <c r="I234" s="500"/>
    </row>
    <row r="235" spans="1:9" ht="15">
      <c r="A235" s="8"/>
      <c r="B235" s="8"/>
      <c r="C235" s="500"/>
      <c r="D235" s="500"/>
      <c r="E235" s="500"/>
      <c r="F235" s="500"/>
      <c r="G235" s="500"/>
      <c r="H235" s="501"/>
      <c r="I235" s="500"/>
    </row>
    <row r="236" spans="1:9" ht="15">
      <c r="A236" s="8"/>
      <c r="B236" s="8"/>
      <c r="C236" s="500"/>
      <c r="D236" s="500"/>
      <c r="E236" s="500"/>
      <c r="F236" s="500"/>
      <c r="G236" s="500"/>
      <c r="H236" s="501"/>
      <c r="I236" s="500"/>
    </row>
    <row r="237" spans="1:9" ht="15">
      <c r="A237" s="8"/>
      <c r="B237" s="8"/>
      <c r="C237" s="500"/>
      <c r="D237" s="500"/>
      <c r="E237" s="500"/>
      <c r="F237" s="500"/>
      <c r="G237" s="500"/>
      <c r="H237" s="501"/>
      <c r="I237" s="500"/>
    </row>
    <row r="238" spans="1:9" ht="15">
      <c r="A238" s="8"/>
      <c r="B238" s="8"/>
      <c r="C238" s="500"/>
      <c r="D238" s="500"/>
      <c r="E238" s="500"/>
      <c r="F238" s="500"/>
      <c r="G238" s="500"/>
      <c r="H238" s="501"/>
      <c r="I238" s="500"/>
    </row>
    <row r="239" spans="1:9" ht="15">
      <c r="A239" s="8"/>
      <c r="B239" s="8"/>
      <c r="C239" s="500"/>
      <c r="D239" s="500"/>
      <c r="E239" s="500"/>
      <c r="F239" s="500"/>
      <c r="G239" s="500"/>
      <c r="H239" s="501"/>
      <c r="I239" s="500"/>
    </row>
    <row r="240" spans="1:9" ht="15">
      <c r="A240" s="8"/>
      <c r="B240" s="8"/>
      <c r="C240" s="500"/>
      <c r="D240" s="500"/>
      <c r="E240" s="500"/>
      <c r="F240" s="500"/>
      <c r="G240" s="500"/>
      <c r="H240" s="501"/>
      <c r="I240" s="500"/>
    </row>
    <row r="241" spans="1:9" ht="15">
      <c r="A241" s="8"/>
      <c r="B241" s="8"/>
      <c r="C241" s="500"/>
      <c r="D241" s="500"/>
      <c r="E241" s="500"/>
      <c r="F241" s="500"/>
      <c r="G241" s="500"/>
      <c r="H241" s="501"/>
      <c r="I241" s="500"/>
    </row>
    <row r="242" spans="1:9" ht="15">
      <c r="A242" s="8"/>
      <c r="B242" s="8"/>
      <c r="C242" s="500"/>
      <c r="D242" s="500"/>
      <c r="E242" s="500"/>
      <c r="F242" s="500"/>
      <c r="G242" s="500"/>
      <c r="H242" s="501"/>
      <c r="I242" s="500"/>
    </row>
    <row r="243" spans="1:9" ht="15">
      <c r="A243" s="8"/>
      <c r="B243" s="8"/>
      <c r="C243" s="500"/>
      <c r="D243" s="500"/>
      <c r="E243" s="500"/>
      <c r="F243" s="500"/>
      <c r="G243" s="500"/>
      <c r="H243" s="501"/>
      <c r="I243" s="500"/>
    </row>
    <row r="244" spans="1:9" ht="15">
      <c r="A244" s="8"/>
      <c r="B244" s="8"/>
      <c r="C244" s="500"/>
      <c r="D244" s="500"/>
      <c r="E244" s="500"/>
      <c r="F244" s="500"/>
      <c r="G244" s="500"/>
      <c r="H244" s="501"/>
      <c r="I244" s="500"/>
    </row>
    <row r="245" spans="1:9" ht="15">
      <c r="A245" s="8"/>
      <c r="B245" s="8"/>
      <c r="C245" s="500"/>
      <c r="D245" s="500"/>
      <c r="E245" s="500"/>
      <c r="F245" s="500"/>
      <c r="G245" s="500"/>
      <c r="H245" s="501"/>
      <c r="I245" s="500"/>
    </row>
    <row r="246" spans="1:9" ht="15">
      <c r="A246" s="8"/>
      <c r="B246" s="8"/>
      <c r="C246" s="500"/>
      <c r="D246" s="500"/>
      <c r="E246" s="500"/>
      <c r="F246" s="500"/>
      <c r="G246" s="500"/>
      <c r="H246" s="501"/>
      <c r="I246" s="500"/>
    </row>
    <row r="247" spans="1:9" ht="15">
      <c r="A247" s="8"/>
      <c r="B247" s="8"/>
      <c r="C247" s="500"/>
      <c r="D247" s="500"/>
      <c r="E247" s="500"/>
      <c r="F247" s="500"/>
      <c r="G247" s="500"/>
      <c r="H247" s="501"/>
      <c r="I247" s="500"/>
    </row>
    <row r="248" spans="1:9" ht="15">
      <c r="A248" s="8"/>
      <c r="B248" s="8"/>
      <c r="C248" s="500"/>
      <c r="D248" s="500"/>
      <c r="E248" s="500"/>
      <c r="F248" s="500"/>
      <c r="G248" s="500"/>
      <c r="H248" s="501"/>
      <c r="I248" s="500"/>
    </row>
    <row r="249" spans="1:9" ht="15">
      <c r="A249" s="8"/>
      <c r="B249" s="8"/>
      <c r="C249" s="500"/>
      <c r="D249" s="500"/>
      <c r="E249" s="500"/>
      <c r="F249" s="500"/>
      <c r="G249" s="500"/>
      <c r="H249" s="501"/>
      <c r="I249" s="500"/>
    </row>
    <row r="250" spans="1:9" ht="15">
      <c r="A250" s="8"/>
      <c r="B250" s="8"/>
      <c r="C250" s="500"/>
      <c r="D250" s="500"/>
      <c r="E250" s="500"/>
      <c r="F250" s="500"/>
      <c r="G250" s="500"/>
      <c r="H250" s="501"/>
      <c r="I250" s="500"/>
    </row>
    <row r="251" spans="1:9" ht="15">
      <c r="A251" s="8"/>
      <c r="B251" s="8"/>
      <c r="C251" s="500"/>
      <c r="D251" s="500"/>
      <c r="E251" s="500"/>
      <c r="F251" s="500"/>
      <c r="G251" s="500"/>
      <c r="H251" s="501"/>
      <c r="I251" s="500"/>
    </row>
    <row r="252" spans="1:9" ht="15">
      <c r="A252" s="8"/>
      <c r="B252" s="8"/>
      <c r="C252" s="500"/>
      <c r="D252" s="500"/>
      <c r="E252" s="500"/>
      <c r="F252" s="500"/>
      <c r="G252" s="500"/>
      <c r="H252" s="501"/>
      <c r="I252" s="500"/>
    </row>
    <row r="253" spans="1:9" ht="15">
      <c r="A253" s="8"/>
      <c r="B253" s="8"/>
      <c r="C253" s="500"/>
      <c r="D253" s="500"/>
      <c r="E253" s="500"/>
      <c r="F253" s="500"/>
      <c r="G253" s="500"/>
      <c r="H253" s="501"/>
      <c r="I253" s="500"/>
    </row>
    <row r="254" spans="1:9" ht="15">
      <c r="A254" s="8"/>
      <c r="B254" s="8"/>
      <c r="C254" s="500"/>
      <c r="D254" s="500"/>
      <c r="E254" s="500"/>
      <c r="F254" s="500"/>
      <c r="G254" s="500"/>
      <c r="H254" s="501"/>
      <c r="I254" s="500"/>
    </row>
    <row r="255" spans="1:9" ht="15">
      <c r="A255" s="8"/>
      <c r="B255" s="8"/>
      <c r="C255" s="500"/>
      <c r="D255" s="500"/>
      <c r="E255" s="500"/>
      <c r="F255" s="500"/>
      <c r="G255" s="500"/>
      <c r="H255" s="501"/>
      <c r="I255" s="500"/>
    </row>
    <row r="256" spans="1:9" ht="15">
      <c r="A256" s="8"/>
      <c r="B256" s="8"/>
      <c r="C256" s="500"/>
      <c r="D256" s="500"/>
      <c r="E256" s="500"/>
      <c r="F256" s="500"/>
      <c r="G256" s="500"/>
      <c r="H256" s="501"/>
      <c r="I256" s="500"/>
    </row>
    <row r="257" spans="1:9" ht="15">
      <c r="A257" s="8"/>
      <c r="B257" s="8"/>
      <c r="C257" s="500"/>
      <c r="D257" s="500"/>
      <c r="E257" s="500"/>
      <c r="F257" s="500"/>
      <c r="G257" s="500"/>
      <c r="H257" s="501"/>
      <c r="I257" s="500"/>
    </row>
    <row r="258" spans="1:9" ht="15">
      <c r="A258" s="8"/>
      <c r="B258" s="8"/>
      <c r="C258" s="500"/>
      <c r="D258" s="500"/>
      <c r="E258" s="500"/>
      <c r="F258" s="500"/>
      <c r="G258" s="500"/>
      <c r="H258" s="501"/>
      <c r="I258" s="500"/>
    </row>
    <row r="259" spans="1:9" ht="15">
      <c r="A259" s="8"/>
      <c r="B259" s="8"/>
      <c r="C259" s="500"/>
      <c r="D259" s="500"/>
      <c r="E259" s="500"/>
      <c r="F259" s="500"/>
      <c r="G259" s="500"/>
      <c r="H259" s="501"/>
      <c r="I259" s="500"/>
    </row>
    <row r="260" spans="1:9" ht="15">
      <c r="A260" s="8"/>
      <c r="B260" s="8"/>
      <c r="C260" s="500"/>
      <c r="D260" s="500"/>
      <c r="E260" s="500"/>
      <c r="F260" s="500"/>
      <c r="G260" s="500"/>
      <c r="H260" s="501"/>
      <c r="I260" s="500"/>
    </row>
    <row r="261" spans="1:9" ht="15">
      <c r="A261" s="8"/>
      <c r="B261" s="8"/>
      <c r="C261" s="500"/>
      <c r="D261" s="500"/>
      <c r="E261" s="500"/>
      <c r="F261" s="500"/>
      <c r="G261" s="500"/>
      <c r="H261" s="501"/>
      <c r="I261" s="500"/>
    </row>
    <row r="262" spans="1:9" ht="15">
      <c r="A262" s="8"/>
      <c r="B262" s="8"/>
      <c r="C262" s="500"/>
      <c r="D262" s="500"/>
      <c r="E262" s="500"/>
      <c r="F262" s="500"/>
      <c r="G262" s="500"/>
      <c r="H262" s="501"/>
      <c r="I262" s="500"/>
    </row>
    <row r="263" spans="1:9" ht="15">
      <c r="A263" s="8"/>
      <c r="B263" s="8"/>
      <c r="C263" s="500"/>
      <c r="D263" s="500"/>
      <c r="E263" s="500"/>
      <c r="F263" s="500"/>
      <c r="G263" s="500"/>
      <c r="H263" s="501"/>
      <c r="I263" s="500"/>
    </row>
    <row r="264" spans="1:9" ht="15">
      <c r="A264" s="8"/>
      <c r="B264" s="8"/>
      <c r="C264" s="500"/>
      <c r="D264" s="500"/>
      <c r="E264" s="500"/>
      <c r="F264" s="500"/>
      <c r="G264" s="500"/>
      <c r="H264" s="501"/>
      <c r="I264" s="500"/>
    </row>
    <row r="265" spans="1:9" ht="15">
      <c r="A265" s="8"/>
      <c r="B265" s="8"/>
      <c r="C265" s="500"/>
      <c r="D265" s="500"/>
      <c r="E265" s="500"/>
      <c r="F265" s="500"/>
      <c r="G265" s="500"/>
      <c r="H265" s="501"/>
      <c r="I265" s="500"/>
    </row>
    <row r="266" spans="1:9" ht="15">
      <c r="A266" s="8"/>
      <c r="B266" s="8"/>
      <c r="C266" s="500"/>
      <c r="D266" s="500"/>
      <c r="E266" s="500"/>
      <c r="F266" s="500"/>
      <c r="G266" s="500"/>
      <c r="H266" s="501"/>
      <c r="I266" s="500"/>
    </row>
    <row r="267" spans="1:9" ht="15">
      <c r="A267" s="8"/>
      <c r="B267" s="8"/>
      <c r="C267" s="500"/>
      <c r="D267" s="500"/>
      <c r="E267" s="500"/>
      <c r="F267" s="500"/>
      <c r="G267" s="500"/>
      <c r="H267" s="501"/>
      <c r="I267" s="500"/>
    </row>
    <row r="268" spans="1:9" ht="15">
      <c r="A268" s="8"/>
      <c r="B268" s="8"/>
      <c r="C268" s="500"/>
      <c r="D268" s="500"/>
      <c r="E268" s="500"/>
      <c r="F268" s="500"/>
      <c r="G268" s="500"/>
      <c r="H268" s="501"/>
      <c r="I268" s="500"/>
    </row>
    <row r="269" spans="1:9" ht="15">
      <c r="A269" s="8"/>
      <c r="B269" s="8"/>
      <c r="C269" s="500"/>
      <c r="D269" s="500"/>
      <c r="E269" s="500"/>
      <c r="F269" s="500"/>
      <c r="G269" s="500"/>
      <c r="H269" s="501"/>
      <c r="I269" s="500"/>
    </row>
    <row r="270" spans="1:9" ht="15">
      <c r="A270" s="8"/>
      <c r="B270" s="8"/>
      <c r="C270" s="500"/>
      <c r="D270" s="500"/>
      <c r="E270" s="500"/>
      <c r="F270" s="500"/>
      <c r="G270" s="500"/>
      <c r="H270" s="501"/>
      <c r="I270" s="500"/>
    </row>
    <row r="271" spans="1:9" ht="15">
      <c r="A271" s="8"/>
      <c r="B271" s="8"/>
      <c r="C271" s="500"/>
      <c r="D271" s="500"/>
      <c r="E271" s="500"/>
      <c r="F271" s="500"/>
      <c r="G271" s="500"/>
      <c r="H271" s="501"/>
      <c r="I271" s="500"/>
    </row>
    <row r="272" spans="1:9" ht="15">
      <c r="A272" s="8"/>
      <c r="B272" s="8"/>
      <c r="C272" s="500"/>
      <c r="D272" s="500"/>
      <c r="E272" s="500"/>
      <c r="F272" s="500"/>
      <c r="G272" s="500"/>
      <c r="H272" s="501"/>
      <c r="I272" s="500"/>
    </row>
    <row r="273" spans="1:9" ht="15">
      <c r="A273" s="8"/>
      <c r="B273" s="8"/>
      <c r="C273" s="500"/>
      <c r="D273" s="500"/>
      <c r="E273" s="500"/>
      <c r="F273" s="500"/>
      <c r="G273" s="500"/>
      <c r="H273" s="501"/>
      <c r="I273" s="500"/>
    </row>
    <row r="274" spans="1:9" ht="15">
      <c r="A274" s="8"/>
      <c r="B274" s="8"/>
      <c r="C274" s="500"/>
      <c r="D274" s="500"/>
      <c r="E274" s="500"/>
      <c r="F274" s="500"/>
      <c r="G274" s="500"/>
      <c r="H274" s="501"/>
      <c r="I274" s="500"/>
    </row>
    <row r="275" spans="1:9" ht="15">
      <c r="A275" s="8"/>
      <c r="B275" s="8"/>
      <c r="C275" s="500"/>
      <c r="D275" s="500"/>
      <c r="E275" s="500"/>
      <c r="F275" s="500"/>
      <c r="G275" s="500"/>
      <c r="H275" s="501"/>
      <c r="I275" s="500"/>
    </row>
    <row r="276" spans="1:9" ht="15">
      <c r="A276" s="8"/>
      <c r="B276" s="8"/>
      <c r="C276" s="500"/>
      <c r="D276" s="500"/>
      <c r="E276" s="500"/>
      <c r="F276" s="500"/>
      <c r="G276" s="500"/>
      <c r="H276" s="501"/>
      <c r="I276" s="500"/>
    </row>
    <row r="277" spans="1:9" ht="15">
      <c r="A277" s="8"/>
      <c r="B277" s="8"/>
      <c r="C277" s="500"/>
      <c r="D277" s="500"/>
      <c r="E277" s="500"/>
      <c r="F277" s="500"/>
      <c r="G277" s="500"/>
      <c r="H277" s="501"/>
      <c r="I277" s="500"/>
    </row>
    <row r="278" spans="1:9" ht="15">
      <c r="A278" s="8"/>
      <c r="B278" s="8"/>
      <c r="C278" s="500"/>
      <c r="D278" s="500"/>
      <c r="E278" s="500"/>
      <c r="F278" s="500"/>
      <c r="G278" s="500"/>
      <c r="H278" s="501"/>
      <c r="I278" s="500"/>
    </row>
    <row r="279" spans="1:9" ht="15">
      <c r="A279" s="8"/>
      <c r="B279" s="8"/>
      <c r="C279" s="500"/>
      <c r="D279" s="500"/>
      <c r="E279" s="500"/>
      <c r="F279" s="500"/>
      <c r="G279" s="500"/>
      <c r="H279" s="501"/>
      <c r="I279" s="500"/>
    </row>
    <row r="280" spans="1:9" ht="15">
      <c r="A280" s="8"/>
      <c r="B280" s="8"/>
      <c r="C280" s="500"/>
      <c r="D280" s="500"/>
      <c r="E280" s="500"/>
      <c r="F280" s="500"/>
      <c r="G280" s="500"/>
      <c r="H280" s="501"/>
      <c r="I280" s="500"/>
    </row>
    <row r="281" spans="1:9" ht="15">
      <c r="A281" s="8"/>
      <c r="B281" s="8"/>
      <c r="C281" s="500"/>
      <c r="D281" s="500"/>
      <c r="E281" s="500"/>
      <c r="F281" s="500"/>
      <c r="G281" s="500"/>
      <c r="H281" s="501"/>
      <c r="I281" s="500"/>
    </row>
    <row r="282" spans="1:9" ht="15">
      <c r="A282" s="8"/>
      <c r="B282" s="8"/>
      <c r="C282" s="500"/>
      <c r="D282" s="500"/>
      <c r="E282" s="500"/>
      <c r="F282" s="500"/>
      <c r="G282" s="500"/>
      <c r="H282" s="501"/>
      <c r="I282" s="500"/>
    </row>
    <row r="283" spans="1:9" ht="15">
      <c r="A283" s="8"/>
      <c r="B283" s="8"/>
      <c r="C283" s="500"/>
      <c r="D283" s="500"/>
      <c r="E283" s="500"/>
      <c r="F283" s="500"/>
      <c r="G283" s="500"/>
      <c r="H283" s="501"/>
      <c r="I283" s="500"/>
    </row>
    <row r="284" spans="1:9" ht="15">
      <c r="A284" s="8"/>
      <c r="B284" s="8"/>
      <c r="C284" s="500"/>
      <c r="D284" s="500"/>
      <c r="E284" s="500"/>
      <c r="F284" s="500"/>
      <c r="G284" s="500"/>
      <c r="H284" s="501"/>
      <c r="I284" s="500"/>
    </row>
    <row r="285" spans="1:9" ht="15">
      <c r="A285" s="8"/>
      <c r="B285" s="8"/>
      <c r="C285" s="500"/>
      <c r="D285" s="500"/>
      <c r="E285" s="500"/>
      <c r="F285" s="500"/>
      <c r="G285" s="500"/>
      <c r="H285" s="501"/>
      <c r="I285" s="500"/>
    </row>
    <row r="286" spans="1:9" ht="15">
      <c r="A286" s="8"/>
      <c r="B286" s="8"/>
      <c r="C286" s="500"/>
      <c r="D286" s="500"/>
      <c r="E286" s="500"/>
      <c r="F286" s="500"/>
      <c r="G286" s="500"/>
      <c r="H286" s="501"/>
      <c r="I286" s="500"/>
    </row>
    <row r="287" spans="1:9" ht="15">
      <c r="A287" s="8"/>
      <c r="B287" s="8"/>
      <c r="C287" s="500"/>
      <c r="D287" s="500"/>
      <c r="E287" s="500"/>
      <c r="F287" s="500"/>
      <c r="G287" s="500"/>
      <c r="H287" s="501"/>
      <c r="I287" s="500"/>
    </row>
    <row r="288" spans="1:9" ht="15">
      <c r="A288" s="8"/>
      <c r="B288" s="8"/>
      <c r="C288" s="500"/>
      <c r="D288" s="500"/>
      <c r="E288" s="500"/>
      <c r="F288" s="500"/>
      <c r="G288" s="500"/>
      <c r="H288" s="501"/>
      <c r="I288" s="500"/>
    </row>
    <row r="289" spans="1:9" ht="15">
      <c r="A289" s="8"/>
      <c r="B289" s="8"/>
      <c r="C289" s="500"/>
      <c r="D289" s="500"/>
      <c r="E289" s="500"/>
      <c r="F289" s="500"/>
      <c r="G289" s="500"/>
      <c r="H289" s="501"/>
      <c r="I289" s="500"/>
    </row>
    <row r="290" spans="1:9" ht="15">
      <c r="A290" s="8"/>
      <c r="B290" s="8"/>
      <c r="C290" s="500"/>
      <c r="D290" s="500"/>
      <c r="E290" s="500"/>
      <c r="F290" s="500"/>
      <c r="G290" s="500"/>
      <c r="H290" s="501"/>
      <c r="I290" s="500"/>
    </row>
    <row r="291" spans="1:9" ht="15">
      <c r="A291" s="8"/>
      <c r="B291" s="8"/>
      <c r="C291" s="500"/>
      <c r="D291" s="500"/>
      <c r="E291" s="500"/>
      <c r="F291" s="500"/>
      <c r="G291" s="500"/>
      <c r="H291" s="501"/>
      <c r="I291" s="500"/>
    </row>
    <row r="292" spans="1:9" ht="15">
      <c r="A292" s="8"/>
      <c r="B292" s="8"/>
      <c r="C292" s="500"/>
      <c r="D292" s="500"/>
      <c r="E292" s="500"/>
      <c r="F292" s="500"/>
      <c r="G292" s="500"/>
      <c r="H292" s="501"/>
      <c r="I292" s="500"/>
    </row>
    <row r="293" spans="1:9" ht="15">
      <c r="A293" s="8"/>
      <c r="B293" s="8"/>
      <c r="C293" s="500"/>
      <c r="D293" s="500"/>
      <c r="E293" s="500"/>
      <c r="F293" s="500"/>
      <c r="G293" s="500"/>
      <c r="H293" s="501"/>
      <c r="I293" s="500"/>
    </row>
    <row r="294" spans="1:9" ht="15">
      <c r="A294" s="8"/>
      <c r="B294" s="8"/>
      <c r="C294" s="500"/>
      <c r="D294" s="500"/>
      <c r="E294" s="500"/>
      <c r="F294" s="500"/>
      <c r="G294" s="500"/>
      <c r="H294" s="501"/>
      <c r="I294" s="500"/>
    </row>
    <row r="295" spans="1:9" ht="15">
      <c r="A295" s="8"/>
      <c r="B295" s="8"/>
      <c r="C295" s="500"/>
      <c r="D295" s="500"/>
      <c r="E295" s="500"/>
      <c r="F295" s="500"/>
      <c r="G295" s="500"/>
      <c r="H295" s="501"/>
      <c r="I295" s="500"/>
    </row>
    <row r="296" spans="1:9" ht="15">
      <c r="A296" s="8"/>
      <c r="B296" s="8"/>
      <c r="C296" s="500"/>
      <c r="D296" s="500"/>
      <c r="E296" s="500"/>
      <c r="F296" s="500"/>
      <c r="G296" s="500"/>
      <c r="H296" s="501"/>
      <c r="I296" s="500"/>
    </row>
    <row r="297" spans="1:9" ht="15">
      <c r="A297" s="8"/>
      <c r="B297" s="8"/>
      <c r="C297" s="500"/>
      <c r="D297" s="500"/>
      <c r="E297" s="500"/>
      <c r="F297" s="500"/>
      <c r="G297" s="500"/>
      <c r="H297" s="501"/>
      <c r="I297" s="500"/>
    </row>
    <row r="298" spans="1:9" ht="15">
      <c r="A298" s="8"/>
      <c r="B298" s="8"/>
      <c r="C298" s="500"/>
      <c r="D298" s="500"/>
      <c r="E298" s="500"/>
      <c r="F298" s="500"/>
      <c r="G298" s="500"/>
      <c r="H298" s="501"/>
      <c r="I298" s="500"/>
    </row>
    <row r="299" spans="1:9" ht="15">
      <c r="A299" s="8"/>
      <c r="B299" s="8"/>
      <c r="C299" s="500"/>
      <c r="D299" s="500"/>
      <c r="E299" s="500"/>
      <c r="F299" s="500"/>
      <c r="G299" s="500"/>
      <c r="H299" s="501"/>
      <c r="I299" s="500"/>
    </row>
    <row r="300" spans="1:9" ht="15">
      <c r="A300" s="8"/>
      <c r="B300" s="8"/>
      <c r="C300" s="500"/>
      <c r="D300" s="500"/>
      <c r="E300" s="500"/>
      <c r="F300" s="500"/>
      <c r="G300" s="500"/>
      <c r="H300" s="501"/>
      <c r="I300" s="500"/>
    </row>
    <row r="301" spans="1:9" ht="15">
      <c r="A301" s="8"/>
      <c r="B301" s="8"/>
      <c r="C301" s="500"/>
      <c r="D301" s="500"/>
      <c r="E301" s="500"/>
      <c r="F301" s="500"/>
      <c r="G301" s="500"/>
      <c r="H301" s="501"/>
      <c r="I301" s="500"/>
    </row>
    <row r="302" spans="1:9" ht="15">
      <c r="A302" s="8"/>
      <c r="B302" s="8"/>
      <c r="C302" s="500"/>
      <c r="D302" s="500"/>
      <c r="E302" s="500"/>
      <c r="F302" s="500"/>
      <c r="G302" s="500"/>
      <c r="H302" s="501"/>
      <c r="I302" s="500"/>
    </row>
    <row r="303" spans="1:9" ht="15">
      <c r="A303" s="8"/>
      <c r="B303" s="8"/>
      <c r="C303" s="500"/>
      <c r="D303" s="500"/>
      <c r="E303" s="500"/>
      <c r="F303" s="500"/>
      <c r="G303" s="500"/>
      <c r="H303" s="501"/>
      <c r="I303" s="500"/>
    </row>
    <row r="304" spans="1:9" ht="15">
      <c r="A304" s="8"/>
      <c r="B304" s="8"/>
      <c r="C304" s="500"/>
      <c r="D304" s="500"/>
      <c r="E304" s="500"/>
      <c r="F304" s="500"/>
      <c r="G304" s="500"/>
      <c r="H304" s="501"/>
      <c r="I304" s="500"/>
    </row>
    <row r="305" spans="1:9" ht="15">
      <c r="A305" s="8"/>
      <c r="B305" s="8"/>
      <c r="C305" s="500"/>
      <c r="D305" s="500"/>
      <c r="E305" s="500"/>
      <c r="F305" s="500"/>
      <c r="G305" s="500"/>
      <c r="H305" s="501"/>
      <c r="I305" s="500"/>
    </row>
    <row r="306" spans="1:9" ht="15">
      <c r="A306" s="8"/>
      <c r="B306" s="8"/>
      <c r="C306" s="500"/>
      <c r="D306" s="500"/>
      <c r="E306" s="500"/>
      <c r="F306" s="500"/>
      <c r="G306" s="500"/>
      <c r="H306" s="501"/>
      <c r="I306" s="500"/>
    </row>
    <row r="307" spans="1:9" ht="15">
      <c r="A307" s="8"/>
      <c r="B307" s="8"/>
      <c r="C307" s="500"/>
      <c r="D307" s="500"/>
      <c r="E307" s="500"/>
      <c r="F307" s="500"/>
      <c r="G307" s="500"/>
      <c r="H307" s="501"/>
      <c r="I307" s="500"/>
    </row>
    <row r="308" spans="1:9" ht="15">
      <c r="A308" s="8"/>
      <c r="B308" s="8"/>
      <c r="C308" s="500"/>
      <c r="D308" s="500"/>
      <c r="E308" s="500"/>
      <c r="F308" s="500"/>
      <c r="G308" s="500"/>
      <c r="H308" s="501"/>
      <c r="I308" s="500"/>
    </row>
    <row r="309" spans="1:9" ht="15">
      <c r="A309" s="8"/>
      <c r="B309" s="8"/>
      <c r="C309" s="500"/>
      <c r="D309" s="500"/>
      <c r="E309" s="500"/>
      <c r="F309" s="500"/>
      <c r="G309" s="500"/>
      <c r="H309" s="501"/>
      <c r="I309" s="500"/>
    </row>
    <row r="310" spans="1:9" ht="15">
      <c r="A310" s="8"/>
      <c r="B310" s="8"/>
      <c r="C310" s="500"/>
      <c r="D310" s="500"/>
      <c r="E310" s="500"/>
      <c r="F310" s="500"/>
      <c r="G310" s="500"/>
      <c r="H310" s="501"/>
      <c r="I310" s="500"/>
    </row>
    <row r="311" spans="1:9" ht="15">
      <c r="A311" s="8"/>
      <c r="B311" s="8"/>
      <c r="C311" s="500"/>
      <c r="D311" s="500"/>
      <c r="E311" s="500"/>
      <c r="F311" s="500"/>
      <c r="G311" s="500"/>
      <c r="H311" s="501"/>
      <c r="I311" s="500"/>
    </row>
    <row r="312" spans="1:9" ht="15">
      <c r="A312" s="8"/>
      <c r="B312" s="8"/>
      <c r="C312" s="500"/>
      <c r="D312" s="500"/>
      <c r="E312" s="500"/>
      <c r="F312" s="500"/>
      <c r="G312" s="500"/>
      <c r="H312" s="501"/>
      <c r="I312" s="500"/>
    </row>
    <row r="313" spans="1:9" ht="15">
      <c r="A313" s="8"/>
      <c r="B313" s="8"/>
      <c r="C313" s="500"/>
      <c r="D313" s="500"/>
      <c r="E313" s="500"/>
      <c r="F313" s="500"/>
      <c r="G313" s="500"/>
      <c r="H313" s="501"/>
      <c r="I313" s="500"/>
    </row>
    <row r="314" spans="1:9" ht="15">
      <c r="A314" s="8"/>
      <c r="B314" s="8"/>
      <c r="C314" s="500"/>
      <c r="D314" s="500"/>
      <c r="E314" s="500"/>
      <c r="F314" s="500"/>
      <c r="G314" s="500"/>
      <c r="H314" s="501"/>
      <c r="I314" s="500"/>
    </row>
    <row r="315" spans="1:9" ht="15">
      <c r="A315" s="8"/>
      <c r="B315" s="8"/>
      <c r="C315" s="500"/>
      <c r="D315" s="500"/>
      <c r="E315" s="500"/>
      <c r="F315" s="500"/>
      <c r="G315" s="500"/>
      <c r="H315" s="501"/>
      <c r="I315" s="500"/>
    </row>
    <row r="316" spans="1:9" ht="15">
      <c r="A316" s="8"/>
      <c r="B316" s="8"/>
      <c r="C316" s="500"/>
      <c r="D316" s="500"/>
      <c r="E316" s="500"/>
      <c r="F316" s="500"/>
      <c r="G316" s="500"/>
      <c r="H316" s="501"/>
      <c r="I316" s="500"/>
    </row>
    <row r="317" spans="1:9" ht="15">
      <c r="A317" s="8"/>
      <c r="B317" s="8"/>
      <c r="C317" s="500"/>
      <c r="D317" s="500"/>
      <c r="E317" s="500"/>
      <c r="F317" s="500"/>
      <c r="G317" s="500"/>
      <c r="H317" s="501"/>
      <c r="I317" s="500"/>
    </row>
    <row r="318" spans="1:9" ht="15">
      <c r="A318" s="8"/>
      <c r="B318" s="8"/>
      <c r="C318" s="500"/>
      <c r="D318" s="500"/>
      <c r="E318" s="500"/>
      <c r="F318" s="500"/>
      <c r="G318" s="500"/>
      <c r="H318" s="501"/>
      <c r="I318" s="500"/>
    </row>
    <row r="319" spans="1:9" ht="15">
      <c r="A319" s="8"/>
      <c r="B319" s="8"/>
      <c r="C319" s="500"/>
      <c r="D319" s="500"/>
      <c r="E319" s="500"/>
      <c r="F319" s="500"/>
      <c r="G319" s="500"/>
      <c r="H319" s="501"/>
      <c r="I319" s="500"/>
    </row>
    <row r="320" spans="1:9" ht="15">
      <c r="A320" s="8"/>
      <c r="B320" s="8"/>
      <c r="C320" s="500"/>
      <c r="D320" s="500"/>
      <c r="E320" s="500"/>
      <c r="F320" s="500"/>
      <c r="G320" s="500"/>
      <c r="H320" s="501"/>
      <c r="I320" s="500"/>
    </row>
    <row r="321" spans="1:9" ht="15">
      <c r="A321" s="8"/>
      <c r="B321" s="8"/>
      <c r="C321" s="500"/>
      <c r="D321" s="500"/>
      <c r="E321" s="500"/>
      <c r="F321" s="500"/>
      <c r="G321" s="500"/>
      <c r="H321" s="501"/>
      <c r="I321" s="500"/>
    </row>
    <row r="322" spans="1:9" ht="15">
      <c r="A322" s="8"/>
      <c r="B322" s="8"/>
      <c r="C322" s="500"/>
      <c r="D322" s="500"/>
      <c r="E322" s="500"/>
      <c r="F322" s="500"/>
      <c r="G322" s="500"/>
      <c r="H322" s="501"/>
      <c r="I322" s="500"/>
    </row>
    <row r="323" spans="1:9" ht="15">
      <c r="A323" s="8"/>
      <c r="B323" s="8"/>
      <c r="C323" s="500"/>
      <c r="D323" s="500"/>
      <c r="E323" s="500"/>
      <c r="F323" s="500"/>
      <c r="G323" s="500"/>
      <c r="H323" s="501"/>
      <c r="I323" s="500"/>
    </row>
    <row r="324" spans="1:9" ht="15">
      <c r="A324" s="8"/>
      <c r="B324" s="8"/>
      <c r="C324" s="500"/>
      <c r="D324" s="500"/>
      <c r="E324" s="500"/>
      <c r="F324" s="500"/>
      <c r="G324" s="500"/>
      <c r="H324" s="501"/>
      <c r="I324" s="500"/>
    </row>
    <row r="325" spans="1:9" ht="15">
      <c r="A325" s="8"/>
      <c r="B325" s="8"/>
      <c r="C325" s="500"/>
      <c r="D325" s="500"/>
      <c r="E325" s="500"/>
      <c r="F325" s="500"/>
      <c r="G325" s="500"/>
      <c r="H325" s="501"/>
      <c r="I325" s="500"/>
    </row>
    <row r="326" spans="1:9" ht="15">
      <c r="A326" s="8"/>
      <c r="B326" s="8"/>
      <c r="C326" s="500"/>
      <c r="D326" s="500"/>
      <c r="E326" s="500"/>
      <c r="F326" s="500"/>
      <c r="G326" s="500"/>
      <c r="H326" s="501"/>
      <c r="I326" s="500"/>
    </row>
    <row r="327" spans="1:9" ht="15">
      <c r="A327" s="8"/>
      <c r="B327" s="8"/>
      <c r="C327" s="500"/>
      <c r="D327" s="500"/>
      <c r="E327" s="500"/>
      <c r="F327" s="500"/>
      <c r="G327" s="500"/>
      <c r="H327" s="501"/>
      <c r="I327" s="500"/>
    </row>
    <row r="328" spans="1:9" ht="15">
      <c r="A328" s="8"/>
      <c r="B328" s="8"/>
      <c r="C328" s="500"/>
      <c r="D328" s="500"/>
      <c r="E328" s="500"/>
      <c r="F328" s="500"/>
      <c r="G328" s="500"/>
      <c r="H328" s="501"/>
      <c r="I328" s="500"/>
    </row>
    <row r="329" spans="1:9" ht="15">
      <c r="A329" s="8"/>
      <c r="B329" s="8"/>
      <c r="C329" s="500"/>
      <c r="D329" s="500"/>
      <c r="E329" s="500"/>
      <c r="F329" s="500"/>
      <c r="G329" s="500"/>
      <c r="H329" s="501"/>
      <c r="I329" s="500"/>
    </row>
    <row r="330" spans="1:9" ht="15">
      <c r="A330" s="8"/>
      <c r="B330" s="8"/>
      <c r="C330" s="500"/>
      <c r="D330" s="500"/>
      <c r="E330" s="500"/>
      <c r="F330" s="500"/>
      <c r="G330" s="500"/>
      <c r="H330" s="501"/>
      <c r="I330" s="500"/>
    </row>
    <row r="331" spans="1:9" ht="15">
      <c r="A331" s="8"/>
      <c r="B331" s="8"/>
      <c r="C331" s="500"/>
      <c r="D331" s="500"/>
      <c r="E331" s="500"/>
      <c r="F331" s="500"/>
      <c r="G331" s="500"/>
      <c r="H331" s="501"/>
      <c r="I331" s="500"/>
    </row>
    <row r="332" spans="1:9" ht="15">
      <c r="A332" s="8"/>
      <c r="B332" s="8"/>
      <c r="C332" s="500"/>
      <c r="D332" s="500"/>
      <c r="E332" s="500"/>
      <c r="F332" s="500"/>
      <c r="G332" s="500"/>
      <c r="H332" s="501"/>
      <c r="I332" s="500"/>
    </row>
    <row r="333" spans="1:9" ht="15">
      <c r="A333" s="8"/>
      <c r="B333" s="8"/>
      <c r="C333" s="500"/>
      <c r="D333" s="500"/>
      <c r="E333" s="500"/>
      <c r="F333" s="500"/>
      <c r="G333" s="500"/>
      <c r="H333" s="501"/>
      <c r="I333" s="500"/>
    </row>
    <row r="334" spans="1:9" ht="15">
      <c r="A334" s="8"/>
      <c r="B334" s="8"/>
      <c r="C334" s="500"/>
      <c r="D334" s="500"/>
      <c r="E334" s="500"/>
      <c r="F334" s="500"/>
      <c r="G334" s="500"/>
      <c r="H334" s="501"/>
      <c r="I334" s="500"/>
    </row>
    <row r="335" spans="1:9" ht="15">
      <c r="A335" s="8"/>
      <c r="B335" s="8"/>
      <c r="C335" s="500"/>
      <c r="D335" s="500"/>
      <c r="E335" s="500"/>
      <c r="F335" s="500"/>
      <c r="G335" s="500"/>
      <c r="H335" s="501"/>
      <c r="I335" s="500"/>
    </row>
    <row r="336" spans="1:9" ht="15">
      <c r="A336" s="8"/>
      <c r="B336" s="8"/>
      <c r="C336" s="500"/>
      <c r="D336" s="500"/>
      <c r="E336" s="500"/>
      <c r="F336" s="500"/>
      <c r="G336" s="500"/>
      <c r="H336" s="501"/>
      <c r="I336" s="500"/>
    </row>
    <row r="337" spans="1:9" ht="15">
      <c r="A337" s="8"/>
      <c r="B337" s="8"/>
      <c r="C337" s="500"/>
      <c r="D337" s="500"/>
      <c r="E337" s="500"/>
      <c r="F337" s="500"/>
      <c r="G337" s="500"/>
      <c r="H337" s="501"/>
      <c r="I337" s="500"/>
    </row>
    <row r="338" spans="1:9" ht="15">
      <c r="A338" s="8"/>
      <c r="B338" s="8"/>
      <c r="C338" s="500"/>
      <c r="D338" s="500"/>
      <c r="E338" s="500"/>
      <c r="F338" s="500"/>
      <c r="G338" s="500"/>
      <c r="H338" s="501"/>
      <c r="I338" s="500"/>
    </row>
    <row r="339" spans="1:9" ht="15">
      <c r="A339" s="8"/>
      <c r="B339" s="8"/>
      <c r="C339" s="500"/>
      <c r="D339" s="500"/>
      <c r="E339" s="500"/>
      <c r="F339" s="500"/>
      <c r="G339" s="500"/>
      <c r="H339" s="501"/>
      <c r="I339" s="500"/>
    </row>
    <row r="340" spans="1:9" ht="15">
      <c r="A340" s="8"/>
      <c r="B340" s="8"/>
      <c r="C340" s="500"/>
      <c r="D340" s="500"/>
      <c r="E340" s="500"/>
      <c r="F340" s="500"/>
      <c r="G340" s="500"/>
      <c r="H340" s="501"/>
      <c r="I340" s="500"/>
    </row>
    <row r="341" spans="1:9" ht="15">
      <c r="A341" s="8"/>
      <c r="B341" s="8"/>
      <c r="C341" s="500"/>
      <c r="D341" s="500"/>
      <c r="E341" s="500"/>
      <c r="F341" s="500"/>
      <c r="G341" s="500"/>
      <c r="H341" s="501"/>
      <c r="I341" s="500"/>
    </row>
    <row r="342" spans="1:9" ht="15">
      <c r="A342" s="8"/>
      <c r="B342" s="8"/>
      <c r="C342" s="500"/>
      <c r="D342" s="500"/>
      <c r="E342" s="500"/>
      <c r="F342" s="500"/>
      <c r="G342" s="500"/>
      <c r="H342" s="501"/>
      <c r="I342" s="500"/>
    </row>
    <row r="343" spans="1:9" ht="15">
      <c r="A343" s="8"/>
      <c r="B343" s="8"/>
      <c r="C343" s="500"/>
      <c r="D343" s="500"/>
      <c r="E343" s="500"/>
      <c r="F343" s="500"/>
      <c r="G343" s="500"/>
      <c r="H343" s="501"/>
      <c r="I343" s="500"/>
    </row>
    <row r="344" spans="1:9" ht="15">
      <c r="A344" s="8"/>
      <c r="B344" s="8"/>
      <c r="C344" s="500"/>
      <c r="D344" s="500"/>
      <c r="E344" s="500"/>
      <c r="F344" s="500"/>
      <c r="G344" s="500"/>
      <c r="H344" s="501"/>
      <c r="I344" s="500"/>
    </row>
    <row r="345" spans="1:9" ht="15">
      <c r="A345" s="8"/>
      <c r="B345" s="8"/>
      <c r="C345" s="500"/>
      <c r="D345" s="500"/>
      <c r="E345" s="500"/>
      <c r="F345" s="500"/>
      <c r="G345" s="500"/>
      <c r="H345" s="501"/>
      <c r="I345" s="500"/>
    </row>
    <row r="346" spans="1:9" ht="15">
      <c r="A346" s="8"/>
      <c r="B346" s="8"/>
      <c r="C346" s="500"/>
      <c r="D346" s="500"/>
      <c r="E346" s="500"/>
      <c r="F346" s="500"/>
      <c r="G346" s="500"/>
      <c r="H346" s="501"/>
      <c r="I346" s="500"/>
    </row>
    <row r="347" spans="1:9" ht="15">
      <c r="A347" s="8"/>
      <c r="B347" s="8"/>
      <c r="C347" s="500"/>
      <c r="D347" s="500"/>
      <c r="E347" s="500"/>
      <c r="F347" s="500"/>
      <c r="G347" s="500"/>
      <c r="H347" s="501"/>
      <c r="I347" s="500"/>
    </row>
    <row r="348" spans="1:9" ht="15">
      <c r="A348" s="8"/>
      <c r="B348" s="8"/>
      <c r="C348" s="500"/>
      <c r="D348" s="500"/>
      <c r="E348" s="500"/>
      <c r="F348" s="500"/>
      <c r="G348" s="500"/>
      <c r="H348" s="501"/>
      <c r="I348" s="500"/>
    </row>
    <row r="349" spans="1:9" ht="15">
      <c r="A349" s="8"/>
      <c r="B349" s="8"/>
      <c r="C349" s="500"/>
      <c r="D349" s="500"/>
      <c r="E349" s="500"/>
      <c r="F349" s="500"/>
      <c r="G349" s="500"/>
      <c r="H349" s="501"/>
      <c r="I349" s="500"/>
    </row>
    <row r="350" spans="1:9" ht="15">
      <c r="A350" s="8"/>
      <c r="B350" s="8"/>
      <c r="C350" s="500"/>
      <c r="D350" s="500"/>
      <c r="E350" s="500"/>
      <c r="F350" s="500"/>
      <c r="G350" s="500"/>
      <c r="H350" s="501"/>
      <c r="I350" s="500"/>
    </row>
    <row r="351" spans="1:9" ht="15">
      <c r="A351" s="8"/>
      <c r="B351" s="8"/>
      <c r="C351" s="500"/>
      <c r="D351" s="500"/>
      <c r="E351" s="500"/>
      <c r="F351" s="500"/>
      <c r="G351" s="500"/>
      <c r="H351" s="501"/>
      <c r="I351" s="500"/>
    </row>
    <row r="352" spans="1:9" ht="15">
      <c r="A352" s="8"/>
      <c r="B352" s="8"/>
      <c r="C352" s="500"/>
      <c r="D352" s="500"/>
      <c r="E352" s="500"/>
      <c r="F352" s="500"/>
      <c r="G352" s="500"/>
      <c r="H352" s="501"/>
      <c r="I352" s="500"/>
    </row>
    <row r="353" spans="1:9" ht="15">
      <c r="A353" s="8"/>
      <c r="B353" s="8"/>
      <c r="C353" s="500"/>
      <c r="D353" s="500"/>
      <c r="E353" s="500"/>
      <c r="F353" s="500"/>
      <c r="G353" s="500"/>
      <c r="H353" s="501"/>
      <c r="I353" s="500"/>
    </row>
    <row r="354" spans="1:9" ht="15">
      <c r="A354" s="8"/>
      <c r="B354" s="8"/>
      <c r="C354" s="500"/>
      <c r="D354" s="500"/>
      <c r="E354" s="500"/>
      <c r="F354" s="500"/>
      <c r="G354" s="500"/>
      <c r="H354" s="501"/>
      <c r="I354" s="500"/>
    </row>
    <row r="355" spans="1:9" ht="15">
      <c r="A355" s="8"/>
      <c r="B355" s="8"/>
      <c r="C355" s="500"/>
      <c r="D355" s="500"/>
      <c r="E355" s="500"/>
      <c r="F355" s="500"/>
      <c r="G355" s="500"/>
      <c r="H355" s="501"/>
      <c r="I355" s="500"/>
    </row>
    <row r="356" spans="1:9" ht="15">
      <c r="A356" s="8"/>
      <c r="B356" s="8"/>
      <c r="C356" s="500"/>
      <c r="D356" s="500"/>
      <c r="E356" s="500"/>
      <c r="F356" s="500"/>
      <c r="G356" s="500"/>
      <c r="H356" s="501"/>
      <c r="I356" s="500"/>
    </row>
    <row r="357" spans="1:9" ht="15">
      <c r="A357" s="8"/>
      <c r="B357" s="8"/>
      <c r="C357" s="500"/>
      <c r="D357" s="500"/>
      <c r="E357" s="500"/>
      <c r="F357" s="500"/>
      <c r="G357" s="500"/>
      <c r="H357" s="501"/>
      <c r="I357" s="500"/>
    </row>
    <row r="358" spans="1:9" ht="15">
      <c r="A358" s="8"/>
      <c r="B358" s="8"/>
      <c r="C358" s="500"/>
      <c r="D358" s="500"/>
      <c r="E358" s="500"/>
      <c r="F358" s="500"/>
      <c r="G358" s="500"/>
      <c r="H358" s="501"/>
      <c r="I358" s="500"/>
    </row>
    <row r="359" spans="1:9" ht="15">
      <c r="A359" s="8"/>
      <c r="B359" s="8"/>
      <c r="C359" s="500"/>
      <c r="D359" s="500"/>
      <c r="E359" s="500"/>
      <c r="F359" s="500"/>
      <c r="G359" s="500"/>
      <c r="H359" s="501"/>
      <c r="I359" s="500"/>
    </row>
    <row r="360" spans="1:9" ht="15">
      <c r="A360" s="8"/>
      <c r="B360" s="8"/>
      <c r="C360" s="500"/>
      <c r="D360" s="500"/>
      <c r="E360" s="500"/>
      <c r="F360" s="500"/>
      <c r="G360" s="500"/>
      <c r="H360" s="501"/>
      <c r="I360" s="500"/>
    </row>
    <row r="361" spans="1:9" ht="15">
      <c r="A361" s="8"/>
      <c r="B361" s="8"/>
      <c r="C361" s="500"/>
      <c r="D361" s="500"/>
      <c r="E361" s="500"/>
      <c r="F361" s="500"/>
      <c r="G361" s="500"/>
      <c r="H361" s="501"/>
      <c r="I361" s="500"/>
    </row>
    <row r="362" spans="1:9" ht="15">
      <c r="A362" s="8"/>
      <c r="B362" s="8"/>
      <c r="C362" s="500"/>
      <c r="D362" s="500"/>
      <c r="E362" s="500"/>
      <c r="F362" s="500"/>
      <c r="G362" s="500"/>
      <c r="H362" s="501"/>
      <c r="I362" s="500"/>
    </row>
    <row r="363" spans="1:9" ht="15">
      <c r="A363" s="8"/>
      <c r="B363" s="8"/>
      <c r="C363" s="500"/>
      <c r="D363" s="500"/>
      <c r="E363" s="500"/>
      <c r="F363" s="500"/>
      <c r="G363" s="500"/>
      <c r="H363" s="501"/>
      <c r="I363" s="500"/>
    </row>
    <row r="364" spans="1:9" ht="15">
      <c r="A364" s="8"/>
      <c r="B364" s="8"/>
      <c r="C364" s="500"/>
      <c r="D364" s="500"/>
      <c r="E364" s="500"/>
      <c r="F364" s="500"/>
      <c r="G364" s="500"/>
      <c r="H364" s="501"/>
      <c r="I364" s="500"/>
    </row>
    <row r="365" spans="1:9" ht="15">
      <c r="A365" s="8"/>
      <c r="B365" s="8"/>
      <c r="C365" s="500"/>
      <c r="D365" s="500"/>
      <c r="E365" s="500"/>
      <c r="F365" s="500"/>
      <c r="G365" s="500"/>
      <c r="H365" s="501"/>
      <c r="I365" s="500"/>
    </row>
    <row r="366" spans="1:9" ht="15">
      <c r="A366" s="8"/>
      <c r="B366" s="8"/>
      <c r="C366" s="500"/>
      <c r="D366" s="500"/>
      <c r="E366" s="500"/>
      <c r="F366" s="500"/>
      <c r="G366" s="500"/>
      <c r="H366" s="501"/>
      <c r="I366" s="500"/>
    </row>
    <row r="367" spans="1:9" ht="15">
      <c r="A367" s="8"/>
      <c r="B367" s="8"/>
      <c r="C367" s="500"/>
      <c r="D367" s="500"/>
      <c r="E367" s="500"/>
      <c r="F367" s="500"/>
      <c r="G367" s="500"/>
      <c r="H367" s="501"/>
      <c r="I367" s="500"/>
    </row>
    <row r="368" spans="1:9" ht="15">
      <c r="A368" s="8"/>
      <c r="B368" s="8"/>
      <c r="C368" s="500"/>
      <c r="D368" s="500"/>
      <c r="E368" s="500"/>
      <c r="F368" s="500"/>
      <c r="G368" s="500"/>
      <c r="H368" s="501"/>
      <c r="I368" s="500"/>
    </row>
    <row r="369" spans="1:9" ht="15">
      <c r="A369" s="8"/>
      <c r="B369" s="8"/>
      <c r="C369" s="500"/>
      <c r="D369" s="500"/>
      <c r="E369" s="500"/>
      <c r="F369" s="500"/>
      <c r="G369" s="500"/>
      <c r="H369" s="501"/>
      <c r="I369" s="500"/>
    </row>
    <row r="370" spans="1:9" ht="15">
      <c r="A370" s="8"/>
      <c r="B370" s="8"/>
      <c r="C370" s="500"/>
      <c r="D370" s="500"/>
      <c r="E370" s="500"/>
      <c r="F370" s="500"/>
      <c r="G370" s="500"/>
      <c r="H370" s="501"/>
      <c r="I370" s="500"/>
    </row>
    <row r="371" spans="1:9" ht="15">
      <c r="A371" s="8"/>
      <c r="B371" s="8"/>
      <c r="C371" s="500"/>
      <c r="D371" s="500"/>
      <c r="E371" s="500"/>
      <c r="F371" s="500"/>
      <c r="G371" s="500"/>
      <c r="H371" s="501"/>
      <c r="I371" s="500"/>
    </row>
    <row r="372" spans="1:9" ht="15">
      <c r="A372" s="8"/>
      <c r="B372" s="8"/>
      <c r="C372" s="500"/>
      <c r="D372" s="500"/>
      <c r="E372" s="500"/>
      <c r="F372" s="500"/>
      <c r="G372" s="500"/>
      <c r="H372" s="501"/>
      <c r="I372" s="500"/>
    </row>
    <row r="373" spans="1:9" ht="15">
      <c r="A373" s="8"/>
      <c r="B373" s="8"/>
      <c r="C373" s="500"/>
      <c r="D373" s="500"/>
      <c r="E373" s="500"/>
      <c r="F373" s="500"/>
      <c r="G373" s="500"/>
      <c r="H373" s="501"/>
      <c r="I373" s="500"/>
    </row>
    <row r="374" spans="1:9" ht="15">
      <c r="A374" s="8"/>
      <c r="B374" s="8"/>
      <c r="C374" s="500"/>
      <c r="D374" s="500"/>
      <c r="E374" s="500"/>
      <c r="F374" s="500"/>
      <c r="G374" s="500"/>
      <c r="H374" s="501"/>
      <c r="I374" s="500"/>
    </row>
    <row r="375" spans="1:9" ht="15">
      <c r="A375" s="8"/>
      <c r="B375" s="8"/>
      <c r="C375" s="500"/>
      <c r="D375" s="500"/>
      <c r="E375" s="500"/>
      <c r="F375" s="500"/>
      <c r="G375" s="500"/>
      <c r="H375" s="501"/>
      <c r="I375" s="500"/>
    </row>
    <row r="376" spans="1:9" ht="15">
      <c r="A376" s="8"/>
      <c r="B376" s="8"/>
      <c r="C376" s="500"/>
      <c r="D376" s="500"/>
      <c r="E376" s="500"/>
      <c r="F376" s="500"/>
      <c r="G376" s="500"/>
      <c r="H376" s="501"/>
      <c r="I376" s="500"/>
    </row>
    <row r="377" spans="1:9" ht="15">
      <c r="A377" s="8"/>
      <c r="B377" s="8"/>
      <c r="C377" s="500"/>
      <c r="D377" s="500"/>
      <c r="E377" s="500"/>
      <c r="F377" s="500"/>
      <c r="G377" s="500"/>
      <c r="H377" s="501"/>
      <c r="I377" s="500"/>
    </row>
    <row r="378" spans="1:9" ht="15">
      <c r="A378" s="8"/>
      <c r="B378" s="8"/>
      <c r="C378" s="500"/>
      <c r="D378" s="500"/>
      <c r="E378" s="500"/>
      <c r="F378" s="500"/>
      <c r="G378" s="500"/>
      <c r="H378" s="501"/>
      <c r="I378" s="500"/>
    </row>
    <row r="379" spans="1:9" ht="15">
      <c r="A379" s="8"/>
      <c r="B379" s="8"/>
      <c r="C379" s="500"/>
      <c r="D379" s="500"/>
      <c r="E379" s="500"/>
      <c r="F379" s="500"/>
      <c r="G379" s="500"/>
      <c r="H379" s="501"/>
      <c r="I379" s="500"/>
    </row>
    <row r="380" spans="1:9" ht="15">
      <c r="A380" s="8"/>
      <c r="B380" s="8"/>
      <c r="C380" s="500"/>
      <c r="D380" s="500"/>
      <c r="E380" s="500"/>
      <c r="F380" s="500"/>
      <c r="G380" s="500"/>
      <c r="H380" s="501"/>
      <c r="I380" s="500"/>
    </row>
    <row r="381" spans="1:9" ht="15">
      <c r="A381" s="8"/>
      <c r="B381" s="8"/>
      <c r="C381" s="500"/>
      <c r="D381" s="500"/>
      <c r="E381" s="500"/>
      <c r="F381" s="500"/>
      <c r="G381" s="500"/>
      <c r="H381" s="501"/>
      <c r="I381" s="500"/>
    </row>
    <row r="382" spans="1:9" ht="15">
      <c r="A382" s="8"/>
      <c r="B382" s="8"/>
      <c r="C382" s="500"/>
      <c r="D382" s="500"/>
      <c r="E382" s="500"/>
      <c r="F382" s="500"/>
      <c r="G382" s="500"/>
      <c r="H382" s="501"/>
      <c r="I382" s="500"/>
    </row>
    <row r="383" spans="1:9" ht="15">
      <c r="A383" s="8"/>
      <c r="B383" s="8"/>
      <c r="C383" s="500"/>
      <c r="D383" s="500"/>
      <c r="E383" s="500"/>
      <c r="F383" s="500"/>
      <c r="G383" s="500"/>
      <c r="H383" s="501"/>
      <c r="I383" s="500"/>
    </row>
    <row r="384" spans="1:9" ht="15">
      <c r="A384" s="8"/>
      <c r="B384" s="8"/>
      <c r="C384" s="500"/>
      <c r="D384" s="500"/>
      <c r="E384" s="500"/>
      <c r="F384" s="500"/>
      <c r="G384" s="500"/>
      <c r="H384" s="501"/>
      <c r="I384" s="500"/>
    </row>
    <row r="385" spans="1:9" ht="15">
      <c r="A385" s="8"/>
      <c r="B385" s="8"/>
      <c r="C385" s="500"/>
      <c r="D385" s="500"/>
      <c r="E385" s="500"/>
      <c r="F385" s="500"/>
      <c r="G385" s="500"/>
      <c r="H385" s="501"/>
      <c r="I385" s="500"/>
    </row>
    <row r="386" spans="1:9" ht="15">
      <c r="A386" s="8"/>
      <c r="B386" s="8"/>
      <c r="C386" s="500"/>
      <c r="D386" s="500"/>
      <c r="E386" s="500"/>
      <c r="F386" s="500"/>
      <c r="G386" s="500"/>
      <c r="H386" s="501"/>
      <c r="I386" s="500"/>
    </row>
    <row r="387" spans="1:9" ht="15">
      <c r="A387" s="8"/>
      <c r="B387" s="8"/>
      <c r="C387" s="500"/>
      <c r="D387" s="500"/>
      <c r="E387" s="500"/>
      <c r="F387" s="500"/>
      <c r="G387" s="500"/>
      <c r="H387" s="501"/>
      <c r="I387" s="500"/>
    </row>
    <row r="388" spans="1:9" ht="15">
      <c r="A388" s="8"/>
      <c r="B388" s="8"/>
      <c r="C388" s="500"/>
      <c r="D388" s="500"/>
      <c r="E388" s="500"/>
      <c r="F388" s="500"/>
      <c r="G388" s="500"/>
      <c r="H388" s="501"/>
      <c r="I388" s="500"/>
    </row>
    <row r="389" spans="1:9" ht="15">
      <c r="A389" s="8"/>
      <c r="B389" s="8"/>
      <c r="C389" s="500"/>
      <c r="D389" s="500"/>
      <c r="E389" s="500"/>
      <c r="F389" s="500"/>
      <c r="G389" s="500"/>
      <c r="H389" s="501"/>
      <c r="I389" s="500"/>
    </row>
    <row r="390" spans="1:9" ht="15">
      <c r="A390" s="8"/>
      <c r="B390" s="8"/>
      <c r="C390" s="500"/>
      <c r="D390" s="500"/>
      <c r="E390" s="500"/>
      <c r="F390" s="500"/>
      <c r="G390" s="500"/>
      <c r="H390" s="501"/>
      <c r="I390" s="500"/>
    </row>
    <row r="391" spans="1:9" ht="15">
      <c r="A391" s="8"/>
      <c r="B391" s="8"/>
      <c r="C391" s="500"/>
      <c r="D391" s="500"/>
      <c r="E391" s="500"/>
      <c r="F391" s="500"/>
      <c r="G391" s="500"/>
      <c r="H391" s="501"/>
      <c r="I391" s="500"/>
    </row>
    <row r="392" spans="1:9" ht="15">
      <c r="A392" s="8"/>
      <c r="B392" s="8"/>
      <c r="C392" s="500"/>
      <c r="D392" s="500"/>
      <c r="E392" s="500"/>
      <c r="F392" s="500"/>
      <c r="G392" s="500"/>
      <c r="H392" s="501"/>
      <c r="I392" s="500"/>
    </row>
    <row r="393" spans="1:9" ht="15">
      <c r="A393" s="8"/>
      <c r="B393" s="8"/>
      <c r="C393" s="500"/>
      <c r="D393" s="500"/>
      <c r="E393" s="500"/>
      <c r="F393" s="500"/>
      <c r="G393" s="500"/>
      <c r="H393" s="501"/>
      <c r="I393" s="500"/>
    </row>
    <row r="394" spans="1:9" ht="15">
      <c r="A394" s="8"/>
      <c r="B394" s="8"/>
      <c r="C394" s="500"/>
      <c r="D394" s="500"/>
      <c r="E394" s="500"/>
      <c r="F394" s="500"/>
      <c r="G394" s="500"/>
      <c r="H394" s="501"/>
      <c r="I394" s="500"/>
    </row>
    <row r="395" spans="1:9" ht="15">
      <c r="A395" s="8"/>
      <c r="B395" s="8"/>
      <c r="C395" s="500"/>
      <c r="D395" s="500"/>
      <c r="E395" s="500"/>
      <c r="F395" s="500"/>
      <c r="G395" s="500"/>
      <c r="H395" s="501"/>
      <c r="I395" s="500"/>
    </row>
    <row r="396" spans="1:9" ht="15">
      <c r="A396" s="8"/>
      <c r="B396" s="8"/>
      <c r="C396" s="500"/>
      <c r="D396" s="500"/>
      <c r="E396" s="500"/>
      <c r="F396" s="500"/>
      <c r="G396" s="500"/>
      <c r="H396" s="501"/>
      <c r="I396" s="500"/>
    </row>
    <row r="397" spans="1:9" ht="15">
      <c r="A397" s="8"/>
      <c r="B397" s="8"/>
      <c r="C397" s="500"/>
      <c r="D397" s="500"/>
      <c r="E397" s="500"/>
      <c r="F397" s="500"/>
      <c r="G397" s="500"/>
      <c r="H397" s="501"/>
      <c r="I397" s="500"/>
    </row>
    <row r="398" spans="1:9" ht="15">
      <c r="A398" s="8"/>
      <c r="B398" s="8"/>
      <c r="C398" s="500"/>
      <c r="D398" s="500"/>
      <c r="E398" s="500"/>
      <c r="F398" s="500"/>
      <c r="G398" s="500"/>
      <c r="H398" s="501"/>
      <c r="I398" s="500"/>
    </row>
    <row r="399" spans="1:9" ht="15">
      <c r="A399" s="8"/>
      <c r="B399" s="8"/>
      <c r="C399" s="500"/>
      <c r="D399" s="500"/>
      <c r="E399" s="500"/>
      <c r="F399" s="500"/>
      <c r="G399" s="500"/>
      <c r="H399" s="501"/>
      <c r="I399" s="500"/>
    </row>
    <row r="400" spans="1:9" ht="15">
      <c r="A400" s="8"/>
      <c r="B400" s="8"/>
      <c r="C400" s="500"/>
      <c r="D400" s="500"/>
      <c r="E400" s="500"/>
      <c r="F400" s="500"/>
      <c r="G400" s="500"/>
      <c r="H400" s="501"/>
      <c r="I400" s="500"/>
    </row>
    <row r="401" spans="1:9" ht="15">
      <c r="A401" s="8"/>
      <c r="B401" s="8"/>
      <c r="C401" s="500"/>
      <c r="D401" s="500"/>
      <c r="E401" s="500"/>
      <c r="F401" s="500"/>
      <c r="G401" s="500"/>
      <c r="H401" s="501"/>
      <c r="I401" s="500"/>
    </row>
    <row r="402" spans="1:9" ht="15">
      <c r="A402" s="8"/>
      <c r="B402" s="8"/>
      <c r="C402" s="500"/>
      <c r="D402" s="500"/>
      <c r="E402" s="500"/>
      <c r="F402" s="500"/>
      <c r="G402" s="500"/>
      <c r="H402" s="501"/>
      <c r="I402" s="500"/>
    </row>
    <row r="403" spans="1:9" ht="15">
      <c r="A403" s="8"/>
      <c r="B403" s="8"/>
      <c r="C403" s="500"/>
      <c r="D403" s="500"/>
      <c r="E403" s="500"/>
      <c r="F403" s="500"/>
      <c r="G403" s="500"/>
      <c r="H403" s="501"/>
      <c r="I403" s="500"/>
    </row>
    <row r="404" spans="1:9" ht="15">
      <c r="A404" s="8"/>
      <c r="B404" s="8"/>
      <c r="C404" s="500"/>
      <c r="D404" s="500"/>
      <c r="E404" s="500"/>
      <c r="F404" s="500"/>
      <c r="G404" s="500"/>
      <c r="H404" s="501"/>
      <c r="I404" s="500"/>
    </row>
    <row r="405" spans="1:9" ht="15">
      <c r="A405" s="8"/>
      <c r="B405" s="8"/>
      <c r="C405" s="500"/>
      <c r="D405" s="500"/>
      <c r="E405" s="500"/>
      <c r="F405" s="500"/>
      <c r="G405" s="500"/>
      <c r="H405" s="501"/>
      <c r="I405" s="500"/>
    </row>
    <row r="406" spans="1:9" ht="15">
      <c r="A406" s="8"/>
      <c r="B406" s="8"/>
      <c r="C406" s="500"/>
      <c r="D406" s="500"/>
      <c r="E406" s="500"/>
      <c r="F406" s="500"/>
      <c r="G406" s="500"/>
      <c r="H406" s="501"/>
      <c r="I406" s="500"/>
    </row>
    <row r="407" spans="1:9" ht="15">
      <c r="A407" s="8"/>
      <c r="B407" s="8"/>
      <c r="C407" s="500"/>
      <c r="D407" s="500"/>
      <c r="E407" s="500"/>
      <c r="F407" s="500"/>
      <c r="G407" s="500"/>
      <c r="H407" s="501"/>
      <c r="I407" s="500"/>
    </row>
    <row r="408" spans="1:9" ht="15">
      <c r="A408" s="8"/>
      <c r="B408" s="8"/>
      <c r="C408" s="500"/>
      <c r="D408" s="500"/>
      <c r="E408" s="500"/>
      <c r="F408" s="500"/>
      <c r="G408" s="500"/>
      <c r="H408" s="501"/>
      <c r="I408" s="500"/>
    </row>
    <row r="409" spans="1:9" ht="15">
      <c r="A409" s="8"/>
      <c r="B409" s="8"/>
      <c r="C409" s="500"/>
      <c r="D409" s="500"/>
      <c r="E409" s="500"/>
      <c r="F409" s="500"/>
      <c r="G409" s="500"/>
      <c r="H409" s="501"/>
      <c r="I409" s="500"/>
    </row>
    <row r="410" spans="1:9" ht="15">
      <c r="A410" s="8"/>
      <c r="B410" s="8"/>
      <c r="C410" s="500"/>
      <c r="D410" s="500"/>
      <c r="E410" s="500"/>
      <c r="F410" s="500"/>
      <c r="G410" s="500"/>
      <c r="H410" s="501"/>
      <c r="I410" s="500"/>
    </row>
    <row r="411" spans="1:9" ht="15">
      <c r="A411" s="8"/>
      <c r="B411" s="8"/>
      <c r="C411" s="500"/>
      <c r="D411" s="500"/>
      <c r="E411" s="500"/>
      <c r="F411" s="500"/>
      <c r="G411" s="500"/>
      <c r="H411" s="501"/>
      <c r="I411" s="500"/>
    </row>
    <row r="412" spans="1:9" ht="15">
      <c r="A412" s="8"/>
      <c r="B412" s="8"/>
      <c r="C412" s="500"/>
      <c r="D412" s="500"/>
      <c r="E412" s="500"/>
      <c r="F412" s="500"/>
      <c r="G412" s="500"/>
      <c r="H412" s="501"/>
      <c r="I412" s="500"/>
    </row>
    <row r="413" spans="1:9" ht="15">
      <c r="A413" s="8"/>
      <c r="B413" s="8"/>
      <c r="C413" s="500"/>
      <c r="D413" s="500"/>
      <c r="E413" s="500"/>
      <c r="F413" s="500"/>
      <c r="G413" s="500"/>
      <c r="H413" s="501"/>
      <c r="I413" s="500"/>
    </row>
    <row r="414" spans="1:9" ht="15">
      <c r="A414" s="8"/>
      <c r="B414" s="8"/>
      <c r="C414" s="500"/>
      <c r="D414" s="500"/>
      <c r="E414" s="500"/>
      <c r="F414" s="500"/>
      <c r="G414" s="500"/>
      <c r="H414" s="501"/>
      <c r="I414" s="500"/>
    </row>
    <row r="415" spans="1:9" ht="15">
      <c r="A415" s="8"/>
      <c r="B415" s="8"/>
      <c r="C415" s="500"/>
      <c r="D415" s="500"/>
      <c r="E415" s="500"/>
      <c r="F415" s="500"/>
      <c r="G415" s="500"/>
      <c r="H415" s="501"/>
      <c r="I415" s="500"/>
    </row>
    <row r="416" spans="1:9" ht="15">
      <c r="A416" s="8"/>
      <c r="B416" s="8"/>
      <c r="C416" s="500"/>
      <c r="D416" s="500"/>
      <c r="E416" s="500"/>
      <c r="F416" s="500"/>
      <c r="G416" s="500"/>
      <c r="H416" s="501"/>
      <c r="I416" s="500"/>
    </row>
    <row r="417" spans="1:9" ht="15">
      <c r="A417" s="8"/>
      <c r="B417" s="8"/>
      <c r="C417" s="500"/>
      <c r="D417" s="500"/>
      <c r="E417" s="500"/>
      <c r="F417" s="500"/>
      <c r="G417" s="500"/>
      <c r="H417" s="501"/>
      <c r="I417" s="500"/>
    </row>
    <row r="418" spans="1:9" ht="15">
      <c r="A418" s="8"/>
      <c r="B418" s="8"/>
      <c r="C418" s="500"/>
      <c r="D418" s="500"/>
      <c r="E418" s="500"/>
      <c r="F418" s="500"/>
      <c r="G418" s="500"/>
      <c r="H418" s="501"/>
      <c r="I418" s="500"/>
    </row>
    <row r="419" spans="1:9" ht="15">
      <c r="A419" s="8"/>
      <c r="B419" s="8"/>
      <c r="C419" s="500"/>
      <c r="D419" s="500"/>
      <c r="E419" s="500"/>
      <c r="F419" s="500"/>
      <c r="G419" s="500"/>
      <c r="H419" s="501"/>
      <c r="I419" s="500"/>
    </row>
    <row r="420" spans="1:9" ht="15">
      <c r="A420" s="8"/>
      <c r="B420" s="8"/>
      <c r="C420" s="500"/>
      <c r="D420" s="500"/>
      <c r="E420" s="500"/>
      <c r="F420" s="500"/>
      <c r="G420" s="500"/>
      <c r="H420" s="501"/>
      <c r="I420" s="500"/>
    </row>
    <row r="421" spans="1:9" ht="15">
      <c r="A421" s="8"/>
      <c r="B421" s="8"/>
      <c r="C421" s="500"/>
      <c r="D421" s="500"/>
      <c r="E421" s="500"/>
      <c r="F421" s="500"/>
      <c r="G421" s="500"/>
      <c r="H421" s="501"/>
      <c r="I421" s="500"/>
    </row>
    <row r="422" spans="1:9" ht="15">
      <c r="A422" s="8"/>
      <c r="B422" s="8"/>
      <c r="C422" s="500"/>
      <c r="D422" s="500"/>
      <c r="E422" s="500"/>
      <c r="F422" s="500"/>
      <c r="G422" s="500"/>
      <c r="H422" s="501"/>
      <c r="I422" s="500"/>
    </row>
    <row r="423" spans="1:9" ht="15">
      <c r="A423" s="8"/>
      <c r="B423" s="8"/>
      <c r="C423" s="500"/>
      <c r="D423" s="500"/>
      <c r="E423" s="500"/>
      <c r="F423" s="500"/>
      <c r="G423" s="500"/>
      <c r="H423" s="501"/>
      <c r="I423" s="500"/>
    </row>
    <row r="424" spans="1:9" ht="15">
      <c r="A424" s="8"/>
      <c r="B424" s="8"/>
      <c r="C424" s="500"/>
      <c r="D424" s="500"/>
      <c r="E424" s="500"/>
      <c r="F424" s="500"/>
      <c r="G424" s="500"/>
      <c r="H424" s="501"/>
      <c r="I424" s="500"/>
    </row>
    <row r="425" spans="1:9" ht="15">
      <c r="A425" s="8"/>
      <c r="B425" s="8"/>
      <c r="C425" s="500"/>
      <c r="D425" s="500"/>
      <c r="E425" s="500"/>
      <c r="F425" s="500"/>
      <c r="G425" s="500"/>
      <c r="H425" s="501"/>
      <c r="I425" s="500"/>
    </row>
    <row r="426" spans="1:9" ht="15">
      <c r="A426" s="8"/>
      <c r="B426" s="8"/>
      <c r="C426" s="500"/>
      <c r="D426" s="500"/>
      <c r="E426" s="500"/>
      <c r="F426" s="500"/>
      <c r="G426" s="500"/>
      <c r="H426" s="501"/>
      <c r="I426" s="500"/>
    </row>
    <row r="427" spans="1:9" ht="15">
      <c r="A427" s="8"/>
      <c r="B427" s="8"/>
      <c r="C427" s="500"/>
      <c r="D427" s="500"/>
      <c r="E427" s="500"/>
      <c r="F427" s="500"/>
      <c r="G427" s="500"/>
      <c r="H427" s="501"/>
      <c r="I427" s="500"/>
    </row>
    <row r="428" spans="1:9" ht="15">
      <c r="A428" s="8"/>
      <c r="B428" s="8"/>
      <c r="C428" s="500"/>
      <c r="D428" s="500"/>
      <c r="E428" s="500"/>
      <c r="F428" s="500"/>
      <c r="G428" s="500"/>
      <c r="H428" s="501"/>
      <c r="I428" s="500"/>
    </row>
    <row r="429" spans="1:9" ht="15">
      <c r="A429" s="8"/>
      <c r="B429" s="8"/>
      <c r="C429" s="500"/>
      <c r="D429" s="500"/>
      <c r="E429" s="500"/>
      <c r="F429" s="500"/>
      <c r="G429" s="500"/>
      <c r="H429" s="501"/>
      <c r="I429" s="500"/>
    </row>
    <row r="430" spans="1:9" ht="15">
      <c r="A430" s="8"/>
      <c r="B430" s="8"/>
      <c r="C430" s="500"/>
      <c r="D430" s="500"/>
      <c r="E430" s="500"/>
      <c r="F430" s="500"/>
      <c r="G430" s="500"/>
      <c r="H430" s="501"/>
      <c r="I430" s="500"/>
    </row>
    <row r="431" spans="1:9" ht="15">
      <c r="A431" s="8"/>
      <c r="B431" s="8"/>
      <c r="C431" s="500"/>
      <c r="D431" s="500"/>
      <c r="E431" s="500"/>
      <c r="F431" s="500"/>
      <c r="G431" s="500"/>
      <c r="H431" s="501"/>
      <c r="I431" s="500"/>
    </row>
    <row r="432" spans="1:9" ht="15">
      <c r="A432" s="8"/>
      <c r="B432" s="8"/>
      <c r="C432" s="500"/>
      <c r="D432" s="500"/>
      <c r="E432" s="500"/>
      <c r="F432" s="500"/>
      <c r="G432" s="500"/>
      <c r="H432" s="501"/>
      <c r="I432" s="500"/>
    </row>
    <row r="433" spans="1:9" ht="15">
      <c r="A433" s="8"/>
      <c r="B433" s="8"/>
      <c r="C433" s="500"/>
      <c r="D433" s="500"/>
      <c r="E433" s="500"/>
      <c r="F433" s="500"/>
      <c r="G433" s="500"/>
      <c r="H433" s="501"/>
      <c r="I433" s="500"/>
    </row>
    <row r="434" spans="1:9" ht="15">
      <c r="A434" s="8"/>
      <c r="B434" s="8"/>
      <c r="C434" s="500"/>
      <c r="D434" s="500"/>
      <c r="E434" s="500"/>
      <c r="F434" s="500"/>
      <c r="G434" s="500"/>
      <c r="H434" s="501"/>
      <c r="I434" s="500"/>
    </row>
    <row r="435" spans="1:9" ht="15">
      <c r="A435" s="8"/>
      <c r="B435" s="8"/>
      <c r="C435" s="500"/>
      <c r="D435" s="500"/>
      <c r="E435" s="500"/>
      <c r="F435" s="500"/>
      <c r="G435" s="500"/>
      <c r="H435" s="501"/>
      <c r="I435" s="500"/>
    </row>
    <row r="436" spans="1:9" ht="15">
      <c r="A436" s="8"/>
      <c r="B436" s="8"/>
      <c r="C436" s="500"/>
      <c r="D436" s="500"/>
      <c r="E436" s="500"/>
      <c r="F436" s="500"/>
      <c r="G436" s="500"/>
      <c r="H436" s="501"/>
      <c r="I436" s="500"/>
    </row>
    <row r="437" spans="1:9" ht="15">
      <c r="A437" s="8"/>
      <c r="B437" s="8"/>
      <c r="C437" s="500"/>
      <c r="D437" s="500"/>
      <c r="E437" s="500"/>
      <c r="F437" s="500"/>
      <c r="G437" s="500"/>
      <c r="H437" s="501"/>
      <c r="I437" s="500"/>
    </row>
    <row r="438" spans="1:9" ht="15">
      <c r="A438" s="8"/>
      <c r="B438" s="8"/>
      <c r="C438" s="500"/>
      <c r="D438" s="500"/>
      <c r="E438" s="500"/>
      <c r="F438" s="500"/>
      <c r="G438" s="500"/>
      <c r="H438" s="501"/>
      <c r="I438" s="500"/>
    </row>
    <row r="439" spans="1:9" ht="15">
      <c r="A439" s="8"/>
      <c r="B439" s="8"/>
      <c r="C439" s="500"/>
      <c r="D439" s="500"/>
      <c r="E439" s="500"/>
      <c r="F439" s="500"/>
      <c r="G439" s="500"/>
      <c r="H439" s="501"/>
      <c r="I439" s="500"/>
    </row>
    <row r="440" spans="1:9" ht="15">
      <c r="A440" s="8"/>
      <c r="B440" s="8"/>
      <c r="C440" s="500"/>
      <c r="D440" s="500"/>
      <c r="E440" s="500"/>
      <c r="F440" s="500"/>
      <c r="G440" s="500"/>
      <c r="H440" s="501"/>
      <c r="I440" s="500"/>
    </row>
    <row r="441" spans="1:9" ht="15">
      <c r="A441" s="8"/>
      <c r="B441" s="8"/>
      <c r="C441" s="500"/>
      <c r="D441" s="500"/>
      <c r="E441" s="500"/>
      <c r="F441" s="500"/>
      <c r="G441" s="500"/>
      <c r="H441" s="501"/>
      <c r="I441" s="500"/>
    </row>
    <row r="442" spans="1:9" ht="15">
      <c r="A442" s="8"/>
      <c r="B442" s="8"/>
      <c r="C442" s="500"/>
      <c r="D442" s="500"/>
      <c r="E442" s="500"/>
      <c r="F442" s="500"/>
      <c r="G442" s="500"/>
      <c r="H442" s="501"/>
      <c r="I442" s="500"/>
    </row>
    <row r="443" spans="1:9" ht="15">
      <c r="A443" s="8"/>
      <c r="B443" s="8"/>
      <c r="C443" s="500"/>
      <c r="D443" s="500"/>
      <c r="E443" s="500"/>
      <c r="F443" s="500"/>
      <c r="G443" s="500"/>
      <c r="H443" s="501"/>
      <c r="I443" s="500"/>
    </row>
    <row r="444" spans="1:9" ht="15">
      <c r="A444" s="8"/>
      <c r="B444" s="8"/>
      <c r="C444" s="500"/>
      <c r="D444" s="500"/>
      <c r="E444" s="500"/>
      <c r="F444" s="500"/>
      <c r="G444" s="500"/>
      <c r="H444" s="501"/>
      <c r="I444" s="500"/>
    </row>
    <row r="445" spans="1:9" ht="15">
      <c r="A445" s="8"/>
      <c r="B445" s="8"/>
      <c r="C445" s="500"/>
      <c r="D445" s="500"/>
      <c r="E445" s="500"/>
      <c r="F445" s="500"/>
      <c r="G445" s="500"/>
      <c r="H445" s="501"/>
      <c r="I445" s="500"/>
    </row>
    <row r="446" spans="1:9" ht="15">
      <c r="A446" s="8"/>
      <c r="B446" s="8"/>
      <c r="C446" s="500"/>
      <c r="D446" s="500"/>
      <c r="E446" s="500"/>
      <c r="F446" s="500"/>
      <c r="G446" s="500"/>
      <c r="H446" s="501"/>
      <c r="I446" s="500"/>
    </row>
    <row r="447" spans="1:9" ht="15">
      <c r="A447" s="8"/>
      <c r="B447" s="8"/>
      <c r="C447" s="500"/>
      <c r="D447" s="500"/>
      <c r="E447" s="500"/>
      <c r="F447" s="500"/>
      <c r="G447" s="500"/>
      <c r="H447" s="501"/>
      <c r="I447" s="500"/>
    </row>
    <row r="448" spans="1:9" ht="15">
      <c r="A448" s="8"/>
      <c r="B448" s="8"/>
      <c r="C448" s="500"/>
      <c r="D448" s="500"/>
      <c r="E448" s="500"/>
      <c r="F448" s="500"/>
      <c r="G448" s="500"/>
      <c r="H448" s="501"/>
      <c r="I448" s="500"/>
    </row>
    <row r="449" spans="1:9" ht="15">
      <c r="A449" s="8"/>
      <c r="B449" s="8"/>
      <c r="C449" s="500"/>
      <c r="D449" s="500"/>
      <c r="E449" s="500"/>
      <c r="F449" s="500"/>
      <c r="G449" s="500"/>
      <c r="H449" s="501"/>
      <c r="I449" s="500"/>
    </row>
    <row r="450" spans="1:9" ht="15">
      <c r="A450" s="8"/>
      <c r="B450" s="8"/>
      <c r="C450" s="500"/>
      <c r="D450" s="500"/>
      <c r="E450" s="500"/>
      <c r="F450" s="500"/>
      <c r="G450" s="500"/>
      <c r="H450" s="501"/>
      <c r="I450" s="500"/>
    </row>
    <row r="451" spans="1:9" ht="15">
      <c r="A451" s="8"/>
      <c r="B451" s="8"/>
      <c r="C451" s="500"/>
      <c r="D451" s="500"/>
      <c r="E451" s="500"/>
      <c r="F451" s="500"/>
      <c r="G451" s="500"/>
      <c r="H451" s="501"/>
      <c r="I451" s="500"/>
    </row>
    <row r="452" spans="1:9" ht="15">
      <c r="A452" s="8"/>
      <c r="B452" s="8"/>
      <c r="C452" s="500"/>
      <c r="D452" s="500"/>
      <c r="E452" s="500"/>
      <c r="F452" s="500"/>
      <c r="G452" s="500"/>
      <c r="H452" s="501"/>
      <c r="I452" s="500"/>
    </row>
    <row r="453" spans="1:9" ht="15">
      <c r="A453" s="8"/>
      <c r="B453" s="8"/>
      <c r="C453" s="500"/>
      <c r="D453" s="500"/>
      <c r="E453" s="500"/>
      <c r="F453" s="500"/>
      <c r="G453" s="500"/>
      <c r="H453" s="501"/>
      <c r="I453" s="500"/>
    </row>
    <row r="454" spans="1:9" ht="15">
      <c r="A454" s="8"/>
      <c r="B454" s="8"/>
      <c r="C454" s="500"/>
      <c r="D454" s="500"/>
      <c r="E454" s="500"/>
      <c r="F454" s="500"/>
      <c r="G454" s="500"/>
      <c r="H454" s="501"/>
      <c r="I454" s="500"/>
    </row>
    <row r="455" spans="1:9" ht="15">
      <c r="A455" s="8"/>
      <c r="B455" s="8"/>
      <c r="C455" s="500"/>
      <c r="D455" s="500"/>
      <c r="E455" s="500"/>
      <c r="F455" s="500"/>
      <c r="G455" s="500"/>
      <c r="H455" s="501"/>
      <c r="I455" s="500"/>
    </row>
    <row r="456" spans="1:9" ht="15">
      <c r="A456" s="8"/>
      <c r="B456" s="8"/>
      <c r="C456" s="500"/>
      <c r="D456" s="500"/>
      <c r="E456" s="500"/>
      <c r="F456" s="500"/>
      <c r="G456" s="500"/>
      <c r="H456" s="501"/>
      <c r="I456" s="500"/>
    </row>
    <row r="457" spans="1:9" ht="15">
      <c r="A457" s="8"/>
      <c r="B457" s="8"/>
      <c r="C457" s="500"/>
      <c r="D457" s="500"/>
      <c r="E457" s="500"/>
      <c r="F457" s="500"/>
      <c r="G457" s="500"/>
      <c r="H457" s="501"/>
      <c r="I457" s="500"/>
    </row>
    <row r="458" spans="1:9" ht="15">
      <c r="A458" s="8"/>
      <c r="B458" s="8"/>
      <c r="C458" s="500"/>
      <c r="D458" s="500"/>
      <c r="E458" s="500"/>
      <c r="F458" s="500"/>
      <c r="G458" s="500"/>
      <c r="H458" s="501"/>
      <c r="I458" s="500"/>
    </row>
    <row r="459" spans="1:9" ht="15">
      <c r="A459" s="8"/>
      <c r="B459" s="8"/>
      <c r="C459" s="500"/>
      <c r="D459" s="500"/>
      <c r="E459" s="500"/>
      <c r="F459" s="500"/>
      <c r="G459" s="500"/>
      <c r="H459" s="501"/>
      <c r="I459" s="500"/>
    </row>
    <row r="460" spans="1:9" ht="15">
      <c r="A460" s="8"/>
      <c r="B460" s="8"/>
      <c r="C460" s="500"/>
      <c r="D460" s="500"/>
      <c r="E460" s="500"/>
      <c r="F460" s="500"/>
      <c r="G460" s="500"/>
      <c r="H460" s="501"/>
      <c r="I460" s="500"/>
    </row>
    <row r="461" spans="1:9" ht="15">
      <c r="A461" s="8"/>
      <c r="B461" s="8"/>
      <c r="C461" s="500"/>
      <c r="D461" s="500"/>
      <c r="E461" s="500"/>
      <c r="F461" s="500"/>
      <c r="G461" s="500"/>
      <c r="H461" s="501"/>
      <c r="I461" s="500"/>
    </row>
    <row r="462" spans="1:9" ht="15">
      <c r="A462" s="8"/>
      <c r="B462" s="8"/>
      <c r="C462" s="500"/>
      <c r="D462" s="500"/>
      <c r="E462" s="500"/>
      <c r="F462" s="500"/>
      <c r="G462" s="500"/>
      <c r="H462" s="501"/>
      <c r="I462" s="500"/>
    </row>
    <row r="463" spans="1:9" ht="15">
      <c r="A463" s="8"/>
      <c r="B463" s="8"/>
      <c r="C463" s="500"/>
      <c r="D463" s="500"/>
      <c r="E463" s="500"/>
      <c r="F463" s="500"/>
      <c r="G463" s="500"/>
      <c r="H463" s="501"/>
      <c r="I463" s="500"/>
    </row>
    <row r="464" spans="1:9" ht="15">
      <c r="A464" s="8"/>
      <c r="B464" s="8"/>
      <c r="C464" s="500"/>
      <c r="D464" s="500"/>
      <c r="E464" s="500"/>
      <c r="F464" s="500"/>
      <c r="G464" s="500"/>
      <c r="H464" s="501"/>
      <c r="I464" s="500"/>
    </row>
    <row r="465" spans="1:9" ht="15">
      <c r="A465" s="8"/>
      <c r="B465" s="8"/>
      <c r="C465" s="500"/>
      <c r="D465" s="500"/>
      <c r="E465" s="500"/>
      <c r="F465" s="500"/>
      <c r="G465" s="500"/>
      <c r="H465" s="501"/>
      <c r="I465" s="500"/>
    </row>
    <row r="466" spans="1:9" ht="15">
      <c r="A466" s="8"/>
      <c r="B466" s="8"/>
      <c r="C466" s="500"/>
      <c r="D466" s="500"/>
      <c r="E466" s="500"/>
      <c r="F466" s="500"/>
      <c r="G466" s="500"/>
      <c r="H466" s="501"/>
      <c r="I466" s="500"/>
    </row>
    <row r="467" spans="1:9" ht="15">
      <c r="A467" s="8"/>
      <c r="B467" s="8"/>
      <c r="C467" s="500"/>
      <c r="D467" s="500"/>
      <c r="E467" s="500"/>
      <c r="F467" s="500"/>
      <c r="G467" s="500"/>
      <c r="H467" s="501"/>
      <c r="I467" s="500"/>
    </row>
    <row r="468" spans="1:9" ht="15">
      <c r="A468" s="8"/>
      <c r="B468" s="8"/>
      <c r="C468" s="500"/>
      <c r="D468" s="500"/>
      <c r="E468" s="500"/>
      <c r="F468" s="500"/>
      <c r="G468" s="500"/>
      <c r="H468" s="501"/>
      <c r="I468" s="500"/>
    </row>
    <row r="469" spans="1:9" ht="15">
      <c r="A469" s="8"/>
      <c r="B469" s="8"/>
      <c r="C469" s="500"/>
      <c r="D469" s="500"/>
      <c r="E469" s="500"/>
      <c r="F469" s="500"/>
      <c r="G469" s="500"/>
      <c r="H469" s="501"/>
      <c r="I469" s="500"/>
    </row>
    <row r="470" spans="1:9" ht="15">
      <c r="A470" s="8"/>
      <c r="B470" s="8"/>
      <c r="C470" s="500"/>
      <c r="D470" s="500"/>
      <c r="E470" s="500"/>
      <c r="F470" s="500"/>
      <c r="G470" s="500"/>
      <c r="H470" s="501"/>
      <c r="I470" s="500"/>
    </row>
    <row r="471" spans="1:9" ht="15">
      <c r="A471" s="8"/>
      <c r="B471" s="8"/>
      <c r="C471" s="500"/>
      <c r="D471" s="500"/>
      <c r="E471" s="500"/>
      <c r="F471" s="500"/>
      <c r="G471" s="500"/>
      <c r="H471" s="501"/>
      <c r="I471" s="500"/>
    </row>
    <row r="472" spans="1:9" ht="15">
      <c r="A472" s="8"/>
      <c r="B472" s="8"/>
      <c r="C472" s="500"/>
      <c r="D472" s="500"/>
      <c r="E472" s="500"/>
      <c r="F472" s="500"/>
      <c r="G472" s="500"/>
      <c r="H472" s="501"/>
      <c r="I472" s="500"/>
    </row>
    <row r="473" spans="1:9" ht="15">
      <c r="A473" s="8"/>
      <c r="B473" s="8"/>
      <c r="C473" s="500"/>
      <c r="D473" s="500"/>
      <c r="E473" s="500"/>
      <c r="F473" s="500"/>
      <c r="G473" s="500"/>
      <c r="H473" s="501"/>
      <c r="I473" s="500"/>
    </row>
    <row r="474" spans="1:9" ht="15">
      <c r="A474" s="8"/>
      <c r="B474" s="8"/>
      <c r="C474" s="500"/>
      <c r="D474" s="500"/>
      <c r="E474" s="500"/>
      <c r="F474" s="500"/>
      <c r="G474" s="500"/>
      <c r="H474" s="501"/>
      <c r="I474" s="500"/>
    </row>
    <row r="475" spans="1:9" ht="15">
      <c r="A475" s="8"/>
      <c r="B475" s="8"/>
      <c r="C475" s="500"/>
      <c r="D475" s="500"/>
      <c r="E475" s="500"/>
      <c r="F475" s="500"/>
      <c r="G475" s="500"/>
      <c r="H475" s="501"/>
      <c r="I475" s="500"/>
    </row>
    <row r="476" spans="1:9" ht="15">
      <c r="A476" s="8"/>
      <c r="B476" s="8"/>
      <c r="C476" s="500"/>
      <c r="D476" s="500"/>
      <c r="E476" s="500"/>
      <c r="F476" s="500"/>
      <c r="G476" s="500"/>
      <c r="H476" s="501"/>
      <c r="I476" s="500"/>
    </row>
    <row r="477" spans="1:9" ht="15">
      <c r="A477" s="8"/>
      <c r="B477" s="8"/>
      <c r="C477" s="500"/>
      <c r="D477" s="500"/>
      <c r="E477" s="500"/>
      <c r="F477" s="500"/>
      <c r="G477" s="500"/>
      <c r="H477" s="501"/>
      <c r="I477" s="500"/>
    </row>
    <row r="478" spans="1:9" ht="15">
      <c r="A478" s="8"/>
      <c r="B478" s="8"/>
      <c r="C478" s="500"/>
      <c r="D478" s="500"/>
      <c r="E478" s="500"/>
      <c r="F478" s="500"/>
      <c r="G478" s="500"/>
      <c r="H478" s="501"/>
      <c r="I478" s="500"/>
    </row>
    <row r="479" spans="1:9" ht="15">
      <c r="A479" s="8"/>
      <c r="B479" s="8"/>
      <c r="C479" s="500"/>
      <c r="D479" s="500"/>
      <c r="E479" s="500"/>
      <c r="F479" s="500"/>
      <c r="G479" s="500"/>
      <c r="H479" s="501"/>
      <c r="I479" s="500"/>
    </row>
    <row r="480" spans="1:9" ht="15">
      <c r="A480" s="8"/>
      <c r="B480" s="8"/>
      <c r="C480" s="500"/>
      <c r="D480" s="500"/>
      <c r="E480" s="500"/>
      <c r="F480" s="500"/>
      <c r="G480" s="500"/>
      <c r="H480" s="501"/>
      <c r="I480" s="500"/>
    </row>
    <row r="481" spans="1:9" ht="15">
      <c r="A481" s="8"/>
      <c r="B481" s="8"/>
      <c r="C481" s="500"/>
      <c r="D481" s="500"/>
      <c r="E481" s="500"/>
      <c r="F481" s="500"/>
      <c r="G481" s="500"/>
      <c r="H481" s="501"/>
      <c r="I481" s="500"/>
    </row>
    <row r="482" spans="1:9" ht="15">
      <c r="A482" s="8"/>
      <c r="B482" s="8"/>
      <c r="C482" s="500"/>
      <c r="D482" s="500"/>
      <c r="E482" s="500"/>
      <c r="F482" s="500"/>
      <c r="G482" s="500"/>
      <c r="H482" s="501"/>
      <c r="I482" s="500"/>
    </row>
    <row r="483" spans="1:9" ht="15">
      <c r="A483" s="8"/>
      <c r="B483" s="8"/>
      <c r="C483" s="500"/>
      <c r="D483" s="500"/>
      <c r="E483" s="500"/>
      <c r="F483" s="500"/>
      <c r="G483" s="500"/>
      <c r="H483" s="501"/>
      <c r="I483" s="500"/>
    </row>
  </sheetData>
  <mergeCells count="1">
    <mergeCell ref="A4:I4"/>
  </mergeCells>
  <printOptions horizontalCentered="1"/>
  <pageMargins left="0.25" right="0.25" top="0.5" bottom="0.5" header="0.5" footer="0.5"/>
  <pageSetup fitToHeight="2" fitToWidth="1" horizontalDpi="600" verticalDpi="600" orientation="portrait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/>
  <dimension ref="A1:A35"/>
  <sheetViews>
    <sheetView workbookViewId="0" topLeftCell="A1">
      <selection activeCell="A1" sqref="A1"/>
    </sheetView>
  </sheetViews>
  <sheetFormatPr defaultColWidth="9.140625" defaultRowHeight="12.75"/>
  <cols>
    <col min="1" max="1" width="101.28125" style="804" customWidth="1"/>
    <col min="2" max="16384" width="9.140625" style="804" customWidth="1"/>
  </cols>
  <sheetData>
    <row r="1" ht="19.5">
      <c r="A1" s="786" t="s">
        <v>1637</v>
      </c>
    </row>
    <row r="2" ht="19.5">
      <c r="A2" s="787" t="s">
        <v>2119</v>
      </c>
    </row>
    <row r="3" ht="19.5">
      <c r="A3" s="787" t="s">
        <v>2120</v>
      </c>
    </row>
    <row r="4" ht="19.5">
      <c r="A4" s="788" t="str">
        <f>INPUT!C1</f>
        <v>February 2009</v>
      </c>
    </row>
    <row r="5" ht="19.5">
      <c r="A5" s="787" t="s">
        <v>2121</v>
      </c>
    </row>
    <row r="6" ht="19.5">
      <c r="A6" s="787" t="s">
        <v>2125</v>
      </c>
    </row>
    <row r="7" ht="19.5">
      <c r="A7" s="787" t="s">
        <v>2126</v>
      </c>
    </row>
    <row r="8" ht="19.5">
      <c r="A8" s="787" t="s">
        <v>2127</v>
      </c>
    </row>
    <row r="9" ht="19.5">
      <c r="A9" s="787"/>
    </row>
    <row r="10" ht="19.5">
      <c r="A10" s="787" t="s">
        <v>2128</v>
      </c>
    </row>
    <row r="11" ht="19.5">
      <c r="A11" s="787"/>
    </row>
    <row r="12" ht="19.5">
      <c r="A12" s="787" t="s">
        <v>2129</v>
      </c>
    </row>
    <row r="13" ht="19.5">
      <c r="A13" s="787"/>
    </row>
    <row r="14" ht="19.5">
      <c r="A14" s="787" t="s">
        <v>2130</v>
      </c>
    </row>
    <row r="15" ht="19.5">
      <c r="A15" s="787"/>
    </row>
    <row r="16" ht="19.5">
      <c r="A16" s="787" t="s">
        <v>2131</v>
      </c>
    </row>
    <row r="17" ht="19.5">
      <c r="A17" s="787"/>
    </row>
    <row r="18" ht="19.5">
      <c r="A18" s="787" t="s">
        <v>2132</v>
      </c>
    </row>
    <row r="19" ht="19.5">
      <c r="A19" s="787"/>
    </row>
    <row r="20" ht="19.5">
      <c r="A20" s="787" t="s">
        <v>2133</v>
      </c>
    </row>
    <row r="21" ht="19.5">
      <c r="A21" s="787"/>
    </row>
    <row r="22" ht="19.5">
      <c r="A22" s="787" t="s">
        <v>2134</v>
      </c>
    </row>
    <row r="23" ht="19.5">
      <c r="A23" s="787"/>
    </row>
    <row r="24" ht="19.5">
      <c r="A24" s="787" t="s">
        <v>2135</v>
      </c>
    </row>
    <row r="25" ht="19.5">
      <c r="A25" s="787"/>
    </row>
    <row r="26" ht="19.5">
      <c r="A26" s="787" t="s">
        <v>2136</v>
      </c>
    </row>
    <row r="27" ht="19.5">
      <c r="A27" s="787"/>
    </row>
    <row r="28" ht="19.5">
      <c r="A28" s="787" t="s">
        <v>2137</v>
      </c>
    </row>
    <row r="29" ht="19.5">
      <c r="A29" s="787"/>
    </row>
    <row r="30" ht="19.5">
      <c r="A30" s="787" t="s">
        <v>2138</v>
      </c>
    </row>
    <row r="31" ht="19.5">
      <c r="A31" s="789"/>
    </row>
    <row r="32" ht="19.5">
      <c r="A32" s="789" t="s">
        <v>2139</v>
      </c>
    </row>
    <row r="33" ht="19.5">
      <c r="A33" s="789" t="s">
        <v>698</v>
      </c>
    </row>
    <row r="34" ht="19.5">
      <c r="A34" s="789" t="s">
        <v>2140</v>
      </c>
    </row>
    <row r="35" ht="19.5">
      <c r="A35" s="785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0"/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78.00390625" style="0" customWidth="1"/>
    <col min="2" max="2" width="10.28125" style="0" bestFit="1" customWidth="1"/>
  </cols>
  <sheetData>
    <row r="1" spans="1:2" ht="19.5">
      <c r="A1" s="786" t="s">
        <v>2141</v>
      </c>
      <c r="B1" s="780"/>
    </row>
    <row r="2" spans="1:2" ht="12.75">
      <c r="A2" s="790"/>
      <c r="B2" s="780"/>
    </row>
    <row r="3" spans="1:2" ht="12.75">
      <c r="A3" s="790"/>
      <c r="B3" s="780"/>
    </row>
    <row r="4" spans="1:2" ht="16.5">
      <c r="A4" s="780"/>
      <c r="B4" s="791" t="s">
        <v>5</v>
      </c>
    </row>
    <row r="5" spans="1:2" ht="16.5">
      <c r="A5" s="780"/>
      <c r="B5" s="791" t="s">
        <v>6</v>
      </c>
    </row>
    <row r="6" spans="1:2" ht="19.5">
      <c r="A6" s="787" t="s">
        <v>2144</v>
      </c>
      <c r="B6" s="780"/>
    </row>
    <row r="7" spans="1:2" ht="19.5">
      <c r="A7" s="789"/>
      <c r="B7" s="792"/>
    </row>
    <row r="8" spans="1:2" ht="19.5">
      <c r="A8" s="789" t="s">
        <v>2145</v>
      </c>
      <c r="B8" s="787">
        <v>1</v>
      </c>
    </row>
    <row r="9" spans="1:2" ht="19.5">
      <c r="A9" s="789"/>
      <c r="B9" s="792"/>
    </row>
    <row r="10" spans="1:2" ht="19.5">
      <c r="A10" s="793" t="s">
        <v>2146</v>
      </c>
      <c r="B10" s="792"/>
    </row>
    <row r="11" spans="1:2" ht="19.5">
      <c r="A11" s="789" t="s">
        <v>2147</v>
      </c>
      <c r="B11" s="787">
        <v>2</v>
      </c>
    </row>
    <row r="12" spans="1:2" ht="19.5">
      <c r="A12" s="789"/>
      <c r="B12" s="792"/>
    </row>
    <row r="13" spans="1:2" ht="19.5">
      <c r="A13" s="789" t="s">
        <v>2148</v>
      </c>
      <c r="B13" s="787">
        <v>3</v>
      </c>
    </row>
    <row r="14" spans="1:2" ht="19.5">
      <c r="A14" s="789"/>
      <c r="B14" s="792"/>
    </row>
    <row r="15" spans="1:2" ht="19.5">
      <c r="A15" s="789" t="s">
        <v>2149</v>
      </c>
      <c r="B15" s="787">
        <v>4</v>
      </c>
    </row>
    <row r="16" spans="1:2" ht="19.5">
      <c r="A16" s="789"/>
      <c r="B16" s="792"/>
    </row>
    <row r="17" spans="1:2" ht="19.5">
      <c r="A17" s="789" t="s">
        <v>2150</v>
      </c>
      <c r="B17" s="787">
        <v>5</v>
      </c>
    </row>
    <row r="18" spans="1:2" ht="19.5">
      <c r="A18" s="789"/>
      <c r="B18" s="792"/>
    </row>
    <row r="19" spans="1:2" ht="19.5">
      <c r="A19" s="789" t="s">
        <v>2151</v>
      </c>
      <c r="B19" s="792"/>
    </row>
    <row r="20" spans="1:2" ht="19.5">
      <c r="A20" s="789" t="s">
        <v>2152</v>
      </c>
      <c r="B20" s="787">
        <v>6</v>
      </c>
    </row>
    <row r="21" spans="1:2" ht="19.5">
      <c r="A21" s="789"/>
      <c r="B21" s="792"/>
    </row>
    <row r="22" spans="1:2" ht="19.5">
      <c r="A22" s="789" t="s">
        <v>2153</v>
      </c>
      <c r="B22" s="787">
        <v>7</v>
      </c>
    </row>
    <row r="23" spans="1:2" ht="19.5">
      <c r="A23" s="789"/>
      <c r="B23" s="792"/>
    </row>
    <row r="24" spans="1:2" ht="19.5">
      <c r="A24" s="789" t="s">
        <v>2154</v>
      </c>
      <c r="B24" s="787">
        <v>8</v>
      </c>
    </row>
    <row r="25" spans="1:2" ht="19.5">
      <c r="A25" s="789"/>
      <c r="B25" s="792"/>
    </row>
    <row r="26" spans="1:2" ht="19.5">
      <c r="A26" s="789" t="s">
        <v>2155</v>
      </c>
      <c r="B26" s="787">
        <v>9</v>
      </c>
    </row>
    <row r="27" spans="1:2" ht="19.5">
      <c r="A27" s="789"/>
      <c r="B27" s="792"/>
    </row>
    <row r="28" spans="1:2" ht="19.5">
      <c r="A28" s="789" t="s">
        <v>0</v>
      </c>
      <c r="B28" s="787">
        <v>10</v>
      </c>
    </row>
    <row r="29" spans="1:2" ht="19.5">
      <c r="A29" s="789"/>
      <c r="B29" s="792"/>
    </row>
    <row r="30" spans="1:2" ht="19.5">
      <c r="A30" s="789" t="s">
        <v>1</v>
      </c>
      <c r="B30" s="787">
        <v>11</v>
      </c>
    </row>
    <row r="31" spans="1:2" ht="19.5">
      <c r="A31" s="789"/>
      <c r="B31" s="792"/>
    </row>
    <row r="32" spans="1:2" ht="19.5">
      <c r="A32" s="789"/>
      <c r="B32" s="792"/>
    </row>
    <row r="33" spans="1:2" ht="19.5">
      <c r="A33" s="793" t="s">
        <v>2</v>
      </c>
      <c r="B33" s="792"/>
    </row>
    <row r="34" spans="1:2" ht="19.5">
      <c r="A34" s="789"/>
      <c r="B34" s="792"/>
    </row>
    <row r="35" spans="1:2" ht="19.5">
      <c r="A35" s="789" t="s">
        <v>3</v>
      </c>
      <c r="B35" s="787" t="s">
        <v>4</v>
      </c>
    </row>
    <row r="36" ht="19.5">
      <c r="A36" s="785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8" customWidth="1"/>
    <col min="2" max="2" width="22.28125" style="8" customWidth="1"/>
    <col min="3" max="3" width="9.140625" style="8" customWidth="1"/>
    <col min="4" max="4" width="14.00390625" style="8" customWidth="1"/>
    <col min="5" max="5" width="3.7109375" style="8" customWidth="1"/>
    <col min="6" max="6" width="11.7109375" style="8" customWidth="1"/>
    <col min="7" max="7" width="5.421875" style="8" customWidth="1"/>
    <col min="8" max="8" width="14.421875" style="8" customWidth="1"/>
    <col min="9" max="9" width="3.7109375" style="8" customWidth="1"/>
    <col min="10" max="10" width="14.421875" style="8" customWidth="1"/>
    <col min="11" max="16384" width="9.140625" style="8" customWidth="1"/>
  </cols>
  <sheetData>
    <row r="1" spans="2:10" ht="16.5">
      <c r="B1" s="136" t="s">
        <v>1729</v>
      </c>
      <c r="C1" s="137" t="str">
        <f>INPUT!C1</f>
        <v>February 2009</v>
      </c>
      <c r="J1" s="136" t="s">
        <v>1730</v>
      </c>
    </row>
    <row r="4" spans="4:10" ht="16.5">
      <c r="D4" s="138"/>
      <c r="E4" s="139" t="s">
        <v>1606</v>
      </c>
      <c r="F4" s="138"/>
      <c r="H4" s="138"/>
      <c r="I4" s="140" t="s">
        <v>1731</v>
      </c>
      <c r="J4" s="138"/>
    </row>
    <row r="5" spans="4:10" ht="16.5">
      <c r="D5" s="136" t="s">
        <v>1736</v>
      </c>
      <c r="E5" s="136"/>
      <c r="F5" s="136" t="s">
        <v>1736</v>
      </c>
      <c r="G5" s="136"/>
      <c r="H5" s="136" t="s">
        <v>1737</v>
      </c>
      <c r="I5" s="136"/>
      <c r="J5" s="136" t="s">
        <v>1737</v>
      </c>
    </row>
    <row r="6" spans="4:10" ht="16.5">
      <c r="D6" s="136" t="s">
        <v>1552</v>
      </c>
      <c r="E6" s="136"/>
      <c r="F6" s="136" t="s">
        <v>1553</v>
      </c>
      <c r="G6" s="136"/>
      <c r="H6" s="136" t="s">
        <v>1738</v>
      </c>
      <c r="I6" s="136"/>
      <c r="J6" s="136" t="s">
        <v>1739</v>
      </c>
    </row>
    <row r="7" spans="2:10" ht="16.5">
      <c r="B7" s="141" t="s">
        <v>1740</v>
      </c>
      <c r="D7" s="139" t="s">
        <v>1540</v>
      </c>
      <c r="E7" s="136"/>
      <c r="F7" s="139" t="s">
        <v>1541</v>
      </c>
      <c r="G7" s="136"/>
      <c r="H7" s="140" t="s">
        <v>1741</v>
      </c>
      <c r="I7" s="142"/>
      <c r="J7" s="140" t="s">
        <v>1742</v>
      </c>
    </row>
    <row r="9" spans="1:10" ht="16.5">
      <c r="A9" s="8" t="s">
        <v>1743</v>
      </c>
      <c r="B9" s="136" t="s">
        <v>1637</v>
      </c>
      <c r="C9" s="8" t="s">
        <v>1532</v>
      </c>
      <c r="D9" s="116">
        <f>+PAGE2!H34</f>
        <v>1271487</v>
      </c>
      <c r="E9" s="116"/>
      <c r="F9" s="116">
        <f>+PAGE2!J34</f>
        <v>223696</v>
      </c>
      <c r="G9" s="116"/>
      <c r="H9" s="116">
        <f>+PAGE2!L34</f>
        <v>64280940</v>
      </c>
      <c r="I9" s="116"/>
      <c r="J9" s="116">
        <f>+PAGE2!N34</f>
        <v>8919268.489999998</v>
      </c>
    </row>
    <row r="10" spans="2:10" ht="16.5">
      <c r="B10" s="136" t="s">
        <v>1646</v>
      </c>
      <c r="C10" s="8" t="s">
        <v>1533</v>
      </c>
      <c r="D10" s="116">
        <f>+PAGE2!H35</f>
        <v>70261</v>
      </c>
      <c r="E10" s="116"/>
      <c r="F10" s="116">
        <f>+PAGE2!J35</f>
        <v>145143</v>
      </c>
      <c r="G10" s="116"/>
      <c r="H10" s="116">
        <f>+PAGE2!L35</f>
        <v>6576706</v>
      </c>
      <c r="I10" s="116"/>
      <c r="J10" s="116">
        <f>+PAGE2!N35</f>
        <v>4124407</v>
      </c>
    </row>
    <row r="11" spans="2:10" ht="16.5">
      <c r="B11" s="136" t="s">
        <v>1649</v>
      </c>
      <c r="C11" s="8" t="s">
        <v>1534</v>
      </c>
      <c r="D11" s="116">
        <f>+PAGE2!H36</f>
        <v>141297</v>
      </c>
      <c r="E11" s="116"/>
      <c r="F11" s="116">
        <f>+PAGE2!J36</f>
        <v>661988</v>
      </c>
      <c r="G11" s="116"/>
      <c r="H11" s="116">
        <f>+PAGE2!L36</f>
        <v>4888757</v>
      </c>
      <c r="I11" s="116"/>
      <c r="J11" s="116">
        <f>+PAGE2!N36</f>
        <v>22928311</v>
      </c>
    </row>
    <row r="12" spans="3:10" ht="15">
      <c r="C12" s="8" t="s">
        <v>1536</v>
      </c>
      <c r="D12" s="116">
        <f>+PAGE2!H37</f>
        <v>150823</v>
      </c>
      <c r="E12" s="116"/>
      <c r="F12" s="116">
        <f>+PAGE2!J37</f>
        <v>1454527</v>
      </c>
      <c r="G12" s="116"/>
      <c r="H12" s="116">
        <f>+PAGE2!L37</f>
        <v>5499393.57</v>
      </c>
      <c r="I12" s="116"/>
      <c r="J12" s="116">
        <f>+PAGE2!N37</f>
        <v>66349347</v>
      </c>
    </row>
    <row r="13" spans="3:10" ht="15">
      <c r="C13" s="8" t="s">
        <v>1537</v>
      </c>
      <c r="D13" s="143">
        <f>+PAGE2!H38</f>
        <v>1002759</v>
      </c>
      <c r="E13" s="116"/>
      <c r="F13" s="143">
        <f>+PAGE2!J38</f>
        <v>151273</v>
      </c>
      <c r="G13" s="116"/>
      <c r="H13" s="143">
        <f>+PAGE2!L38</f>
        <v>26004043</v>
      </c>
      <c r="I13" s="116"/>
      <c r="J13" s="143">
        <f>+PAGE2!N38</f>
        <v>4928507</v>
      </c>
    </row>
    <row r="14" spans="3:10" ht="15">
      <c r="C14" s="8" t="s">
        <v>1642</v>
      </c>
      <c r="D14" s="116">
        <f>SUM(D9:D13)</f>
        <v>2636627</v>
      </c>
      <c r="E14" s="116"/>
      <c r="F14" s="116">
        <f>SUM(F9:F13)</f>
        <v>2636627</v>
      </c>
      <c r="G14" s="116"/>
      <c r="H14" s="116">
        <f>SUM(H9:H13)</f>
        <v>107249839.57</v>
      </c>
      <c r="I14" s="116"/>
      <c r="J14" s="116">
        <f>SUM(J9:J13)</f>
        <v>107249840.49</v>
      </c>
    </row>
    <row r="15" spans="4:10" ht="15">
      <c r="D15" s="115"/>
      <c r="E15" s="115"/>
      <c r="F15" s="115"/>
      <c r="G15" s="115"/>
      <c r="H15" s="115"/>
      <c r="I15" s="115"/>
      <c r="J15" s="115"/>
    </row>
    <row r="16" spans="1:10" ht="16.5">
      <c r="A16" s="8" t="s">
        <v>1744</v>
      </c>
      <c r="B16" s="136" t="s">
        <v>1745</v>
      </c>
      <c r="C16" s="8" t="s">
        <v>1532</v>
      </c>
      <c r="D16" s="116">
        <f>+PAGE2!H41</f>
        <v>1255734</v>
      </c>
      <c r="E16" s="116"/>
      <c r="F16" s="116">
        <f>+PAGE2!J41</f>
        <v>208893</v>
      </c>
      <c r="G16" s="116"/>
      <c r="H16" s="116">
        <f>+PAGE2!L41</f>
        <v>67127714</v>
      </c>
      <c r="I16" s="116"/>
      <c r="J16" s="116">
        <f>+PAGE2!N41</f>
        <v>8645704</v>
      </c>
    </row>
    <row r="17" spans="2:10" ht="16.5">
      <c r="B17" s="136" t="s">
        <v>1746</v>
      </c>
      <c r="C17" s="8" t="s">
        <v>1533</v>
      </c>
      <c r="D17" s="116">
        <f>+PAGE2!H42</f>
        <v>71629</v>
      </c>
      <c r="E17" s="116"/>
      <c r="F17" s="116">
        <f>+PAGE2!J42</f>
        <v>141173</v>
      </c>
      <c r="G17" s="116"/>
      <c r="H17" s="116">
        <f>+PAGE2!L42</f>
        <v>7111003</v>
      </c>
      <c r="I17" s="116"/>
      <c r="J17" s="116">
        <f>+PAGE2!N42</f>
        <v>4049506</v>
      </c>
    </row>
    <row r="18" spans="2:10" ht="16.5">
      <c r="B18" s="136" t="s">
        <v>1646</v>
      </c>
      <c r="C18" s="8" t="s">
        <v>1534</v>
      </c>
      <c r="D18" s="116">
        <f>+PAGE2!H43</f>
        <v>144424</v>
      </c>
      <c r="E18" s="116"/>
      <c r="F18" s="116">
        <f>+PAGE2!J43</f>
        <v>664092</v>
      </c>
      <c r="G18" s="116"/>
      <c r="H18" s="116">
        <f>+PAGE2!L43</f>
        <v>5623194</v>
      </c>
      <c r="I18" s="116"/>
      <c r="J18" s="116">
        <f>+PAGE2!N43</f>
        <v>23192968</v>
      </c>
    </row>
    <row r="19" spans="2:10" ht="16.5">
      <c r="B19" s="136" t="s">
        <v>1649</v>
      </c>
      <c r="C19" s="8" t="s">
        <v>1536</v>
      </c>
      <c r="D19" s="116">
        <f>+PAGE2!H44</f>
        <v>132785</v>
      </c>
      <c r="E19" s="116"/>
      <c r="F19" s="116">
        <f>+PAGE2!J44</f>
        <v>1440246</v>
      </c>
      <c r="G19" s="116"/>
      <c r="H19" s="116">
        <f>+PAGE2!L44</f>
        <v>5264089</v>
      </c>
      <c r="I19" s="116"/>
      <c r="J19" s="116">
        <f>+PAGE2!N44</f>
        <v>70348520</v>
      </c>
    </row>
    <row r="20" spans="3:10" ht="15">
      <c r="C20" s="8" t="s">
        <v>1537</v>
      </c>
      <c r="D20" s="143">
        <f>+PAGE2!H45</f>
        <v>960076</v>
      </c>
      <c r="E20" s="116"/>
      <c r="F20" s="143">
        <f>+PAGE2!J45</f>
        <v>110244</v>
      </c>
      <c r="G20" s="116"/>
      <c r="H20" s="143">
        <f>+PAGE2!L45</f>
        <v>25662436</v>
      </c>
      <c r="I20" s="116"/>
      <c r="J20" s="143">
        <f>+PAGE2!N45</f>
        <v>4551738</v>
      </c>
    </row>
    <row r="21" spans="3:10" ht="15">
      <c r="C21" s="8" t="s">
        <v>1642</v>
      </c>
      <c r="D21" s="116">
        <f>SUM(D16:D20)</f>
        <v>2564648</v>
      </c>
      <c r="E21" s="116"/>
      <c r="F21" s="116">
        <f>SUM(F16:F20)</f>
        <v>2564648</v>
      </c>
      <c r="G21" s="116"/>
      <c r="H21" s="116">
        <f>SUM(H16:H20)</f>
        <v>110788436</v>
      </c>
      <c r="I21" s="116"/>
      <c r="J21" s="116">
        <f>SUM(J16:J20)</f>
        <v>110788436</v>
      </c>
    </row>
    <row r="22" spans="4:10" ht="15">
      <c r="D22" s="115"/>
      <c r="E22" s="115"/>
      <c r="F22" s="115"/>
      <c r="G22" s="115"/>
      <c r="H22" s="115"/>
      <c r="I22" s="115"/>
      <c r="J22" s="115"/>
    </row>
    <row r="23" spans="1:10" ht="16.5">
      <c r="A23" s="8" t="s">
        <v>1747</v>
      </c>
      <c r="B23" s="136" t="s">
        <v>1748</v>
      </c>
      <c r="C23" s="8" t="s">
        <v>1532</v>
      </c>
      <c r="D23" s="115">
        <f>+D9-D16</f>
        <v>15753</v>
      </c>
      <c r="E23" s="115"/>
      <c r="F23" s="115">
        <f>+F9-F16</f>
        <v>14803</v>
      </c>
      <c r="G23" s="115"/>
      <c r="H23" s="115">
        <f>+H9-H16</f>
        <v>-2846774</v>
      </c>
      <c r="I23" s="115"/>
      <c r="J23" s="115">
        <f>+J9-J16</f>
        <v>273564.48999999836</v>
      </c>
    </row>
    <row r="24" spans="2:10" ht="16.5">
      <c r="B24" s="136" t="s">
        <v>1749</v>
      </c>
      <c r="C24" s="8" t="s">
        <v>1533</v>
      </c>
      <c r="D24" s="115">
        <f>+D10-D17</f>
        <v>-1368</v>
      </c>
      <c r="E24" s="115"/>
      <c r="F24" s="115">
        <f>+F10-F17</f>
        <v>3970</v>
      </c>
      <c r="G24" s="115"/>
      <c r="H24" s="115">
        <f>+H10-H17</f>
        <v>-534297</v>
      </c>
      <c r="I24" s="115"/>
      <c r="J24" s="115">
        <f>+J10-J17</f>
        <v>74901</v>
      </c>
    </row>
    <row r="25" spans="2:10" ht="16.5">
      <c r="B25" s="136" t="s">
        <v>1750</v>
      </c>
      <c r="C25" s="8" t="s">
        <v>1534</v>
      </c>
      <c r="D25" s="115">
        <f>+D11-D18</f>
        <v>-3127</v>
      </c>
      <c r="E25" s="115"/>
      <c r="F25" s="115">
        <f>+F11-F18</f>
        <v>-2104</v>
      </c>
      <c r="G25" s="115"/>
      <c r="H25" s="115">
        <f>+H11-H18</f>
        <v>-734437</v>
      </c>
      <c r="I25" s="115"/>
      <c r="J25" s="115">
        <f>+J11-J18</f>
        <v>-264657</v>
      </c>
    </row>
    <row r="26" spans="2:10" ht="16.5">
      <c r="B26" s="142" t="s">
        <v>1751</v>
      </c>
      <c r="C26" s="8" t="s">
        <v>1536</v>
      </c>
      <c r="D26" s="115">
        <f>+D12-D19</f>
        <v>18038</v>
      </c>
      <c r="E26" s="115"/>
      <c r="F26" s="115">
        <f>+F12-F19</f>
        <v>14281</v>
      </c>
      <c r="G26" s="115"/>
      <c r="H26" s="115">
        <f>+H12-H19</f>
        <v>235304.5700000003</v>
      </c>
      <c r="I26" s="115"/>
      <c r="J26" s="115">
        <f>+J12-J19</f>
        <v>-3999173</v>
      </c>
    </row>
    <row r="27" spans="2:10" ht="16.5">
      <c r="B27" s="142"/>
      <c r="C27" s="8" t="s">
        <v>1537</v>
      </c>
      <c r="D27" s="144">
        <f>+D13-D20</f>
        <v>42683</v>
      </c>
      <c r="E27" s="115"/>
      <c r="F27" s="144">
        <f>+F13-F20</f>
        <v>41029</v>
      </c>
      <c r="G27" s="115"/>
      <c r="H27" s="144">
        <f>+H13-H20</f>
        <v>341607</v>
      </c>
      <c r="I27" s="115"/>
      <c r="J27" s="144">
        <f>+J13-J20</f>
        <v>376769</v>
      </c>
    </row>
    <row r="28" spans="2:10" ht="16.5">
      <c r="B28" s="142"/>
      <c r="C28" s="8" t="s">
        <v>1642</v>
      </c>
      <c r="D28" s="115">
        <f>SUM(D23:D27)</f>
        <v>71979</v>
      </c>
      <c r="E28" s="115"/>
      <c r="F28" s="115">
        <f>SUM(F23:F27)</f>
        <v>71979</v>
      </c>
      <c r="G28" s="115"/>
      <c r="H28" s="115">
        <f>SUM(H23:H27)</f>
        <v>-3538596.4299999997</v>
      </c>
      <c r="I28" s="115"/>
      <c r="J28" s="115">
        <f>SUM(J23:J27)</f>
        <v>-3538595.5100000016</v>
      </c>
    </row>
    <row r="30" spans="1:10" ht="16.5">
      <c r="A30" s="8" t="s">
        <v>1752</v>
      </c>
      <c r="B30" s="199" t="s">
        <v>632</v>
      </c>
      <c r="F30" s="8" t="s">
        <v>1532</v>
      </c>
      <c r="H30" s="115">
        <f>'APPVI PG1'!M15</f>
        <v>0</v>
      </c>
      <c r="J30" s="115">
        <f>'APPVI PG1'!O15</f>
        <v>4190</v>
      </c>
    </row>
    <row r="31" spans="2:10" ht="16.5">
      <c r="B31" s="145" t="s">
        <v>633</v>
      </c>
      <c r="F31" s="8" t="s">
        <v>1533</v>
      </c>
      <c r="H31" s="115">
        <f>'APPVI PG1'!M16</f>
        <v>0</v>
      </c>
      <c r="J31" s="115">
        <f>'APPVI PG1'!O16</f>
        <v>844</v>
      </c>
    </row>
    <row r="32" spans="2:10" ht="16.5">
      <c r="B32" s="145" t="s">
        <v>634</v>
      </c>
      <c r="F32" s="8" t="s">
        <v>1534</v>
      </c>
      <c r="H32" s="115">
        <f>'APPVI PG1'!M17</f>
        <v>0</v>
      </c>
      <c r="J32" s="115">
        <f>'APPVI PG1'!O17</f>
        <v>2149</v>
      </c>
    </row>
    <row r="33" spans="2:10" ht="15">
      <c r="B33" s="8" t="s">
        <v>1754</v>
      </c>
      <c r="F33" s="8" t="s">
        <v>1536</v>
      </c>
      <c r="H33" s="115">
        <f>'APPVI PG1'!M18</f>
        <v>9406</v>
      </c>
      <c r="J33" s="115">
        <f>'APPVI PG1'!O18</f>
        <v>0</v>
      </c>
    </row>
    <row r="34" spans="2:10" ht="15">
      <c r="B34" s="146"/>
      <c r="F34" s="8" t="s">
        <v>1537</v>
      </c>
      <c r="H34" s="144">
        <f>'APPVI PG1'!M19</f>
        <v>0</v>
      </c>
      <c r="J34" s="144">
        <f>'APPVI PG1'!O19</f>
        <v>2223</v>
      </c>
    </row>
    <row r="35" spans="6:10" ht="15">
      <c r="F35" s="8" t="s">
        <v>1642</v>
      </c>
      <c r="H35" s="115">
        <f>SUM(H30:H34)</f>
        <v>9406</v>
      </c>
      <c r="J35" s="115">
        <f>SUM(J30:J34)</f>
        <v>9406</v>
      </c>
    </row>
    <row r="36" spans="8:10" ht="15">
      <c r="H36" s="115"/>
      <c r="I36" s="115"/>
      <c r="J36" s="115"/>
    </row>
    <row r="37" spans="1:11" ht="16.5">
      <c r="A37" s="8" t="s">
        <v>1759</v>
      </c>
      <c r="B37" s="145" t="s">
        <v>625</v>
      </c>
      <c r="F37" s="8" t="s">
        <v>1532</v>
      </c>
      <c r="H37" s="116">
        <f>PAGE6B!P29</f>
        <v>-405</v>
      </c>
      <c r="I37" s="116"/>
      <c r="J37" s="116">
        <v>0</v>
      </c>
      <c r="K37" s="3"/>
    </row>
    <row r="38" spans="2:11" ht="16.5">
      <c r="B38" s="145" t="s">
        <v>624</v>
      </c>
      <c r="F38" s="8" t="s">
        <v>1533</v>
      </c>
      <c r="H38" s="116">
        <f>PAGE6B!P31</f>
        <v>-82</v>
      </c>
      <c r="I38" s="116"/>
      <c r="J38" s="116">
        <v>0</v>
      </c>
      <c r="K38" s="3"/>
    </row>
    <row r="39" spans="2:11" ht="16.5">
      <c r="B39" s="145" t="s">
        <v>630</v>
      </c>
      <c r="F39" s="8" t="s">
        <v>1534</v>
      </c>
      <c r="H39" s="116">
        <f>PAGE6B!P33</f>
        <v>-208</v>
      </c>
      <c r="I39" s="116"/>
      <c r="J39" s="116">
        <v>0</v>
      </c>
      <c r="K39" s="3"/>
    </row>
    <row r="40" spans="2:11" ht="15">
      <c r="B40" s="8" t="s">
        <v>631</v>
      </c>
      <c r="F40" s="8" t="s">
        <v>1536</v>
      </c>
      <c r="H40" s="116">
        <f>PAGE6B!P34</f>
        <v>-267</v>
      </c>
      <c r="I40" s="116"/>
      <c r="J40" s="116">
        <v>0</v>
      </c>
      <c r="K40" s="3"/>
    </row>
    <row r="41" spans="2:11" ht="15">
      <c r="B41" s="3"/>
      <c r="F41" s="8" t="s">
        <v>1537</v>
      </c>
      <c r="H41" s="116">
        <f>PAGE6B!P35</f>
        <v>-214</v>
      </c>
      <c r="I41" s="116"/>
      <c r="J41" s="116">
        <v>0</v>
      </c>
      <c r="K41" s="3"/>
    </row>
    <row r="42" spans="6:11" ht="15">
      <c r="F42" s="8" t="s">
        <v>622</v>
      </c>
      <c r="H42" s="143">
        <v>0</v>
      </c>
      <c r="I42" s="116"/>
      <c r="J42" s="143">
        <f>SUM(H37:H41)</f>
        <v>-1176</v>
      </c>
      <c r="K42" s="3"/>
    </row>
    <row r="43" spans="6:11" ht="15">
      <c r="F43" s="8" t="s">
        <v>1642</v>
      </c>
      <c r="H43" s="115">
        <f>SUM(H37:H42)</f>
        <v>-1176</v>
      </c>
      <c r="I43" s="115"/>
      <c r="J43" s="115">
        <f>SUM(J37:J42)</f>
        <v>-1176</v>
      </c>
      <c r="K43" s="3"/>
    </row>
    <row r="44" spans="8:11" ht="15">
      <c r="H44" s="115"/>
      <c r="I44" s="115"/>
      <c r="J44" s="115"/>
      <c r="K44" s="3"/>
    </row>
    <row r="45" spans="1:11" ht="16.5">
      <c r="A45" s="8" t="s">
        <v>1761</v>
      </c>
      <c r="B45" s="145" t="s">
        <v>1715</v>
      </c>
      <c r="F45" s="3" t="s">
        <v>1532</v>
      </c>
      <c r="H45" s="116">
        <f>IF('APP IX (PJM)'!C$156&lt;0,0,'APP IX (PJM)'!C$156)</f>
        <v>0</v>
      </c>
      <c r="I45" s="116"/>
      <c r="J45" s="116">
        <f>IF('APP IX (PJM)'!C$156&gt;0,0,('APP IX (PJM)'!C$156)*-1)</f>
        <v>175252.5</v>
      </c>
      <c r="K45" s="3"/>
    </row>
    <row r="46" spans="2:11" ht="16.5">
      <c r="B46" s="266" t="s">
        <v>1716</v>
      </c>
      <c r="F46" s="3" t="s">
        <v>1533</v>
      </c>
      <c r="H46" s="116">
        <f>IF('APP IX (PJM)'!D$156&lt;0,0,'APP IX (PJM)'!D$156)</f>
        <v>0</v>
      </c>
      <c r="I46" s="116"/>
      <c r="J46" s="116">
        <f>IF('APP IX (PJM)'!D$156&gt;0,0,('APP IX (PJM)'!D$156)*-1)</f>
        <v>55812.22999999998</v>
      </c>
      <c r="K46" s="3"/>
    </row>
    <row r="47" spans="2:11" ht="16.5">
      <c r="B47" s="266" t="s">
        <v>1708</v>
      </c>
      <c r="F47" s="3" t="s">
        <v>1534</v>
      </c>
      <c r="H47" s="116">
        <f>IF('APP IX (PJM)'!E$156&lt;0,0,'APP IX (PJM)'!E$156)</f>
        <v>0</v>
      </c>
      <c r="I47" s="116"/>
      <c r="J47" s="116">
        <f>IF('APP IX (PJM)'!E$156&gt;0,0,('APP IX (PJM)'!E$156)*-1)</f>
        <v>162256.49</v>
      </c>
      <c r="K47" s="3"/>
    </row>
    <row r="48" spans="2:11" ht="16.5">
      <c r="B48" s="145" t="s">
        <v>630</v>
      </c>
      <c r="F48" s="3" t="s">
        <v>1536</v>
      </c>
      <c r="H48" s="116">
        <f>IF('APP IX (PJM)'!F$156&lt;0,0,'APP IX (PJM)'!F$156)</f>
        <v>0</v>
      </c>
      <c r="I48" s="116"/>
      <c r="J48" s="116">
        <f>IF('APP IX (PJM)'!F$156&gt;0,0,('APP IX (PJM)'!F$156)*-1)</f>
        <v>182857.19999999995</v>
      </c>
      <c r="K48" s="3"/>
    </row>
    <row r="49" spans="2:11" ht="15">
      <c r="B49" s="311" t="s">
        <v>1709</v>
      </c>
      <c r="F49" s="3" t="s">
        <v>1537</v>
      </c>
      <c r="H49" s="116">
        <f>IF('APP IX (PJM)'!G$156&lt;0,0,'APP IX (PJM)'!G$156)</f>
        <v>0</v>
      </c>
      <c r="I49" s="116"/>
      <c r="J49" s="116">
        <f>IF('APP IX (PJM)'!G$156&gt;0,0,('APP IX (PJM)'!G$156)*-1)</f>
        <v>159857.8700000001</v>
      </c>
      <c r="K49" s="3"/>
    </row>
    <row r="50" spans="6:11" ht="15">
      <c r="F50" s="3" t="s">
        <v>163</v>
      </c>
      <c r="H50" s="143">
        <f>SUM(J45:J49)</f>
        <v>736036.29</v>
      </c>
      <c r="I50" s="116"/>
      <c r="J50" s="143">
        <f>SUM(H45:H49)</f>
        <v>0</v>
      </c>
      <c r="K50" s="3"/>
    </row>
    <row r="51" spans="6:11" ht="15">
      <c r="F51" s="3" t="s">
        <v>1642</v>
      </c>
      <c r="H51" s="116">
        <f>SUM(H45:H50)</f>
        <v>736036.29</v>
      </c>
      <c r="I51" s="116"/>
      <c r="J51" s="116">
        <f>SUM(J45:J50)</f>
        <v>736036.29</v>
      </c>
      <c r="K51" s="3"/>
    </row>
    <row r="52" spans="8:11" ht="15">
      <c r="H52" s="116"/>
      <c r="I52" s="116"/>
      <c r="J52" s="116"/>
      <c r="K52" s="3"/>
    </row>
    <row r="53" spans="1:11" ht="16.5">
      <c r="A53" s="8" t="s">
        <v>623</v>
      </c>
      <c r="B53" s="145" t="s">
        <v>1715</v>
      </c>
      <c r="F53" s="3" t="s">
        <v>1532</v>
      </c>
      <c r="H53" s="116">
        <f>IF('APP IX (PJM)'!C$231&lt;0,0,'APP IX (PJM)'!C$231)</f>
        <v>0</v>
      </c>
      <c r="I53" s="116"/>
      <c r="J53" s="116">
        <f>IF('APP IX (PJM)'!C$231&gt;0,0,('APP IX (PJM)'!C$231)*-1)</f>
        <v>54360</v>
      </c>
      <c r="K53" s="3"/>
    </row>
    <row r="54" spans="2:11" ht="16.5">
      <c r="B54" s="145" t="s">
        <v>1717</v>
      </c>
      <c r="F54" s="3" t="s">
        <v>1533</v>
      </c>
      <c r="H54" s="116">
        <f>IF('APP IX (PJM)'!D$231&lt;0,0,'APP IX (PJM)'!D$231)</f>
        <v>0</v>
      </c>
      <c r="I54" s="116"/>
      <c r="J54" s="116">
        <f>IF('APP IX (PJM)'!D$231&gt;0,0,('APP IX (PJM)'!D$231)*-1)</f>
        <v>10953</v>
      </c>
      <c r="K54" s="3"/>
    </row>
    <row r="55" spans="2:11" ht="16.5">
      <c r="B55" s="145" t="s">
        <v>630</v>
      </c>
      <c r="F55" s="3" t="s">
        <v>1534</v>
      </c>
      <c r="H55" s="116">
        <f>IF('APP IX (PJM)'!E$231&lt;0,0,'APP IX (PJM)'!E$231)</f>
        <v>0</v>
      </c>
      <c r="I55" s="116"/>
      <c r="J55" s="116">
        <f>IF('APP IX (PJM)'!E$231&gt;0,0,('APP IX (PJM)'!E$231)*-1)</f>
        <v>27901</v>
      </c>
      <c r="K55" s="3"/>
    </row>
    <row r="56" spans="2:11" ht="15">
      <c r="B56" s="311" t="s">
        <v>1709</v>
      </c>
      <c r="F56" s="3" t="s">
        <v>1536</v>
      </c>
      <c r="H56" s="116">
        <f>IF('APP IX (PJM)'!F$231&lt;0,0,'APP IX (PJM)'!F$231)</f>
        <v>0</v>
      </c>
      <c r="I56" s="116"/>
      <c r="J56" s="116">
        <f>IF('APP IX (PJM)'!F$231&gt;0,0,('APP IX (PJM)'!F$231)*-1)</f>
        <v>35713</v>
      </c>
      <c r="K56" s="3"/>
    </row>
    <row r="57" spans="6:11" ht="15">
      <c r="F57" s="3" t="s">
        <v>1537</v>
      </c>
      <c r="H57" s="116">
        <f>IF('APP IX (PJM)'!G$231&lt;0,0,'APP IX (PJM)'!G$231)</f>
        <v>0</v>
      </c>
      <c r="I57" s="116"/>
      <c r="J57" s="116">
        <f>IF('APP IX (PJM)'!G$231&gt;0,0,('APP IX (PJM)'!G$231)*-1)</f>
        <v>28830</v>
      </c>
      <c r="K57" s="3"/>
    </row>
    <row r="58" spans="6:11" ht="15">
      <c r="F58" s="3" t="s">
        <v>163</v>
      </c>
      <c r="H58" s="143">
        <f>SUM(J53:J57)</f>
        <v>157757</v>
      </c>
      <c r="I58" s="116"/>
      <c r="J58" s="143">
        <f>SUM(H53:H57)</f>
        <v>0</v>
      </c>
      <c r="K58" s="3"/>
    </row>
    <row r="59" spans="6:11" ht="15">
      <c r="F59" s="3" t="s">
        <v>1642</v>
      </c>
      <c r="H59" s="116">
        <f>SUM(H53:H58)</f>
        <v>157757</v>
      </c>
      <c r="I59" s="116"/>
      <c r="J59" s="116">
        <f>SUM(J53:J58)</f>
        <v>157757</v>
      </c>
      <c r="K59" s="3"/>
    </row>
    <row r="60" spans="8:11" ht="15">
      <c r="H60" s="116"/>
      <c r="I60" s="116"/>
      <c r="J60" s="116"/>
      <c r="K60" s="3"/>
    </row>
    <row r="61" spans="1:10" ht="15">
      <c r="A61" s="201"/>
      <c r="B61" s="201"/>
      <c r="C61" s="201"/>
      <c r="D61" s="201"/>
      <c r="E61" s="201"/>
      <c r="F61" s="201"/>
      <c r="G61" s="201"/>
      <c r="H61" s="34"/>
      <c r="I61" s="34"/>
      <c r="J61" s="34"/>
    </row>
    <row r="62" spans="2:10" ht="16.5">
      <c r="B62" s="136" t="s">
        <v>1729</v>
      </c>
      <c r="C62" s="137" t="str">
        <f>INPUT!C1</f>
        <v>February 2009</v>
      </c>
      <c r="H62" s="3"/>
      <c r="I62" s="3"/>
      <c r="J62" s="171" t="s">
        <v>1714</v>
      </c>
    </row>
    <row r="63" spans="8:10" ht="15">
      <c r="H63" s="3"/>
      <c r="I63" s="3"/>
      <c r="J63" s="3"/>
    </row>
    <row r="64" spans="8:10" ht="15">
      <c r="H64" s="3"/>
      <c r="I64" s="3"/>
      <c r="J64" s="3"/>
    </row>
    <row r="65" spans="8:10" ht="16.5">
      <c r="H65" s="536"/>
      <c r="I65" s="172" t="s">
        <v>1731</v>
      </c>
      <c r="J65" s="536"/>
    </row>
    <row r="66" spans="8:10" ht="16.5">
      <c r="H66" s="171" t="s">
        <v>1737</v>
      </c>
      <c r="I66" s="171"/>
      <c r="J66" s="171" t="s">
        <v>1737</v>
      </c>
    </row>
    <row r="67" spans="8:10" ht="16.5">
      <c r="H67" s="171" t="s">
        <v>1738</v>
      </c>
      <c r="I67" s="171"/>
      <c r="J67" s="171" t="s">
        <v>1739</v>
      </c>
    </row>
    <row r="68" spans="8:10" ht="16.5">
      <c r="H68" s="172" t="s">
        <v>1741</v>
      </c>
      <c r="I68" s="178"/>
      <c r="J68" s="172" t="s">
        <v>1742</v>
      </c>
    </row>
    <row r="69" spans="8:10" ht="16.5">
      <c r="H69" s="537"/>
      <c r="I69" s="178"/>
      <c r="J69" s="537"/>
    </row>
    <row r="70" spans="1:11" ht="16.5">
      <c r="A70" s="8" t="s">
        <v>52</v>
      </c>
      <c r="B70" s="145" t="s">
        <v>1718</v>
      </c>
      <c r="F70" s="3" t="s">
        <v>1532</v>
      </c>
      <c r="H70" s="116">
        <f>IF('APP X (PASS-THROUGH)'!C$214&lt;0,0,'APP X (PASS-THROUGH)'!C$214)</f>
        <v>228830</v>
      </c>
      <c r="I70" s="116"/>
      <c r="J70" s="116">
        <f>IF('APP X (PASS-THROUGH)'!C$214&gt;0,0,('APP X (PASS-THROUGH)'!C$214)*-1)</f>
        <v>0</v>
      </c>
      <c r="K70" s="3"/>
    </row>
    <row r="71" spans="2:11" ht="16.5">
      <c r="B71" s="145" t="s">
        <v>1719</v>
      </c>
      <c r="F71" s="3" t="s">
        <v>1533</v>
      </c>
      <c r="H71" s="116">
        <f>IF('APP X (PASS-THROUGH)'!D$214&lt;0,0,'APP X (PASS-THROUGH)'!D$214)</f>
        <v>51116</v>
      </c>
      <c r="I71" s="116"/>
      <c r="J71" s="116">
        <f>IF('APP X (PASS-THROUGH)'!D$214&gt;0,0,('APP X (PASS-THROUGH)'!D$214)*-1)</f>
        <v>0</v>
      </c>
      <c r="K71" s="3"/>
    </row>
    <row r="72" spans="2:11" ht="16.5">
      <c r="B72" s="145" t="s">
        <v>1720</v>
      </c>
      <c r="F72" s="3" t="s">
        <v>1534</v>
      </c>
      <c r="H72" s="116">
        <f>IF('APP X (PASS-THROUGH)'!E$214&lt;0,0,'APP X (PASS-THROUGH)'!E$214)</f>
        <v>117777</v>
      </c>
      <c r="I72" s="116"/>
      <c r="J72" s="116">
        <f>IF('APP X (PASS-THROUGH)'!E$214&gt;0,0,('APP X (PASS-THROUGH)'!E$214)*-1)</f>
        <v>0</v>
      </c>
      <c r="K72" s="3"/>
    </row>
    <row r="73" spans="2:11" ht="16.5">
      <c r="B73" s="145" t="s">
        <v>630</v>
      </c>
      <c r="F73" s="3" t="s">
        <v>1536</v>
      </c>
      <c r="H73" s="116">
        <f>IF('APP X (PASS-THROUGH)'!F$214&lt;0,0,'APP X (PASS-THROUGH)'!F$214)</f>
        <v>150223</v>
      </c>
      <c r="I73" s="116"/>
      <c r="J73" s="116">
        <f>IF('APP X (PASS-THROUGH)'!F$214&gt;0,0,('APP X (PASS-THROUGH)'!F$214)*-1)</f>
        <v>0</v>
      </c>
      <c r="K73" s="3"/>
    </row>
    <row r="74" spans="2:11" ht="15">
      <c r="B74" s="311" t="s">
        <v>1710</v>
      </c>
      <c r="F74" s="3" t="s">
        <v>1537</v>
      </c>
      <c r="H74" s="116">
        <f>IF('APP X (PASS-THROUGH)'!G$214&lt;0,0,'APP X (PASS-THROUGH)'!G$214)</f>
        <v>123543</v>
      </c>
      <c r="I74" s="116"/>
      <c r="J74" s="116">
        <f>IF('APP X (PASS-THROUGH)'!G$214&gt;0,0,('APP X (PASS-THROUGH)'!G$214)*-1)</f>
        <v>0</v>
      </c>
      <c r="K74" s="3"/>
    </row>
    <row r="75" spans="6:11" ht="15">
      <c r="F75" s="3" t="s">
        <v>163</v>
      </c>
      <c r="H75" s="143">
        <f>SUM(J70:J74)</f>
        <v>0</v>
      </c>
      <c r="I75" s="116"/>
      <c r="J75" s="143">
        <f>SUM(H70:H74)</f>
        <v>671489</v>
      </c>
      <c r="K75" s="3"/>
    </row>
    <row r="76" spans="6:11" ht="15">
      <c r="F76" s="3" t="s">
        <v>1642</v>
      </c>
      <c r="H76" s="116">
        <f>SUM(H70:H75)</f>
        <v>671489</v>
      </c>
      <c r="I76" s="116"/>
      <c r="J76" s="116">
        <f>SUM(J70:J75)</f>
        <v>671489</v>
      </c>
      <c r="K76" s="3"/>
    </row>
    <row r="77" spans="1:11" ht="15">
      <c r="A77" s="201"/>
      <c r="B77" s="201"/>
      <c r="C77" s="201"/>
      <c r="D77" s="201"/>
      <c r="E77" s="201"/>
      <c r="F77" s="201"/>
      <c r="G77" s="201"/>
      <c r="H77" s="34"/>
      <c r="I77" s="34"/>
      <c r="J77" s="34"/>
      <c r="K77" s="3"/>
    </row>
    <row r="78" spans="1:11" ht="16.5">
      <c r="A78" s="8" t="s">
        <v>1712</v>
      </c>
      <c r="B78" s="145" t="s">
        <v>1721</v>
      </c>
      <c r="F78" s="3" t="s">
        <v>1532</v>
      </c>
      <c r="H78" s="116">
        <v>0</v>
      </c>
      <c r="I78" s="116"/>
      <c r="J78" s="116">
        <v>0</v>
      </c>
      <c r="K78" s="3"/>
    </row>
    <row r="79" spans="2:11" ht="16.5">
      <c r="B79" s="145" t="s">
        <v>1722</v>
      </c>
      <c r="F79" s="3" t="s">
        <v>1533</v>
      </c>
      <c r="H79" s="116">
        <v>0</v>
      </c>
      <c r="I79" s="116"/>
      <c r="J79" s="116">
        <v>0</v>
      </c>
      <c r="K79" s="3"/>
    </row>
    <row r="80" spans="2:11" ht="16.5">
      <c r="B80" s="145" t="s">
        <v>630</v>
      </c>
      <c r="F80" s="3" t="s">
        <v>1534</v>
      </c>
      <c r="H80" s="116">
        <v>0</v>
      </c>
      <c r="I80" s="116"/>
      <c r="J80" s="116">
        <v>0</v>
      </c>
      <c r="K80" s="3"/>
    </row>
    <row r="81" spans="2:11" ht="15">
      <c r="B81" s="311" t="s">
        <v>1710</v>
      </c>
      <c r="F81" s="3" t="s">
        <v>1536</v>
      </c>
      <c r="H81" s="116">
        <v>0</v>
      </c>
      <c r="I81" s="116"/>
      <c r="J81" s="116">
        <v>0</v>
      </c>
      <c r="K81" s="3"/>
    </row>
    <row r="82" spans="6:11" ht="15">
      <c r="F82" s="3" t="s">
        <v>1537</v>
      </c>
      <c r="H82" s="116">
        <v>0</v>
      </c>
      <c r="I82" s="116"/>
      <c r="J82" s="116">
        <v>0</v>
      </c>
      <c r="K82" s="3"/>
    </row>
    <row r="83" spans="6:11" ht="15">
      <c r="F83" s="3" t="s">
        <v>163</v>
      </c>
      <c r="H83" s="143">
        <v>0</v>
      </c>
      <c r="I83" s="116"/>
      <c r="J83" s="143">
        <f>SUM(H78:H82)</f>
        <v>0</v>
      </c>
      <c r="K83" s="3"/>
    </row>
    <row r="84" spans="6:11" ht="15">
      <c r="F84" s="3" t="s">
        <v>1642</v>
      </c>
      <c r="H84" s="116">
        <f>SUM(H78:H83)</f>
        <v>0</v>
      </c>
      <c r="I84" s="116"/>
      <c r="J84" s="116">
        <f>SUM(J78:J83)</f>
        <v>0</v>
      </c>
      <c r="K84" s="3"/>
    </row>
    <row r="85" spans="1:11" ht="15">
      <c r="A85" s="138"/>
      <c r="B85" s="138"/>
      <c r="C85" s="138"/>
      <c r="D85" s="138"/>
      <c r="E85" s="138"/>
      <c r="F85" s="536"/>
      <c r="G85" s="138"/>
      <c r="H85" s="143"/>
      <c r="I85" s="143"/>
      <c r="J85" s="143"/>
      <c r="K85" s="3"/>
    </row>
    <row r="86" spans="8:10" ht="15">
      <c r="H86" s="115"/>
      <c r="I86" s="115"/>
      <c r="J86" s="115"/>
    </row>
    <row r="87" spans="1:10" ht="16.5">
      <c r="A87" s="8" t="s">
        <v>1713</v>
      </c>
      <c r="B87" s="145" t="s">
        <v>1753</v>
      </c>
      <c r="F87" s="8" t="s">
        <v>1532</v>
      </c>
      <c r="H87" s="116">
        <f>+'APPVI PG1'!E48</f>
        <v>0</v>
      </c>
      <c r="I87" s="116"/>
      <c r="J87" s="116">
        <f>+'APPVI PG1'!G48</f>
        <v>16671430</v>
      </c>
    </row>
    <row r="88" spans="2:10" ht="15">
      <c r="B88" s="141" t="s">
        <v>1754</v>
      </c>
      <c r="F88" s="8" t="s">
        <v>1533</v>
      </c>
      <c r="H88" s="116">
        <f>+'APPVI PG1'!E49</f>
        <v>0</v>
      </c>
      <c r="I88" s="116"/>
      <c r="J88" s="116">
        <f>+'APPVI PG1'!G49</f>
        <v>3359035</v>
      </c>
    </row>
    <row r="89" spans="2:10" ht="15">
      <c r="B89" s="141" t="s">
        <v>1755</v>
      </c>
      <c r="F89" s="8" t="s">
        <v>1534</v>
      </c>
      <c r="H89" s="116">
        <f>+'APPVI PG1'!E50</f>
        <v>0</v>
      </c>
      <c r="I89" s="116"/>
      <c r="J89" s="116">
        <f>+'APPVI PG1'!G50</f>
        <v>8556128</v>
      </c>
    </row>
    <row r="90" spans="2:10" ht="15">
      <c r="B90" s="141" t="s">
        <v>1756</v>
      </c>
      <c r="F90" s="8" t="s">
        <v>1536</v>
      </c>
      <c r="H90" s="116">
        <f>+'APPVI PG1'!E51</f>
        <v>0</v>
      </c>
      <c r="I90" s="116"/>
      <c r="J90" s="116">
        <f>+'APPVI PG1'!G51</f>
        <v>10952232</v>
      </c>
    </row>
    <row r="91" spans="2:10" ht="15">
      <c r="B91" s="141" t="s">
        <v>1757</v>
      </c>
      <c r="F91" s="8" t="s">
        <v>1537</v>
      </c>
      <c r="H91" s="116">
        <f>+'APPVI PG1'!E52</f>
        <v>0</v>
      </c>
      <c r="I91" s="116"/>
      <c r="J91" s="116">
        <f>+'APPVI PG1'!G52</f>
        <v>8841025</v>
      </c>
    </row>
    <row r="92" spans="2:10" ht="15">
      <c r="B92" s="141" t="s">
        <v>1758</v>
      </c>
      <c r="F92" s="3" t="s">
        <v>1689</v>
      </c>
      <c r="H92" s="143">
        <f>+'APPVI PG1'!E53</f>
        <v>48379850</v>
      </c>
      <c r="I92" s="116"/>
      <c r="J92" s="143">
        <f>+'APPVI PG1'!G53</f>
        <v>0</v>
      </c>
    </row>
    <row r="93" spans="2:10" ht="15">
      <c r="B93" s="141"/>
      <c r="F93" s="8" t="s">
        <v>1642</v>
      </c>
      <c r="H93" s="116">
        <f>SUM(H87:H92)</f>
        <v>48379850</v>
      </c>
      <c r="I93" s="116"/>
      <c r="J93" s="116">
        <f>SUM(J87:J92)</f>
        <v>48379850</v>
      </c>
    </row>
    <row r="94" spans="2:10" ht="15">
      <c r="B94" s="141"/>
      <c r="H94" s="116"/>
      <c r="I94" s="116"/>
      <c r="J94" s="116"/>
    </row>
    <row r="95" spans="1:10" ht="16.5">
      <c r="A95" s="8" t="s">
        <v>1512</v>
      </c>
      <c r="B95" s="145" t="s">
        <v>1760</v>
      </c>
      <c r="F95" s="8" t="s">
        <v>1532</v>
      </c>
      <c r="H95" s="116">
        <f>+'APPVI PG1'!I48</f>
        <v>0</v>
      </c>
      <c r="I95" s="116"/>
      <c r="J95" s="116">
        <f>+'APPVI PG1'!K48</f>
        <v>16456736</v>
      </c>
    </row>
    <row r="96" spans="2:10" ht="15">
      <c r="B96" s="141" t="s">
        <v>1754</v>
      </c>
      <c r="F96" s="8" t="s">
        <v>1533</v>
      </c>
      <c r="H96" s="116">
        <f>+'APPVI PG1'!I49</f>
        <v>0</v>
      </c>
      <c r="I96" s="116"/>
      <c r="J96" s="116">
        <f>+'APPVI PG1'!K49</f>
        <v>3315772</v>
      </c>
    </row>
    <row r="97" spans="6:10" ht="15">
      <c r="F97" s="8" t="s">
        <v>1534</v>
      </c>
      <c r="H97" s="116">
        <f>+'APPVI PG1'!I50</f>
        <v>0</v>
      </c>
      <c r="I97" s="116"/>
      <c r="J97" s="116">
        <f>+'APPVI PG1'!K50</f>
        <v>8445926</v>
      </c>
    </row>
    <row r="98" spans="6:10" ht="15">
      <c r="F98" s="8" t="s">
        <v>1536</v>
      </c>
      <c r="H98" s="116">
        <f>+'APPVI PG1'!I51</f>
        <v>0</v>
      </c>
      <c r="I98" s="116"/>
      <c r="J98" s="116">
        <f>+'APPVI PG1'!K51</f>
        <v>10811162</v>
      </c>
    </row>
    <row r="99" spans="6:10" ht="15">
      <c r="F99" s="8" t="s">
        <v>1537</v>
      </c>
      <c r="H99" s="116">
        <f>+'APPVI PG1'!I52</f>
        <v>0</v>
      </c>
      <c r="I99" s="116"/>
      <c r="J99" s="116">
        <f>+'APPVI PG1'!K52</f>
        <v>8727150</v>
      </c>
    </row>
    <row r="100" spans="6:10" ht="15">
      <c r="F100" s="3" t="s">
        <v>1689</v>
      </c>
      <c r="H100" s="143">
        <f>+'APPVI PG1'!I53</f>
        <v>47756746.41</v>
      </c>
      <c r="I100" s="116"/>
      <c r="J100" s="143">
        <f>+'APPVI PG1'!K53</f>
        <v>0</v>
      </c>
    </row>
    <row r="101" spans="6:10" ht="15">
      <c r="F101" s="8" t="s">
        <v>1642</v>
      </c>
      <c r="H101" s="116">
        <f>SUM(H95:H100)</f>
        <v>47756746.41</v>
      </c>
      <c r="I101" s="116"/>
      <c r="J101" s="116">
        <f>SUM(J95:J100)</f>
        <v>47756746</v>
      </c>
    </row>
    <row r="102" spans="2:12" ht="15">
      <c r="B102" s="3"/>
      <c r="C102" s="3"/>
      <c r="D102" s="3"/>
      <c r="E102" s="3"/>
      <c r="H102" s="115"/>
      <c r="I102" s="115"/>
      <c r="J102" s="115"/>
      <c r="K102" s="3"/>
      <c r="L102" s="3"/>
    </row>
    <row r="103" spans="1:10" ht="16.5">
      <c r="A103" s="8" t="s">
        <v>1711</v>
      </c>
      <c r="B103" s="145" t="s">
        <v>911</v>
      </c>
      <c r="F103" s="8" t="s">
        <v>1532</v>
      </c>
      <c r="H103" s="116">
        <v>0</v>
      </c>
      <c r="I103" s="116"/>
      <c r="J103" s="116">
        <f>-'APPVIII PG 3'!D$43-'APPVIII PG 4'!D$40+'APPVIII PG 2'!D$44</f>
        <v>0</v>
      </c>
    </row>
    <row r="104" spans="2:10" ht="16.5">
      <c r="B104" s="145" t="s">
        <v>910</v>
      </c>
      <c r="F104" s="8" t="s">
        <v>1533</v>
      </c>
      <c r="H104" s="116">
        <v>0</v>
      </c>
      <c r="I104" s="116"/>
      <c r="J104" s="116">
        <f>-'APPVIII PG 3'!E$43-'APPVIII PG 4'!E$40+'APPVIII PG 2'!E$44</f>
        <v>0</v>
      </c>
    </row>
    <row r="105" spans="2:10" ht="15">
      <c r="B105" s="203" t="s">
        <v>893</v>
      </c>
      <c r="F105" s="8" t="s">
        <v>1534</v>
      </c>
      <c r="H105" s="116">
        <v>0</v>
      </c>
      <c r="I105" s="116"/>
      <c r="J105" s="116">
        <f>-'APPVIII PG 3'!F$43-'APPVIII PG 4'!F$40+'APPVIII PG 2'!F$44</f>
        <v>0</v>
      </c>
    </row>
    <row r="106" spans="6:10" ht="15">
      <c r="F106" s="8" t="s">
        <v>1536</v>
      </c>
      <c r="H106" s="116">
        <v>0</v>
      </c>
      <c r="I106" s="116"/>
      <c r="J106" s="116">
        <f>-'APPVIII PG 3'!G$43-'APPVIII PG 4'!G$40+'APPVIII PG 2'!G$44</f>
        <v>0</v>
      </c>
    </row>
    <row r="107" spans="6:10" ht="15">
      <c r="F107" s="8" t="s">
        <v>1537</v>
      </c>
      <c r="H107" s="116">
        <v>0</v>
      </c>
      <c r="I107" s="116"/>
      <c r="J107" s="116">
        <f>-'APPVIII PG 3'!H$43-'APPVIII PG 4'!H$40+'APPVIII PG 2'!H$44</f>
        <v>0</v>
      </c>
    </row>
    <row r="108" spans="6:10" ht="15">
      <c r="F108" s="8" t="s">
        <v>1511</v>
      </c>
      <c r="H108" s="143">
        <f>+'APPVIII PG 2'!I44-'APPVIII PG 3'!I43-'APPVIII PG 4'!I40</f>
        <v>0</v>
      </c>
      <c r="I108" s="116"/>
      <c r="J108" s="143">
        <v>0</v>
      </c>
    </row>
    <row r="109" spans="6:10" ht="15">
      <c r="F109" s="8" t="s">
        <v>1642</v>
      </c>
      <c r="H109" s="116">
        <f>SUM(H103:H108)</f>
        <v>0</v>
      </c>
      <c r="I109" s="116"/>
      <c r="J109" s="116">
        <f>SUM(J103:J108)</f>
        <v>0</v>
      </c>
    </row>
    <row r="110" spans="2:10" ht="15">
      <c r="B110" s="141"/>
      <c r="H110" s="115"/>
      <c r="I110" s="116"/>
      <c r="J110" s="115"/>
    </row>
    <row r="111" spans="1:10" ht="16.5">
      <c r="A111" s="8" t="s">
        <v>1513</v>
      </c>
      <c r="B111" s="145" t="s">
        <v>1762</v>
      </c>
      <c r="F111" s="8" t="s">
        <v>1532</v>
      </c>
      <c r="H111" s="116">
        <f aca="true" t="shared" si="0" ref="H111:H116">IF((H87-J87)-(H95-J95)+(H103-J103)&lt;=0,0,(H87-J87)-(H95-J95)+(H103-J103))</f>
        <v>0</v>
      </c>
      <c r="I111" s="116"/>
      <c r="J111" s="116">
        <f aca="true" t="shared" si="1" ref="J111:J116">IF((J87-H87)-(J95-H95)+(J103-H103)&lt;=0,0,(J87-H87)-(J95-H95)+(J103-H103))</f>
        <v>214694</v>
      </c>
    </row>
    <row r="112" spans="2:10" ht="15">
      <c r="B112" s="141"/>
      <c r="F112" s="8" t="s">
        <v>1533</v>
      </c>
      <c r="H112" s="116">
        <f t="shared" si="0"/>
        <v>0</v>
      </c>
      <c r="I112" s="116"/>
      <c r="J112" s="116">
        <f t="shared" si="1"/>
        <v>43263</v>
      </c>
    </row>
    <row r="113" spans="6:10" ht="15">
      <c r="F113" s="8" t="s">
        <v>1534</v>
      </c>
      <c r="H113" s="116">
        <f t="shared" si="0"/>
        <v>0</v>
      </c>
      <c r="I113" s="116"/>
      <c r="J113" s="116">
        <f t="shared" si="1"/>
        <v>110202</v>
      </c>
    </row>
    <row r="114" spans="6:10" ht="15">
      <c r="F114" s="8" t="s">
        <v>1536</v>
      </c>
      <c r="H114" s="116">
        <f t="shared" si="0"/>
        <v>0</v>
      </c>
      <c r="I114" s="116"/>
      <c r="J114" s="116">
        <f t="shared" si="1"/>
        <v>141070</v>
      </c>
    </row>
    <row r="115" spans="6:10" ht="15">
      <c r="F115" s="8" t="s">
        <v>1537</v>
      </c>
      <c r="H115" s="116">
        <f>IF((H91-J91)-(H99-J99)+(H107-J107)&lt;=0,0,(H91-J91)-(H99-J99)+(H107-J107))</f>
        <v>0</v>
      </c>
      <c r="I115" s="116"/>
      <c r="J115" s="116">
        <f t="shared" si="1"/>
        <v>113875</v>
      </c>
    </row>
    <row r="116" spans="6:10" ht="15">
      <c r="F116" s="3" t="s">
        <v>1689</v>
      </c>
      <c r="H116" s="143">
        <f t="shared" si="0"/>
        <v>623103.5900000036</v>
      </c>
      <c r="I116" s="116"/>
      <c r="J116" s="143">
        <f t="shared" si="1"/>
        <v>0</v>
      </c>
    </row>
    <row r="117" spans="6:10" ht="15">
      <c r="F117" s="8" t="s">
        <v>1642</v>
      </c>
      <c r="H117" s="115">
        <f>SUM(H111:H116)</f>
        <v>623103.5900000036</v>
      </c>
      <c r="I117" s="115"/>
      <c r="J117" s="115">
        <f>SUM(J111:J116)</f>
        <v>623104</v>
      </c>
    </row>
    <row r="118" spans="1:10" ht="15">
      <c r="A118" s="3"/>
      <c r="B118" s="3"/>
      <c r="C118" s="3"/>
      <c r="D118" s="3"/>
      <c r="E118" s="3"/>
      <c r="F118" s="3"/>
      <c r="G118" s="3"/>
      <c r="H118" s="116"/>
      <c r="I118" s="116"/>
      <c r="J118" s="116"/>
    </row>
    <row r="119" spans="8:10" ht="15">
      <c r="H119" s="115"/>
      <c r="I119" s="115"/>
      <c r="J119" s="115"/>
    </row>
    <row r="120" ht="15">
      <c r="A120" s="8" t="s">
        <v>435</v>
      </c>
    </row>
    <row r="121" ht="15">
      <c r="A121" s="8" t="s">
        <v>434</v>
      </c>
    </row>
  </sheetData>
  <printOptions horizontalCentered="1"/>
  <pageMargins left="0.75" right="0.75" top="0.5" bottom="0.5" header="0" footer="0"/>
  <pageSetup horizontalDpi="600" verticalDpi="600" orientation="portrait" scale="65" r:id="rId1"/>
  <rowBreaks count="1" manualBreakCount="1"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7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8" bestFit="1" customWidth="1"/>
    <col min="2" max="2" width="18.57421875" style="8" bestFit="1" customWidth="1"/>
    <col min="3" max="3" width="6.57421875" style="8" customWidth="1"/>
    <col min="4" max="4" width="10.28125" style="8" customWidth="1"/>
    <col min="5" max="5" width="1.7109375" style="8" customWidth="1"/>
    <col min="6" max="6" width="12.140625" style="8" customWidth="1"/>
    <col min="7" max="7" width="1.7109375" style="8" customWidth="1"/>
    <col min="8" max="8" width="10.7109375" style="8" customWidth="1"/>
    <col min="9" max="9" width="1.7109375" style="8" customWidth="1"/>
    <col min="10" max="10" width="11.140625" style="8" customWidth="1"/>
    <col min="11" max="11" width="1.7109375" style="8" customWidth="1"/>
    <col min="12" max="12" width="11.00390625" style="8" bestFit="1" customWidth="1"/>
    <col min="13" max="13" width="1.7109375" style="8" customWidth="1"/>
    <col min="14" max="14" width="11.28125" style="8" customWidth="1"/>
    <col min="15" max="15" width="1.7109375" style="8" customWidth="1"/>
    <col min="16" max="16" width="10.7109375" style="8" customWidth="1"/>
    <col min="17" max="17" width="1.7109375" style="8" customWidth="1"/>
    <col min="18" max="18" width="10.7109375" style="8" customWidth="1"/>
    <col min="19" max="16384" width="9.140625" style="8" customWidth="1"/>
  </cols>
  <sheetData>
    <row r="1" spans="1:17" ht="15">
      <c r="A1" s="146"/>
      <c r="B1" s="147" t="s">
        <v>1729</v>
      </c>
      <c r="C1" s="148" t="str">
        <f>INPUT!C1</f>
        <v>February 2009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 t="s">
        <v>1763</v>
      </c>
      <c r="O1" s="146"/>
      <c r="Q1" s="146"/>
    </row>
    <row r="2" spans="1:18" ht="15">
      <c r="A2" s="146"/>
      <c r="B2" s="146"/>
      <c r="C2" s="146"/>
      <c r="D2" s="146"/>
      <c r="E2" s="146"/>
      <c r="F2" s="146"/>
      <c r="G2" s="147" t="s">
        <v>1764</v>
      </c>
      <c r="H2" s="149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5">
      <c r="A3" s="146"/>
      <c r="B3" s="146"/>
      <c r="C3" s="146"/>
      <c r="D3" s="146"/>
      <c r="E3" s="146"/>
      <c r="F3" s="146"/>
      <c r="G3" s="147" t="s">
        <v>1765</v>
      </c>
      <c r="H3" s="149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68"/>
      <c r="Q4" s="402"/>
      <c r="R4" s="168"/>
    </row>
    <row r="5" spans="1:19" ht="15">
      <c r="A5" s="146"/>
      <c r="B5" s="146"/>
      <c r="C5" s="146"/>
      <c r="D5" s="150"/>
      <c r="E5" s="151" t="s">
        <v>1766</v>
      </c>
      <c r="F5" s="150"/>
      <c r="G5" s="152"/>
      <c r="H5" s="150"/>
      <c r="I5" s="153" t="s">
        <v>1767</v>
      </c>
      <c r="J5" s="150"/>
      <c r="K5" s="152"/>
      <c r="L5" s="150"/>
      <c r="M5" s="153" t="s">
        <v>1768</v>
      </c>
      <c r="N5" s="150"/>
      <c r="O5" s="146"/>
      <c r="P5" s="399"/>
      <c r="Q5" s="400"/>
      <c r="R5" s="399"/>
      <c r="S5" s="152"/>
    </row>
    <row r="6" spans="1:19" ht="15">
      <c r="A6" s="146"/>
      <c r="B6" s="146"/>
      <c r="C6" s="146"/>
      <c r="D6" s="147" t="s">
        <v>1769</v>
      </c>
      <c r="E6" s="147"/>
      <c r="F6" s="147"/>
      <c r="G6" s="147"/>
      <c r="H6" s="147" t="s">
        <v>1528</v>
      </c>
      <c r="I6" s="147"/>
      <c r="J6" s="147" t="s">
        <v>1770</v>
      </c>
      <c r="K6" s="147"/>
      <c r="L6" s="147" t="s">
        <v>1528</v>
      </c>
      <c r="M6" s="147"/>
      <c r="N6" s="147" t="s">
        <v>1530</v>
      </c>
      <c r="O6" s="149"/>
      <c r="P6" s="401"/>
      <c r="Q6" s="401"/>
      <c r="R6" s="401"/>
      <c r="S6" s="147"/>
    </row>
    <row r="7" spans="1:19" ht="15">
      <c r="A7" s="146"/>
      <c r="B7" s="146"/>
      <c r="C7" s="146"/>
      <c r="D7" s="154" t="s">
        <v>1771</v>
      </c>
      <c r="E7" s="154"/>
      <c r="F7" s="147" t="s">
        <v>1772</v>
      </c>
      <c r="G7" s="147"/>
      <c r="H7" s="147" t="s">
        <v>1773</v>
      </c>
      <c r="I7" s="147"/>
      <c r="J7" s="147" t="s">
        <v>1774</v>
      </c>
      <c r="K7" s="147"/>
      <c r="L7" s="147" t="s">
        <v>1773</v>
      </c>
      <c r="M7" s="147"/>
      <c r="N7" s="147" t="s">
        <v>1774</v>
      </c>
      <c r="O7" s="149"/>
      <c r="P7" s="401"/>
      <c r="Q7" s="401"/>
      <c r="R7" s="401"/>
      <c r="S7" s="147"/>
    </row>
    <row r="8" spans="1:19" ht="15">
      <c r="A8" s="146"/>
      <c r="B8" s="146"/>
      <c r="C8" s="146"/>
      <c r="D8" s="151" t="s">
        <v>1775</v>
      </c>
      <c r="E8" s="147"/>
      <c r="F8" s="153" t="s">
        <v>1776</v>
      </c>
      <c r="G8" s="154"/>
      <c r="H8" s="153" t="s">
        <v>1777</v>
      </c>
      <c r="I8" s="154"/>
      <c r="J8" s="153" t="s">
        <v>1778</v>
      </c>
      <c r="K8" s="154"/>
      <c r="L8" s="153" t="s">
        <v>1779</v>
      </c>
      <c r="M8" s="154"/>
      <c r="N8" s="153" t="s">
        <v>1780</v>
      </c>
      <c r="O8" s="155"/>
      <c r="P8" s="400"/>
      <c r="Q8" s="400"/>
      <c r="R8" s="400"/>
      <c r="S8" s="154"/>
    </row>
    <row r="9" spans="1:19" ht="15">
      <c r="A9" s="146" t="s">
        <v>1743</v>
      </c>
      <c r="B9" s="147" t="s">
        <v>1637</v>
      </c>
      <c r="C9" s="146" t="s">
        <v>1532</v>
      </c>
      <c r="D9" s="156">
        <f>PAGE3!C26</f>
        <v>-2734900</v>
      </c>
      <c r="E9" s="146"/>
      <c r="F9" s="157">
        <f>IF(D9&lt;0,PAGE3!$E$33,PAGE3!E26+PAGE3!G26)</f>
        <v>11.680221283184414</v>
      </c>
      <c r="G9" s="146"/>
      <c r="H9" s="800">
        <f>IF(PAGE3!I26&lt;0,PAGE3!I26)*-1</f>
        <v>31944237</v>
      </c>
      <c r="I9" s="158"/>
      <c r="J9" s="800">
        <f>IF(PAGE3!I26&gt;0,PAGE3!I26,0)</f>
        <v>0</v>
      </c>
      <c r="K9" s="156"/>
      <c r="L9" s="158">
        <f>+PAGE4!H46</f>
        <v>32336703</v>
      </c>
      <c r="M9" s="158"/>
      <c r="N9" s="158">
        <f>+PAGE4!J46</f>
        <v>8919268.489999998</v>
      </c>
      <c r="O9" s="146"/>
      <c r="P9" s="160"/>
      <c r="Q9" s="160"/>
      <c r="R9" s="160"/>
      <c r="S9" s="156"/>
    </row>
    <row r="10" spans="1:19" ht="15">
      <c r="A10" s="146"/>
      <c r="B10" s="147" t="s">
        <v>1646</v>
      </c>
      <c r="C10" s="146" t="s">
        <v>1533</v>
      </c>
      <c r="D10" s="156">
        <f>PAGE3!C27</f>
        <v>-365200</v>
      </c>
      <c r="E10" s="146"/>
      <c r="F10" s="157">
        <f>IF(D10&lt;0,PAGE3!$E$33,PAGE3!E27+PAGE3!G27)</f>
        <v>11.680221283184414</v>
      </c>
      <c r="G10" s="146"/>
      <c r="H10" s="160">
        <f>IF(PAGE3!I27&lt;0,PAGE3!I27)*-1</f>
        <v>4265617</v>
      </c>
      <c r="I10" s="158"/>
      <c r="J10" s="160">
        <f>IF(PAGE3!I27&gt;0,PAGE3!I27,0)</f>
        <v>0</v>
      </c>
      <c r="K10" s="156"/>
      <c r="L10" s="158">
        <f>+PAGE4!H47</f>
        <v>2311089</v>
      </c>
      <c r="M10" s="158"/>
      <c r="N10" s="158">
        <f>+PAGE4!J47</f>
        <v>4124407</v>
      </c>
      <c r="O10" s="146"/>
      <c r="P10" s="160"/>
      <c r="Q10" s="160"/>
      <c r="R10" s="160"/>
      <c r="S10" s="156"/>
    </row>
    <row r="11" spans="1:19" ht="15">
      <c r="A11" s="146"/>
      <c r="B11" s="147" t="s">
        <v>1649</v>
      </c>
      <c r="C11" s="146" t="s">
        <v>1534</v>
      </c>
      <c r="D11" s="156">
        <f>PAGE3!C28</f>
        <v>523400</v>
      </c>
      <c r="E11" s="146"/>
      <c r="F11" s="157">
        <f>IF(D11&lt;0,PAGE3!$E$33,PAGE3!E28+PAGE3!G28)</f>
        <v>13.799999999999999</v>
      </c>
      <c r="G11" s="146"/>
      <c r="H11" s="160">
        <f>IF(PAGE3!I28&lt;0,PAGE3!I28)*-1</f>
        <v>0</v>
      </c>
      <c r="I11" s="158"/>
      <c r="J11" s="160">
        <f>IF(PAGE3!I28&gt;0,PAGE3!I28,0)</f>
        <v>7222920</v>
      </c>
      <c r="K11" s="156"/>
      <c r="L11" s="158">
        <f>+PAGE4!H48</f>
        <v>4888757</v>
      </c>
      <c r="M11" s="158"/>
      <c r="N11" s="158">
        <f>+PAGE4!J48</f>
        <v>15705391</v>
      </c>
      <c r="O11" s="146"/>
      <c r="P11" s="160"/>
      <c r="Q11" s="160"/>
      <c r="R11" s="160"/>
      <c r="S11" s="156"/>
    </row>
    <row r="12" spans="1:19" ht="15">
      <c r="A12" s="146"/>
      <c r="B12" s="147"/>
      <c r="C12" s="146" t="s">
        <v>1536</v>
      </c>
      <c r="D12" s="156">
        <f>PAGE3!C29</f>
        <v>2521600</v>
      </c>
      <c r="E12" s="146"/>
      <c r="F12" s="157">
        <f>IF(D12&lt;0,PAGE3!$E$33,PAGE3!E29+PAGE3!G29)</f>
        <v>11.28</v>
      </c>
      <c r="G12" s="146"/>
      <c r="H12" s="160">
        <f>IF(PAGE3!I29&lt;0,PAGE3!I29)*-1</f>
        <v>0</v>
      </c>
      <c r="I12" s="158"/>
      <c r="J12" s="160">
        <f>IF(PAGE3!I29&gt;0,PAGE3!I29,0)</f>
        <v>28443648</v>
      </c>
      <c r="K12" s="156"/>
      <c r="L12" s="158">
        <f>+PAGE4!H49</f>
        <v>5499393.57</v>
      </c>
      <c r="M12" s="158"/>
      <c r="N12" s="158">
        <f>+PAGE4!J49</f>
        <v>37905699</v>
      </c>
      <c r="O12" s="146"/>
      <c r="P12" s="160"/>
      <c r="Q12" s="160"/>
      <c r="R12" s="160"/>
      <c r="S12" s="156"/>
    </row>
    <row r="13" spans="1:19" ht="15">
      <c r="A13" s="146"/>
      <c r="B13" s="147"/>
      <c r="C13" s="146" t="s">
        <v>1537</v>
      </c>
      <c r="D13" s="156">
        <f>PAGE3!C30</f>
        <v>55100</v>
      </c>
      <c r="E13" s="146"/>
      <c r="F13" s="157">
        <f>IF(D13&lt;0,PAGE3!$E$33,PAGE3!E30+PAGE3!G30)</f>
        <v>9.86</v>
      </c>
      <c r="G13" s="146"/>
      <c r="H13" s="159">
        <f>IF(PAGE3!I30&lt;0,PAGE3!I30)*-1</f>
        <v>0</v>
      </c>
      <c r="I13" s="158"/>
      <c r="J13" s="159">
        <f>IF(PAGE3!I30&gt;0,PAGE3!I30,0)</f>
        <v>543286</v>
      </c>
      <c r="K13" s="156"/>
      <c r="L13" s="159">
        <f>+PAGE4!H50</f>
        <v>26004043</v>
      </c>
      <c r="M13" s="158"/>
      <c r="N13" s="159">
        <f>+PAGE4!J50</f>
        <v>4385221</v>
      </c>
      <c r="O13" s="146"/>
      <c r="P13" s="160"/>
      <c r="Q13" s="160"/>
      <c r="R13" s="160"/>
      <c r="S13" s="156"/>
    </row>
    <row r="14" spans="1:19" ht="15">
      <c r="A14" s="146"/>
      <c r="B14" s="147"/>
      <c r="C14" s="146" t="s">
        <v>1642</v>
      </c>
      <c r="D14" s="146"/>
      <c r="E14" s="146"/>
      <c r="F14" s="146"/>
      <c r="G14" s="146"/>
      <c r="H14" s="158">
        <f>SUM(H9:H13)</f>
        <v>36209854</v>
      </c>
      <c r="I14" s="158"/>
      <c r="J14" s="158">
        <f>SUM(J9:J13)</f>
        <v>36209854</v>
      </c>
      <c r="K14" s="156"/>
      <c r="L14" s="158">
        <f>SUM(L9:L13)</f>
        <v>71039985.57</v>
      </c>
      <c r="M14" s="158"/>
      <c r="N14" s="160">
        <f>SUM(N9:N13)</f>
        <v>71039986.49</v>
      </c>
      <c r="O14" s="146"/>
      <c r="P14" s="160"/>
      <c r="Q14" s="160"/>
      <c r="R14" s="160"/>
      <c r="S14" s="156"/>
    </row>
    <row r="15" spans="1:19" ht="15">
      <c r="A15" s="146"/>
      <c r="B15" s="14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376"/>
      <c r="Q15" s="376"/>
      <c r="R15" s="376"/>
      <c r="S15" s="146"/>
    </row>
    <row r="16" spans="1:19" ht="15">
      <c r="A16" s="146" t="s">
        <v>1744</v>
      </c>
      <c r="B16" s="147" t="s">
        <v>1745</v>
      </c>
      <c r="C16" s="146" t="s">
        <v>1532</v>
      </c>
      <c r="D16" s="146"/>
      <c r="E16" s="146"/>
      <c r="F16" s="146"/>
      <c r="G16" s="146"/>
      <c r="H16" s="158">
        <f>INPUT!J4</f>
        <v>33770326</v>
      </c>
      <c r="I16" s="156"/>
      <c r="J16" s="158">
        <f>INPUT!L4</f>
        <v>0</v>
      </c>
      <c r="K16" s="156"/>
      <c r="L16" s="158">
        <f>INPUT!M4</f>
        <v>33357388</v>
      </c>
      <c r="M16" s="156"/>
      <c r="N16" s="158">
        <f>INPUT!O4</f>
        <v>8645704</v>
      </c>
      <c r="O16" s="146"/>
      <c r="P16" s="160"/>
      <c r="Q16" s="160"/>
      <c r="R16" s="160"/>
      <c r="S16" s="156"/>
    </row>
    <row r="17" spans="1:19" ht="15">
      <c r="A17" s="146" t="s">
        <v>1529</v>
      </c>
      <c r="B17" s="147" t="s">
        <v>1746</v>
      </c>
      <c r="C17" s="146" t="s">
        <v>1533</v>
      </c>
      <c r="D17" s="146"/>
      <c r="E17" s="146"/>
      <c r="F17" s="146"/>
      <c r="G17" s="146"/>
      <c r="H17" s="158">
        <f>INPUT!J5</f>
        <v>4496431</v>
      </c>
      <c r="I17" s="156"/>
      <c r="J17" s="158">
        <f>INPUT!L5</f>
        <v>0</v>
      </c>
      <c r="K17" s="156"/>
      <c r="L17" s="158">
        <f>INPUT!M5</f>
        <v>2614572</v>
      </c>
      <c r="M17" s="156"/>
      <c r="N17" s="158">
        <f>INPUT!O5</f>
        <v>4049506</v>
      </c>
      <c r="O17" s="146"/>
      <c r="P17" s="160"/>
      <c r="Q17" s="160"/>
      <c r="R17" s="160"/>
      <c r="S17" s="156"/>
    </row>
    <row r="18" spans="1:19" ht="15">
      <c r="A18" s="146"/>
      <c r="B18" s="147" t="s">
        <v>1646</v>
      </c>
      <c r="C18" s="146" t="s">
        <v>1534</v>
      </c>
      <c r="D18" s="146"/>
      <c r="E18" s="146"/>
      <c r="F18" s="146"/>
      <c r="G18" s="146"/>
      <c r="H18" s="158">
        <f>INPUT!J6</f>
        <v>0</v>
      </c>
      <c r="I18" s="156"/>
      <c r="J18" s="158">
        <f>INPUT!L6</f>
        <v>7065325</v>
      </c>
      <c r="K18" s="156"/>
      <c r="L18" s="158">
        <f>INPUT!M6</f>
        <v>5623194</v>
      </c>
      <c r="M18" s="156"/>
      <c r="N18" s="158">
        <f>INPUT!O6</f>
        <v>16127643</v>
      </c>
      <c r="O18" s="146"/>
      <c r="P18" s="160"/>
      <c r="Q18" s="160"/>
      <c r="R18" s="160"/>
      <c r="S18" s="156"/>
    </row>
    <row r="19" spans="1:19" ht="15">
      <c r="A19" s="146"/>
      <c r="B19" s="147" t="s">
        <v>1649</v>
      </c>
      <c r="C19" s="146" t="s">
        <v>1536</v>
      </c>
      <c r="D19" s="146"/>
      <c r="E19" s="146"/>
      <c r="F19" s="146"/>
      <c r="G19" s="146"/>
      <c r="H19" s="158">
        <f>INPUT!J7</f>
        <v>0</v>
      </c>
      <c r="I19" s="156"/>
      <c r="J19" s="158">
        <f>INPUT!L7</f>
        <v>30536389</v>
      </c>
      <c r="K19" s="156"/>
      <c r="L19" s="158">
        <f>INPUT!M7</f>
        <v>5264089</v>
      </c>
      <c r="M19" s="156"/>
      <c r="N19" s="158">
        <f>INPUT!O7</f>
        <v>39812131</v>
      </c>
      <c r="O19" s="146"/>
      <c r="P19" s="160"/>
      <c r="Q19" s="160"/>
      <c r="R19" s="160"/>
      <c r="S19" s="156"/>
    </row>
    <row r="20" spans="1:19" ht="15">
      <c r="A20" s="146"/>
      <c r="B20" s="147"/>
      <c r="C20" s="146" t="s">
        <v>1537</v>
      </c>
      <c r="D20" s="146"/>
      <c r="E20" s="146"/>
      <c r="F20" s="146"/>
      <c r="G20" s="146"/>
      <c r="H20" s="159">
        <f>INPUT!J8</f>
        <v>0</v>
      </c>
      <c r="I20" s="156"/>
      <c r="J20" s="159">
        <f>INPUT!L8</f>
        <v>665043</v>
      </c>
      <c r="K20" s="156"/>
      <c r="L20" s="159">
        <f>INPUT!M8</f>
        <v>25662436</v>
      </c>
      <c r="M20" s="156"/>
      <c r="N20" s="159">
        <f>INPUT!O8</f>
        <v>3886695</v>
      </c>
      <c r="O20" s="146"/>
      <c r="P20" s="160"/>
      <c r="Q20" s="160"/>
      <c r="R20" s="160"/>
      <c r="S20" s="156"/>
    </row>
    <row r="21" spans="1:19" ht="15">
      <c r="A21" s="146"/>
      <c r="B21" s="147"/>
      <c r="C21" s="146" t="s">
        <v>1642</v>
      </c>
      <c r="D21" s="146"/>
      <c r="E21" s="146"/>
      <c r="F21" s="146"/>
      <c r="G21" s="146"/>
      <c r="H21" s="158">
        <f>SUM(H16:H20)</f>
        <v>38266757</v>
      </c>
      <c r="I21" s="156"/>
      <c r="J21" s="158">
        <f>SUM(J16:J20)</f>
        <v>38266757</v>
      </c>
      <c r="K21" s="156"/>
      <c r="L21" s="158">
        <f>SUM(L16:L20)</f>
        <v>72521679</v>
      </c>
      <c r="M21" s="156"/>
      <c r="N21" s="158">
        <f>SUM(N16:N20)</f>
        <v>72521679</v>
      </c>
      <c r="O21" s="146"/>
      <c r="P21" s="160"/>
      <c r="Q21" s="160"/>
      <c r="R21" s="160"/>
      <c r="S21" s="156"/>
    </row>
    <row r="22" spans="1:19" ht="15">
      <c r="A22" s="146"/>
      <c r="B22" s="147"/>
      <c r="C22" s="146"/>
      <c r="D22" s="146"/>
      <c r="E22" s="146"/>
      <c r="F22" s="146"/>
      <c r="G22" s="146"/>
      <c r="H22" s="158"/>
      <c r="I22" s="156"/>
      <c r="J22" s="158"/>
      <c r="K22" s="156"/>
      <c r="L22" s="158"/>
      <c r="M22" s="156"/>
      <c r="N22" s="158"/>
      <c r="O22" s="146"/>
      <c r="P22" s="160"/>
      <c r="Q22" s="160"/>
      <c r="R22" s="160"/>
      <c r="S22" s="156"/>
    </row>
    <row r="23" spans="1:19" ht="15">
      <c r="A23" s="146" t="s">
        <v>1752</v>
      </c>
      <c r="B23" s="147" t="s">
        <v>1748</v>
      </c>
      <c r="C23" s="146" t="s">
        <v>1532</v>
      </c>
      <c r="D23" s="146"/>
      <c r="E23" s="146"/>
      <c r="F23" s="146"/>
      <c r="G23" s="146"/>
      <c r="H23" s="231">
        <f>+H9-H16</f>
        <v>-1826089</v>
      </c>
      <c r="I23" s="156"/>
      <c r="J23" s="231">
        <f>+J9-J16</f>
        <v>0</v>
      </c>
      <c r="K23" s="156"/>
      <c r="L23" s="156">
        <f>+L9-L16</f>
        <v>-1020685</v>
      </c>
      <c r="M23" s="156"/>
      <c r="N23" s="156">
        <f>+N9-N16</f>
        <v>273564.48999999836</v>
      </c>
      <c r="O23" s="146"/>
      <c r="P23" s="160"/>
      <c r="Q23" s="160"/>
      <c r="R23" s="160"/>
      <c r="S23" s="156"/>
    </row>
    <row r="24" spans="1:19" ht="15">
      <c r="A24" s="146"/>
      <c r="B24" s="147" t="s">
        <v>1749</v>
      </c>
      <c r="C24" s="146" t="s">
        <v>1533</v>
      </c>
      <c r="D24" s="146"/>
      <c r="E24" s="146"/>
      <c r="F24" s="146"/>
      <c r="G24" s="146"/>
      <c r="H24" s="231">
        <f>+H10-H17</f>
        <v>-230814</v>
      </c>
      <c r="I24" s="156"/>
      <c r="J24" s="231">
        <f>+J10-J17</f>
        <v>0</v>
      </c>
      <c r="K24" s="156"/>
      <c r="L24" s="156">
        <f>+L10-L17</f>
        <v>-303483</v>
      </c>
      <c r="M24" s="156"/>
      <c r="N24" s="156">
        <f>+N10-N17</f>
        <v>74901</v>
      </c>
      <c r="O24" s="146"/>
      <c r="P24" s="160"/>
      <c r="Q24" s="160"/>
      <c r="R24" s="160"/>
      <c r="S24" s="156"/>
    </row>
    <row r="25" spans="1:19" ht="15">
      <c r="A25" s="146"/>
      <c r="B25" s="147" t="s">
        <v>1750</v>
      </c>
      <c r="C25" s="146" t="s">
        <v>1534</v>
      </c>
      <c r="D25" s="146"/>
      <c r="E25" s="146"/>
      <c r="F25" s="146"/>
      <c r="G25" s="146"/>
      <c r="H25" s="231">
        <f>+H11-H18</f>
        <v>0</v>
      </c>
      <c r="I25" s="156"/>
      <c r="J25" s="231">
        <f>+J11-J18</f>
        <v>157595</v>
      </c>
      <c r="K25" s="156"/>
      <c r="L25" s="156">
        <f>+L11-L18</f>
        <v>-734437</v>
      </c>
      <c r="M25" s="156"/>
      <c r="N25" s="156">
        <f>+N11-N18</f>
        <v>-422252</v>
      </c>
      <c r="O25" s="146"/>
      <c r="P25" s="160"/>
      <c r="Q25" s="160"/>
      <c r="R25" s="160"/>
      <c r="S25" s="156"/>
    </row>
    <row r="26" spans="1:19" ht="15">
      <c r="A26" s="146"/>
      <c r="B26" s="154" t="s">
        <v>255</v>
      </c>
      <c r="C26" s="146" t="s">
        <v>1536</v>
      </c>
      <c r="D26" s="146"/>
      <c r="E26" s="146"/>
      <c r="F26" s="146"/>
      <c r="G26" s="146"/>
      <c r="H26" s="231">
        <f>+H12-H19</f>
        <v>0</v>
      </c>
      <c r="I26" s="156"/>
      <c r="J26" s="231">
        <f>+J12-J19</f>
        <v>-2092741</v>
      </c>
      <c r="K26" s="156"/>
      <c r="L26" s="156">
        <f>+L12-L19</f>
        <v>235304.5700000003</v>
      </c>
      <c r="M26" s="156"/>
      <c r="N26" s="156">
        <f>+N12-N19</f>
        <v>-1906432</v>
      </c>
      <c r="O26" s="146"/>
      <c r="P26" s="160"/>
      <c r="Q26" s="160"/>
      <c r="R26" s="160"/>
      <c r="S26" s="156"/>
    </row>
    <row r="27" spans="1:19" ht="15">
      <c r="A27" s="146"/>
      <c r="B27" s="154"/>
      <c r="C27" s="146" t="s">
        <v>1537</v>
      </c>
      <c r="D27" s="146"/>
      <c r="E27" s="146"/>
      <c r="F27" s="146"/>
      <c r="G27" s="146"/>
      <c r="H27" s="161">
        <f>+H13-H20</f>
        <v>0</v>
      </c>
      <c r="I27" s="156"/>
      <c r="J27" s="161">
        <f>+J13-J20</f>
        <v>-121757</v>
      </c>
      <c r="K27" s="156"/>
      <c r="L27" s="161">
        <f>+L13-L20</f>
        <v>341607</v>
      </c>
      <c r="M27" s="156"/>
      <c r="N27" s="161">
        <f>+N13-N20</f>
        <v>498526</v>
      </c>
      <c r="O27" s="146"/>
      <c r="P27" s="160"/>
      <c r="Q27" s="160"/>
      <c r="R27" s="160"/>
      <c r="S27" s="156"/>
    </row>
    <row r="28" spans="1:19" ht="15">
      <c r="A28" s="146"/>
      <c r="B28" s="154"/>
      <c r="C28" s="146" t="s">
        <v>1642</v>
      </c>
      <c r="D28" s="146"/>
      <c r="E28" s="146"/>
      <c r="F28" s="146"/>
      <c r="G28" s="146"/>
      <c r="H28" s="156">
        <f>SUM(H23:H27)</f>
        <v>-2056903</v>
      </c>
      <c r="I28" s="156"/>
      <c r="J28" s="156">
        <f>SUM(J23:J27)</f>
        <v>-2056903</v>
      </c>
      <c r="K28" s="156"/>
      <c r="L28" s="156">
        <f>SUM(L23:L27)</f>
        <v>-1481693.4299999997</v>
      </c>
      <c r="M28" s="156"/>
      <c r="N28" s="156">
        <f>SUM(N23:N27)</f>
        <v>-1481692.5100000016</v>
      </c>
      <c r="O28" s="146"/>
      <c r="P28" s="160"/>
      <c r="Q28" s="160"/>
      <c r="R28" s="160"/>
      <c r="S28" s="156"/>
    </row>
    <row r="29" spans="1:19" ht="15">
      <c r="A29" s="146"/>
      <c r="B29" s="15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</row>
    <row r="30" spans="1:18" ht="15">
      <c r="A30" s="146"/>
      <c r="B30" s="154"/>
      <c r="C30" s="146"/>
      <c r="D30" s="162"/>
      <c r="E30" s="163" t="s">
        <v>1529</v>
      </c>
      <c r="F30" s="162"/>
      <c r="G30" s="146"/>
      <c r="H30" s="164"/>
      <c r="I30" s="151" t="s">
        <v>1538</v>
      </c>
      <c r="J30" s="164"/>
      <c r="K30" s="146"/>
      <c r="L30" s="164"/>
      <c r="M30" s="153" t="s">
        <v>1781</v>
      </c>
      <c r="N30" s="164"/>
      <c r="O30" s="165" t="s">
        <v>1529</v>
      </c>
      <c r="P30" s="162"/>
      <c r="Q30" s="146"/>
      <c r="R30" s="146"/>
    </row>
    <row r="31" spans="1:18" ht="15">
      <c r="A31" s="146"/>
      <c r="B31" s="154"/>
      <c r="C31" s="146"/>
      <c r="D31" s="230"/>
      <c r="E31" s="166"/>
      <c r="F31" s="230"/>
      <c r="G31" s="146"/>
      <c r="H31" s="154" t="s">
        <v>259</v>
      </c>
      <c r="I31" s="146"/>
      <c r="J31" s="154" t="s">
        <v>259</v>
      </c>
      <c r="K31" s="146"/>
      <c r="L31" s="154" t="s">
        <v>260</v>
      </c>
      <c r="M31" s="146"/>
      <c r="N31" s="154" t="s">
        <v>261</v>
      </c>
      <c r="O31" s="146"/>
      <c r="P31" s="166"/>
      <c r="Q31" s="146"/>
      <c r="R31" s="146"/>
    </row>
    <row r="32" spans="1:18" ht="15">
      <c r="A32" s="146"/>
      <c r="B32" s="154"/>
      <c r="C32" s="146"/>
      <c r="D32" s="167"/>
      <c r="E32" s="167"/>
      <c r="F32" s="167"/>
      <c r="G32" s="146"/>
      <c r="H32" s="146"/>
      <c r="I32" s="146"/>
      <c r="J32" s="146"/>
      <c r="K32" s="146"/>
      <c r="L32" s="147" t="s">
        <v>1528</v>
      </c>
      <c r="M32" s="146"/>
      <c r="N32" s="147" t="s">
        <v>1530</v>
      </c>
      <c r="O32" s="146"/>
      <c r="P32" s="167"/>
      <c r="Q32" s="146"/>
      <c r="R32" s="146"/>
    </row>
    <row r="33" spans="1:18" ht="15">
      <c r="A33" s="146"/>
      <c r="B33" s="154"/>
      <c r="C33" s="146"/>
      <c r="D33" s="166"/>
      <c r="E33" s="166"/>
      <c r="F33" s="166"/>
      <c r="G33" s="146"/>
      <c r="H33" s="151" t="s">
        <v>1540</v>
      </c>
      <c r="I33" s="146"/>
      <c r="J33" s="151" t="s">
        <v>1541</v>
      </c>
      <c r="K33" s="146"/>
      <c r="L33" s="153" t="s">
        <v>1783</v>
      </c>
      <c r="M33" s="146"/>
      <c r="N33" s="153" t="s">
        <v>1784</v>
      </c>
      <c r="O33" s="146"/>
      <c r="P33" s="166"/>
      <c r="Q33" s="146"/>
      <c r="R33" s="146"/>
    </row>
    <row r="34" spans="1:18" ht="15">
      <c r="A34" s="146" t="s">
        <v>1743</v>
      </c>
      <c r="B34" s="147" t="s">
        <v>1637</v>
      </c>
      <c r="C34" s="146" t="s">
        <v>1532</v>
      </c>
      <c r="D34" s="160"/>
      <c r="E34" s="160"/>
      <c r="F34" s="160"/>
      <c r="G34" s="158"/>
      <c r="H34" s="158">
        <f>+PAGE4!D46</f>
        <v>1271487</v>
      </c>
      <c r="I34" s="158"/>
      <c r="J34" s="158">
        <f>+PAGE4!F46</f>
        <v>223696</v>
      </c>
      <c r="K34" s="158"/>
      <c r="L34" s="158">
        <f>+H9+L9</f>
        <v>64280940</v>
      </c>
      <c r="M34" s="158"/>
      <c r="N34" s="158">
        <f>+J9+N9</f>
        <v>8919268.489999998</v>
      </c>
      <c r="O34" s="146"/>
      <c r="P34" s="162"/>
      <c r="Q34" s="146"/>
      <c r="R34" s="146"/>
    </row>
    <row r="35" spans="1:18" ht="15">
      <c r="A35" s="146"/>
      <c r="B35" s="147" t="s">
        <v>1646</v>
      </c>
      <c r="C35" s="146" t="s">
        <v>1533</v>
      </c>
      <c r="D35" s="160"/>
      <c r="E35" s="160"/>
      <c r="F35" s="160"/>
      <c r="G35" s="158"/>
      <c r="H35" s="158">
        <f>+PAGE4!D47</f>
        <v>70261</v>
      </c>
      <c r="I35" s="158"/>
      <c r="J35" s="158">
        <f>+PAGE4!F47</f>
        <v>145143</v>
      </c>
      <c r="K35" s="158"/>
      <c r="L35" s="158">
        <f>+H10+L10</f>
        <v>6576706</v>
      </c>
      <c r="M35" s="158"/>
      <c r="N35" s="158">
        <f>+J10+N10</f>
        <v>4124407</v>
      </c>
      <c r="O35" s="146"/>
      <c r="P35" s="162"/>
      <c r="Q35" s="146"/>
      <c r="R35" s="146"/>
    </row>
    <row r="36" spans="1:18" ht="15">
      <c r="A36" s="146"/>
      <c r="B36" s="147" t="s">
        <v>1649</v>
      </c>
      <c r="C36" s="146" t="s">
        <v>1534</v>
      </c>
      <c r="D36" s="160"/>
      <c r="E36" s="160"/>
      <c r="F36" s="160"/>
      <c r="G36" s="158"/>
      <c r="H36" s="158">
        <f>+PAGE4!D48</f>
        <v>141297</v>
      </c>
      <c r="I36" s="158"/>
      <c r="J36" s="158">
        <f>+PAGE4!F48</f>
        <v>661988</v>
      </c>
      <c r="K36" s="158"/>
      <c r="L36" s="158">
        <f>+H11+L11</f>
        <v>4888757</v>
      </c>
      <c r="M36" s="158"/>
      <c r="N36" s="158">
        <f>+J11+N11</f>
        <v>22928311</v>
      </c>
      <c r="O36" s="146"/>
      <c r="P36" s="162"/>
      <c r="Q36" s="146"/>
      <c r="R36" s="146"/>
    </row>
    <row r="37" spans="1:18" ht="15">
      <c r="A37" s="146"/>
      <c r="B37" s="147"/>
      <c r="C37" s="146" t="s">
        <v>1536</v>
      </c>
      <c r="D37" s="160"/>
      <c r="E37" s="160"/>
      <c r="F37" s="160"/>
      <c r="G37" s="158"/>
      <c r="H37" s="158">
        <f>+PAGE4!D49</f>
        <v>150823</v>
      </c>
      <c r="I37" s="158"/>
      <c r="J37" s="158">
        <f>+PAGE4!F49</f>
        <v>1454527</v>
      </c>
      <c r="K37" s="158"/>
      <c r="L37" s="158">
        <f>+H12+L12</f>
        <v>5499393.57</v>
      </c>
      <c r="M37" s="158"/>
      <c r="N37" s="158">
        <f>+J12+N12</f>
        <v>66349347</v>
      </c>
      <c r="O37" s="146"/>
      <c r="P37" s="162"/>
      <c r="Q37" s="146"/>
      <c r="R37" s="146"/>
    </row>
    <row r="38" spans="1:18" ht="15">
      <c r="A38" s="146"/>
      <c r="B38" s="147"/>
      <c r="C38" s="146" t="s">
        <v>1537</v>
      </c>
      <c r="D38" s="160"/>
      <c r="E38" s="160"/>
      <c r="F38" s="160"/>
      <c r="G38" s="158"/>
      <c r="H38" s="159">
        <f>+PAGE4!D50</f>
        <v>1002759</v>
      </c>
      <c r="I38" s="158"/>
      <c r="J38" s="159">
        <f>+PAGE4!F50</f>
        <v>151273</v>
      </c>
      <c r="K38" s="158"/>
      <c r="L38" s="159">
        <f>+H13+L13</f>
        <v>26004043</v>
      </c>
      <c r="M38" s="158"/>
      <c r="N38" s="159">
        <f>+J13+N13</f>
        <v>4928507</v>
      </c>
      <c r="O38" s="146"/>
      <c r="P38" s="162"/>
      <c r="Q38" s="146"/>
      <c r="R38" s="146"/>
    </row>
    <row r="39" spans="1:18" ht="15">
      <c r="A39" s="146"/>
      <c r="B39" s="147"/>
      <c r="C39" s="146" t="s">
        <v>1642</v>
      </c>
      <c r="D39" s="160"/>
      <c r="E39" s="160"/>
      <c r="F39" s="160"/>
      <c r="G39" s="158"/>
      <c r="H39" s="158">
        <f>SUM(H34:H38)</f>
        <v>2636627</v>
      </c>
      <c r="I39" s="158"/>
      <c r="J39" s="158">
        <f>SUM(J34:J38)</f>
        <v>2636627</v>
      </c>
      <c r="K39" s="158"/>
      <c r="L39" s="158">
        <f>SUM(L34:L38)</f>
        <v>107249839.57</v>
      </c>
      <c r="M39" s="158"/>
      <c r="N39" s="158">
        <f>SUM(N34:N38)</f>
        <v>107249840.49</v>
      </c>
      <c r="O39" s="146"/>
      <c r="P39" s="162"/>
      <c r="Q39" s="146"/>
      <c r="R39" s="146"/>
    </row>
    <row r="40" spans="1:18" ht="15">
      <c r="A40" s="146"/>
      <c r="B40" s="147"/>
      <c r="C40" s="146"/>
      <c r="D40" s="162"/>
      <c r="E40" s="162"/>
      <c r="F40" s="162"/>
      <c r="G40" s="146"/>
      <c r="H40" s="146"/>
      <c r="I40" s="146"/>
      <c r="J40" s="146"/>
      <c r="K40" s="146"/>
      <c r="L40" s="146"/>
      <c r="M40" s="146"/>
      <c r="N40" s="146"/>
      <c r="O40" s="146"/>
      <c r="P40" s="162"/>
      <c r="Q40" s="146"/>
      <c r="R40" s="146"/>
    </row>
    <row r="41" spans="1:18" ht="15">
      <c r="A41" s="146" t="s">
        <v>1744</v>
      </c>
      <c r="B41" s="147" t="s">
        <v>1745</v>
      </c>
      <c r="C41" s="146" t="s">
        <v>1532</v>
      </c>
      <c r="D41" s="160"/>
      <c r="E41" s="231"/>
      <c r="F41" s="160"/>
      <c r="G41" s="146"/>
      <c r="H41" s="158">
        <f>INPUT!J12</f>
        <v>1255734</v>
      </c>
      <c r="I41" s="168"/>
      <c r="J41" s="158">
        <f>INPUT!L12</f>
        <v>208893</v>
      </c>
      <c r="K41" s="168"/>
      <c r="L41" s="158">
        <f>INPUT!M12</f>
        <v>67127714</v>
      </c>
      <c r="M41" s="168"/>
      <c r="N41" s="158">
        <f>INPUT!O12</f>
        <v>8645704</v>
      </c>
      <c r="O41" s="146"/>
      <c r="P41" s="162"/>
      <c r="Q41" s="146"/>
      <c r="R41" s="146"/>
    </row>
    <row r="42" spans="1:18" ht="15">
      <c r="A42" s="146"/>
      <c r="B42" s="147" t="s">
        <v>1746</v>
      </c>
      <c r="C42" s="146" t="s">
        <v>1533</v>
      </c>
      <c r="D42" s="160"/>
      <c r="E42" s="231"/>
      <c r="F42" s="160"/>
      <c r="G42" s="146"/>
      <c r="H42" s="158">
        <f>INPUT!J13</f>
        <v>71629</v>
      </c>
      <c r="I42" s="168"/>
      <c r="J42" s="158">
        <f>INPUT!L13</f>
        <v>141173</v>
      </c>
      <c r="K42" s="168"/>
      <c r="L42" s="158">
        <f>INPUT!M13</f>
        <v>7111003</v>
      </c>
      <c r="M42" s="168"/>
      <c r="N42" s="158">
        <f>INPUT!O13</f>
        <v>4049506</v>
      </c>
      <c r="O42" s="146"/>
      <c r="P42" s="162"/>
      <c r="Q42" s="146"/>
      <c r="R42" s="146"/>
    </row>
    <row r="43" spans="1:18" ht="15">
      <c r="A43" s="146"/>
      <c r="B43" s="147" t="s">
        <v>1029</v>
      </c>
      <c r="C43" s="146" t="s">
        <v>1534</v>
      </c>
      <c r="D43" s="160"/>
      <c r="E43" s="231"/>
      <c r="F43" s="160"/>
      <c r="G43" s="146"/>
      <c r="H43" s="158">
        <f>INPUT!J14</f>
        <v>144424</v>
      </c>
      <c r="I43" s="168"/>
      <c r="J43" s="158">
        <f>INPUT!L14</f>
        <v>664092</v>
      </c>
      <c r="K43" s="168"/>
      <c r="L43" s="158">
        <f>INPUT!M14</f>
        <v>5623194</v>
      </c>
      <c r="M43" s="168"/>
      <c r="N43" s="158">
        <f>INPUT!O14</f>
        <v>23192968</v>
      </c>
      <c r="O43" s="146"/>
      <c r="P43" s="162"/>
      <c r="Q43" s="146"/>
      <c r="R43" s="146"/>
    </row>
    <row r="44" spans="1:18" ht="15">
      <c r="A44" s="146"/>
      <c r="B44" s="147" t="s">
        <v>1646</v>
      </c>
      <c r="C44" s="146" t="s">
        <v>1536</v>
      </c>
      <c r="D44" s="160"/>
      <c r="E44" s="231"/>
      <c r="F44" s="160"/>
      <c r="G44" s="146"/>
      <c r="H44" s="158">
        <f>INPUT!J15</f>
        <v>132785</v>
      </c>
      <c r="I44" s="168"/>
      <c r="J44" s="158">
        <f>INPUT!L15</f>
        <v>1440246</v>
      </c>
      <c r="K44" s="168"/>
      <c r="L44" s="158">
        <f>INPUT!M15</f>
        <v>5264089</v>
      </c>
      <c r="M44" s="168"/>
      <c r="N44" s="158">
        <f>INPUT!O15</f>
        <v>70348520</v>
      </c>
      <c r="O44" s="146"/>
      <c r="P44" s="162"/>
      <c r="Q44" s="146"/>
      <c r="R44" s="146"/>
    </row>
    <row r="45" spans="1:18" ht="15">
      <c r="A45" s="146"/>
      <c r="B45" s="147" t="s">
        <v>1649</v>
      </c>
      <c r="C45" s="146" t="s">
        <v>1537</v>
      </c>
      <c r="D45" s="160"/>
      <c r="E45" s="231"/>
      <c r="F45" s="160"/>
      <c r="G45" s="146"/>
      <c r="H45" s="159">
        <f>INPUT!J16</f>
        <v>960076</v>
      </c>
      <c r="I45" s="168"/>
      <c r="J45" s="159">
        <f>INPUT!L16</f>
        <v>110244</v>
      </c>
      <c r="K45" s="168"/>
      <c r="L45" s="159">
        <f>INPUT!M16</f>
        <v>25662436</v>
      </c>
      <c r="M45" s="168"/>
      <c r="N45" s="159">
        <f>INPUT!O16</f>
        <v>4551738</v>
      </c>
      <c r="O45" s="146"/>
      <c r="P45" s="162"/>
      <c r="Q45" s="146"/>
      <c r="R45" s="146"/>
    </row>
    <row r="46" spans="1:18" ht="15">
      <c r="A46" s="146"/>
      <c r="B46" s="147"/>
      <c r="C46" s="146" t="s">
        <v>1642</v>
      </c>
      <c r="D46" s="160"/>
      <c r="E46" s="231"/>
      <c r="F46" s="160"/>
      <c r="G46" s="146"/>
      <c r="H46" s="158">
        <f>SUM(H41:H45)</f>
        <v>2564648</v>
      </c>
      <c r="I46" s="168"/>
      <c r="J46" s="158">
        <f>SUM(J41:J45)</f>
        <v>2564648</v>
      </c>
      <c r="K46" s="168"/>
      <c r="L46" s="158">
        <f>SUM(L41:L45)</f>
        <v>110788436</v>
      </c>
      <c r="M46" s="168"/>
      <c r="N46" s="158">
        <f>SUM(N41:N45)</f>
        <v>110788436</v>
      </c>
      <c r="O46" s="146"/>
      <c r="P46" s="162"/>
      <c r="Q46" s="146"/>
      <c r="R46" s="146"/>
    </row>
    <row r="47" spans="1:18" ht="15">
      <c r="A47" s="146"/>
      <c r="B47" s="147"/>
      <c r="C47" s="146"/>
      <c r="D47" s="160"/>
      <c r="E47" s="231"/>
      <c r="F47" s="160"/>
      <c r="G47" s="146"/>
      <c r="H47" s="158"/>
      <c r="I47" s="168"/>
      <c r="J47" s="158"/>
      <c r="K47" s="168"/>
      <c r="L47" s="158"/>
      <c r="M47" s="168"/>
      <c r="N47" s="158"/>
      <c r="O47" s="146"/>
      <c r="P47" s="162"/>
      <c r="Q47" s="146"/>
      <c r="R47" s="146"/>
    </row>
    <row r="48" spans="1:18" ht="15">
      <c r="A48" s="146"/>
      <c r="B48" s="147"/>
      <c r="C48" s="146"/>
      <c r="D48" s="162"/>
      <c r="E48" s="162"/>
      <c r="F48" s="162"/>
      <c r="G48" s="146"/>
      <c r="H48" s="146"/>
      <c r="I48" s="146"/>
      <c r="J48" s="146"/>
      <c r="K48" s="146"/>
      <c r="L48" s="146"/>
      <c r="M48" s="146"/>
      <c r="N48" s="146"/>
      <c r="O48" s="146"/>
      <c r="P48" s="162"/>
      <c r="Q48" s="146"/>
      <c r="R48" s="146"/>
    </row>
    <row r="49" spans="1:18" ht="15">
      <c r="A49" s="146" t="s">
        <v>1747</v>
      </c>
      <c r="B49" s="147" t="s">
        <v>1748</v>
      </c>
      <c r="C49" s="146" t="s">
        <v>1532</v>
      </c>
      <c r="D49" s="160"/>
      <c r="E49" s="160"/>
      <c r="F49" s="160"/>
      <c r="G49" s="158"/>
      <c r="H49" s="158">
        <f>+H34-H41</f>
        <v>15753</v>
      </c>
      <c r="I49" s="158"/>
      <c r="J49" s="158">
        <f>+J34-J41</f>
        <v>14803</v>
      </c>
      <c r="K49" s="158"/>
      <c r="L49" s="158">
        <f>+L34-L41</f>
        <v>-2846774</v>
      </c>
      <c r="M49" s="158"/>
      <c r="N49" s="158">
        <f>+N34-N41</f>
        <v>273564.48999999836</v>
      </c>
      <c r="O49" s="146"/>
      <c r="P49" s="162"/>
      <c r="Q49" s="146"/>
      <c r="R49" s="146"/>
    </row>
    <row r="50" spans="1:18" ht="15">
      <c r="A50" s="146"/>
      <c r="B50" s="147" t="s">
        <v>1749</v>
      </c>
      <c r="C50" s="146" t="s">
        <v>1533</v>
      </c>
      <c r="D50" s="160"/>
      <c r="E50" s="160"/>
      <c r="F50" s="160"/>
      <c r="G50" s="158"/>
      <c r="H50" s="158">
        <f>+H35-H42</f>
        <v>-1368</v>
      </c>
      <c r="I50" s="158"/>
      <c r="J50" s="158">
        <f>+J35-J42</f>
        <v>3970</v>
      </c>
      <c r="K50" s="158"/>
      <c r="L50" s="158">
        <f>+L35-L42</f>
        <v>-534297</v>
      </c>
      <c r="M50" s="158"/>
      <c r="N50" s="158">
        <f>+N35-N42</f>
        <v>74901</v>
      </c>
      <c r="O50" s="146"/>
      <c r="P50" s="162"/>
      <c r="Q50" s="146"/>
      <c r="R50" s="146"/>
    </row>
    <row r="51" spans="1:18" ht="15">
      <c r="A51" s="146"/>
      <c r="B51" s="147" t="s">
        <v>1750</v>
      </c>
      <c r="C51" s="146" t="s">
        <v>1534</v>
      </c>
      <c r="D51" s="160"/>
      <c r="E51" s="160"/>
      <c r="F51" s="160"/>
      <c r="G51" s="158"/>
      <c r="H51" s="158">
        <f>+H36-H43</f>
        <v>-3127</v>
      </c>
      <c r="I51" s="158"/>
      <c r="J51" s="158">
        <f>+J36-J43</f>
        <v>-2104</v>
      </c>
      <c r="K51" s="158"/>
      <c r="L51" s="158">
        <f>+L36-L43</f>
        <v>-734437</v>
      </c>
      <c r="M51" s="158"/>
      <c r="N51" s="158">
        <f>+N36-N43</f>
        <v>-264657</v>
      </c>
      <c r="O51" s="146"/>
      <c r="P51" s="162"/>
      <c r="Q51" s="146"/>
      <c r="R51" s="146"/>
    </row>
    <row r="52" spans="1:18" ht="15">
      <c r="A52" s="146"/>
      <c r="B52" s="154" t="s">
        <v>1751</v>
      </c>
      <c r="C52" s="146" t="s">
        <v>1536</v>
      </c>
      <c r="D52" s="160"/>
      <c r="E52" s="160"/>
      <c r="F52" s="160"/>
      <c r="G52" s="158"/>
      <c r="H52" s="158">
        <f>+H37-H44</f>
        <v>18038</v>
      </c>
      <c r="I52" s="158"/>
      <c r="J52" s="158">
        <f>+J37-J44</f>
        <v>14281</v>
      </c>
      <c r="K52" s="158"/>
      <c r="L52" s="158">
        <f>+L37-L44</f>
        <v>235304.5700000003</v>
      </c>
      <c r="M52" s="158"/>
      <c r="N52" s="158">
        <f>+N37-N44</f>
        <v>-3999173</v>
      </c>
      <c r="O52" s="146"/>
      <c r="P52" s="162"/>
      <c r="Q52" s="146"/>
      <c r="R52" s="146"/>
    </row>
    <row r="53" spans="1:18" ht="15">
      <c r="A53" s="146"/>
      <c r="B53" s="146"/>
      <c r="C53" s="146" t="s">
        <v>1537</v>
      </c>
      <c r="D53" s="160"/>
      <c r="E53" s="160"/>
      <c r="F53" s="160"/>
      <c r="G53" s="158"/>
      <c r="H53" s="159">
        <f>+H38-H45</f>
        <v>42683</v>
      </c>
      <c r="I53" s="158"/>
      <c r="J53" s="159">
        <f>+J38-J45</f>
        <v>41029</v>
      </c>
      <c r="K53" s="158"/>
      <c r="L53" s="159">
        <f>+L38-L45</f>
        <v>341607</v>
      </c>
      <c r="M53" s="158"/>
      <c r="N53" s="159">
        <f>+N38-N45</f>
        <v>376769</v>
      </c>
      <c r="O53" s="146"/>
      <c r="P53" s="162"/>
      <c r="Q53" s="146"/>
      <c r="R53" s="146"/>
    </row>
    <row r="54" spans="1:18" ht="15">
      <c r="A54" s="146"/>
      <c r="B54" s="146"/>
      <c r="C54" s="146" t="s">
        <v>1642</v>
      </c>
      <c r="D54" s="160"/>
      <c r="E54" s="160"/>
      <c r="F54" s="160"/>
      <c r="G54" s="158"/>
      <c r="H54" s="158">
        <f>SUM(H49:H53)</f>
        <v>71979</v>
      </c>
      <c r="I54" s="158"/>
      <c r="J54" s="158">
        <f>SUM(J49:J53)</f>
        <v>71979</v>
      </c>
      <c r="K54" s="158"/>
      <c r="L54" s="158">
        <f>SUM(L49:L53)</f>
        <v>-3538596.4299999997</v>
      </c>
      <c r="M54" s="158"/>
      <c r="N54" s="158">
        <f>SUM(N49:N53)</f>
        <v>-3538595.5100000016</v>
      </c>
      <c r="O54" s="146"/>
      <c r="P54" s="146"/>
      <c r="Q54" s="146"/>
      <c r="R54" s="146"/>
    </row>
    <row r="55" spans="1:18" ht="15">
      <c r="A55" s="146"/>
      <c r="B55" s="146" t="s">
        <v>1529</v>
      </c>
      <c r="C55" s="146"/>
      <c r="D55" s="162"/>
      <c r="E55" s="162"/>
      <c r="F55" s="16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</row>
    <row r="56" spans="1:18" ht="15">
      <c r="A56" s="169"/>
      <c r="B56" s="403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169"/>
      <c r="P56" s="169"/>
      <c r="Q56" s="169"/>
      <c r="R56" s="169"/>
    </row>
    <row r="57" spans="2:14" ht="15">
      <c r="B57" s="3"/>
      <c r="C57" s="40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printOptions horizontalCentered="1"/>
  <pageMargins left="0.25" right="0.25" top="0" bottom="0" header="0" footer="0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8" customWidth="1"/>
    <col min="2" max="2" width="9.140625" style="8" customWidth="1"/>
    <col min="3" max="3" width="15.00390625" style="8" customWidth="1"/>
    <col min="4" max="4" width="5.7109375" style="8" customWidth="1"/>
    <col min="5" max="5" width="15.00390625" style="8" customWidth="1"/>
    <col min="6" max="6" width="5.7109375" style="8" customWidth="1"/>
    <col min="7" max="7" width="16.140625" style="8" customWidth="1"/>
    <col min="8" max="8" width="5.7109375" style="8" customWidth="1"/>
    <col min="9" max="9" width="15.7109375" style="8" customWidth="1"/>
    <col min="10" max="10" width="12.8515625" style="8" bestFit="1" customWidth="1"/>
    <col min="11" max="11" width="10.140625" style="8" bestFit="1" customWidth="1"/>
    <col min="12" max="16384" width="9.140625" style="8" customWidth="1"/>
  </cols>
  <sheetData>
    <row r="1" spans="1:9" ht="16.5">
      <c r="A1" s="145" t="s">
        <v>1729</v>
      </c>
      <c r="B1" s="137" t="str">
        <f>INPUT!C1</f>
        <v>February 2009</v>
      </c>
      <c r="I1" s="136" t="s">
        <v>1326</v>
      </c>
    </row>
    <row r="2" spans="1:9" ht="16.5">
      <c r="A2" s="145"/>
      <c r="B2" s="137"/>
      <c r="I2" s="136"/>
    </row>
    <row r="3" ht="16.5">
      <c r="E3" s="136" t="s">
        <v>1327</v>
      </c>
    </row>
    <row r="4" ht="16.5">
      <c r="E4" s="170" t="s">
        <v>1328</v>
      </c>
    </row>
    <row r="6" spans="3:7" ht="16.5">
      <c r="C6" s="136" t="s">
        <v>1736</v>
      </c>
      <c r="G6" s="171" t="s">
        <v>1785</v>
      </c>
    </row>
    <row r="7" spans="3:9" ht="16.5">
      <c r="C7" s="136" t="s">
        <v>1785</v>
      </c>
      <c r="E7" s="136" t="s">
        <v>1736</v>
      </c>
      <c r="G7" s="171" t="s">
        <v>1786</v>
      </c>
      <c r="I7" s="136" t="s">
        <v>1329</v>
      </c>
    </row>
    <row r="8" spans="3:9" ht="16.5">
      <c r="C8" s="136" t="s">
        <v>1786</v>
      </c>
      <c r="E8" s="136" t="s">
        <v>1787</v>
      </c>
      <c r="G8" s="171" t="s">
        <v>1330</v>
      </c>
      <c r="I8" s="142" t="s">
        <v>1771</v>
      </c>
    </row>
    <row r="9" spans="1:9" ht="16.5">
      <c r="A9" s="139" t="s">
        <v>1736</v>
      </c>
      <c r="C9" s="140" t="s">
        <v>1548</v>
      </c>
      <c r="E9" s="140" t="s">
        <v>1788</v>
      </c>
      <c r="G9" s="172" t="s">
        <v>1331</v>
      </c>
      <c r="I9" s="139" t="s">
        <v>1786</v>
      </c>
    </row>
    <row r="10" spans="3:9" ht="15">
      <c r="C10" s="173" t="s">
        <v>1777</v>
      </c>
      <c r="D10" s="174"/>
      <c r="E10" s="173" t="s">
        <v>1778</v>
      </c>
      <c r="F10" s="174"/>
      <c r="G10" s="173" t="s">
        <v>1779</v>
      </c>
      <c r="H10" s="174"/>
      <c r="I10" s="173" t="s">
        <v>1332</v>
      </c>
    </row>
    <row r="12" spans="1:9" ht="15">
      <c r="A12" s="8" t="s">
        <v>1532</v>
      </c>
      <c r="C12" s="116">
        <f>APPII!I21</f>
        <v>6289000</v>
      </c>
      <c r="E12" s="175">
        <f>INPUT!C5</f>
        <v>0.34458</v>
      </c>
      <c r="G12" s="116">
        <f>ROUND($C$17*E12,-2)</f>
        <v>9023900</v>
      </c>
      <c r="I12" s="115">
        <f>C12-G12</f>
        <v>-2734900</v>
      </c>
    </row>
    <row r="13" spans="1:9" ht="15">
      <c r="A13" s="8" t="s">
        <v>1533</v>
      </c>
      <c r="C13" s="116">
        <f>APPII!I28</f>
        <v>1453000</v>
      </c>
      <c r="E13" s="175">
        <f>INPUT!C6</f>
        <v>0.06943</v>
      </c>
      <c r="G13" s="116">
        <f>ROUND($C$17*E13,-2)</f>
        <v>1818200</v>
      </c>
      <c r="I13" s="115">
        <f>C13-G13</f>
        <v>-365200</v>
      </c>
    </row>
    <row r="14" spans="1:9" ht="15">
      <c r="A14" s="8" t="s">
        <v>1534</v>
      </c>
      <c r="C14" s="116">
        <f>APPII!I40</f>
        <v>5155000</v>
      </c>
      <c r="E14" s="175">
        <f>INPUT!C7</f>
        <v>0.17686</v>
      </c>
      <c r="G14" s="116">
        <f>ROUND($C$17*E14,-2)</f>
        <v>4631600</v>
      </c>
      <c r="I14" s="115">
        <f>C14-G14</f>
        <v>523400</v>
      </c>
    </row>
    <row r="15" spans="1:9" ht="15">
      <c r="A15" s="8" t="s">
        <v>1536</v>
      </c>
      <c r="C15" s="116">
        <f>APPII!I52</f>
        <v>8450000</v>
      </c>
      <c r="E15" s="175">
        <f>INPUT!C8</f>
        <v>0.22638</v>
      </c>
      <c r="G15" s="116">
        <f>ROUND($C$17*E15,-2)</f>
        <v>5928400</v>
      </c>
      <c r="I15" s="115">
        <f>C15-G15</f>
        <v>2521600</v>
      </c>
    </row>
    <row r="16" spans="1:9" ht="15">
      <c r="A16" s="8" t="s">
        <v>1537</v>
      </c>
      <c r="C16" s="143">
        <f>APPII!I65</f>
        <v>4841000</v>
      </c>
      <c r="E16" s="176">
        <f>INPUT!C9</f>
        <v>0.18275</v>
      </c>
      <c r="G16" s="143">
        <f>ROUND($C$17*E16,-2)</f>
        <v>4785900</v>
      </c>
      <c r="I16" s="177">
        <f>C16-G16</f>
        <v>55100</v>
      </c>
    </row>
    <row r="17" spans="1:9" ht="15">
      <c r="A17" s="8" t="s">
        <v>1642</v>
      </c>
      <c r="C17" s="116">
        <f>SUM(C12:C16)</f>
        <v>26188000</v>
      </c>
      <c r="E17" s="175">
        <f>SUM(E12:E16)</f>
        <v>1</v>
      </c>
      <c r="G17" s="116">
        <f>SUM(G12:G16)</f>
        <v>26188000</v>
      </c>
      <c r="I17" s="115" t="s">
        <v>1529</v>
      </c>
    </row>
    <row r="19" ht="16.5">
      <c r="E19" s="170" t="s">
        <v>1333</v>
      </c>
    </row>
    <row r="21" spans="3:9" ht="16.5">
      <c r="C21" s="136" t="s">
        <v>1329</v>
      </c>
      <c r="F21" s="136" t="s">
        <v>1525</v>
      </c>
      <c r="I21" s="171" t="s">
        <v>1530</v>
      </c>
    </row>
    <row r="22" spans="3:9" ht="16.5">
      <c r="C22" s="142" t="s">
        <v>1771</v>
      </c>
      <c r="F22" s="136" t="s">
        <v>1772</v>
      </c>
      <c r="I22" s="178" t="s">
        <v>1334</v>
      </c>
    </row>
    <row r="23" spans="1:9" ht="16.5">
      <c r="A23" s="139" t="s">
        <v>1736</v>
      </c>
      <c r="C23" s="139" t="s">
        <v>1786</v>
      </c>
      <c r="E23" s="138"/>
      <c r="F23" s="140" t="s">
        <v>1335</v>
      </c>
      <c r="G23" s="138"/>
      <c r="I23" s="172" t="s">
        <v>1575</v>
      </c>
    </row>
    <row r="24" spans="3:9" ht="15">
      <c r="C24" s="173" t="s">
        <v>1777</v>
      </c>
      <c r="F24" s="173" t="s">
        <v>1778</v>
      </c>
      <c r="I24" s="173" t="s">
        <v>1779</v>
      </c>
    </row>
    <row r="26" spans="1:10" ht="15">
      <c r="A26" s="8" t="s">
        <v>1532</v>
      </c>
      <c r="C26" s="116">
        <f>+I12</f>
        <v>-2734900</v>
      </c>
      <c r="E26" s="173" t="str">
        <f>IF(I12&lt;=0,"*****",APPIII!J27)</f>
        <v>*****</v>
      </c>
      <c r="F26" s="173" t="s">
        <v>1336</v>
      </c>
      <c r="G26" s="173" t="str">
        <f>IF(I12&lt;=0,"*****",APPV!H46)</f>
        <v>*****</v>
      </c>
      <c r="I26" s="115">
        <f>IF(I12&lt;=0,ROUND(C26*$E$33,0),ROUND(C26*(E26+G26),0))</f>
        <v>-31944237</v>
      </c>
      <c r="J26" s="799"/>
    </row>
    <row r="27" spans="1:10" ht="15">
      <c r="A27" s="8" t="s">
        <v>1533</v>
      </c>
      <c r="C27" s="116">
        <f>+I13</f>
        <v>-365200</v>
      </c>
      <c r="E27" s="173" t="str">
        <f>IF(I13&lt;=0,"*****",APPIII!J34)</f>
        <v>*****</v>
      </c>
      <c r="F27" s="173" t="s">
        <v>1336</v>
      </c>
      <c r="G27" s="173" t="str">
        <f>IF(I13&lt;=0,"*****",APPV!H47)</f>
        <v>*****</v>
      </c>
      <c r="I27" s="115">
        <f>IF(I13&lt;=0,ROUND(C27*$E$33,0),ROUND(C27*(E27+G27),0))</f>
        <v>-4265617</v>
      </c>
      <c r="J27" s="225"/>
    </row>
    <row r="28" spans="1:10" ht="15">
      <c r="A28" s="8" t="s">
        <v>1534</v>
      </c>
      <c r="C28" s="116">
        <f>+I14</f>
        <v>523400</v>
      </c>
      <c r="E28" s="173">
        <f>IF(I14&lt;=0,"*****",APPIII!J44)</f>
        <v>10.54</v>
      </c>
      <c r="F28" s="173" t="s">
        <v>1336</v>
      </c>
      <c r="G28" s="173">
        <f>IF(I14&lt;=0,"*****",APPV!H48)</f>
        <v>3.26</v>
      </c>
      <c r="I28" s="115">
        <f>IF(I14&lt;=0,ROUND(C28*$E$33,0),ROUND(C28*(E28+G28),0))</f>
        <v>7222920</v>
      </c>
      <c r="J28" s="225"/>
    </row>
    <row r="29" spans="1:9" ht="15">
      <c r="A29" s="8" t="s">
        <v>1536</v>
      </c>
      <c r="C29" s="116">
        <f>+I15</f>
        <v>2521600</v>
      </c>
      <c r="E29" s="173">
        <f>IF(I15&lt;=0,"*****",APPIII!J55)</f>
        <v>8.43</v>
      </c>
      <c r="F29" s="173" t="s">
        <v>1336</v>
      </c>
      <c r="G29" s="173">
        <f>IF(I15&lt;=0,"*****",APPV!H49)</f>
        <v>2.85</v>
      </c>
      <c r="I29" s="115">
        <f>IF(I15&lt;=0,ROUND(C29*$E$33,0),ROUND(C29*(E29+G29),0))</f>
        <v>28443648</v>
      </c>
    </row>
    <row r="30" spans="1:9" ht="15">
      <c r="A30" s="8" t="s">
        <v>1537</v>
      </c>
      <c r="C30" s="116">
        <f>+I16</f>
        <v>55100</v>
      </c>
      <c r="E30" s="173">
        <f>IF(I16&lt;=0,"*****",APPIII!J67)</f>
        <v>8.78</v>
      </c>
      <c r="F30" s="173" t="s">
        <v>1336</v>
      </c>
      <c r="G30" s="173">
        <f>IF(I16&lt;=0,"*****",APPV!H50)</f>
        <v>1.08</v>
      </c>
      <c r="I30" s="115">
        <f>IF(I16&lt;=0,ROUND(C30*$E$33,0),ROUND(C30*(E30+G30),0))</f>
        <v>543286</v>
      </c>
    </row>
    <row r="31" spans="1:3" ht="15">
      <c r="A31" s="8" t="s">
        <v>1529</v>
      </c>
      <c r="C31" s="116"/>
    </row>
    <row r="33" spans="1:9" ht="16.5">
      <c r="A33" s="145" t="s">
        <v>1337</v>
      </c>
      <c r="E33" s="799">
        <f>SUMIF(E26:E30,"&lt;100000",I26:I30)/SUMIF(E26:E30,"&lt;100000",C26:C30)</f>
        <v>11.680221283184414</v>
      </c>
      <c r="I33" s="141"/>
    </row>
    <row r="34" ht="15">
      <c r="A34" s="141" t="s">
        <v>1338</v>
      </c>
    </row>
    <row r="35" ht="15">
      <c r="A35" s="141"/>
    </row>
    <row r="37" ht="16.5">
      <c r="A37" s="145" t="s">
        <v>1339</v>
      </c>
    </row>
    <row r="38" spans="1:2" ht="15">
      <c r="A38" s="8" t="s">
        <v>1340</v>
      </c>
      <c r="B38" s="141"/>
    </row>
    <row r="39" ht="15">
      <c r="A39" s="141" t="s">
        <v>1341</v>
      </c>
    </row>
    <row r="40" ht="15">
      <c r="A40" s="141"/>
    </row>
    <row r="41" spans="1:2" ht="15">
      <c r="A41" s="8" t="s">
        <v>1342</v>
      </c>
      <c r="B41" s="141"/>
    </row>
    <row r="42" spans="1:2" ht="15">
      <c r="A42" s="8" t="s">
        <v>1343</v>
      </c>
      <c r="B42" s="141"/>
    </row>
  </sheetData>
  <printOptions horizontalCentered="1"/>
  <pageMargins left="0.75" right="0.25" top="1" bottom="1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L. Campbell</dc:creator>
  <cp:keywords/>
  <dc:description/>
  <cp:lastModifiedBy>AEP</cp:lastModifiedBy>
  <cp:lastPrinted>2009-04-01T14:45:33Z</cp:lastPrinted>
  <dcterms:created xsi:type="dcterms:W3CDTF">1997-01-09T21:36:07Z</dcterms:created>
  <dcterms:modified xsi:type="dcterms:W3CDTF">2010-05-03T13:58:00Z</dcterms:modified>
  <cp:category/>
  <cp:version/>
  <cp:contentType/>
  <cp:contentStatus/>
</cp:coreProperties>
</file>