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832" activeTab="0"/>
  </bookViews>
  <sheets>
    <sheet name="Checkbook" sheetId="1" r:id="rId1"/>
    <sheet name="BS Cost Est ALL Revions" sheetId="2" r:id="rId2"/>
    <sheet name="Big Sandy Unit 1 Estimate" sheetId="3" r:id="rId3"/>
    <sheet name="Notes" sheetId="4" r:id="rId4"/>
    <sheet name="Notes for Rev 1" sheetId="5" r:id="rId5"/>
    <sheet name="Notes for Rev 2" sheetId="6" r:id="rId6"/>
    <sheet name="Notes for BS U2 Cost" sheetId="7" r:id="rId7"/>
    <sheet name="Notes for Chimney Cost" sheetId="8" r:id="rId8"/>
  </sheets>
  <definedNames>
    <definedName name="_xlnm.Print_Area" localSheetId="2">'Big Sandy Unit 1 Estimate'!$A$4:$G$46</definedName>
    <definedName name="_xlnm.Print_Area" localSheetId="1">'BS Cost Est ALL Revions'!$A$1:$O$37</definedName>
    <definedName name="_xlnm.Print_Area" localSheetId="0">'Checkbook'!$A$1:$K$60</definedName>
    <definedName name="_xlnm.Print_Area" localSheetId="7">'Notes for Chimney Cost'!$A$1:$K$39</definedName>
  </definedNames>
  <calcPr fullCalcOnLoad="1"/>
</workbook>
</file>

<file path=xl/sharedStrings.xml><?xml version="1.0" encoding="utf-8"?>
<sst xmlns="http://schemas.openxmlformats.org/spreadsheetml/2006/main" count="498" uniqueCount="155">
  <si>
    <t>TOTAL</t>
  </si>
  <si>
    <t>FGD SYSTEM</t>
  </si>
  <si>
    <t>$M</t>
  </si>
  <si>
    <t>FGD Engr &amp; Procurement</t>
  </si>
  <si>
    <t>FGD Erection</t>
  </si>
  <si>
    <t>Site Prep &amp; Foundation</t>
  </si>
  <si>
    <t>Stack</t>
  </si>
  <si>
    <t>BOP (inc. Ductwork)</t>
  </si>
  <si>
    <t>PM E &amp; C</t>
  </si>
  <si>
    <t>AEP Scope</t>
  </si>
  <si>
    <t>ASSOCIATED WORK</t>
  </si>
  <si>
    <t>Boiler Modifications</t>
  </si>
  <si>
    <t>Balanced Draft</t>
  </si>
  <si>
    <t>I&amp;C Upgrades/Controls Modernization</t>
  </si>
  <si>
    <t>Coal Blending</t>
  </si>
  <si>
    <t>River Water M/U</t>
  </si>
  <si>
    <t>SO3 Mitigation</t>
  </si>
  <si>
    <t>Wastewater Treatment</t>
  </si>
  <si>
    <t>AFUDC &amp; AEP Overheads - 11.5%</t>
  </si>
  <si>
    <t>Project Total</t>
  </si>
  <si>
    <t>BIG SANDY UNIT 1 FGD PROJECT</t>
  </si>
  <si>
    <t>SCR SYSTEM</t>
  </si>
  <si>
    <t xml:space="preserve">Material </t>
  </si>
  <si>
    <t xml:space="preserve">Construction Labor </t>
  </si>
  <si>
    <t xml:space="preserve">Removal Labor </t>
  </si>
  <si>
    <t>Outside Services</t>
  </si>
  <si>
    <t xml:space="preserve">OEM </t>
  </si>
  <si>
    <t>PM, E &amp; C</t>
  </si>
  <si>
    <t xml:space="preserve">Plant Labor </t>
  </si>
  <si>
    <t>Landfill</t>
  </si>
  <si>
    <t>Big Sandy Unit 2 FGD Estimate</t>
  </si>
  <si>
    <t>Mitchell Unit 1 SCR Estimate</t>
  </si>
  <si>
    <t>Precipitator Relocation</t>
  </si>
  <si>
    <t>Escalation Cost - 10%</t>
  </si>
  <si>
    <t>FGD SYSTEM TOTAL</t>
  </si>
  <si>
    <t>ASSOCIATED WORK TOTAL</t>
  </si>
  <si>
    <t>SCR SYSTEM TOTAL</t>
  </si>
  <si>
    <t>PROJECT TOTAL</t>
  </si>
  <si>
    <t>Contingency - 10%</t>
  </si>
  <si>
    <t>SCR System based on 70% of Mitchell Unit 1 SCR Estimate November 2005</t>
  </si>
  <si>
    <t xml:space="preserve">per conversation with allan varney plant labor was increased by 1.5m off org. number based off info from previous SCR cost </t>
  </si>
  <si>
    <t>per conversation with allan varney construction labor was increased by 5m off org. number based off info from previous SCR cost</t>
  </si>
  <si>
    <t>per Ed Dillow rebuilding precip would cost 7m and another 2 m for ductwork.</t>
  </si>
  <si>
    <t>per Ed Dillow SCR needs about a 1m in remove labor to remove air heater and ductwork with asbestos</t>
  </si>
  <si>
    <t>per Ed Gilabert added another 5.5m for the precip relocation.</t>
  </si>
  <si>
    <t>Adjusted Stack number due to info from Pullman that 7.6 was to low and needed to be around 12.0</t>
  </si>
  <si>
    <t>Associated Work based on 70% of Big Sandy Unit 2 Associated work Estimate November 2005</t>
  </si>
  <si>
    <t>FGD System based on 40% of Big Sandy Unit 2 FGD Estimate Novemer 2005</t>
  </si>
  <si>
    <t>Budgetary Estimate (-15 +30%)</t>
  </si>
  <si>
    <t>NOTE: This estimate is per PG 010 Rev 0, pg 1, Section 2, para 2.2</t>
  </si>
  <si>
    <t>Absorber Island</t>
  </si>
  <si>
    <t>Limestone/Gypsum Handling</t>
  </si>
  <si>
    <t>BOP</t>
  </si>
  <si>
    <t>Foundations &amp; Site Prep</t>
  </si>
  <si>
    <t>Misc &amp; Adjustments</t>
  </si>
  <si>
    <t>Unit 1 Incremental (FGD &amp; SCR)</t>
  </si>
  <si>
    <t>AEP Assoc on Unit 1</t>
  </si>
  <si>
    <t>AFUDC (5.96%)</t>
  </si>
  <si>
    <t>Overheads (15.2%)</t>
  </si>
  <si>
    <t>Inflation @ 3.5%/yr</t>
  </si>
  <si>
    <t>Cost Differential</t>
  </si>
  <si>
    <t>Preliminary Estimate (-30% +50%)</t>
  </si>
  <si>
    <t>Budgetary Estimate (-15% +30%)</t>
  </si>
  <si>
    <t>FGD $ per Kw - Does not include Associated cost</t>
  </si>
  <si>
    <t/>
  </si>
  <si>
    <t>Stack liner*</t>
  </si>
  <si>
    <t>Wastewater Treatment**</t>
  </si>
  <si>
    <t>River Water M/U**</t>
  </si>
  <si>
    <t>Coal Blending**</t>
  </si>
  <si>
    <t>**Latest analysis indicates these items will not be required.  Subject to change.</t>
  </si>
  <si>
    <r>
      <t xml:space="preserve">NOTE: </t>
    </r>
    <r>
      <rPr>
        <b/>
        <sz val="12"/>
        <color indexed="10"/>
        <rFont val="Arial"/>
        <family val="2"/>
      </rPr>
      <t>Red bold numbers indicate firm price bids</t>
    </r>
  </si>
  <si>
    <t>PROJECT TOTAL*</t>
  </si>
  <si>
    <t>**Stack Liner - contingent on Unit 2 building a 2 flue stack.  Cost is for installation of</t>
  </si>
  <si>
    <t>Unit 1 liner, while Unit 2 is in operation.</t>
  </si>
  <si>
    <t>*SCR cost not included - project scope reduced since last analysis</t>
  </si>
  <si>
    <t>*Stack liner - Contingent on Unit 2 building a 2 flue stack.  Cost is for installation of Unit 1 liner, while Unit 2 is in operation</t>
  </si>
  <si>
    <t>DRAFT</t>
  </si>
  <si>
    <t>Rev 2</t>
  </si>
  <si>
    <t>Big Sandy Unit 1 FGD  -  Checkbook</t>
  </si>
  <si>
    <t>prepared Dec 2004</t>
  </si>
  <si>
    <t>Phase 2A Estimate will be available April 2006</t>
  </si>
  <si>
    <t>Phase 2A Estimate available April 2006</t>
  </si>
  <si>
    <t>REVISION 1</t>
  </si>
  <si>
    <t>REVISION 2</t>
  </si>
  <si>
    <t>REVISION 3</t>
  </si>
  <si>
    <t>REVISION 4</t>
  </si>
  <si>
    <t>Cost Estimate +/- 40%</t>
  </si>
  <si>
    <t>DELTA</t>
  </si>
  <si>
    <t xml:space="preserve">Stack - Contengent Unit 2 building a 2 flew stack </t>
  </si>
  <si>
    <t>Turbin Upgrade</t>
  </si>
  <si>
    <t>Coal Blending - Only required if FGD is not installed in Unit 1</t>
  </si>
  <si>
    <t>AFUDC (5.96%)  //  AFUDC &amp; AEP OVERHEADS - 11.5% // 8% // 11.5% // 10%</t>
  </si>
  <si>
    <t>Overheads (15.2%)  //   ESCALATION COST - 10% // 5% // 10% // 10%</t>
  </si>
  <si>
    <t>Inflation @ 3.5%/yr //   CONTINGENCY - 10% // 8% // 10% // 10%</t>
  </si>
  <si>
    <t>PROJECT TOTAL - 40%</t>
  </si>
  <si>
    <t>PROJECT TOTAL + 40%</t>
  </si>
  <si>
    <t>FGD System &amp; Associated work based on 46% of Big Sandy Unit 2 FGD Estimate Novemer 2005</t>
  </si>
  <si>
    <t>FGD $ per Kw hour - Does not include Associated cost (+/- 40%)</t>
  </si>
  <si>
    <t>Muskingum River Unit 5 SCR Estimate</t>
  </si>
  <si>
    <t>Contingency</t>
  </si>
  <si>
    <t>Costs for the chimneys for Big Sandy Unit 2 are as follows:</t>
  </si>
  <si>
    <t>Big Sandy Unit 2:</t>
  </si>
  <si>
    <t>800' chimney 33.75' ID FRP liner, $15,074,000</t>
  </si>
  <si>
    <t>1,000' chimney 33.75' ID FRP liner, $18,197,000</t>
  </si>
  <si>
    <t xml:space="preserve"> 800' chimney 33.75' ID alloy liner, $19,513,000</t>
  </si>
  <si>
    <t>1,000' chimney 33.75' ID alloy liner, $24,186,000</t>
  </si>
  <si>
    <t>Some factors that may influence the final cost:</t>
  </si>
  <si>
    <t>Pricing was part of the FGD Program chimney contract, awarded in late July, 2004 to Pullman Power.</t>
  </si>
  <si>
    <t>Costs are in 2004 dollars, and assume a construction start date of early 2005.</t>
  </si>
  <si>
    <t>The costs do not include a foundation, which may cost up to $3,000,000 to $5,000,000.</t>
  </si>
  <si>
    <t>The costs assumed diameters for the liners which cannot be finalized until a vendor is picked for the absorber, since different absorbers convert the volume of flue gas at different rates.</t>
  </si>
  <si>
    <t>The costs will need to be adjusted for inflation as well as material changes due to supply and demand.  When the size and construction period is established, we will sit with Pullman to develop a cost based on the original cost.  In other words, these are not firm prices at this time.</t>
  </si>
  <si>
    <t>The costs listed above should certainly be within 25%.</t>
  </si>
  <si>
    <t>Given today's costs and air dispersion modeling, I would assume we would use FRP liners, with 1,000' chimneys, as is currently being used for Mountaineer and Mitchell.</t>
  </si>
  <si>
    <t>For the first two chimneys, we have added a few options that has cost an additional $800,000 per chimney.  I would assume these will be added for all chimneys.  It includes additional insurance (performance and payment bond), OSHA approved offset ladders with cages and lower operating pressures.</t>
  </si>
  <si>
    <t>================================================================================</t>
  </si>
  <si>
    <t>To build a concrete shell large enough to accommodate the Unit 1 FRP liner (approximately 19.25' diameter) at a later date would add about $3,000,000 to the above pricing.  It would include the larger diameter concrete shell and the basic support steel and platforms.</t>
  </si>
  <si>
    <t>To install a 19.25' diameter FRP liner at a later date in the Unit 2 chimney shell would cost approximately $6,000,000.</t>
  </si>
  <si>
    <t>To retrofit the existing Unit 1 &amp; 2 chimney for the future Unit 1 FGD flue gas would cost approximately $10,000,000.  The outage duration is assumed to be two outages, the first being 2 to 4 weeks, and the second outage being 8 to 10 weeks.</t>
  </si>
  <si>
    <t xml:space="preserve">Another cost required to retrofit the existing chimney would be the duct system required to go back to it from the new absorber.  This duct is very expensive, and may offset and potential savings.  </t>
  </si>
  <si>
    <t>A new chimney for Unit 1 would cost around $15,000,000, plus another $3,000,000 for the foundation.</t>
  </si>
  <si>
    <t>For Big Sandy, it appears the most cost effective solution at this time, assuming Unit 1 is a probable unit for FGD, is to build in the capacity in the new Unit 2 shell for a future liner.  The cost for the shell and liner, including installation would be around $9,000,000, with no impact on outage duration.  To use the existing chimney would cost about the same, but the cost of the duct system would be significant.  To build a separate independent chimney would also be much more than $10,000,000.</t>
  </si>
  <si>
    <t>From our other Tier II stacks, we have found the escalation on the FRP liners to be more than we anticipated, adding about 20% to the cost of the stack.  With this in mind, I would suggest the estimates for the original stack are increased by another few million dollars for the total cost, plus escalation from 2004 dollars and 2005 start date of about 4% per year.</t>
  </si>
  <si>
    <t>I ran this through Pullman Power, and they agree that the accuracy is within +/- 15%.</t>
  </si>
  <si>
    <t>Please contact me should you have any questions.</t>
  </si>
  <si>
    <t xml:space="preserve">Note - Line 9N Dollor amounts received from Scott Kutzley are shown in Tab Listed as "Notes for Chimney Cost" </t>
  </si>
  <si>
    <t>Note - Line 11F, this amount was carry over amount from unit 2, this revisied amount shows an adjustment amount for Unit 1 and is 70% of unit 2 PM E&amp;C Cost.</t>
  </si>
  <si>
    <t>Note - Line 16N, 8.2M was orignially added for Boiler Upgrades that would be need for Unit 1, this amount is already in the O&amp;M budget (Don Untch), and was removed from this Rev.</t>
  </si>
  <si>
    <t>Rev 3</t>
  </si>
  <si>
    <t>This Revision is based on Meeting held with J White, W Calvert, E Dillow, L Aguirre &amp; L Robinson</t>
  </si>
  <si>
    <t>REVISION 5</t>
  </si>
  <si>
    <t xml:space="preserve">Note - Line 9N Dollar amounts received from Scott Kutzley are shown in Tab Listed as "Notes for Chimney Cost" </t>
  </si>
  <si>
    <t>Note - Line 11F, this amount was carry over amount from unit 2, this revised amount shows an adjustment amount for Unit 1 and is 70% of unit 2 PM E&amp;C Cost.</t>
  </si>
  <si>
    <t>Note - Line 16N, 8.2M was originally added for Boiler Upgrades that would be need for Unit 1, this amount is already in the O&amp;M budget (Don Untch), and was removed from this Rev.</t>
  </si>
  <si>
    <t>Subtotal in 2006 dollars</t>
  </si>
  <si>
    <r>
      <t>NOTE:</t>
    </r>
    <r>
      <rPr>
        <sz val="12"/>
        <rFont val="Arial"/>
        <family val="2"/>
      </rPr>
      <t xml:space="preserve"> This estimate is per PG 010 Rev 0, pg 1, Section 2, Para 2.1</t>
    </r>
  </si>
  <si>
    <r>
      <t>NOTE:</t>
    </r>
    <r>
      <rPr>
        <sz val="12"/>
        <rFont val="Arial"/>
        <family val="2"/>
      </rPr>
      <t xml:space="preserve"> This estimate is per PG 010 Rev 0, pg 1, Section 2, Para 2.2</t>
    </r>
  </si>
  <si>
    <t>ALL OF THE BELOW LISTED NOTES ARE A RESULT OF MEETING HELD ON 01/23/06, INVOLVING JEFF WHITE, BIG SANDY PLANT AND THE BIG SANDY PROJECT TEAM.</t>
  </si>
  <si>
    <t>Stack Liner** (See Note 1)</t>
  </si>
  <si>
    <t>PM E &amp; C (See PM E &amp; C Below &amp; Note 2)</t>
  </si>
  <si>
    <t>Precipitator Relocation/Replacement (See Note 3 Below)</t>
  </si>
  <si>
    <t>Boiler Modifications (See Note 4 Below)</t>
  </si>
  <si>
    <t>I&amp;C Upgrades/Controls Modernization (See Note 5 Below)</t>
  </si>
  <si>
    <t>SO3 Mitigation (See Note 6 Below)</t>
  </si>
  <si>
    <t>Escalation Cost - 10% (See Note 7 Below)</t>
  </si>
  <si>
    <t>Contingency - 10% (See Note 8 Below)</t>
  </si>
  <si>
    <t xml:space="preserve">NOTE 1:  Stack Liner** Estimate amounts received from Scott Kutzley are shown in Tab Listed as "Notes for Chimney Cost" </t>
  </si>
  <si>
    <t xml:space="preserve">NOTE 3: PM E &amp; C - Was Estamated at 9% of total cost for both FGD and Associated work. </t>
  </si>
  <si>
    <t>NOTE 2:  Precipitator Relocation/Replacement - It's anticipated that replacing the precip will be more cost effective than relocating and repairing existing precip due to required Outage time.</t>
  </si>
  <si>
    <t>NOTE 4:  Boiler Modifications - Reduced by the amount of modifications required to continue operations without FGD Project.</t>
  </si>
  <si>
    <t>NOTE 5:  I&amp;C Upgrades/Controls Modernization - Estimated at 1/3 of Unit2's budget for this option (7.6*.33) also this only requires adding IO's</t>
  </si>
  <si>
    <t>NOTE 6:  SO3 Mitigation - Estimated at 1/3 of Unit2's budget for this option (13.2*.33)</t>
  </si>
  <si>
    <t>NOTE 7:  Escalation Cost - 10% - This amount was removed and will be accounted for by Jeff White's group as 2% each year.</t>
  </si>
  <si>
    <t>NOTE 8:  Contingency - 10% - This amount was also removed at the request of Upper Mgnt, and should not be counted as part of the over-all evaluation of Unit 1 FGD.</t>
  </si>
  <si>
    <t>Rev 7</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</si>
</sst>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409]mmm\-yy;@"/>
    <numFmt numFmtId="167" formatCode="_(* #,##0_);_(* \(#,##0\);_(* &quot;-&quot;??_);_(@_)"/>
    <numFmt numFmtId="168" formatCode="&quot;$&quot;#,##0.00"/>
    <numFmt numFmtId="169" formatCode="0.0"/>
    <numFmt numFmtId="170" formatCode="[$-409]d\-mmm\-yy;@"/>
    <numFmt numFmtId="171" formatCode="mmm\-yyyy"/>
    <numFmt numFmtId="172" formatCode="&quot;$&quot;#,##0.000"/>
    <numFmt numFmtId="173" formatCode="&quot;$&quot;#,##0.00000000"/>
    <numFmt numFmtId="174" formatCode="&quot;$&quot;#,##0.0"/>
    <numFmt numFmtId="175" formatCode="&quot;$&quot;#,##0.0000000"/>
    <numFmt numFmtId="176" formatCode="_(&quot;$&quot;* #,##0.0_);_(&quot;$&quot;* \(#,##0.0\);_(&quot;$&quot;* &quot;-&quot;??_);_(@_)"/>
    <numFmt numFmtId="177" formatCode="_(&quot;$&quot;* #,##0_);_(&quot;$&quot;* \(#,##0\);_(&quot;$&quot;* &quot;-&quot;??_);_(@_)"/>
    <numFmt numFmtId="178" formatCode="0.000"/>
  </numFmts>
  <fonts count="18">
    <font>
      <sz val="10"/>
      <name val="Arial"/>
      <family val="0"/>
    </font>
    <font>
      <u val="single"/>
      <sz val="10"/>
      <color indexed="36"/>
      <name val="Arial"/>
      <family val="0"/>
    </font>
    <font>
      <u val="single"/>
      <sz val="10"/>
      <color indexed="12"/>
      <name val="Arial"/>
      <family val="0"/>
    </font>
    <font>
      <b/>
      <sz val="14"/>
      <name val="Arial"/>
      <family val="2"/>
    </font>
    <font>
      <sz val="14"/>
      <name val="Arial"/>
      <family val="0"/>
    </font>
    <font>
      <sz val="12"/>
      <name val="Arial"/>
      <family val="0"/>
    </font>
    <font>
      <b/>
      <sz val="12"/>
      <name val="Arial"/>
      <family val="2"/>
    </font>
    <font>
      <b/>
      <sz val="11"/>
      <name val="Arial"/>
      <family val="2"/>
    </font>
    <font>
      <sz val="9"/>
      <name val="Arial"/>
      <family val="2"/>
    </font>
    <font>
      <b/>
      <sz val="10"/>
      <name val="Arial"/>
      <family val="2"/>
    </font>
    <font>
      <b/>
      <sz val="12"/>
      <color indexed="10"/>
      <name val="Arial"/>
      <family val="2"/>
    </font>
    <font>
      <sz val="8"/>
      <name val="Arial"/>
      <family val="2"/>
    </font>
    <font>
      <b/>
      <sz val="20"/>
      <color indexed="10"/>
      <name val="Arial"/>
      <family val="2"/>
    </font>
    <font>
      <sz val="12"/>
      <color indexed="8"/>
      <name val="Arial"/>
      <family val="2"/>
    </font>
    <font>
      <sz val="12"/>
      <color indexed="10"/>
      <name val="Arial"/>
      <family val="0"/>
    </font>
    <font>
      <b/>
      <sz val="36"/>
      <color indexed="10"/>
      <name val="Arial"/>
      <family val="2"/>
    </font>
    <font>
      <sz val="36"/>
      <name val="Arial"/>
      <family val="2"/>
    </font>
    <font>
      <b/>
      <sz val="24"/>
      <name val="Arial"/>
      <family val="2"/>
    </font>
  </fonts>
  <fills count="2">
    <fill>
      <patternFill/>
    </fill>
    <fill>
      <patternFill patternType="gray125"/>
    </fill>
  </fills>
  <borders count="2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thick"/>
    </border>
    <border>
      <left style="medium"/>
      <right>
        <color indexed="63"/>
      </right>
      <top style="medium"/>
      <bottom>
        <color indexed="63"/>
      </bottom>
    </border>
    <border>
      <left style="thick"/>
      <right style="thick"/>
      <top style="thick"/>
      <bottom>
        <color indexed="63"/>
      </bottom>
    </border>
    <border>
      <left style="medium"/>
      <right>
        <color indexed="63"/>
      </right>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thick"/>
      <right style="thin"/>
      <top style="thin"/>
      <bottom style="thin"/>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4" fillId="0" borderId="1" xfId="0" applyFont="1" applyBorder="1" applyAlignment="1">
      <alignment/>
    </xf>
    <xf numFmtId="0" fontId="5" fillId="0" borderId="1" xfId="0" applyFont="1" applyBorder="1" applyAlignment="1">
      <alignment/>
    </xf>
    <xf numFmtId="0" fontId="6" fillId="0" borderId="2" xfId="0" applyFont="1" applyBorder="1" applyAlignment="1">
      <alignment horizontal="center"/>
    </xf>
    <xf numFmtId="0" fontId="6" fillId="0" borderId="1" xfId="0" applyFont="1" applyBorder="1" applyAlignment="1">
      <alignment/>
    </xf>
    <xf numFmtId="0" fontId="6" fillId="0" borderId="1" xfId="0" applyFont="1" applyBorder="1" applyAlignment="1">
      <alignment horizontal="center"/>
    </xf>
    <xf numFmtId="0" fontId="6" fillId="0" borderId="0" xfId="0" applyFont="1" applyAlignment="1">
      <alignment/>
    </xf>
    <xf numFmtId="0" fontId="6" fillId="0" borderId="3" xfId="0" applyFont="1" applyBorder="1" applyAlignment="1">
      <alignment/>
    </xf>
    <xf numFmtId="0" fontId="0" fillId="0" borderId="4" xfId="0" applyBorder="1" applyAlignment="1">
      <alignment/>
    </xf>
    <xf numFmtId="0" fontId="5" fillId="0" borderId="3" xfId="0" applyFont="1" applyBorder="1" applyAlignment="1">
      <alignment/>
    </xf>
    <xf numFmtId="0" fontId="6" fillId="0" borderId="5" xfId="0" applyFont="1" applyBorder="1" applyAlignment="1">
      <alignment horizontal="center"/>
    </xf>
    <xf numFmtId="0" fontId="0" fillId="0" borderId="6" xfId="0" applyBorder="1" applyAlignment="1">
      <alignment/>
    </xf>
    <xf numFmtId="0" fontId="5" fillId="0" borderId="4" xfId="0" applyFont="1" applyBorder="1" applyAlignment="1">
      <alignment/>
    </xf>
    <xf numFmtId="0" fontId="6" fillId="0" borderId="3" xfId="0" applyFont="1" applyBorder="1" applyAlignment="1">
      <alignment horizontal="center"/>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4" xfId="0" applyFont="1" applyBorder="1" applyAlignment="1">
      <alignment horizontal="right"/>
    </xf>
    <xf numFmtId="0" fontId="6" fillId="0" borderId="0" xfId="0" applyFont="1" applyBorder="1" applyAlignment="1">
      <alignment/>
    </xf>
    <xf numFmtId="0" fontId="6" fillId="0" borderId="0" xfId="0" applyFont="1" applyBorder="1" applyAlignment="1">
      <alignment horizontal="center"/>
    </xf>
    <xf numFmtId="0" fontId="4" fillId="0" borderId="0" xfId="0" applyFont="1" applyBorder="1" applyAlignment="1">
      <alignment/>
    </xf>
    <xf numFmtId="0" fontId="5" fillId="0" borderId="1" xfId="0" applyFont="1" applyBorder="1" applyAlignment="1">
      <alignment/>
    </xf>
    <xf numFmtId="0" fontId="6" fillId="0" borderId="1" xfId="0" applyFont="1" applyBorder="1" applyAlignment="1">
      <alignment horizontal="center"/>
    </xf>
    <xf numFmtId="0" fontId="6" fillId="0" borderId="2" xfId="0" applyFont="1" applyBorder="1" applyAlignment="1">
      <alignment horizontal="right"/>
    </xf>
    <xf numFmtId="0" fontId="6" fillId="0" borderId="0" xfId="0" applyFont="1" applyBorder="1" applyAlignment="1">
      <alignment horizontal="right"/>
    </xf>
    <xf numFmtId="2" fontId="6" fillId="0" borderId="0" xfId="0" applyNumberFormat="1" applyFont="1" applyBorder="1" applyAlignment="1">
      <alignment horizontal="right"/>
    </xf>
    <xf numFmtId="2" fontId="6" fillId="0" borderId="0" xfId="0" applyNumberFormat="1" applyFont="1" applyBorder="1" applyAlignment="1">
      <alignment horizontal="right"/>
    </xf>
    <xf numFmtId="0" fontId="6" fillId="0" borderId="0" xfId="0" applyFont="1" applyAlignment="1">
      <alignment horizontal="right"/>
    </xf>
    <xf numFmtId="0" fontId="5" fillId="0" borderId="0" xfId="0" applyFont="1" applyAlignment="1">
      <alignment horizontal="right"/>
    </xf>
    <xf numFmtId="0" fontId="0" fillId="0" borderId="0" xfId="0" applyAlignment="1">
      <alignment horizontal="right"/>
    </xf>
    <xf numFmtId="0" fontId="4" fillId="0" borderId="0" xfId="0" applyFont="1" applyBorder="1" applyAlignment="1">
      <alignment horizontal="center"/>
    </xf>
    <xf numFmtId="2" fontId="6" fillId="0" borderId="2" xfId="0" applyNumberFormat="1" applyFont="1" applyBorder="1" applyAlignment="1">
      <alignment horizontal="right"/>
    </xf>
    <xf numFmtId="2" fontId="6" fillId="0" borderId="2" xfId="0" applyNumberFormat="1" applyFont="1" applyBorder="1" applyAlignment="1">
      <alignment horizontal="right"/>
    </xf>
    <xf numFmtId="0" fontId="6" fillId="0" borderId="7" xfId="0" applyFont="1" applyBorder="1" applyAlignment="1">
      <alignment horizontal="right"/>
    </xf>
    <xf numFmtId="2" fontId="6" fillId="0" borderId="8" xfId="0" applyNumberFormat="1" applyFont="1" applyBorder="1" applyAlignment="1">
      <alignment horizontal="right"/>
    </xf>
    <xf numFmtId="0" fontId="6" fillId="0" borderId="9" xfId="0" applyFont="1" applyBorder="1" applyAlignment="1">
      <alignment horizontal="right"/>
    </xf>
    <xf numFmtId="2" fontId="6" fillId="0" borderId="10" xfId="0" applyNumberFormat="1" applyFont="1" applyBorder="1" applyAlignment="1">
      <alignment horizontal="right"/>
    </xf>
    <xf numFmtId="2" fontId="5" fillId="0" borderId="0" xfId="0" applyNumberFormat="1" applyFont="1" applyBorder="1" applyAlignment="1">
      <alignment/>
    </xf>
    <xf numFmtId="2" fontId="5" fillId="0" borderId="0" xfId="0" applyNumberFormat="1" applyFont="1" applyBorder="1" applyAlignment="1">
      <alignment horizontal="right"/>
    </xf>
    <xf numFmtId="2" fontId="5" fillId="0" borderId="2" xfId="0" applyNumberFormat="1" applyFont="1" applyBorder="1" applyAlignment="1">
      <alignment horizontal="right"/>
    </xf>
    <xf numFmtId="2" fontId="5" fillId="0" borderId="0" xfId="0" applyNumberFormat="1" applyFont="1" applyBorder="1" applyAlignment="1">
      <alignment/>
    </xf>
    <xf numFmtId="2" fontId="5" fillId="0" borderId="0" xfId="0" applyNumberFormat="1" applyFont="1" applyBorder="1" applyAlignment="1">
      <alignment horizontal="right"/>
    </xf>
    <xf numFmtId="0" fontId="0" fillId="0" borderId="0" xfId="0" applyNumberFormat="1" applyAlignment="1">
      <alignment/>
    </xf>
    <xf numFmtId="0" fontId="8" fillId="0" borderId="0" xfId="0" applyFont="1" applyBorder="1" applyAlignment="1">
      <alignment horizontal="left"/>
    </xf>
    <xf numFmtId="2" fontId="6" fillId="0" borderId="0" xfId="0" applyNumberFormat="1" applyFont="1" applyBorder="1" applyAlignment="1">
      <alignment horizontal="center"/>
    </xf>
    <xf numFmtId="2" fontId="6" fillId="0" borderId="0" xfId="0" applyNumberFormat="1" applyFont="1" applyBorder="1" applyAlignment="1">
      <alignment/>
    </xf>
    <xf numFmtId="0" fontId="8" fillId="0" borderId="0" xfId="0" applyFont="1" applyBorder="1" applyAlignment="1">
      <alignment/>
    </xf>
    <xf numFmtId="0" fontId="0" fillId="0" borderId="0" xfId="0" applyBorder="1" applyAlignment="1">
      <alignment/>
    </xf>
    <xf numFmtId="2" fontId="5" fillId="0" borderId="7" xfId="0" applyNumberFormat="1" applyFont="1" applyBorder="1" applyAlignment="1">
      <alignment horizontal="right"/>
    </xf>
    <xf numFmtId="2" fontId="5" fillId="0" borderId="9" xfId="0" applyNumberFormat="1" applyFont="1" applyBorder="1" applyAlignment="1">
      <alignment horizontal="right"/>
    </xf>
    <xf numFmtId="0" fontId="5" fillId="0" borderId="1" xfId="0" applyFont="1" applyBorder="1" applyAlignment="1">
      <alignment horizontal="left"/>
    </xf>
    <xf numFmtId="0" fontId="9" fillId="0" borderId="11" xfId="0" applyFont="1" applyBorder="1" applyAlignment="1">
      <alignment/>
    </xf>
    <xf numFmtId="0" fontId="0" fillId="0" borderId="11" xfId="0" applyBorder="1" applyAlignment="1">
      <alignment/>
    </xf>
    <xf numFmtId="0" fontId="0" fillId="0" borderId="12" xfId="0" applyBorder="1" applyAlignment="1">
      <alignment/>
    </xf>
    <xf numFmtId="0" fontId="9" fillId="0" borderId="13" xfId="0" applyFont="1" applyBorder="1" applyAlignment="1">
      <alignment/>
    </xf>
    <xf numFmtId="0" fontId="6" fillId="0" borderId="11" xfId="0" applyFont="1" applyBorder="1" applyAlignment="1">
      <alignment/>
    </xf>
    <xf numFmtId="0" fontId="5" fillId="0" borderId="11" xfId="0" applyFont="1" applyBorder="1" applyAlignment="1">
      <alignment/>
    </xf>
    <xf numFmtId="2" fontId="5" fillId="0" borderId="12" xfId="0" applyNumberFormat="1" applyFont="1" applyBorder="1" applyAlignment="1">
      <alignment horizontal="right"/>
    </xf>
    <xf numFmtId="0" fontId="6" fillId="0" borderId="11" xfId="0" applyFont="1" applyBorder="1" applyAlignment="1">
      <alignment horizontal="center"/>
    </xf>
    <xf numFmtId="2" fontId="6" fillId="0" borderId="12" xfId="0" applyNumberFormat="1" applyFont="1" applyBorder="1" applyAlignment="1">
      <alignment horizontal="right"/>
    </xf>
    <xf numFmtId="0" fontId="6" fillId="0" borderId="13" xfId="0" applyFont="1" applyBorder="1" applyAlignment="1">
      <alignment horizontal="center"/>
    </xf>
    <xf numFmtId="2" fontId="6" fillId="0" borderId="14" xfId="0" applyNumberFormat="1" applyFont="1" applyBorder="1" applyAlignment="1">
      <alignment horizontal="right"/>
    </xf>
    <xf numFmtId="2" fontId="5" fillId="0" borderId="12" xfId="0" applyNumberFormat="1" applyFont="1" applyBorder="1" applyAlignment="1">
      <alignment/>
    </xf>
    <xf numFmtId="0" fontId="5" fillId="0" borderId="12" xfId="0" applyFont="1" applyBorder="1" applyAlignment="1">
      <alignment/>
    </xf>
    <xf numFmtId="2" fontId="5" fillId="0" borderId="14" xfId="0" applyNumberFormat="1" applyFont="1" applyBorder="1" applyAlignment="1">
      <alignment/>
    </xf>
    <xf numFmtId="0" fontId="6" fillId="0" borderId="15" xfId="0" applyFont="1" applyBorder="1" applyAlignment="1">
      <alignment/>
    </xf>
    <xf numFmtId="0" fontId="5" fillId="0" borderId="15" xfId="0" applyFont="1" applyBorder="1" applyAlignment="1">
      <alignment/>
    </xf>
    <xf numFmtId="0" fontId="6" fillId="0" borderId="15" xfId="0" applyFont="1" applyBorder="1" applyAlignment="1">
      <alignment horizontal="center"/>
    </xf>
    <xf numFmtId="2" fontId="6" fillId="0" borderId="16" xfId="0" applyNumberFormat="1" applyFont="1" applyBorder="1" applyAlignment="1">
      <alignment horizontal="center"/>
    </xf>
    <xf numFmtId="2" fontId="10" fillId="0" borderId="2" xfId="0" applyNumberFormat="1" applyFont="1" applyBorder="1" applyAlignment="1">
      <alignment horizontal="right"/>
    </xf>
    <xf numFmtId="2" fontId="10" fillId="0" borderId="2" xfId="0" applyNumberFormat="1" applyFont="1" applyBorder="1" applyAlignment="1">
      <alignment/>
    </xf>
    <xf numFmtId="0" fontId="6" fillId="0" borderId="1" xfId="0" applyFont="1" applyBorder="1" applyAlignment="1">
      <alignment horizontal="left"/>
    </xf>
    <xf numFmtId="0" fontId="0" fillId="0" borderId="17" xfId="0" applyFont="1" applyBorder="1" applyAlignment="1">
      <alignment horizontal="left"/>
    </xf>
    <xf numFmtId="0" fontId="6" fillId="0" borderId="18" xfId="0" applyFont="1" applyBorder="1" applyAlignment="1">
      <alignment horizontal="center"/>
    </xf>
    <xf numFmtId="0" fontId="6" fillId="0" borderId="0" xfId="0" applyFont="1" applyAlignment="1">
      <alignment/>
    </xf>
    <xf numFmtId="2" fontId="10" fillId="0" borderId="12" xfId="0" applyNumberFormat="1" applyFont="1" applyBorder="1" applyAlignment="1">
      <alignment/>
    </xf>
    <xf numFmtId="0" fontId="6" fillId="0" borderId="0" xfId="0" applyFont="1" applyBorder="1" applyAlignment="1">
      <alignment horizontal="left"/>
    </xf>
    <xf numFmtId="0" fontId="5" fillId="0" borderId="1" xfId="0" applyFont="1" applyBorder="1" applyAlignment="1">
      <alignment wrapText="1"/>
    </xf>
    <xf numFmtId="0" fontId="11" fillId="0" borderId="0" xfId="0" applyFont="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center" vertical="center"/>
    </xf>
    <xf numFmtId="0" fontId="5" fillId="0" borderId="0" xfId="0" applyFont="1" applyBorder="1" applyAlignment="1">
      <alignment/>
    </xf>
    <xf numFmtId="0" fontId="6" fillId="0" borderId="15" xfId="0" applyFont="1" applyBorder="1" applyAlignment="1">
      <alignment horizontal="center" vertical="center"/>
    </xf>
    <xf numFmtId="2" fontId="5" fillId="0" borderId="15" xfId="0" applyNumberFormat="1" applyFont="1" applyBorder="1" applyAlignment="1">
      <alignment/>
    </xf>
    <xf numFmtId="0" fontId="5" fillId="0" borderId="11" xfId="0" applyFont="1" applyBorder="1" applyAlignment="1">
      <alignment wrapText="1"/>
    </xf>
    <xf numFmtId="2" fontId="6" fillId="0" borderId="15" xfId="0" applyNumberFormat="1" applyFont="1" applyBorder="1" applyAlignment="1">
      <alignment horizontal="right"/>
    </xf>
    <xf numFmtId="2" fontId="5" fillId="0" borderId="12" xfId="0" applyNumberFormat="1" applyFont="1" applyBorder="1" applyAlignment="1" quotePrefix="1">
      <alignment/>
    </xf>
    <xf numFmtId="0" fontId="9" fillId="0" borderId="11" xfId="0" applyFont="1" applyBorder="1" applyAlignment="1" quotePrefix="1">
      <alignment/>
    </xf>
    <xf numFmtId="0" fontId="5" fillId="0" borderId="11" xfId="0" applyFont="1" applyBorder="1" applyAlignment="1" quotePrefix="1">
      <alignment/>
    </xf>
    <xf numFmtId="2" fontId="5" fillId="0" borderId="12" xfId="0" applyNumberFormat="1" applyFont="1" applyBorder="1" applyAlignment="1" quotePrefix="1">
      <alignment horizontal="right"/>
    </xf>
    <xf numFmtId="0" fontId="5" fillId="0" borderId="1" xfId="0" applyFont="1" applyBorder="1" applyAlignment="1" quotePrefix="1">
      <alignment/>
    </xf>
    <xf numFmtId="2" fontId="5" fillId="0" borderId="2" xfId="0" applyNumberFormat="1" applyFont="1" applyBorder="1" applyAlignment="1" quotePrefix="1">
      <alignment horizontal="right"/>
    </xf>
    <xf numFmtId="0" fontId="0" fillId="0" borderId="1" xfId="0" applyFont="1" applyBorder="1" applyAlignment="1">
      <alignment wrapText="1"/>
    </xf>
    <xf numFmtId="0" fontId="6" fillId="0" borderId="11" xfId="0" applyFont="1" applyBorder="1" applyAlignment="1" quotePrefix="1">
      <alignment/>
    </xf>
    <xf numFmtId="0" fontId="6" fillId="0" borderId="11" xfId="0" applyFont="1" applyBorder="1" applyAlignment="1" quotePrefix="1">
      <alignment horizontal="center"/>
    </xf>
    <xf numFmtId="2" fontId="6" fillId="0" borderId="12" xfId="0" applyNumberFormat="1" applyFont="1" applyBorder="1" applyAlignment="1" quotePrefix="1">
      <alignment horizontal="right"/>
    </xf>
    <xf numFmtId="0" fontId="5" fillId="0" borderId="0" xfId="0" applyFont="1" applyAlignment="1">
      <alignment/>
    </xf>
    <xf numFmtId="0" fontId="0" fillId="0" borderId="0" xfId="0" applyAlignment="1" quotePrefix="1">
      <alignment/>
    </xf>
    <xf numFmtId="0" fontId="0" fillId="0" borderId="19" xfId="0" applyFont="1" applyBorder="1" applyAlignment="1" quotePrefix="1">
      <alignment horizontal="left"/>
    </xf>
    <xf numFmtId="2" fontId="5" fillId="0" borderId="9" xfId="0" applyNumberFormat="1" applyFont="1" applyBorder="1" applyAlignment="1" quotePrefix="1">
      <alignment horizontal="right"/>
    </xf>
    <xf numFmtId="0" fontId="6" fillId="0" borderId="1" xfId="0" applyFont="1" applyBorder="1" applyAlignment="1" quotePrefix="1">
      <alignment/>
    </xf>
    <xf numFmtId="0" fontId="6" fillId="0" borderId="1" xfId="0" applyFont="1" applyBorder="1" applyAlignment="1" quotePrefix="1">
      <alignment horizontal="center"/>
    </xf>
    <xf numFmtId="2" fontId="6" fillId="0" borderId="0" xfId="0" applyNumberFormat="1" applyFont="1" applyBorder="1" applyAlignment="1" quotePrefix="1">
      <alignment horizontal="right"/>
    </xf>
    <xf numFmtId="2" fontId="5" fillId="0" borderId="0" xfId="0" applyNumberFormat="1" applyFont="1" applyBorder="1" applyAlignment="1" quotePrefix="1">
      <alignment/>
    </xf>
    <xf numFmtId="2" fontId="5" fillId="0" borderId="0" xfId="0" applyNumberFormat="1" applyFont="1" applyBorder="1" applyAlignment="1" quotePrefix="1">
      <alignment horizontal="right"/>
    </xf>
    <xf numFmtId="2" fontId="6" fillId="0" borderId="2" xfId="0" applyNumberFormat="1" applyFont="1" applyBorder="1" applyAlignment="1" quotePrefix="1">
      <alignment horizontal="right"/>
    </xf>
    <xf numFmtId="0" fontId="0" fillId="0" borderId="0" xfId="0" applyAlignment="1">
      <alignment horizontal="center"/>
    </xf>
    <xf numFmtId="0" fontId="12" fillId="0" borderId="0" xfId="0" applyFont="1" applyAlignment="1">
      <alignment horizontal="center"/>
    </xf>
    <xf numFmtId="0" fontId="6" fillId="0" borderId="1" xfId="0" applyFont="1" applyBorder="1" applyAlignment="1" quotePrefix="1">
      <alignment horizontal="left"/>
    </xf>
    <xf numFmtId="17" fontId="5" fillId="0" borderId="0" xfId="0" applyNumberFormat="1" applyFont="1" applyAlignment="1">
      <alignment horizontal="center"/>
    </xf>
    <xf numFmtId="0" fontId="5" fillId="0" borderId="0" xfId="0" applyFont="1" applyAlignment="1">
      <alignment horizontal="center"/>
    </xf>
    <xf numFmtId="2" fontId="5" fillId="0" borderId="12" xfId="0" applyNumberFormat="1" applyFont="1" applyBorder="1" applyAlignment="1">
      <alignment/>
    </xf>
    <xf numFmtId="17" fontId="0" fillId="0" borderId="0" xfId="0" applyNumberFormat="1" applyAlignment="1">
      <alignment horizontal="right"/>
    </xf>
    <xf numFmtId="2" fontId="13" fillId="0" borderId="2" xfId="0" applyNumberFormat="1" applyFont="1" applyBorder="1" applyAlignment="1">
      <alignment/>
    </xf>
    <xf numFmtId="2" fontId="13" fillId="0" borderId="2" xfId="0" applyNumberFormat="1" applyFont="1" applyBorder="1" applyAlignment="1">
      <alignment horizontal="right"/>
    </xf>
    <xf numFmtId="2" fontId="13" fillId="0" borderId="12" xfId="0" applyNumberFormat="1" applyFont="1" applyBorder="1" applyAlignment="1">
      <alignment/>
    </xf>
    <xf numFmtId="2" fontId="5" fillId="0" borderId="2" xfId="0" applyNumberFormat="1" applyFont="1" applyBorder="1" applyAlignment="1">
      <alignment/>
    </xf>
    <xf numFmtId="0" fontId="3" fillId="0" borderId="20" xfId="0" applyFont="1" applyBorder="1" applyAlignment="1">
      <alignment/>
    </xf>
    <xf numFmtId="0" fontId="0" fillId="0" borderId="10" xfId="0" applyBorder="1" applyAlignment="1">
      <alignment/>
    </xf>
    <xf numFmtId="0" fontId="3" fillId="0" borderId="17" xfId="0" applyFont="1" applyBorder="1" applyAlignment="1">
      <alignment/>
    </xf>
    <xf numFmtId="14" fontId="3" fillId="0" borderId="21" xfId="0" applyNumberFormat="1" applyFont="1" applyBorder="1" applyAlignment="1">
      <alignment/>
    </xf>
    <xf numFmtId="0" fontId="3" fillId="0" borderId="21" xfId="0" applyFont="1" applyBorder="1" applyAlignment="1">
      <alignment/>
    </xf>
    <xf numFmtId="0" fontId="6" fillId="0" borderId="17" xfId="0" applyFont="1" applyBorder="1" applyAlignment="1">
      <alignment horizontal="center"/>
    </xf>
    <xf numFmtId="0" fontId="6" fillId="0" borderId="8" xfId="0" applyFont="1" applyBorder="1" applyAlignment="1">
      <alignment horizontal="center"/>
    </xf>
    <xf numFmtId="0" fontId="0" fillId="0" borderId="8" xfId="0" applyBorder="1" applyAlignment="1">
      <alignment/>
    </xf>
    <xf numFmtId="0" fontId="0" fillId="0" borderId="2" xfId="0" applyBorder="1" applyAlignment="1">
      <alignment/>
    </xf>
    <xf numFmtId="0" fontId="0" fillId="0" borderId="1" xfId="0" applyBorder="1" applyAlignment="1">
      <alignment/>
    </xf>
    <xf numFmtId="0" fontId="5" fillId="0" borderId="0" xfId="0" applyFont="1" applyBorder="1" applyAlignment="1">
      <alignment horizontal="right"/>
    </xf>
    <xf numFmtId="2" fontId="14" fillId="0" borderId="1" xfId="0" applyNumberFormat="1" applyFont="1" applyBorder="1" applyAlignment="1">
      <alignment/>
    </xf>
    <xf numFmtId="2" fontId="14" fillId="0" borderId="2" xfId="0" applyNumberFormat="1" applyFont="1" applyBorder="1" applyAlignment="1">
      <alignment/>
    </xf>
    <xf numFmtId="2" fontId="5" fillId="0" borderId="2" xfId="0" applyNumberFormat="1" applyFont="1" applyBorder="1" applyAlignment="1">
      <alignment/>
    </xf>
    <xf numFmtId="2" fontId="5" fillId="0" borderId="1" xfId="0" applyNumberFormat="1" applyFont="1" applyBorder="1" applyAlignment="1">
      <alignment/>
    </xf>
    <xf numFmtId="0" fontId="6" fillId="0" borderId="1" xfId="0" applyFont="1" applyBorder="1" applyAlignment="1">
      <alignment horizontal="right"/>
    </xf>
    <xf numFmtId="2" fontId="6" fillId="0" borderId="2" xfId="0" applyNumberFormat="1" applyFont="1" applyBorder="1" applyAlignment="1">
      <alignment/>
    </xf>
    <xf numFmtId="2" fontId="6" fillId="0" borderId="1" xfId="0" applyNumberFormat="1" applyFont="1" applyBorder="1" applyAlignment="1">
      <alignment horizontal="right"/>
    </xf>
    <xf numFmtId="2" fontId="6" fillId="0" borderId="2" xfId="0" applyNumberFormat="1" applyFont="1" applyBorder="1" applyAlignment="1">
      <alignment/>
    </xf>
    <xf numFmtId="2" fontId="6" fillId="0" borderId="1" xfId="0" applyNumberFormat="1" applyFont="1" applyBorder="1" applyAlignment="1">
      <alignment/>
    </xf>
    <xf numFmtId="0" fontId="9" fillId="0" borderId="0" xfId="0" applyFont="1" applyBorder="1" applyAlignment="1">
      <alignment/>
    </xf>
    <xf numFmtId="2" fontId="14" fillId="0" borderId="2" xfId="0" applyNumberFormat="1" applyFont="1" applyBorder="1" applyAlignment="1">
      <alignment/>
    </xf>
    <xf numFmtId="2" fontId="6" fillId="0" borderId="1" xfId="0" applyNumberFormat="1" applyFont="1" applyBorder="1" applyAlignment="1">
      <alignment horizontal="right"/>
    </xf>
    <xf numFmtId="0" fontId="6" fillId="0" borderId="0" xfId="0" applyFont="1" applyBorder="1" applyAlignment="1">
      <alignment/>
    </xf>
    <xf numFmtId="0" fontId="6" fillId="0" borderId="0" xfId="0" applyFont="1" applyBorder="1" applyAlignment="1">
      <alignment horizontal="right"/>
    </xf>
    <xf numFmtId="2" fontId="5" fillId="0" borderId="19" xfId="0" applyNumberFormat="1" applyFont="1" applyBorder="1" applyAlignment="1">
      <alignment/>
    </xf>
    <xf numFmtId="2" fontId="5" fillId="0" borderId="10" xfId="0" applyNumberFormat="1" applyFont="1" applyBorder="1" applyAlignment="1">
      <alignment/>
    </xf>
    <xf numFmtId="0" fontId="9" fillId="0" borderId="17" xfId="0" applyFont="1" applyBorder="1" applyAlignment="1">
      <alignment horizontal="center"/>
    </xf>
    <xf numFmtId="2" fontId="6" fillId="0" borderId="7" xfId="0" applyNumberFormat="1" applyFont="1" applyBorder="1" applyAlignment="1">
      <alignment horizontal="right"/>
    </xf>
    <xf numFmtId="2" fontId="5" fillId="0" borderId="7" xfId="0" applyNumberFormat="1" applyFont="1" applyBorder="1" applyAlignment="1">
      <alignment/>
    </xf>
    <xf numFmtId="15" fontId="0" fillId="0" borderId="0" xfId="0" applyNumberFormat="1" applyAlignment="1">
      <alignment/>
    </xf>
    <xf numFmtId="2" fontId="6" fillId="0" borderId="15" xfId="0" applyNumberFormat="1" applyFont="1" applyBorder="1" applyAlignment="1">
      <alignment/>
    </xf>
    <xf numFmtId="0" fontId="5" fillId="0" borderId="0" xfId="0" applyFont="1" applyAlignment="1">
      <alignment horizontal="left"/>
    </xf>
    <xf numFmtId="0" fontId="0" fillId="0" borderId="0" xfId="0" applyAlignment="1">
      <alignment horizontal="left" wrapText="1"/>
    </xf>
    <xf numFmtId="2" fontId="10" fillId="0" borderId="15" xfId="0" applyNumberFormat="1" applyFont="1" applyBorder="1" applyAlignment="1">
      <alignment/>
    </xf>
    <xf numFmtId="0" fontId="14" fillId="0" borderId="15" xfId="0" applyFont="1" applyBorder="1" applyAlignment="1">
      <alignment/>
    </xf>
    <xf numFmtId="2" fontId="10" fillId="0" borderId="16" xfId="0" applyNumberFormat="1" applyFont="1" applyBorder="1" applyAlignment="1">
      <alignment horizontal="center"/>
    </xf>
    <xf numFmtId="0" fontId="6" fillId="0" borderId="12" xfId="0" applyFont="1" applyBorder="1" applyAlignment="1">
      <alignment horizontal="center"/>
    </xf>
    <xf numFmtId="0" fontId="0" fillId="0" borderId="0" xfId="0" applyAlignment="1">
      <alignment horizontal="left"/>
    </xf>
    <xf numFmtId="0" fontId="3" fillId="0" borderId="17"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2" fontId="6" fillId="0" borderId="16" xfId="0" applyNumberFormat="1" applyFont="1" applyBorder="1" applyAlignment="1">
      <alignment horizontal="center"/>
    </xf>
    <xf numFmtId="0" fontId="5" fillId="0" borderId="11" xfId="0" applyFont="1" applyBorder="1" applyAlignment="1">
      <alignment horizontal="right"/>
    </xf>
    <xf numFmtId="0" fontId="6" fillId="0" borderId="11" xfId="0" applyFont="1" applyBorder="1" applyAlignment="1">
      <alignment horizontal="right"/>
    </xf>
    <xf numFmtId="0" fontId="5" fillId="0" borderId="0" xfId="0" applyFont="1" applyAlignment="1">
      <alignment/>
    </xf>
    <xf numFmtId="7" fontId="5" fillId="0" borderId="23" xfId="0" applyNumberFormat="1" applyFont="1" applyFill="1" applyBorder="1" applyAlignment="1">
      <alignment/>
    </xf>
    <xf numFmtId="0" fontId="9" fillId="0" borderId="11" xfId="0" applyFont="1" applyFill="1" applyBorder="1" applyAlignment="1">
      <alignment/>
    </xf>
    <xf numFmtId="2" fontId="5" fillId="0" borderId="12" xfId="0" applyNumberFormat="1" applyFont="1" applyFill="1" applyBorder="1" applyAlignment="1">
      <alignment/>
    </xf>
    <xf numFmtId="2" fontId="5" fillId="0" borderId="0" xfId="0" applyNumberFormat="1" applyFont="1" applyFill="1" applyBorder="1" applyAlignment="1">
      <alignment/>
    </xf>
    <xf numFmtId="0" fontId="6" fillId="0" borderId="11" xfId="0" applyFont="1" applyBorder="1" applyAlignment="1" quotePrefix="1">
      <alignment horizontal="center"/>
    </xf>
    <xf numFmtId="0" fontId="5" fillId="0" borderId="11" xfId="0" applyFont="1" applyFill="1" applyBorder="1" applyAlignment="1">
      <alignment/>
    </xf>
    <xf numFmtId="2" fontId="6" fillId="0" borderId="12" xfId="0" applyNumberFormat="1" applyFont="1" applyFill="1" applyBorder="1" applyAlignment="1">
      <alignment horizontal="right"/>
    </xf>
    <xf numFmtId="0" fontId="5" fillId="0" borderId="15" xfId="0" applyFont="1" applyFill="1" applyBorder="1" applyAlignment="1">
      <alignment/>
    </xf>
    <xf numFmtId="2" fontId="10" fillId="0" borderId="15" xfId="0" applyNumberFormat="1" applyFont="1" applyFill="1" applyBorder="1" applyAlignment="1">
      <alignment/>
    </xf>
    <xf numFmtId="2" fontId="6" fillId="0" borderId="15" xfId="0" applyNumberFormat="1" applyFont="1" applyFill="1" applyBorder="1" applyAlignment="1">
      <alignment/>
    </xf>
    <xf numFmtId="0" fontId="0" fillId="0" borderId="0" xfId="0" applyFill="1" applyAlignment="1">
      <alignment/>
    </xf>
    <xf numFmtId="2" fontId="13" fillId="0" borderId="12" xfId="0" applyNumberFormat="1" applyFont="1" applyFill="1" applyBorder="1" applyAlignment="1">
      <alignment horizontal="right"/>
    </xf>
    <xf numFmtId="2" fontId="5" fillId="0" borderId="12" xfId="0" applyNumberFormat="1" applyFont="1" applyFill="1" applyBorder="1" applyAlignment="1">
      <alignment horizontal="right"/>
    </xf>
    <xf numFmtId="0" fontId="9" fillId="0" borderId="11" xfId="0" applyFont="1" applyFill="1" applyBorder="1" applyAlignment="1" quotePrefix="1">
      <alignment/>
    </xf>
    <xf numFmtId="2" fontId="5" fillId="0" borderId="12" xfId="0" applyNumberFormat="1" applyFont="1" applyFill="1" applyBorder="1" applyAlignment="1" quotePrefix="1">
      <alignment/>
    </xf>
    <xf numFmtId="0" fontId="5" fillId="0" borderId="11" xfId="0" applyFont="1" applyFill="1" applyBorder="1" applyAlignment="1">
      <alignment/>
    </xf>
    <xf numFmtId="0" fontId="5" fillId="0" borderId="15" xfId="0" applyFont="1" applyFill="1" applyBorder="1" applyAlignment="1">
      <alignment/>
    </xf>
    <xf numFmtId="2" fontId="5" fillId="0" borderId="15" xfId="0" applyNumberFormat="1" applyFont="1" applyFill="1" applyBorder="1" applyAlignment="1">
      <alignment/>
    </xf>
    <xf numFmtId="0" fontId="5" fillId="0" borderId="0" xfId="0" applyFont="1" applyBorder="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Border="1" applyAlignment="1">
      <alignment horizontal="left"/>
    </xf>
    <xf numFmtId="0" fontId="4"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5" fillId="0" borderId="0" xfId="0" applyFont="1" applyAlignment="1">
      <alignment horizontal="left" wrapText="1"/>
    </xf>
    <xf numFmtId="0" fontId="6" fillId="0" borderId="0" xfId="0" applyFont="1" applyBorder="1" applyAlignment="1">
      <alignment horizontal="left"/>
    </xf>
    <xf numFmtId="0" fontId="6" fillId="0" borderId="0" xfId="0" applyFont="1" applyBorder="1" applyAlignment="1">
      <alignment horizontal="left"/>
    </xf>
    <xf numFmtId="0" fontId="17" fillId="0" borderId="0" xfId="0" applyFont="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26" xfId="0" applyFont="1" applyBorder="1" applyAlignment="1">
      <alignment horizontal="center"/>
    </xf>
    <xf numFmtId="0" fontId="3" fillId="0" borderId="20" xfId="0" applyFont="1" applyBorder="1" applyAlignment="1">
      <alignment horizontal="center"/>
    </xf>
    <xf numFmtId="0" fontId="8" fillId="0" borderId="1" xfId="0" applyFont="1" applyBorder="1" applyAlignment="1">
      <alignment horizontal="left"/>
    </xf>
    <xf numFmtId="0" fontId="8" fillId="0" borderId="0" xfId="0" applyFont="1" applyBorder="1" applyAlignment="1">
      <alignment horizontal="left"/>
    </xf>
    <xf numFmtId="0" fontId="8" fillId="0" borderId="19" xfId="0" applyFont="1" applyBorder="1" applyAlignment="1">
      <alignment horizontal="left"/>
    </xf>
    <xf numFmtId="0" fontId="8" fillId="0" borderId="9" xfId="0" applyFont="1" applyBorder="1" applyAlignment="1">
      <alignment horizontal="left"/>
    </xf>
    <xf numFmtId="0" fontId="3" fillId="0" borderId="1"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19" xfId="0" applyFont="1" applyBorder="1" applyAlignment="1" quotePrefix="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7" fillId="0" borderId="27" xfId="0" applyFont="1" applyBorder="1" applyAlignment="1">
      <alignment horizontal="center"/>
    </xf>
    <xf numFmtId="0" fontId="0" fillId="0" borderId="28" xfId="0" applyBorder="1" applyAlignment="1">
      <alignment/>
    </xf>
    <xf numFmtId="0" fontId="7" fillId="0" borderId="28" xfId="0" applyFont="1" applyBorder="1" applyAlignment="1">
      <alignment horizontal="center"/>
    </xf>
    <xf numFmtId="0" fontId="0" fillId="0" borderId="0" xfId="0" applyNumberForma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4"/>
  <sheetViews>
    <sheetView tabSelected="1" zoomScale="75" zoomScaleNormal="75" workbookViewId="0" topLeftCell="A1">
      <selection activeCell="M9" sqref="M9"/>
    </sheetView>
  </sheetViews>
  <sheetFormatPr defaultColWidth="9.140625" defaultRowHeight="12.75"/>
  <cols>
    <col min="1" max="1" width="34.421875" style="0" bestFit="1" customWidth="1"/>
    <col min="2" max="2" width="8.57421875" style="0" bestFit="1" customWidth="1"/>
    <col min="3" max="3" width="4.7109375" style="0" customWidth="1"/>
    <col min="4" max="4" width="66.57421875" style="0" customWidth="1"/>
    <col min="5" max="5" width="8.57421875" style="0" bestFit="1" customWidth="1"/>
    <col min="6" max="6" width="2.57421875" style="0" customWidth="1"/>
    <col min="7" max="7" width="19.28125" style="0" hidden="1" customWidth="1"/>
    <col min="8" max="8" width="9.00390625" style="0" hidden="1" customWidth="1"/>
    <col min="9" max="9" width="19.28125" style="0" hidden="1" customWidth="1"/>
    <col min="10" max="10" width="11.00390625" style="0" bestFit="1" customWidth="1"/>
    <col min="11" max="11" width="19.00390625" style="0" bestFit="1" customWidth="1"/>
  </cols>
  <sheetData>
    <row r="1" spans="1:11" ht="45" customHeight="1">
      <c r="A1" s="190" t="s">
        <v>76</v>
      </c>
      <c r="B1" s="191"/>
      <c r="C1" s="191"/>
      <c r="D1" s="191"/>
      <c r="G1" s="112">
        <v>38718</v>
      </c>
      <c r="H1" s="150">
        <v>38735</v>
      </c>
      <c r="I1" s="112">
        <v>38718</v>
      </c>
      <c r="J1" s="150">
        <v>38740</v>
      </c>
      <c r="K1" s="112">
        <v>38718</v>
      </c>
    </row>
    <row r="2" spans="1:11" ht="15">
      <c r="A2" s="109" t="s">
        <v>81</v>
      </c>
      <c r="G2" s="113" t="s">
        <v>77</v>
      </c>
      <c r="I2" s="113" t="s">
        <v>128</v>
      </c>
      <c r="K2" s="113" t="s">
        <v>154</v>
      </c>
    </row>
    <row r="3" spans="1:11" ht="12.75">
      <c r="A3" s="195" t="s">
        <v>78</v>
      </c>
      <c r="B3" s="195"/>
      <c r="C3" s="195"/>
      <c r="D3" s="195"/>
      <c r="E3" s="195"/>
      <c r="F3" s="195"/>
      <c r="G3" s="195"/>
      <c r="H3" s="195"/>
      <c r="I3" s="195"/>
      <c r="J3" s="187" t="s">
        <v>129</v>
      </c>
      <c r="K3" s="187"/>
    </row>
    <row r="4" spans="1:11" ht="24" customHeight="1">
      <c r="A4" s="195"/>
      <c r="B4" s="195"/>
      <c r="C4" s="195"/>
      <c r="D4" s="195"/>
      <c r="E4" s="195"/>
      <c r="F4" s="195"/>
      <c r="G4" s="195"/>
      <c r="H4" s="195"/>
      <c r="I4" s="195"/>
      <c r="J4" s="187"/>
      <c r="K4" s="187"/>
    </row>
    <row r="5" ht="13.5" thickBot="1"/>
    <row r="6" spans="1:11" s="74" customFormat="1" ht="16.5" thickTop="1">
      <c r="A6" s="196" t="s">
        <v>61</v>
      </c>
      <c r="B6" s="197"/>
      <c r="C6" s="85"/>
      <c r="D6" s="198" t="s">
        <v>62</v>
      </c>
      <c r="E6" s="199"/>
      <c r="F6" s="67"/>
      <c r="G6" s="73" t="s">
        <v>60</v>
      </c>
      <c r="H6" s="73"/>
      <c r="I6" s="73" t="s">
        <v>60</v>
      </c>
      <c r="J6" s="73"/>
      <c r="K6" s="73" t="s">
        <v>60</v>
      </c>
    </row>
    <row r="7" spans="1:11" s="74" customFormat="1" ht="15.75">
      <c r="A7" s="200" t="s">
        <v>79</v>
      </c>
      <c r="B7" s="201"/>
      <c r="C7" s="83"/>
      <c r="D7" s="171" t="s">
        <v>64</v>
      </c>
      <c r="E7" s="157"/>
      <c r="F7" s="81"/>
      <c r="G7" s="67"/>
      <c r="H7" s="81"/>
      <c r="I7" s="67"/>
      <c r="J7" s="81"/>
      <c r="K7" s="67"/>
    </row>
    <row r="8" spans="1:11" s="74" customFormat="1" ht="15.75">
      <c r="A8" s="79"/>
      <c r="B8" s="80"/>
      <c r="C8" s="83"/>
      <c r="D8" s="58"/>
      <c r="E8" s="81"/>
      <c r="F8" s="81"/>
      <c r="G8" s="67"/>
      <c r="H8" s="81"/>
      <c r="I8" s="67"/>
      <c r="J8" s="81"/>
      <c r="K8" s="67"/>
    </row>
    <row r="9" spans="1:11" ht="15.75">
      <c r="A9" s="51" t="s">
        <v>50</v>
      </c>
      <c r="B9" s="89" t="s">
        <v>64</v>
      </c>
      <c r="C9" s="40"/>
      <c r="D9" s="55" t="s">
        <v>1</v>
      </c>
      <c r="E9" s="53"/>
      <c r="F9" s="53"/>
      <c r="G9" s="65"/>
      <c r="H9" s="53"/>
      <c r="I9" s="65"/>
      <c r="J9" s="53"/>
      <c r="K9" s="65"/>
    </row>
    <row r="10" spans="1:11" ht="15.75">
      <c r="A10" s="51" t="s">
        <v>51</v>
      </c>
      <c r="B10" s="89" t="s">
        <v>64</v>
      </c>
      <c r="C10" s="40"/>
      <c r="D10" s="56" t="s">
        <v>3</v>
      </c>
      <c r="E10" s="75">
        <v>5.8</v>
      </c>
      <c r="F10" s="75"/>
      <c r="G10" s="66"/>
      <c r="H10" s="75">
        <v>5.8</v>
      </c>
      <c r="I10" s="86"/>
      <c r="J10" s="75">
        <v>5.8</v>
      </c>
      <c r="K10" s="86"/>
    </row>
    <row r="11" spans="1:11" ht="15.75">
      <c r="A11" s="51" t="s">
        <v>54</v>
      </c>
      <c r="B11" s="89" t="s">
        <v>64</v>
      </c>
      <c r="C11" s="40"/>
      <c r="D11" s="56" t="s">
        <v>4</v>
      </c>
      <c r="E11" s="75">
        <v>3.7</v>
      </c>
      <c r="F11" s="75"/>
      <c r="G11" s="66"/>
      <c r="H11" s="75">
        <v>3.7</v>
      </c>
      <c r="I11" s="86"/>
      <c r="J11" s="75">
        <v>3.7</v>
      </c>
      <c r="K11" s="86"/>
    </row>
    <row r="12" spans="1:11" ht="15.75">
      <c r="A12" s="51" t="s">
        <v>53</v>
      </c>
      <c r="B12" s="89" t="s">
        <v>64</v>
      </c>
      <c r="C12" s="40"/>
      <c r="D12" s="56" t="s">
        <v>5</v>
      </c>
      <c r="E12" s="75">
        <v>4.3</v>
      </c>
      <c r="F12" s="75"/>
      <c r="G12" s="66"/>
      <c r="H12" s="75">
        <v>4.3</v>
      </c>
      <c r="I12" s="86"/>
      <c r="J12" s="75">
        <v>4.3</v>
      </c>
      <c r="K12" s="86"/>
    </row>
    <row r="13" spans="1:11" ht="15.75">
      <c r="A13" s="51" t="s">
        <v>6</v>
      </c>
      <c r="B13" s="89" t="s">
        <v>64</v>
      </c>
      <c r="C13" s="40"/>
      <c r="D13" s="87" t="s">
        <v>138</v>
      </c>
      <c r="E13" s="114">
        <v>12</v>
      </c>
      <c r="F13" s="75"/>
      <c r="G13" s="66"/>
      <c r="H13" s="75">
        <v>9.5</v>
      </c>
      <c r="I13" s="154">
        <f>H13-E13</f>
        <v>-2.5</v>
      </c>
      <c r="J13" s="75">
        <v>9.5</v>
      </c>
      <c r="K13" s="151">
        <f>J13-E13</f>
        <v>-2.5</v>
      </c>
    </row>
    <row r="14" spans="1:11" ht="15.75">
      <c r="A14" s="51" t="s">
        <v>52</v>
      </c>
      <c r="B14" s="89" t="s">
        <v>64</v>
      </c>
      <c r="C14" s="40"/>
      <c r="D14" s="56" t="s">
        <v>7</v>
      </c>
      <c r="E14" s="57">
        <v>16.2</v>
      </c>
      <c r="F14" s="57"/>
      <c r="G14" s="66"/>
      <c r="H14" s="57">
        <v>16.2</v>
      </c>
      <c r="I14" s="154"/>
      <c r="J14" s="57">
        <v>16.2</v>
      </c>
      <c r="K14" s="86"/>
    </row>
    <row r="15" spans="1:11" ht="15.75">
      <c r="A15" s="51" t="s">
        <v>55</v>
      </c>
      <c r="B15" s="62">
        <v>89.2</v>
      </c>
      <c r="C15" s="40"/>
      <c r="D15" s="56" t="s">
        <v>139</v>
      </c>
      <c r="E15" s="57">
        <v>14.2</v>
      </c>
      <c r="F15" s="57"/>
      <c r="G15" s="66"/>
      <c r="H15" s="57">
        <v>11.2</v>
      </c>
      <c r="I15" s="154">
        <f>H15-E15</f>
        <v>-3</v>
      </c>
      <c r="J15" s="57">
        <v>0</v>
      </c>
      <c r="K15" s="151">
        <f>J15-E15</f>
        <v>-14.2</v>
      </c>
    </row>
    <row r="16" spans="1:11" ht="15.75">
      <c r="A16" s="51"/>
      <c r="B16" s="62"/>
      <c r="C16" s="40"/>
      <c r="D16" s="58" t="s">
        <v>34</v>
      </c>
      <c r="E16" s="59">
        <f>SUM(E10:E15)</f>
        <v>56.2</v>
      </c>
      <c r="F16" s="59"/>
      <c r="G16" s="67"/>
      <c r="H16" s="59">
        <f>SUM(H10:H15)</f>
        <v>50.7</v>
      </c>
      <c r="I16" s="154">
        <f>H16-E16</f>
        <v>-5.5</v>
      </c>
      <c r="J16" s="59">
        <f>SUM(J10:J15)</f>
        <v>39.5</v>
      </c>
      <c r="K16" s="151">
        <f>J16-E16</f>
        <v>-16.700000000000003</v>
      </c>
    </row>
    <row r="17" spans="1:11" ht="15.75">
      <c r="A17" s="51"/>
      <c r="B17" s="62"/>
      <c r="C17" s="40"/>
      <c r="D17" s="58"/>
      <c r="E17" s="59"/>
      <c r="F17" s="59"/>
      <c r="G17" s="67"/>
      <c r="H17" s="59"/>
      <c r="I17" s="67"/>
      <c r="J17" s="59"/>
      <c r="K17" s="154"/>
    </row>
    <row r="18" spans="1:11" ht="15.75">
      <c r="A18" s="90" t="s">
        <v>64</v>
      </c>
      <c r="B18" s="89" t="s">
        <v>64</v>
      </c>
      <c r="C18" s="40"/>
      <c r="D18" s="55" t="s">
        <v>10</v>
      </c>
      <c r="E18" s="57"/>
      <c r="F18" s="57"/>
      <c r="G18" s="65"/>
      <c r="H18" s="57"/>
      <c r="I18" s="65"/>
      <c r="J18" s="57"/>
      <c r="K18" s="154"/>
    </row>
    <row r="19" spans="1:11" s="177" customFormat="1" ht="15.75">
      <c r="A19" s="180" t="s">
        <v>64</v>
      </c>
      <c r="B19" s="181" t="s">
        <v>64</v>
      </c>
      <c r="C19" s="170"/>
      <c r="D19" s="182" t="s">
        <v>140</v>
      </c>
      <c r="E19" s="179">
        <v>15.5</v>
      </c>
      <c r="F19" s="179"/>
      <c r="G19" s="183"/>
      <c r="H19" s="179">
        <v>15.5</v>
      </c>
      <c r="I19" s="184"/>
      <c r="J19" s="179">
        <v>25</v>
      </c>
      <c r="K19" s="176">
        <f>J19-E19</f>
        <v>9.5</v>
      </c>
    </row>
    <row r="20" spans="1:11" s="177" customFormat="1" ht="15.75">
      <c r="A20" s="168" t="s">
        <v>11</v>
      </c>
      <c r="B20" s="169">
        <v>25.1</v>
      </c>
      <c r="C20" s="170"/>
      <c r="D20" s="172" t="s">
        <v>141</v>
      </c>
      <c r="E20" s="179">
        <v>25.1</v>
      </c>
      <c r="F20" s="179"/>
      <c r="G20" s="174"/>
      <c r="H20" s="179">
        <v>16.9</v>
      </c>
      <c r="I20" s="175">
        <f>H20-E20</f>
        <v>-8.200000000000003</v>
      </c>
      <c r="J20" s="179">
        <v>4</v>
      </c>
      <c r="K20" s="176">
        <f aca="true" t="shared" si="0" ref="K20:K27">J20-E20</f>
        <v>-21.1</v>
      </c>
    </row>
    <row r="21" spans="1:11" ht="15.75">
      <c r="A21" s="90" t="s">
        <v>64</v>
      </c>
      <c r="B21" s="89" t="s">
        <v>64</v>
      </c>
      <c r="C21" s="40"/>
      <c r="D21" s="56" t="s">
        <v>12</v>
      </c>
      <c r="E21" s="57">
        <v>14</v>
      </c>
      <c r="F21" s="57"/>
      <c r="G21" s="66"/>
      <c r="H21" s="57">
        <v>14</v>
      </c>
      <c r="I21" s="151"/>
      <c r="J21" s="57">
        <v>14</v>
      </c>
      <c r="K21" s="151"/>
    </row>
    <row r="22" spans="1:11" s="177" customFormat="1" ht="15.75">
      <c r="A22" s="180" t="s">
        <v>64</v>
      </c>
      <c r="B22" s="181" t="s">
        <v>64</v>
      </c>
      <c r="C22" s="170"/>
      <c r="D22" s="172" t="s">
        <v>142</v>
      </c>
      <c r="E22" s="179">
        <f>9.5-1.4</f>
        <v>8.1</v>
      </c>
      <c r="F22" s="179"/>
      <c r="G22" s="174"/>
      <c r="H22" s="179">
        <v>8.1</v>
      </c>
      <c r="I22" s="176"/>
      <c r="J22" s="179">
        <v>2.5</v>
      </c>
      <c r="K22" s="176">
        <f t="shared" si="0"/>
        <v>-5.6</v>
      </c>
    </row>
    <row r="23" spans="1:11" ht="15.75">
      <c r="A23" s="51"/>
      <c r="B23" s="62"/>
      <c r="C23" s="40"/>
      <c r="D23" s="56" t="s">
        <v>14</v>
      </c>
      <c r="E23" s="118">
        <v>0</v>
      </c>
      <c r="F23" s="75"/>
      <c r="G23" s="66"/>
      <c r="H23" s="75">
        <v>0</v>
      </c>
      <c r="I23" s="151"/>
      <c r="J23" s="75">
        <v>0</v>
      </c>
      <c r="K23" s="151"/>
    </row>
    <row r="24" spans="1:11" ht="15.75">
      <c r="A24" s="51"/>
      <c r="B24" s="62"/>
      <c r="C24" s="40"/>
      <c r="D24" s="56" t="s">
        <v>15</v>
      </c>
      <c r="E24" s="118">
        <v>0</v>
      </c>
      <c r="F24" s="75"/>
      <c r="G24" s="66"/>
      <c r="H24" s="75">
        <v>0</v>
      </c>
      <c r="I24" s="151"/>
      <c r="J24" s="75">
        <v>0</v>
      </c>
      <c r="K24" s="151"/>
    </row>
    <row r="25" spans="1:11" s="177" customFormat="1" ht="15.75">
      <c r="A25" s="168"/>
      <c r="B25" s="169"/>
      <c r="C25" s="170"/>
      <c r="D25" s="172" t="s">
        <v>143</v>
      </c>
      <c r="E25" s="178">
        <v>9.3</v>
      </c>
      <c r="F25" s="179"/>
      <c r="G25" s="174"/>
      <c r="H25" s="179">
        <v>9.3</v>
      </c>
      <c r="I25" s="176"/>
      <c r="J25" s="179">
        <v>4.36</v>
      </c>
      <c r="K25" s="176">
        <f t="shared" si="0"/>
        <v>-4.94</v>
      </c>
    </row>
    <row r="26" spans="1:11" ht="15.75">
      <c r="A26" s="51"/>
      <c r="B26" s="62"/>
      <c r="C26" s="40"/>
      <c r="D26" s="56" t="s">
        <v>17</v>
      </c>
      <c r="E26" s="118">
        <v>0</v>
      </c>
      <c r="F26" s="75"/>
      <c r="G26" s="66"/>
      <c r="H26" s="75">
        <v>0</v>
      </c>
      <c r="I26" s="151"/>
      <c r="J26" s="75">
        <v>0</v>
      </c>
      <c r="K26" s="151"/>
    </row>
    <row r="27" spans="1:11" ht="15.75">
      <c r="A27" s="51" t="s">
        <v>56</v>
      </c>
      <c r="B27" s="62">
        <v>58</v>
      </c>
      <c r="C27" s="40"/>
      <c r="D27" s="58" t="s">
        <v>35</v>
      </c>
      <c r="E27" s="59">
        <f>SUM(E19:E26)</f>
        <v>72</v>
      </c>
      <c r="F27" s="59"/>
      <c r="G27" s="67"/>
      <c r="H27" s="59">
        <f>SUM(H19:H26)</f>
        <v>63.8</v>
      </c>
      <c r="I27" s="154">
        <f>H27-E27</f>
        <v>-8.200000000000003</v>
      </c>
      <c r="J27" s="59">
        <f>SUM(J19:J26)</f>
        <v>49.86</v>
      </c>
      <c r="K27" s="151">
        <f t="shared" si="0"/>
        <v>-22.14</v>
      </c>
    </row>
    <row r="28" spans="1:11" ht="15.75">
      <c r="A28" s="51"/>
      <c r="B28" s="62"/>
      <c r="C28" s="40"/>
      <c r="D28" s="58"/>
      <c r="E28" s="59"/>
      <c r="F28" s="59"/>
      <c r="G28" s="67"/>
      <c r="H28" s="59"/>
      <c r="I28" s="67"/>
      <c r="J28" s="59"/>
      <c r="K28" s="154"/>
    </row>
    <row r="29" spans="1:11" ht="15.75">
      <c r="A29" s="51"/>
      <c r="B29" s="62"/>
      <c r="C29" s="40"/>
      <c r="D29" s="96" t="s">
        <v>64</v>
      </c>
      <c r="E29" s="59"/>
      <c r="F29" s="59"/>
      <c r="G29" s="65"/>
      <c r="H29" s="59"/>
      <c r="I29" s="65"/>
      <c r="J29" s="59"/>
      <c r="K29" s="154"/>
    </row>
    <row r="30" spans="1:11" ht="15.75">
      <c r="A30" s="51"/>
      <c r="B30" s="62"/>
      <c r="C30" s="40"/>
      <c r="D30" s="165" t="s">
        <v>8</v>
      </c>
      <c r="E30" s="92" t="s">
        <v>64</v>
      </c>
      <c r="F30" s="57"/>
      <c r="G30" s="66"/>
      <c r="H30" s="57"/>
      <c r="I30" s="66"/>
      <c r="J30" s="57">
        <f>(J16+J27)*9%</f>
        <v>8.042399999999999</v>
      </c>
      <c r="K30" s="154"/>
    </row>
    <row r="31" spans="1:11" ht="15.75">
      <c r="A31" s="51"/>
      <c r="B31" s="62"/>
      <c r="C31" s="40"/>
      <c r="D31" s="164" t="s">
        <v>134</v>
      </c>
      <c r="E31" s="92" t="s">
        <v>64</v>
      </c>
      <c r="F31" s="57"/>
      <c r="G31" s="66"/>
      <c r="H31" s="57"/>
      <c r="I31" s="66"/>
      <c r="J31" s="59">
        <f>J16+J27+J30</f>
        <v>97.4024</v>
      </c>
      <c r="K31" s="154"/>
    </row>
    <row r="32" spans="1:11" ht="15.75">
      <c r="A32" s="51"/>
      <c r="B32" s="62"/>
      <c r="C32" s="40"/>
      <c r="D32" s="91" t="s">
        <v>64</v>
      </c>
      <c r="E32" s="92" t="s">
        <v>64</v>
      </c>
      <c r="F32" s="57"/>
      <c r="G32" s="66"/>
      <c r="H32" s="57"/>
      <c r="I32" s="66"/>
      <c r="J32" s="57"/>
      <c r="K32" s="154"/>
    </row>
    <row r="33" spans="1:11" ht="15.75">
      <c r="A33" s="51"/>
      <c r="B33" s="62"/>
      <c r="C33" s="40"/>
      <c r="D33" s="91" t="s">
        <v>64</v>
      </c>
      <c r="E33" s="92" t="s">
        <v>64</v>
      </c>
      <c r="F33" s="57"/>
      <c r="G33" s="66"/>
      <c r="H33" s="57"/>
      <c r="I33" s="66"/>
      <c r="J33" s="57"/>
      <c r="K33" s="154"/>
    </row>
    <row r="34" spans="1:11" ht="15.75">
      <c r="A34" s="51"/>
      <c r="B34" s="62"/>
      <c r="C34" s="40"/>
      <c r="D34" s="91" t="s">
        <v>64</v>
      </c>
      <c r="E34" s="92" t="s">
        <v>64</v>
      </c>
      <c r="F34" s="57"/>
      <c r="G34" s="66"/>
      <c r="H34" s="57"/>
      <c r="I34" s="66"/>
      <c r="J34" s="57"/>
      <c r="K34" s="154"/>
    </row>
    <row r="35" spans="1:11" ht="15.75">
      <c r="A35" s="51"/>
      <c r="B35" s="62"/>
      <c r="C35" s="40"/>
      <c r="D35" s="91" t="s">
        <v>64</v>
      </c>
      <c r="E35" s="92" t="s">
        <v>64</v>
      </c>
      <c r="F35" s="57"/>
      <c r="G35" s="66"/>
      <c r="H35" s="57"/>
      <c r="I35" s="66"/>
      <c r="J35" s="57"/>
      <c r="K35" s="154"/>
    </row>
    <row r="36" spans="1:11" ht="15.75">
      <c r="A36" s="51"/>
      <c r="B36" s="62"/>
      <c r="C36" s="40"/>
      <c r="D36" s="91" t="s">
        <v>64</v>
      </c>
      <c r="E36" s="92" t="s">
        <v>64</v>
      </c>
      <c r="F36" s="57"/>
      <c r="G36" s="66"/>
      <c r="H36" s="57"/>
      <c r="I36" s="66"/>
      <c r="J36" s="57"/>
      <c r="K36" s="154"/>
    </row>
    <row r="37" spans="1:11" ht="15.75">
      <c r="A37" s="52"/>
      <c r="B37" s="63"/>
      <c r="C37" s="84"/>
      <c r="D37" s="97" t="s">
        <v>64</v>
      </c>
      <c r="E37" s="98" t="s">
        <v>64</v>
      </c>
      <c r="F37" s="59"/>
      <c r="G37" s="67"/>
      <c r="H37" s="59"/>
      <c r="I37" s="67"/>
      <c r="J37" s="59"/>
      <c r="K37" s="154"/>
    </row>
    <row r="38" spans="1:11" ht="15.75">
      <c r="A38" s="52"/>
      <c r="B38" s="63"/>
      <c r="C38" s="84"/>
      <c r="D38" s="58"/>
      <c r="E38" s="59"/>
      <c r="F38" s="59"/>
      <c r="G38" s="67"/>
      <c r="H38" s="59"/>
      <c r="I38" s="67"/>
      <c r="J38" s="59"/>
      <c r="K38" s="154"/>
    </row>
    <row r="39" spans="1:11" ht="15.75">
      <c r="A39" s="51" t="s">
        <v>57</v>
      </c>
      <c r="B39" s="62">
        <v>10.28691232</v>
      </c>
      <c r="C39" s="40"/>
      <c r="D39" s="56" t="s">
        <v>18</v>
      </c>
      <c r="E39" s="59">
        <f>(E16+E27)*11.5%</f>
        <v>14.742999999999999</v>
      </c>
      <c r="F39" s="59"/>
      <c r="G39" s="66"/>
      <c r="H39" s="59">
        <f>(H16+H27)*11.5%</f>
        <v>13.1675</v>
      </c>
      <c r="I39" s="154">
        <f>H39-E39</f>
        <v>-1.5754999999999981</v>
      </c>
      <c r="J39" s="59">
        <f>(J16+J27)*11.5%</f>
        <v>10.2764</v>
      </c>
      <c r="K39" s="151">
        <f>J39-H39</f>
        <v>-2.8911</v>
      </c>
    </row>
    <row r="40" spans="1:11" s="177" customFormat="1" ht="15.75">
      <c r="A40" s="168" t="s">
        <v>58</v>
      </c>
      <c r="B40" s="169">
        <v>26.2350784</v>
      </c>
      <c r="C40" s="170"/>
      <c r="D40" s="172" t="s">
        <v>144</v>
      </c>
      <c r="E40" s="173">
        <f>(E16+E27)*10%</f>
        <v>12.82</v>
      </c>
      <c r="F40" s="173"/>
      <c r="G40" s="174"/>
      <c r="H40" s="173">
        <f>(H16+H27)*10%</f>
        <v>11.450000000000001</v>
      </c>
      <c r="I40" s="175">
        <f>H40-E40</f>
        <v>-1.3699999999999992</v>
      </c>
      <c r="J40" s="173">
        <v>0</v>
      </c>
      <c r="K40" s="176">
        <f>J40-H40</f>
        <v>-11.450000000000001</v>
      </c>
    </row>
    <row r="41" spans="1:11" s="177" customFormat="1" ht="15.75">
      <c r="A41" s="168" t="s">
        <v>59</v>
      </c>
      <c r="B41" s="169">
        <v>12.081944000000002</v>
      </c>
      <c r="C41" s="170"/>
      <c r="D41" s="172" t="s">
        <v>145</v>
      </c>
      <c r="E41" s="173">
        <f>(E16+E27)*10%</f>
        <v>12.82</v>
      </c>
      <c r="F41" s="173"/>
      <c r="G41" s="174"/>
      <c r="H41" s="173">
        <f>(H16+H27)*10%</f>
        <v>11.450000000000001</v>
      </c>
      <c r="I41" s="175">
        <f>H41-E41</f>
        <v>-1.3699999999999992</v>
      </c>
      <c r="J41" s="173">
        <v>0</v>
      </c>
      <c r="K41" s="176">
        <f>J41-H41</f>
        <v>-11.450000000000001</v>
      </c>
    </row>
    <row r="42" spans="1:11" ht="15">
      <c r="A42" s="52"/>
      <c r="B42" s="53"/>
      <c r="C42" s="47"/>
      <c r="D42" s="56"/>
      <c r="E42" s="57"/>
      <c r="F42" s="57"/>
      <c r="G42" s="66"/>
      <c r="H42" s="57"/>
      <c r="I42" s="155"/>
      <c r="J42" s="57"/>
      <c r="K42" s="155"/>
    </row>
    <row r="43" spans="1:11" ht="16.5" thickBot="1">
      <c r="A43" s="54" t="s">
        <v>0</v>
      </c>
      <c r="B43" s="64">
        <f>SUM(B9:B41)</f>
        <v>220.90393472</v>
      </c>
      <c r="C43" s="86"/>
      <c r="D43" s="60" t="s">
        <v>71</v>
      </c>
      <c r="E43" s="61">
        <f>E16+E27+E39+E40+E41</f>
        <v>168.58299999999997</v>
      </c>
      <c r="F43" s="88"/>
      <c r="G43" s="68">
        <f>E43-B43</f>
        <v>-52.320934720000025</v>
      </c>
      <c r="H43" s="68">
        <f>H16+H27+H39+H40+H41</f>
        <v>150.5675</v>
      </c>
      <c r="I43" s="156">
        <f>H43-B43</f>
        <v>-70.33643472</v>
      </c>
      <c r="J43" s="68">
        <f>J16+J27+J30+J39+J40+J41</f>
        <v>107.6788</v>
      </c>
      <c r="K43" s="163">
        <f>J43-E43</f>
        <v>-60.904199999999975</v>
      </c>
    </row>
    <row r="44" ht="13.5" thickTop="1"/>
    <row r="45" spans="1:10" ht="15.75">
      <c r="A45" s="193" t="s">
        <v>135</v>
      </c>
      <c r="B45" s="193"/>
      <c r="C45" s="82"/>
      <c r="D45" s="194" t="s">
        <v>70</v>
      </c>
      <c r="E45" s="194"/>
      <c r="F45" s="76"/>
      <c r="H45" s="76"/>
      <c r="J45" s="76"/>
    </row>
    <row r="46" spans="4:10" ht="15.75">
      <c r="D46" s="193" t="s">
        <v>136</v>
      </c>
      <c r="E46" s="193"/>
      <c r="F46" s="82"/>
      <c r="H46" s="82"/>
      <c r="J46" s="82"/>
    </row>
    <row r="48" ht="15">
      <c r="A48" s="99" t="s">
        <v>74</v>
      </c>
    </row>
    <row r="49" ht="15">
      <c r="A49" s="99" t="s">
        <v>72</v>
      </c>
    </row>
    <row r="50" ht="15">
      <c r="A50" s="99" t="s">
        <v>73</v>
      </c>
    </row>
    <row r="52" spans="1:11" ht="38.25" customHeight="1">
      <c r="A52" s="189" t="s">
        <v>137</v>
      </c>
      <c r="B52" s="189"/>
      <c r="C52" s="189"/>
      <c r="D52" s="189"/>
      <c r="E52" s="189"/>
      <c r="F52" s="189"/>
      <c r="G52" s="189"/>
      <c r="H52" s="189"/>
      <c r="I52" s="189"/>
      <c r="J52" s="189"/>
      <c r="K52" s="189"/>
    </row>
    <row r="53" spans="1:11" ht="12.75">
      <c r="A53" s="185" t="s">
        <v>146</v>
      </c>
      <c r="B53" s="188"/>
      <c r="C53" s="188"/>
      <c r="D53" s="188"/>
      <c r="E53" s="188"/>
      <c r="F53" s="188"/>
      <c r="G53" s="188"/>
      <c r="H53" s="188"/>
      <c r="I53" s="188"/>
      <c r="J53" s="188"/>
      <c r="K53" s="188"/>
    </row>
    <row r="54" spans="1:11" ht="30.75" customHeight="1">
      <c r="A54" s="185" t="s">
        <v>148</v>
      </c>
      <c r="B54" s="186"/>
      <c r="C54" s="186"/>
      <c r="D54" s="186"/>
      <c r="E54" s="186"/>
      <c r="F54" s="186"/>
      <c r="G54" s="186"/>
      <c r="H54" s="186"/>
      <c r="I54" s="186"/>
      <c r="J54" s="186"/>
      <c r="K54" s="186"/>
    </row>
    <row r="55" spans="1:11" ht="17.25" customHeight="1">
      <c r="A55" s="185" t="s">
        <v>147</v>
      </c>
      <c r="B55" s="186"/>
      <c r="C55" s="186"/>
      <c r="D55" s="186"/>
      <c r="E55" s="186"/>
      <c r="F55" s="186"/>
      <c r="G55" s="186"/>
      <c r="H55" s="186"/>
      <c r="I55" s="186"/>
      <c r="J55" s="186"/>
      <c r="K55" s="186"/>
    </row>
    <row r="56" spans="1:11" ht="18" customHeight="1">
      <c r="A56" s="185" t="s">
        <v>149</v>
      </c>
      <c r="B56" s="186"/>
      <c r="C56" s="186"/>
      <c r="D56" s="186"/>
      <c r="E56" s="186"/>
      <c r="F56" s="186"/>
      <c r="G56" s="186"/>
      <c r="H56" s="186"/>
      <c r="I56" s="186"/>
      <c r="J56" s="186"/>
      <c r="K56" s="186"/>
    </row>
    <row r="57" ht="18" customHeight="1">
      <c r="A57" s="166" t="s">
        <v>150</v>
      </c>
    </row>
    <row r="58" spans="1:11" ht="18" customHeight="1">
      <c r="A58" s="185" t="s">
        <v>151</v>
      </c>
      <c r="B58" s="186"/>
      <c r="C58" s="186"/>
      <c r="D58" s="186"/>
      <c r="E58" s="186"/>
      <c r="F58" s="186"/>
      <c r="G58" s="186"/>
      <c r="H58" s="186"/>
      <c r="I58" s="186"/>
      <c r="J58" s="186"/>
      <c r="K58" s="186"/>
    </row>
    <row r="59" spans="1:11" ht="18" customHeight="1">
      <c r="A59" s="185" t="s">
        <v>152</v>
      </c>
      <c r="B59" s="186"/>
      <c r="C59" s="186"/>
      <c r="D59" s="186"/>
      <c r="E59" s="186"/>
      <c r="F59" s="186"/>
      <c r="G59" s="186"/>
      <c r="H59" s="186"/>
      <c r="I59" s="186"/>
      <c r="J59" s="186"/>
      <c r="K59" s="186"/>
    </row>
    <row r="60" spans="1:15" ht="30" customHeight="1">
      <c r="A60" s="185" t="s">
        <v>153</v>
      </c>
      <c r="B60" s="186"/>
      <c r="C60" s="186"/>
      <c r="D60" s="186"/>
      <c r="E60" s="186"/>
      <c r="F60" s="186"/>
      <c r="G60" s="186"/>
      <c r="H60" s="186"/>
      <c r="I60" s="186"/>
      <c r="J60" s="186"/>
      <c r="K60" s="186"/>
      <c r="N60" s="152"/>
      <c r="O60" s="152"/>
    </row>
    <row r="61" spans="1:13" ht="15" hidden="1">
      <c r="A61" s="152" t="s">
        <v>131</v>
      </c>
      <c r="B61" s="152"/>
      <c r="C61" s="152"/>
      <c r="D61" s="152"/>
      <c r="E61" s="152"/>
      <c r="F61" s="152"/>
      <c r="G61" s="152"/>
      <c r="H61" s="152"/>
      <c r="I61" s="152"/>
      <c r="J61" s="152"/>
      <c r="K61" s="152"/>
      <c r="L61" s="152"/>
      <c r="M61" s="152"/>
    </row>
    <row r="62" spans="1:13" ht="33.75" customHeight="1" hidden="1">
      <c r="A62" s="152" t="s">
        <v>132</v>
      </c>
      <c r="B62" s="152"/>
      <c r="C62" s="152"/>
      <c r="D62" s="152"/>
      <c r="E62" s="152"/>
      <c r="F62" s="152"/>
      <c r="G62" s="152"/>
      <c r="H62" s="152"/>
      <c r="I62" s="152"/>
      <c r="J62" s="152"/>
      <c r="K62" s="152"/>
      <c r="L62" s="152"/>
      <c r="M62" s="152"/>
    </row>
    <row r="63" spans="1:13" ht="45" customHeight="1" hidden="1">
      <c r="A63" s="192" t="s">
        <v>133</v>
      </c>
      <c r="B63" s="186"/>
      <c r="C63" s="186"/>
      <c r="D63" s="186"/>
      <c r="E63" s="186"/>
      <c r="F63" s="186"/>
      <c r="G63" s="186"/>
      <c r="H63" s="186"/>
      <c r="I63" s="186"/>
      <c r="J63" s="153"/>
      <c r="K63" s="153"/>
      <c r="L63" s="153"/>
      <c r="M63" s="153"/>
    </row>
    <row r="64" ht="15" hidden="1">
      <c r="J64" s="167">
        <f>13.2*0.33</f>
        <v>4.356</v>
      </c>
    </row>
  </sheetData>
  <mergeCells count="19">
    <mergeCell ref="A1:D1"/>
    <mergeCell ref="A63:I63"/>
    <mergeCell ref="D46:E46"/>
    <mergeCell ref="D45:E45"/>
    <mergeCell ref="A45:B45"/>
    <mergeCell ref="A3:I4"/>
    <mergeCell ref="A6:B6"/>
    <mergeCell ref="D6:E6"/>
    <mergeCell ref="A7:B7"/>
    <mergeCell ref="D7:E7"/>
    <mergeCell ref="J3:K4"/>
    <mergeCell ref="A53:K53"/>
    <mergeCell ref="A54:K54"/>
    <mergeCell ref="A56:K56"/>
    <mergeCell ref="A52:K52"/>
    <mergeCell ref="A58:K58"/>
    <mergeCell ref="A59:K59"/>
    <mergeCell ref="A60:K60"/>
    <mergeCell ref="A55:K55"/>
  </mergeCells>
  <printOptions horizontalCentered="1"/>
  <pageMargins left="0" right="0" top="0.5" bottom="0.5" header="0.25"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pageSetUpPr fitToPage="1"/>
  </sheetPr>
  <dimension ref="A1:Q41"/>
  <sheetViews>
    <sheetView workbookViewId="0" topLeftCell="A1">
      <pane xSplit="1" ySplit="2" topLeftCell="N15"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2.75"/>
  <cols>
    <col min="1" max="1" width="65.8515625" style="0" bestFit="1" customWidth="1"/>
    <col min="2" max="2" width="9.8515625" style="0" bestFit="1" customWidth="1"/>
    <col min="3" max="3" width="8.28125" style="29" bestFit="1" customWidth="1"/>
    <col min="4" max="6" width="8.8515625" style="29" customWidth="1"/>
    <col min="7" max="7" width="9.421875" style="29" bestFit="1" customWidth="1"/>
    <col min="8" max="8" width="16.57421875" style="0" bestFit="1" customWidth="1"/>
    <col min="9" max="9" width="10.421875" style="0" customWidth="1"/>
    <col min="10" max="10" width="16.57421875" style="0" bestFit="1" customWidth="1"/>
    <col min="11" max="11" width="10.57421875" style="0" bestFit="1" customWidth="1"/>
    <col min="12" max="12" width="16.57421875" style="0" bestFit="1" customWidth="1"/>
    <col min="13" max="13" width="10.57421875" style="0" bestFit="1" customWidth="1"/>
    <col min="14" max="14" width="16.57421875" style="0" bestFit="1" customWidth="1"/>
    <col min="15" max="15" width="10.57421875" style="0" bestFit="1" customWidth="1"/>
    <col min="16" max="16" width="16.57421875" style="0" bestFit="1" customWidth="1"/>
    <col min="17" max="17" width="10.57421875" style="0" bestFit="1" customWidth="1"/>
  </cols>
  <sheetData>
    <row r="1" spans="1:17" ht="30" customHeight="1" thickBot="1">
      <c r="A1" s="159" t="s">
        <v>20</v>
      </c>
      <c r="B1" s="160"/>
      <c r="C1" s="160"/>
      <c r="D1" s="160"/>
      <c r="E1" s="160"/>
      <c r="F1" s="160"/>
      <c r="G1" s="161"/>
      <c r="H1" s="122" t="s">
        <v>82</v>
      </c>
      <c r="I1" s="120"/>
      <c r="J1" s="122" t="s">
        <v>83</v>
      </c>
      <c r="K1" s="121"/>
      <c r="L1" s="122" t="s">
        <v>84</v>
      </c>
      <c r="M1" s="121"/>
      <c r="N1" s="122" t="s">
        <v>85</v>
      </c>
      <c r="O1" s="121"/>
      <c r="P1" s="122" t="s">
        <v>130</v>
      </c>
      <c r="Q1" s="121"/>
    </row>
    <row r="2" spans="1:17" ht="24.75" customHeight="1" thickBot="1">
      <c r="A2" s="162" t="s">
        <v>86</v>
      </c>
      <c r="B2" s="202"/>
      <c r="C2" s="202"/>
      <c r="D2" s="202"/>
      <c r="E2" s="202"/>
      <c r="F2" s="202"/>
      <c r="G2" s="203"/>
      <c r="H2" s="123">
        <v>38723</v>
      </c>
      <c r="I2" s="124" t="s">
        <v>87</v>
      </c>
      <c r="J2" s="123">
        <v>38724</v>
      </c>
      <c r="K2" s="124" t="s">
        <v>87</v>
      </c>
      <c r="L2" s="123">
        <v>38734</v>
      </c>
      <c r="M2" s="124" t="s">
        <v>87</v>
      </c>
      <c r="N2" s="123">
        <v>38735</v>
      </c>
      <c r="O2" s="124" t="s">
        <v>87</v>
      </c>
      <c r="P2" s="123">
        <v>38740</v>
      </c>
      <c r="Q2" s="124" t="s">
        <v>87</v>
      </c>
    </row>
    <row r="3" spans="1:17" ht="18">
      <c r="A3" s="1"/>
      <c r="B3" s="20">
        <v>2006</v>
      </c>
      <c r="C3" s="30">
        <v>2007</v>
      </c>
      <c r="D3" s="30">
        <v>2008</v>
      </c>
      <c r="E3" s="30">
        <v>2009</v>
      </c>
      <c r="F3" s="30">
        <v>2010</v>
      </c>
      <c r="G3" s="3" t="s">
        <v>0</v>
      </c>
      <c r="H3" s="125" t="s">
        <v>0</v>
      </c>
      <c r="I3" s="126"/>
      <c r="J3" s="125" t="s">
        <v>0</v>
      </c>
      <c r="K3" s="127"/>
      <c r="L3" s="125" t="s">
        <v>0</v>
      </c>
      <c r="M3" s="127"/>
      <c r="N3" s="125" t="s">
        <v>0</v>
      </c>
      <c r="O3" s="127"/>
      <c r="P3" s="125" t="s">
        <v>0</v>
      </c>
      <c r="Q3" s="127"/>
    </row>
    <row r="4" spans="1:17" ht="15.75" customHeight="1">
      <c r="A4" s="2"/>
      <c r="B4" s="19" t="s">
        <v>2</v>
      </c>
      <c r="C4" s="19" t="s">
        <v>2</v>
      </c>
      <c r="D4" s="19" t="s">
        <v>2</v>
      </c>
      <c r="E4" s="19" t="s">
        <v>2</v>
      </c>
      <c r="F4" s="19" t="s">
        <v>2</v>
      </c>
      <c r="G4" s="3" t="s">
        <v>2</v>
      </c>
      <c r="H4" s="5" t="s">
        <v>2</v>
      </c>
      <c r="I4" s="3"/>
      <c r="J4" s="5" t="s">
        <v>2</v>
      </c>
      <c r="K4" s="128"/>
      <c r="L4" s="5" t="s">
        <v>2</v>
      </c>
      <c r="M4" s="128"/>
      <c r="N4" s="5" t="s">
        <v>2</v>
      </c>
      <c r="O4" s="128"/>
      <c r="P4" s="5" t="s">
        <v>2</v>
      </c>
      <c r="Q4" s="128"/>
    </row>
    <row r="5" spans="1:17" ht="15.75" customHeight="1">
      <c r="A5" s="4" t="s">
        <v>1</v>
      </c>
      <c r="B5" s="18"/>
      <c r="C5" s="24"/>
      <c r="D5" s="24"/>
      <c r="E5" s="24"/>
      <c r="F5" s="24"/>
      <c r="G5" s="23"/>
      <c r="H5" s="129"/>
      <c r="I5" s="128"/>
      <c r="J5" s="129"/>
      <c r="K5" s="128"/>
      <c r="L5" s="129"/>
      <c r="M5" s="128"/>
      <c r="N5" s="129"/>
      <c r="O5" s="128"/>
      <c r="P5" s="129"/>
      <c r="Q5" s="128"/>
    </row>
    <row r="6" spans="1:17" ht="15.75" customHeight="1">
      <c r="A6" s="2" t="s">
        <v>3</v>
      </c>
      <c r="B6" s="84">
        <f>G6*0.06931464174</f>
        <v>1.7799999998832001</v>
      </c>
      <c r="C6" s="130">
        <f>G6*0.18613707165</f>
        <v>4.779999999972</v>
      </c>
      <c r="D6" s="130">
        <f>G6*0.27920560747</f>
        <v>7.1699999998296</v>
      </c>
      <c r="E6" s="130">
        <f>G6*0.3722741433</f>
        <v>9.559999999944</v>
      </c>
      <c r="F6" s="130">
        <f>G6*0.09306853582</f>
        <v>2.3899999998576003</v>
      </c>
      <c r="G6" s="130">
        <v>25.68</v>
      </c>
      <c r="H6" s="131">
        <v>5.8</v>
      </c>
      <c r="I6" s="132">
        <f>H6-G6</f>
        <v>-19.88</v>
      </c>
      <c r="J6" s="131">
        <v>5.8</v>
      </c>
      <c r="K6" s="133">
        <f>J6-H6</f>
        <v>0</v>
      </c>
      <c r="L6" s="131">
        <v>5.8</v>
      </c>
      <c r="M6" s="133">
        <f>L6-J6</f>
        <v>0</v>
      </c>
      <c r="N6" s="131">
        <v>5.8</v>
      </c>
      <c r="O6" s="133">
        <f>N6-L6</f>
        <v>0</v>
      </c>
      <c r="P6" s="131">
        <v>5.8</v>
      </c>
      <c r="Q6" s="133">
        <f>P6-N6</f>
        <v>0</v>
      </c>
    </row>
    <row r="7" spans="1:17" ht="15.75" customHeight="1">
      <c r="A7" s="2" t="s">
        <v>4</v>
      </c>
      <c r="B7" s="84"/>
      <c r="C7" s="130">
        <f>G7*0.2</f>
        <v>2.34</v>
      </c>
      <c r="D7" s="130">
        <f>G7*0.3</f>
        <v>3.51</v>
      </c>
      <c r="E7" s="130">
        <f>G7*0.3</f>
        <v>3.51</v>
      </c>
      <c r="F7" s="130">
        <f>G7*0.2</f>
        <v>2.34</v>
      </c>
      <c r="G7" s="130">
        <v>11.7</v>
      </c>
      <c r="H7" s="131">
        <v>3.7</v>
      </c>
      <c r="I7" s="132">
        <f aca="true" t="shared" si="0" ref="I7:I33">H7-G7</f>
        <v>-7.999999999999999</v>
      </c>
      <c r="J7" s="131">
        <v>3.7</v>
      </c>
      <c r="K7" s="133">
        <f aca="true" t="shared" si="1" ref="K7:K33">J7-H7</f>
        <v>0</v>
      </c>
      <c r="L7" s="131">
        <v>3.7</v>
      </c>
      <c r="M7" s="133">
        <f aca="true" t="shared" si="2" ref="M7:M33">L7-J7</f>
        <v>0</v>
      </c>
      <c r="N7" s="131">
        <v>3.7</v>
      </c>
      <c r="O7" s="133">
        <f aca="true" t="shared" si="3" ref="O7:O12">N7-L7</f>
        <v>0</v>
      </c>
      <c r="P7" s="131">
        <v>3.7</v>
      </c>
      <c r="Q7" s="133">
        <f aca="true" t="shared" si="4" ref="Q7:Q12">P7-N7</f>
        <v>0</v>
      </c>
    </row>
    <row r="8" spans="1:17" ht="15.75" customHeight="1">
      <c r="A8" s="2" t="s">
        <v>5</v>
      </c>
      <c r="B8" s="84"/>
      <c r="C8" s="130">
        <f>G8*0.3</f>
        <v>2.5799999999999996</v>
      </c>
      <c r="D8" s="130">
        <f>G8*0.5</f>
        <v>4.3</v>
      </c>
      <c r="E8" s="130">
        <f>G8*0.2</f>
        <v>1.72</v>
      </c>
      <c r="F8" s="130"/>
      <c r="G8" s="130">
        <v>8.6</v>
      </c>
      <c r="H8" s="131">
        <v>4.3</v>
      </c>
      <c r="I8" s="132">
        <f t="shared" si="0"/>
        <v>-4.3</v>
      </c>
      <c r="J8" s="131">
        <v>4.3</v>
      </c>
      <c r="K8" s="133">
        <f t="shared" si="1"/>
        <v>0</v>
      </c>
      <c r="L8" s="131">
        <v>4.3</v>
      </c>
      <c r="M8" s="133">
        <f t="shared" si="2"/>
        <v>0</v>
      </c>
      <c r="N8" s="131">
        <v>4.3</v>
      </c>
      <c r="O8" s="133">
        <f t="shared" si="3"/>
        <v>0</v>
      </c>
      <c r="P8" s="131">
        <v>4.3</v>
      </c>
      <c r="Q8" s="133">
        <f t="shared" si="4"/>
        <v>0</v>
      </c>
    </row>
    <row r="9" spans="1:17" ht="15.75" customHeight="1">
      <c r="A9" s="2" t="s">
        <v>88</v>
      </c>
      <c r="B9" s="84"/>
      <c r="C9" s="130">
        <f>G9*0.3</f>
        <v>3.24</v>
      </c>
      <c r="D9" s="130">
        <f>G9*0.4</f>
        <v>4.32</v>
      </c>
      <c r="E9" s="130">
        <f>G9*0.3</f>
        <v>3.24</v>
      </c>
      <c r="F9" s="130"/>
      <c r="G9" s="130">
        <v>10.8</v>
      </c>
      <c r="H9" s="131">
        <v>12</v>
      </c>
      <c r="I9" s="133">
        <f t="shared" si="0"/>
        <v>1.1999999999999993</v>
      </c>
      <c r="J9" s="131">
        <v>12</v>
      </c>
      <c r="K9" s="133">
        <f t="shared" si="1"/>
        <v>0</v>
      </c>
      <c r="L9" s="131">
        <v>12</v>
      </c>
      <c r="M9" s="133">
        <f t="shared" si="2"/>
        <v>0</v>
      </c>
      <c r="N9" s="131">
        <v>9.5</v>
      </c>
      <c r="O9" s="132">
        <f t="shared" si="3"/>
        <v>-2.5</v>
      </c>
      <c r="P9" s="131">
        <v>9.5</v>
      </c>
      <c r="Q9" s="132">
        <f t="shared" si="4"/>
        <v>0</v>
      </c>
    </row>
    <row r="10" spans="1:17" ht="15.75" customHeight="1">
      <c r="A10" s="2" t="s">
        <v>7</v>
      </c>
      <c r="B10" s="84"/>
      <c r="C10" s="130">
        <f>G10*0.2</f>
        <v>3.64</v>
      </c>
      <c r="D10" s="130">
        <f>G10*0.2</f>
        <v>3.64</v>
      </c>
      <c r="E10" s="130">
        <f>G10*0.4</f>
        <v>7.28</v>
      </c>
      <c r="F10" s="130">
        <f>G10*0.2</f>
        <v>3.64</v>
      </c>
      <c r="G10" s="130">
        <v>18.2</v>
      </c>
      <c r="H10" s="134">
        <v>16.2</v>
      </c>
      <c r="I10" s="132">
        <f t="shared" si="0"/>
        <v>-2</v>
      </c>
      <c r="J10" s="134">
        <v>16.2</v>
      </c>
      <c r="K10" s="133">
        <f t="shared" si="1"/>
        <v>0</v>
      </c>
      <c r="L10" s="134">
        <v>16.2</v>
      </c>
      <c r="M10" s="133">
        <f t="shared" si="2"/>
        <v>0</v>
      </c>
      <c r="N10" s="134">
        <v>16.2</v>
      </c>
      <c r="O10" s="133">
        <f t="shared" si="3"/>
        <v>0</v>
      </c>
      <c r="P10" s="134">
        <v>16.2</v>
      </c>
      <c r="Q10" s="133">
        <f t="shared" si="4"/>
        <v>0</v>
      </c>
    </row>
    <row r="11" spans="1:17" ht="15.75" customHeight="1">
      <c r="A11" s="2" t="s">
        <v>8</v>
      </c>
      <c r="B11" s="84">
        <f>G11*0.15625</f>
        <v>2.5</v>
      </c>
      <c r="C11" s="130">
        <f>G11*0.16875</f>
        <v>2.7</v>
      </c>
      <c r="D11" s="130">
        <f>G11*0.16875</f>
        <v>2.7</v>
      </c>
      <c r="E11" s="130">
        <f>G11*0.3375</f>
        <v>5.4</v>
      </c>
      <c r="F11" s="130">
        <f>G11*0.16875</f>
        <v>2.7</v>
      </c>
      <c r="G11" s="130">
        <v>16</v>
      </c>
      <c r="H11" s="134">
        <v>14.2</v>
      </c>
      <c r="I11" s="132">
        <f t="shared" si="0"/>
        <v>-1.8000000000000007</v>
      </c>
      <c r="J11" s="134">
        <v>14.2</v>
      </c>
      <c r="K11" s="133">
        <f t="shared" si="1"/>
        <v>0</v>
      </c>
      <c r="L11" s="134">
        <v>14.2</v>
      </c>
      <c r="M11" s="133">
        <f t="shared" si="2"/>
        <v>0</v>
      </c>
      <c r="N11" s="134">
        <f>G11*70%</f>
        <v>11.2</v>
      </c>
      <c r="O11" s="133">
        <f t="shared" si="3"/>
        <v>-3</v>
      </c>
      <c r="P11" s="134">
        <f>I11*70%</f>
        <v>-1.2600000000000005</v>
      </c>
      <c r="Q11" s="133">
        <f t="shared" si="4"/>
        <v>-12.459999999999999</v>
      </c>
    </row>
    <row r="12" spans="1:17" ht="15.75" customHeight="1">
      <c r="A12" s="5" t="s">
        <v>34</v>
      </c>
      <c r="B12" s="24">
        <f aca="true" t="shared" si="5" ref="B12:J12">SUM(B6:B11)</f>
        <v>4.2799999998832</v>
      </c>
      <c r="C12" s="24">
        <f t="shared" si="5"/>
        <v>19.279999999972</v>
      </c>
      <c r="D12" s="24">
        <f t="shared" si="5"/>
        <v>25.6399999998296</v>
      </c>
      <c r="E12" s="24">
        <f t="shared" si="5"/>
        <v>30.709999999944003</v>
      </c>
      <c r="F12" s="24">
        <f t="shared" si="5"/>
        <v>11.0699999998576</v>
      </c>
      <c r="G12" s="24">
        <f t="shared" si="5"/>
        <v>90.98</v>
      </c>
      <c r="H12" s="135">
        <f t="shared" si="5"/>
        <v>56.2</v>
      </c>
      <c r="I12" s="70">
        <f t="shared" si="0"/>
        <v>-34.78</v>
      </c>
      <c r="J12" s="135">
        <f t="shared" si="5"/>
        <v>56.2</v>
      </c>
      <c r="K12" s="136">
        <f t="shared" si="1"/>
        <v>0</v>
      </c>
      <c r="L12" s="135">
        <f>SUM(L6:L11)</f>
        <v>56.2</v>
      </c>
      <c r="M12" s="136">
        <f t="shared" si="2"/>
        <v>0</v>
      </c>
      <c r="N12" s="135">
        <f>SUM(N6:N11)</f>
        <v>50.7</v>
      </c>
      <c r="O12" s="70">
        <f t="shared" si="3"/>
        <v>-5.5</v>
      </c>
      <c r="P12" s="135">
        <f>SUM(P6:P11)</f>
        <v>38.24</v>
      </c>
      <c r="Q12" s="70">
        <f t="shared" si="4"/>
        <v>-12.46</v>
      </c>
    </row>
    <row r="13" spans="1:17" ht="15.75" customHeight="1">
      <c r="A13" s="5"/>
      <c r="B13" s="19"/>
      <c r="C13" s="24"/>
      <c r="D13" s="24"/>
      <c r="E13" s="24"/>
      <c r="F13" s="24"/>
      <c r="G13" s="24"/>
      <c r="H13" s="134"/>
      <c r="I13" s="132"/>
      <c r="J13" s="134"/>
      <c r="K13" s="133"/>
      <c r="L13" s="134"/>
      <c r="M13" s="133"/>
      <c r="N13" s="134"/>
      <c r="O13" s="133"/>
      <c r="P13" s="134"/>
      <c r="Q13" s="133"/>
    </row>
    <row r="14" spans="1:17" ht="15.75" customHeight="1">
      <c r="A14" s="4" t="s">
        <v>10</v>
      </c>
      <c r="B14" s="18"/>
      <c r="C14" s="24"/>
      <c r="D14" s="24"/>
      <c r="E14" s="24"/>
      <c r="F14" s="24"/>
      <c r="G14" s="130"/>
      <c r="H14" s="134"/>
      <c r="I14" s="132"/>
      <c r="J14" s="134"/>
      <c r="K14" s="133"/>
      <c r="L14" s="134"/>
      <c r="M14" s="133"/>
      <c r="N14" s="134"/>
      <c r="O14" s="133"/>
      <c r="P14" s="134"/>
      <c r="Q14" s="133"/>
    </row>
    <row r="15" spans="1:17" ht="15.75" customHeight="1">
      <c r="A15" s="21" t="s">
        <v>32</v>
      </c>
      <c r="B15" s="37">
        <f>G15*0.0909090909</f>
        <v>0.95454545445</v>
      </c>
      <c r="C15" s="38">
        <f>G15*0.18181818181</f>
        <v>1.9090909090050001</v>
      </c>
      <c r="D15" s="38">
        <f>G15*0.27272727272</f>
        <v>2.8636363635600004</v>
      </c>
      <c r="E15" s="38">
        <f>G15*0.27272727272</f>
        <v>2.8636363635600004</v>
      </c>
      <c r="F15" s="38">
        <f>G15*0.18181818181</f>
        <v>1.9090909090050001</v>
      </c>
      <c r="G15" s="41">
        <v>10.5</v>
      </c>
      <c r="H15" s="134">
        <v>15.5</v>
      </c>
      <c r="I15" s="133">
        <f t="shared" si="0"/>
        <v>5</v>
      </c>
      <c r="J15" s="134">
        <v>15.5</v>
      </c>
      <c r="K15" s="133">
        <f t="shared" si="1"/>
        <v>0</v>
      </c>
      <c r="L15" s="134">
        <v>15.5</v>
      </c>
      <c r="M15" s="133">
        <f t="shared" si="2"/>
        <v>0</v>
      </c>
      <c r="N15" s="134">
        <v>15.5</v>
      </c>
      <c r="O15" s="133">
        <f aca="true" t="shared" si="6" ref="O15:O24">N15-L15</f>
        <v>0</v>
      </c>
      <c r="P15" s="134">
        <v>15.5</v>
      </c>
      <c r="Q15" s="133">
        <f aca="true" t="shared" si="7" ref="Q15:Q24">P15-N15</f>
        <v>0</v>
      </c>
    </row>
    <row r="16" spans="1:17" ht="15.75" customHeight="1">
      <c r="A16" s="2" t="s">
        <v>11</v>
      </c>
      <c r="B16" s="40">
        <f>G16*0.02631578947</f>
        <v>0.39999999994400004</v>
      </c>
      <c r="C16" s="41">
        <f>G16*0.1947368421</f>
        <v>2.9599999999200004</v>
      </c>
      <c r="D16" s="41">
        <f>G16*0.29210526315</f>
        <v>4.43999999988</v>
      </c>
      <c r="E16" s="41">
        <f>G16*0.29210526315</f>
        <v>4.43999999988</v>
      </c>
      <c r="F16" s="41">
        <f>G16*0.1947368421</f>
        <v>2.9599999999200004</v>
      </c>
      <c r="G16" s="41">
        <f>6.5+8.3+0.4</f>
        <v>15.200000000000001</v>
      </c>
      <c r="H16" s="134">
        <v>14.9</v>
      </c>
      <c r="I16" s="132">
        <f t="shared" si="0"/>
        <v>-0.3000000000000007</v>
      </c>
      <c r="J16" s="134">
        <v>14.9</v>
      </c>
      <c r="K16" s="133">
        <f t="shared" si="1"/>
        <v>0</v>
      </c>
      <c r="L16" s="134">
        <v>25.1</v>
      </c>
      <c r="M16" s="133">
        <f t="shared" si="2"/>
        <v>10.200000000000001</v>
      </c>
      <c r="N16" s="134">
        <f>L16-8.2</f>
        <v>16.900000000000002</v>
      </c>
      <c r="O16" s="132">
        <f t="shared" si="6"/>
        <v>-8.2</v>
      </c>
      <c r="P16" s="134">
        <f>N16-8.2</f>
        <v>8.700000000000003</v>
      </c>
      <c r="Q16" s="132">
        <f t="shared" si="7"/>
        <v>-8.2</v>
      </c>
    </row>
    <row r="17" spans="1:17" ht="15.75" customHeight="1">
      <c r="A17" s="2" t="s">
        <v>12</v>
      </c>
      <c r="B17" s="40">
        <f>G17*0.03787878787</f>
        <v>0.49999999988399996</v>
      </c>
      <c r="C17" s="41">
        <f>G17*0.19242424242</f>
        <v>2.539999999944</v>
      </c>
      <c r="D17" s="41">
        <f>G17*0.28863636363</f>
        <v>3.8099999999159997</v>
      </c>
      <c r="E17" s="41">
        <f>G17*0.28863636363</f>
        <v>3.8099999999159997</v>
      </c>
      <c r="F17" s="41">
        <f>G17*0.19242424242</f>
        <v>2.539999999944</v>
      </c>
      <c r="G17" s="41">
        <f>9+3.7+0.5</f>
        <v>13.2</v>
      </c>
      <c r="H17" s="134">
        <v>14</v>
      </c>
      <c r="I17" s="133">
        <f t="shared" si="0"/>
        <v>0.8000000000000007</v>
      </c>
      <c r="J17" s="134">
        <v>14</v>
      </c>
      <c r="K17" s="133">
        <f t="shared" si="1"/>
        <v>0</v>
      </c>
      <c r="L17" s="134">
        <v>14</v>
      </c>
      <c r="M17" s="133">
        <f t="shared" si="2"/>
        <v>0</v>
      </c>
      <c r="N17" s="134">
        <v>14</v>
      </c>
      <c r="O17" s="133">
        <f t="shared" si="6"/>
        <v>0</v>
      </c>
      <c r="P17" s="134">
        <v>14</v>
      </c>
      <c r="Q17" s="133">
        <f t="shared" si="7"/>
        <v>0</v>
      </c>
    </row>
    <row r="18" spans="1:17" ht="15.75" customHeight="1">
      <c r="A18" s="2" t="s">
        <v>13</v>
      </c>
      <c r="B18" s="40"/>
      <c r="C18" s="41">
        <f>G18*0.1</f>
        <v>0.2</v>
      </c>
      <c r="D18" s="41">
        <f>G18*0.2</f>
        <v>0.4</v>
      </c>
      <c r="E18" s="41">
        <f>G18*0.4</f>
        <v>0.8</v>
      </c>
      <c r="F18" s="41">
        <f>G18*0.3</f>
        <v>0.6</v>
      </c>
      <c r="G18" s="41">
        <f>0.9+1.1</f>
        <v>2</v>
      </c>
      <c r="H18" s="134">
        <v>8.1</v>
      </c>
      <c r="I18" s="133">
        <f t="shared" si="0"/>
        <v>6.1</v>
      </c>
      <c r="J18" s="134">
        <v>8.1</v>
      </c>
      <c r="K18" s="133">
        <f t="shared" si="1"/>
        <v>0</v>
      </c>
      <c r="L18" s="134">
        <v>8.1</v>
      </c>
      <c r="M18" s="133">
        <f t="shared" si="2"/>
        <v>0</v>
      </c>
      <c r="N18" s="134">
        <v>8.1</v>
      </c>
      <c r="O18" s="133">
        <f t="shared" si="6"/>
        <v>0</v>
      </c>
      <c r="P18" s="134">
        <v>8.1</v>
      </c>
      <c r="Q18" s="133">
        <f t="shared" si="7"/>
        <v>0</v>
      </c>
    </row>
    <row r="19" spans="1:17" ht="15.75" customHeight="1">
      <c r="A19" s="2" t="s">
        <v>89</v>
      </c>
      <c r="B19" s="40">
        <v>0</v>
      </c>
      <c r="C19" s="41">
        <v>0</v>
      </c>
      <c r="D19" s="41">
        <v>0</v>
      </c>
      <c r="E19" s="41">
        <v>0</v>
      </c>
      <c r="F19" s="41">
        <v>0</v>
      </c>
      <c r="G19" s="41">
        <v>0</v>
      </c>
      <c r="H19" s="134">
        <v>25.7</v>
      </c>
      <c r="I19" s="133">
        <f t="shared" si="0"/>
        <v>25.7</v>
      </c>
      <c r="J19" s="134">
        <v>25.7</v>
      </c>
      <c r="K19" s="133">
        <f t="shared" si="1"/>
        <v>0</v>
      </c>
      <c r="L19" s="134">
        <v>0</v>
      </c>
      <c r="M19" s="133">
        <f t="shared" si="2"/>
        <v>-25.7</v>
      </c>
      <c r="N19" s="134">
        <v>0</v>
      </c>
      <c r="O19" s="133">
        <f t="shared" si="6"/>
        <v>0</v>
      </c>
      <c r="P19" s="134">
        <v>0</v>
      </c>
      <c r="Q19" s="133">
        <f t="shared" si="7"/>
        <v>0</v>
      </c>
    </row>
    <row r="20" spans="1:17" ht="15.75" customHeight="1">
      <c r="A20" s="2" t="s">
        <v>90</v>
      </c>
      <c r="B20" s="40"/>
      <c r="C20" s="41">
        <f>G20*0.2</f>
        <v>3</v>
      </c>
      <c r="D20" s="41">
        <f>G20*0.3</f>
        <v>4.5</v>
      </c>
      <c r="E20" s="41">
        <f>G20*0.3</f>
        <v>4.5</v>
      </c>
      <c r="F20" s="41">
        <f>G20*0.2</f>
        <v>3</v>
      </c>
      <c r="G20" s="41">
        <v>15</v>
      </c>
      <c r="H20" s="134">
        <v>0</v>
      </c>
      <c r="I20" s="132">
        <f t="shared" si="0"/>
        <v>-15</v>
      </c>
      <c r="J20" s="134">
        <v>0</v>
      </c>
      <c r="K20" s="133">
        <f t="shared" si="1"/>
        <v>0</v>
      </c>
      <c r="L20" s="134">
        <v>0</v>
      </c>
      <c r="M20" s="133">
        <f t="shared" si="2"/>
        <v>0</v>
      </c>
      <c r="N20" s="134">
        <v>0</v>
      </c>
      <c r="O20" s="133">
        <f t="shared" si="6"/>
        <v>0</v>
      </c>
      <c r="P20" s="134">
        <v>0</v>
      </c>
      <c r="Q20" s="133">
        <f t="shared" si="7"/>
        <v>0</v>
      </c>
    </row>
    <row r="21" spans="1:17" ht="15.75" customHeight="1">
      <c r="A21" s="2" t="s">
        <v>15</v>
      </c>
      <c r="B21" s="40"/>
      <c r="C21" s="41">
        <f>G21*0.1</f>
        <v>0.05</v>
      </c>
      <c r="D21" s="41">
        <f>G21*0.3</f>
        <v>0.15</v>
      </c>
      <c r="E21" s="41">
        <f>G21*0.4</f>
        <v>0.2</v>
      </c>
      <c r="F21" s="41">
        <f>G21*0.2</f>
        <v>0.1</v>
      </c>
      <c r="G21" s="41">
        <v>0.5</v>
      </c>
      <c r="H21" s="134">
        <v>0</v>
      </c>
      <c r="I21" s="132">
        <f t="shared" si="0"/>
        <v>-0.5</v>
      </c>
      <c r="J21" s="134">
        <v>0</v>
      </c>
      <c r="K21" s="133">
        <f t="shared" si="1"/>
        <v>0</v>
      </c>
      <c r="L21" s="134">
        <v>0</v>
      </c>
      <c r="M21" s="133">
        <f t="shared" si="2"/>
        <v>0</v>
      </c>
      <c r="N21" s="134">
        <v>0</v>
      </c>
      <c r="O21" s="133">
        <f t="shared" si="6"/>
        <v>0</v>
      </c>
      <c r="P21" s="134">
        <v>0</v>
      </c>
      <c r="Q21" s="133">
        <f t="shared" si="7"/>
        <v>0</v>
      </c>
    </row>
    <row r="22" spans="1:17" ht="15.75" customHeight="1">
      <c r="A22" s="2" t="s">
        <v>16</v>
      </c>
      <c r="B22" s="40"/>
      <c r="C22" s="41">
        <f>G22*0.2</f>
        <v>2.1</v>
      </c>
      <c r="D22" s="41">
        <f>G22*0.2</f>
        <v>2.1</v>
      </c>
      <c r="E22" s="41">
        <f>G22*0.4</f>
        <v>4.2</v>
      </c>
      <c r="F22" s="41">
        <f>G22*0.2</f>
        <v>2.1</v>
      </c>
      <c r="G22" s="41">
        <f>5.9+4.6</f>
        <v>10.5</v>
      </c>
      <c r="H22" s="134">
        <v>9.3</v>
      </c>
      <c r="I22" s="132">
        <f t="shared" si="0"/>
        <v>-1.1999999999999993</v>
      </c>
      <c r="J22" s="134">
        <v>9.3</v>
      </c>
      <c r="K22" s="133">
        <f t="shared" si="1"/>
        <v>0</v>
      </c>
      <c r="L22" s="134">
        <v>9.3</v>
      </c>
      <c r="M22" s="133">
        <f t="shared" si="2"/>
        <v>0</v>
      </c>
      <c r="N22" s="134">
        <v>9.3</v>
      </c>
      <c r="O22" s="133">
        <f t="shared" si="6"/>
        <v>0</v>
      </c>
      <c r="P22" s="134">
        <v>9.3</v>
      </c>
      <c r="Q22" s="133">
        <f t="shared" si="7"/>
        <v>0</v>
      </c>
    </row>
    <row r="23" spans="1:17" ht="15.75" customHeight="1">
      <c r="A23" s="2" t="s">
        <v>17</v>
      </c>
      <c r="B23" s="40"/>
      <c r="C23" s="41">
        <f>G23*0.2</f>
        <v>1.08</v>
      </c>
      <c r="D23" s="41">
        <f>G23*0.3</f>
        <v>1.62</v>
      </c>
      <c r="E23" s="41">
        <f>G23*0.3</f>
        <v>1.62</v>
      </c>
      <c r="F23" s="41">
        <f>G23*0.2</f>
        <v>1.08</v>
      </c>
      <c r="G23" s="41">
        <v>5.4</v>
      </c>
      <c r="H23" s="134">
        <v>0</v>
      </c>
      <c r="I23" s="132">
        <f t="shared" si="0"/>
        <v>-5.4</v>
      </c>
      <c r="J23" s="134">
        <v>0</v>
      </c>
      <c r="K23" s="133">
        <f t="shared" si="1"/>
        <v>0</v>
      </c>
      <c r="L23" s="134">
        <v>0</v>
      </c>
      <c r="M23" s="133">
        <f t="shared" si="2"/>
        <v>0</v>
      </c>
      <c r="N23" s="134">
        <v>0</v>
      </c>
      <c r="O23" s="133">
        <f t="shared" si="6"/>
        <v>0</v>
      </c>
      <c r="P23" s="134">
        <v>0</v>
      </c>
      <c r="Q23" s="133">
        <f t="shared" si="7"/>
        <v>0</v>
      </c>
    </row>
    <row r="24" spans="1:17" ht="15.75" customHeight="1">
      <c r="A24" s="5" t="s">
        <v>35</v>
      </c>
      <c r="B24" s="25">
        <f aca="true" t="shared" si="8" ref="B24:J24">SUM(B15:B23)</f>
        <v>1.854545454278</v>
      </c>
      <c r="C24" s="25">
        <f t="shared" si="8"/>
        <v>13.839090908869</v>
      </c>
      <c r="D24" s="25">
        <f t="shared" si="8"/>
        <v>19.883636363356</v>
      </c>
      <c r="E24" s="25">
        <f t="shared" si="8"/>
        <v>22.433636363356</v>
      </c>
      <c r="F24" s="25">
        <f t="shared" si="8"/>
        <v>14.289090908869</v>
      </c>
      <c r="G24" s="25">
        <f t="shared" si="8"/>
        <v>72.30000000000001</v>
      </c>
      <c r="H24" s="137">
        <f t="shared" si="8"/>
        <v>87.5</v>
      </c>
      <c r="I24" s="138">
        <f t="shared" si="0"/>
        <v>15.199999999999989</v>
      </c>
      <c r="J24" s="137">
        <f t="shared" si="8"/>
        <v>87.5</v>
      </c>
      <c r="K24" s="136">
        <f t="shared" si="1"/>
        <v>0</v>
      </c>
      <c r="L24" s="137">
        <f>SUM(L15:L23)</f>
        <v>72</v>
      </c>
      <c r="M24" s="136">
        <f t="shared" si="2"/>
        <v>-15.5</v>
      </c>
      <c r="N24" s="137">
        <f>SUM(N15:N23)</f>
        <v>63.80000000000001</v>
      </c>
      <c r="O24" s="70">
        <f t="shared" si="6"/>
        <v>-8.199999999999989</v>
      </c>
      <c r="P24" s="137">
        <f>SUM(P15:P23)</f>
        <v>55.60000000000001</v>
      </c>
      <c r="Q24" s="70">
        <f t="shared" si="7"/>
        <v>-8.200000000000003</v>
      </c>
    </row>
    <row r="25" spans="1:17" ht="15.75" customHeight="1">
      <c r="A25" s="5"/>
      <c r="B25" s="19"/>
      <c r="C25" s="24"/>
      <c r="D25" s="24"/>
      <c r="E25" s="24"/>
      <c r="F25" s="24"/>
      <c r="G25" s="24"/>
      <c r="H25" s="134"/>
      <c r="I25" s="132"/>
      <c r="J25" s="134"/>
      <c r="K25" s="133"/>
      <c r="L25" s="134"/>
      <c r="M25" s="133"/>
      <c r="N25" s="134"/>
      <c r="O25" s="133"/>
      <c r="P25" s="134"/>
      <c r="Q25" s="133"/>
    </row>
    <row r="26" spans="1:17" ht="15.75" customHeight="1">
      <c r="A26" s="2"/>
      <c r="B26" s="84"/>
      <c r="C26" s="130"/>
      <c r="D26" s="130"/>
      <c r="E26" s="130"/>
      <c r="F26" s="130"/>
      <c r="G26" s="130"/>
      <c r="H26" s="134"/>
      <c r="I26" s="132"/>
      <c r="J26" s="134"/>
      <c r="K26" s="133"/>
      <c r="L26" s="134"/>
      <c r="M26" s="133"/>
      <c r="N26" s="134"/>
      <c r="O26" s="133"/>
      <c r="P26" s="134"/>
      <c r="Q26" s="133"/>
    </row>
    <row r="27" spans="1:17" ht="15.75">
      <c r="A27" s="51" t="s">
        <v>91</v>
      </c>
      <c r="B27" s="45">
        <f aca="true" t="shared" si="9" ref="B27:G27">(B12+B24)*5.96%</f>
        <v>0.36561890906800754</v>
      </c>
      <c r="C27" s="45">
        <f t="shared" si="9"/>
        <v>1.9738978181669238</v>
      </c>
      <c r="D27" s="45">
        <f t="shared" si="9"/>
        <v>2.713208727245862</v>
      </c>
      <c r="E27" s="45">
        <f t="shared" si="9"/>
        <v>3.1673607272526803</v>
      </c>
      <c r="F27" s="45">
        <f t="shared" si="9"/>
        <v>1.5114018181601054</v>
      </c>
      <c r="G27" s="45">
        <f t="shared" si="9"/>
        <v>9.731488000000002</v>
      </c>
      <c r="H27" s="139">
        <f>(H12+H24)*11.5%</f>
        <v>16.5255</v>
      </c>
      <c r="I27" s="138">
        <f t="shared" si="0"/>
        <v>6.794011999999999</v>
      </c>
      <c r="J27" s="139">
        <f>(J12+J24)*8%</f>
        <v>11.495999999999999</v>
      </c>
      <c r="K27" s="132">
        <f t="shared" si="1"/>
        <v>-5.029500000000002</v>
      </c>
      <c r="L27" s="139">
        <f>(L12+L24)*11.5%</f>
        <v>14.742999999999999</v>
      </c>
      <c r="M27" s="136">
        <f t="shared" si="2"/>
        <v>3.247</v>
      </c>
      <c r="N27" s="139">
        <f>(N12+N24)*10%</f>
        <v>11.450000000000003</v>
      </c>
      <c r="O27" s="70">
        <f>N27-L27</f>
        <v>-3.2929999999999957</v>
      </c>
      <c r="P27" s="139">
        <f>(P12+P24)*10%</f>
        <v>9.384</v>
      </c>
      <c r="Q27" s="70">
        <f>P27-N27</f>
        <v>-2.0660000000000025</v>
      </c>
    </row>
    <row r="28" spans="1:17" ht="15.75">
      <c r="A28" s="51" t="s">
        <v>92</v>
      </c>
      <c r="B28" s="45">
        <f aca="true" t="shared" si="10" ref="B28:G28">(B12+B24)*15.2%</f>
        <v>0.9324509090325024</v>
      </c>
      <c r="C28" s="45">
        <f t="shared" si="10"/>
        <v>5.034101818143832</v>
      </c>
      <c r="D28" s="45">
        <f t="shared" si="10"/>
        <v>6.919592727204211</v>
      </c>
      <c r="E28" s="45">
        <f t="shared" si="10"/>
        <v>8.077832727221601</v>
      </c>
      <c r="F28" s="45">
        <f t="shared" si="10"/>
        <v>3.854581818126443</v>
      </c>
      <c r="G28" s="45">
        <f t="shared" si="10"/>
        <v>24.818560000000005</v>
      </c>
      <c r="H28" s="139">
        <f>(H12+H24)*10%</f>
        <v>14.37</v>
      </c>
      <c r="I28" s="70">
        <f t="shared" si="0"/>
        <v>-10.448560000000006</v>
      </c>
      <c r="J28" s="139">
        <f>(J12+J24)*5%</f>
        <v>7.185</v>
      </c>
      <c r="K28" s="132">
        <f t="shared" si="1"/>
        <v>-7.185</v>
      </c>
      <c r="L28" s="139">
        <f>(L12+L24)*10%</f>
        <v>12.82</v>
      </c>
      <c r="M28" s="136">
        <f t="shared" si="2"/>
        <v>5.635000000000001</v>
      </c>
      <c r="N28" s="139">
        <f>(N12+N24)*10%</f>
        <v>11.450000000000003</v>
      </c>
      <c r="O28" s="70">
        <f>N28-L28</f>
        <v>-1.3699999999999974</v>
      </c>
      <c r="P28" s="139">
        <f>(P12+P24)*10%</f>
        <v>9.384</v>
      </c>
      <c r="Q28" s="70">
        <f>P28-N28</f>
        <v>-2.0660000000000025</v>
      </c>
    </row>
    <row r="29" spans="1:17" ht="15.75">
      <c r="A29" s="51" t="s">
        <v>93</v>
      </c>
      <c r="B29" s="45">
        <f aca="true" t="shared" si="11" ref="B29:G29">(B12+B24)*3.5%</f>
        <v>0.21470909089564202</v>
      </c>
      <c r="C29" s="45">
        <f t="shared" si="11"/>
        <v>1.1591681818094353</v>
      </c>
      <c r="D29" s="45">
        <f t="shared" si="11"/>
        <v>1.5933272727114962</v>
      </c>
      <c r="E29" s="45">
        <f t="shared" si="11"/>
        <v>1.8600272727155003</v>
      </c>
      <c r="F29" s="45">
        <f t="shared" si="11"/>
        <v>0.8875681818054311</v>
      </c>
      <c r="G29" s="45">
        <f t="shared" si="11"/>
        <v>5.714800000000001</v>
      </c>
      <c r="H29" s="139">
        <f>(H12+H24)*10%</f>
        <v>14.37</v>
      </c>
      <c r="I29" s="138">
        <f t="shared" si="0"/>
        <v>8.655199999999997</v>
      </c>
      <c r="J29" s="139">
        <f>(J12+J24)*8%</f>
        <v>11.495999999999999</v>
      </c>
      <c r="K29" s="132">
        <f t="shared" si="1"/>
        <v>-2.8740000000000006</v>
      </c>
      <c r="L29" s="139">
        <f>(L12+L24)*10%</f>
        <v>12.82</v>
      </c>
      <c r="M29" s="136">
        <f t="shared" si="2"/>
        <v>1.3240000000000016</v>
      </c>
      <c r="N29" s="139">
        <f>(N12+N24)*10%</f>
        <v>11.450000000000003</v>
      </c>
      <c r="O29" s="70">
        <f>N29-L29</f>
        <v>-1.3699999999999974</v>
      </c>
      <c r="P29" s="139">
        <f>(P12+P24)*10%</f>
        <v>9.384</v>
      </c>
      <c r="Q29" s="70">
        <f>P29-N29</f>
        <v>-2.0660000000000025</v>
      </c>
    </row>
    <row r="30" spans="1:17" ht="15.75">
      <c r="A30" s="140"/>
      <c r="B30" s="40"/>
      <c r="C30" s="84"/>
      <c r="D30" s="25"/>
      <c r="E30" s="84"/>
      <c r="F30"/>
      <c r="G30" s="47"/>
      <c r="H30" s="129"/>
      <c r="I30" s="132"/>
      <c r="J30" s="129"/>
      <c r="K30" s="133"/>
      <c r="L30" s="129"/>
      <c r="M30" s="133"/>
      <c r="N30" s="129"/>
      <c r="O30" s="133"/>
      <c r="P30" s="129"/>
      <c r="Q30" s="133"/>
    </row>
    <row r="31" spans="1:17" ht="15.75" customHeight="1">
      <c r="A31" s="5" t="s">
        <v>94</v>
      </c>
      <c r="B31" s="84"/>
      <c r="C31" s="130"/>
      <c r="D31" s="130"/>
      <c r="E31" s="130"/>
      <c r="F31" s="130"/>
      <c r="G31" s="25">
        <f>G32-(G32*40%)</f>
        <v>122.12690880000001</v>
      </c>
      <c r="H31" s="137">
        <f>H32-(H32*40%)</f>
        <v>113.37929999999999</v>
      </c>
      <c r="I31" s="70">
        <f t="shared" si="0"/>
        <v>-8.747608800000023</v>
      </c>
      <c r="J31" s="137">
        <f>J32-(J32*40%)</f>
        <v>104.3262</v>
      </c>
      <c r="K31" s="132">
        <f t="shared" si="1"/>
        <v>-9.053099999999986</v>
      </c>
      <c r="L31" s="137">
        <f>L32-(L32*40%)</f>
        <v>101.14979999999998</v>
      </c>
      <c r="M31" s="141">
        <f t="shared" si="2"/>
        <v>-3.176400000000015</v>
      </c>
      <c r="N31" s="137">
        <f>N32-(N32*40%)</f>
        <v>89.31</v>
      </c>
      <c r="O31" s="70">
        <f>N31-L31</f>
        <v>-11.839799999999983</v>
      </c>
      <c r="P31" s="137">
        <f>P32-(P32*40%)</f>
        <v>73.1952</v>
      </c>
      <c r="Q31" s="70">
        <f>P31-N31</f>
        <v>-16.114800000000002</v>
      </c>
    </row>
    <row r="32" spans="1:17" ht="15.75" customHeight="1">
      <c r="A32" s="22" t="s">
        <v>37</v>
      </c>
      <c r="B32" s="26">
        <f aca="true" t="shared" si="12" ref="B32:H32">B12+B24+B27+B28+B29</f>
        <v>7.647324363157352</v>
      </c>
      <c r="C32" s="26">
        <f t="shared" si="12"/>
        <v>41.286258726961194</v>
      </c>
      <c r="D32" s="26">
        <f t="shared" si="12"/>
        <v>56.749765090347175</v>
      </c>
      <c r="E32" s="26">
        <f t="shared" si="12"/>
        <v>66.24885709048978</v>
      </c>
      <c r="F32" s="26">
        <f t="shared" si="12"/>
        <v>31.61264272681858</v>
      </c>
      <c r="G32" s="26">
        <f t="shared" si="12"/>
        <v>203.54484800000003</v>
      </c>
      <c r="H32" s="142">
        <f t="shared" si="12"/>
        <v>188.9655</v>
      </c>
      <c r="I32" s="70">
        <f t="shared" si="0"/>
        <v>-14.579348000000039</v>
      </c>
      <c r="J32" s="142">
        <f>J12+J24+J27+J28+J29</f>
        <v>173.877</v>
      </c>
      <c r="K32" s="132">
        <f t="shared" si="1"/>
        <v>-15.088499999999982</v>
      </c>
      <c r="L32" s="142">
        <f>L12+L24+L27+L28+L29</f>
        <v>168.58299999999997</v>
      </c>
      <c r="M32" s="141">
        <f t="shared" si="2"/>
        <v>-5.29400000000004</v>
      </c>
      <c r="N32" s="142">
        <f>N12+N24+N27+N28+N29</f>
        <v>148.85000000000002</v>
      </c>
      <c r="O32" s="70">
        <f>N32-L32</f>
        <v>-19.732999999999947</v>
      </c>
      <c r="P32" s="142">
        <f>P12+P24+P27+P28+P29</f>
        <v>121.992</v>
      </c>
      <c r="Q32" s="70">
        <f>P32-N32</f>
        <v>-26.85800000000002</v>
      </c>
    </row>
    <row r="33" spans="1:17" ht="15.75" customHeight="1">
      <c r="A33" s="22" t="s">
        <v>95</v>
      </c>
      <c r="B33" s="143"/>
      <c r="C33" s="144"/>
      <c r="D33" s="144"/>
      <c r="E33" s="144"/>
      <c r="F33" s="144"/>
      <c r="G33" s="25">
        <f>G32+(G32*40%)</f>
        <v>284.96278720000004</v>
      </c>
      <c r="H33" s="137">
        <f>H32+(H32*40%)</f>
        <v>264.5517</v>
      </c>
      <c r="I33" s="70">
        <f t="shared" si="0"/>
        <v>-20.411087200000054</v>
      </c>
      <c r="J33" s="137">
        <f>J32+(J32*40%)</f>
        <v>243.42780000000002</v>
      </c>
      <c r="K33" s="132">
        <f t="shared" si="1"/>
        <v>-21.123899999999963</v>
      </c>
      <c r="L33" s="137">
        <f>L32+(L32*40%)</f>
        <v>236.01619999999997</v>
      </c>
      <c r="M33" s="141">
        <f t="shared" si="2"/>
        <v>-7.41160000000005</v>
      </c>
      <c r="N33" s="137">
        <f>N32+(N32*40%)</f>
        <v>208.39000000000004</v>
      </c>
      <c r="O33" s="70">
        <f>N33-L33</f>
        <v>-27.626199999999926</v>
      </c>
      <c r="P33" s="137">
        <f>P32+(P32*40%)</f>
        <v>170.7888</v>
      </c>
      <c r="Q33" s="70">
        <f>P33-N33</f>
        <v>-37.601200000000034</v>
      </c>
    </row>
    <row r="34" spans="1:17" ht="15.75" customHeight="1">
      <c r="A34" s="22"/>
      <c r="B34" s="143"/>
      <c r="C34" s="144"/>
      <c r="D34" s="144"/>
      <c r="E34" s="144"/>
      <c r="F34" s="144"/>
      <c r="G34" s="24"/>
      <c r="H34" s="134"/>
      <c r="I34" s="133"/>
      <c r="J34" s="134"/>
      <c r="K34" s="133"/>
      <c r="L34" s="134"/>
      <c r="M34" s="133"/>
      <c r="N34" s="134"/>
      <c r="O34" s="133"/>
      <c r="P34" s="134"/>
      <c r="Q34" s="133"/>
    </row>
    <row r="35" spans="1:17" ht="15.75" customHeight="1">
      <c r="A35" s="204" t="s">
        <v>96</v>
      </c>
      <c r="B35" s="205"/>
      <c r="C35" s="205"/>
      <c r="D35" s="205"/>
      <c r="E35" s="205"/>
      <c r="F35" s="205"/>
      <c r="G35" s="205"/>
      <c r="H35" s="134"/>
      <c r="I35" s="133"/>
      <c r="J35" s="134"/>
      <c r="K35" s="133"/>
      <c r="L35" s="134"/>
      <c r="M35" s="133"/>
      <c r="N35" s="134"/>
      <c r="O35" s="133"/>
      <c r="P35" s="134"/>
      <c r="Q35" s="133"/>
    </row>
    <row r="36" spans="1:17" ht="15.75" customHeight="1" thickBot="1">
      <c r="A36" s="206" t="s">
        <v>39</v>
      </c>
      <c r="B36" s="207"/>
      <c r="C36" s="207"/>
      <c r="D36" s="207"/>
      <c r="E36" s="207"/>
      <c r="F36" s="207"/>
      <c r="G36" s="207"/>
      <c r="H36" s="145"/>
      <c r="I36" s="146"/>
      <c r="J36" s="145"/>
      <c r="K36" s="146"/>
      <c r="L36" s="145"/>
      <c r="M36" s="146"/>
      <c r="N36" s="145"/>
      <c r="O36" s="146"/>
      <c r="P36" s="145"/>
      <c r="Q36" s="146"/>
    </row>
    <row r="37" spans="1:9" ht="15.75" customHeight="1">
      <c r="A37" s="147" t="s">
        <v>97</v>
      </c>
      <c r="B37" s="33">
        <f>C37-(C37*40%)</f>
        <v>181.96000000000004</v>
      </c>
      <c r="C37" s="148">
        <f>G12/0.3</f>
        <v>303.2666666666667</v>
      </c>
      <c r="D37" s="33"/>
      <c r="E37" s="33"/>
      <c r="F37" s="33"/>
      <c r="G37" s="148"/>
      <c r="H37" s="149"/>
      <c r="I37" s="40"/>
    </row>
    <row r="38" spans="1:7" ht="15.75" customHeight="1">
      <c r="A38" s="6"/>
      <c r="B38" s="6"/>
      <c r="C38" s="27"/>
      <c r="D38" s="27"/>
      <c r="E38" s="27"/>
      <c r="F38" s="27"/>
      <c r="G38" s="28"/>
    </row>
    <row r="39" spans="1:15" ht="15.75" customHeight="1">
      <c r="A39" s="158" t="s">
        <v>125</v>
      </c>
      <c r="B39" s="158"/>
      <c r="C39" s="158"/>
      <c r="D39" s="158"/>
      <c r="E39" s="158"/>
      <c r="F39" s="158"/>
      <c r="G39" s="158"/>
      <c r="H39" s="158"/>
      <c r="I39" s="158"/>
      <c r="J39" s="158"/>
      <c r="K39" s="158"/>
      <c r="L39" s="158"/>
      <c r="M39" s="158"/>
      <c r="N39" s="158"/>
      <c r="O39" s="158"/>
    </row>
    <row r="40" spans="1:15" ht="15.75" customHeight="1">
      <c r="A40" s="158" t="s">
        <v>126</v>
      </c>
      <c r="B40" s="158"/>
      <c r="C40" s="158"/>
      <c r="D40" s="158"/>
      <c r="E40" s="158"/>
      <c r="F40" s="158"/>
      <c r="G40" s="158"/>
      <c r="H40" s="158"/>
      <c r="I40" s="158"/>
      <c r="J40" s="158"/>
      <c r="K40" s="158"/>
      <c r="L40" s="158"/>
      <c r="M40" s="158"/>
      <c r="N40" s="158"/>
      <c r="O40" s="158"/>
    </row>
    <row r="41" ht="15.75" customHeight="1">
      <c r="A41" t="s">
        <v>127</v>
      </c>
    </row>
    <row r="42" ht="15.75" customHeight="1"/>
    <row r="43" ht="15.75" customHeight="1"/>
    <row r="44" ht="15.75" customHeight="1"/>
    <row r="45" ht="15.75" customHeight="1"/>
    <row r="46" ht="15.75" customHeight="1"/>
    <row r="47" ht="15.75" customHeight="1"/>
    <row r="48" ht="15.75" customHeight="1"/>
    <row r="49" ht="15.75" customHeight="1"/>
    <row r="50" ht="15.75" customHeight="1"/>
  </sheetData>
  <mergeCells count="6">
    <mergeCell ref="A39:O39"/>
    <mergeCell ref="A40:O40"/>
    <mergeCell ref="A1:G1"/>
    <mergeCell ref="A2:G2"/>
    <mergeCell ref="A35:G35"/>
    <mergeCell ref="A36:G36"/>
  </mergeCells>
  <printOptions/>
  <pageMargins left="0" right="0" top="0.75" bottom="0.5" header="0.5" footer="0.25"/>
  <pageSetup fitToHeight="1"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dimension ref="A1:I53"/>
  <sheetViews>
    <sheetView workbookViewId="0" topLeftCell="A25">
      <selection activeCell="I13" sqref="I13"/>
    </sheetView>
  </sheetViews>
  <sheetFormatPr defaultColWidth="9.140625" defaultRowHeight="12.75"/>
  <cols>
    <col min="1" max="1" width="62.28125" style="0" bestFit="1" customWidth="1"/>
    <col min="2" max="2" width="9.00390625" style="0" bestFit="1" customWidth="1"/>
    <col min="3" max="5" width="8.28125" style="29" bestFit="1" customWidth="1"/>
    <col min="6" max="6" width="7.7109375" style="29" bestFit="1" customWidth="1"/>
    <col min="7" max="7" width="10.8515625" style="29" bestFit="1" customWidth="1"/>
  </cols>
  <sheetData>
    <row r="1" spans="1:7" ht="26.25" customHeight="1">
      <c r="A1" s="110" t="s">
        <v>76</v>
      </c>
      <c r="G1" s="115">
        <v>38718</v>
      </c>
    </row>
    <row r="2" spans="1:7" ht="12.75">
      <c r="A2" s="109" t="s">
        <v>80</v>
      </c>
      <c r="G2" s="29" t="s">
        <v>77</v>
      </c>
    </row>
    <row r="3" ht="13.5" thickBot="1"/>
    <row r="4" spans="1:7" ht="30" customHeight="1">
      <c r="A4" s="159" t="s">
        <v>20</v>
      </c>
      <c r="B4" s="160"/>
      <c r="C4" s="160"/>
      <c r="D4" s="160"/>
      <c r="E4" s="160"/>
      <c r="F4" s="160"/>
      <c r="G4" s="161"/>
    </row>
    <row r="5" spans="1:7" ht="24.75" customHeight="1">
      <c r="A5" s="208" t="s">
        <v>48</v>
      </c>
      <c r="B5" s="209"/>
      <c r="C5" s="209"/>
      <c r="D5" s="209"/>
      <c r="E5" s="209"/>
      <c r="F5" s="209"/>
      <c r="G5" s="210"/>
    </row>
    <row r="6" spans="1:7" ht="24.75" customHeight="1" thickBot="1">
      <c r="A6" s="211" t="s">
        <v>64</v>
      </c>
      <c r="B6" s="212"/>
      <c r="C6" s="212"/>
      <c r="D6" s="212"/>
      <c r="E6" s="212"/>
      <c r="F6" s="212"/>
      <c r="G6" s="213"/>
    </row>
    <row r="7" spans="1:7" ht="18">
      <c r="A7" s="1"/>
      <c r="B7" s="20">
        <v>2006</v>
      </c>
      <c r="C7" s="30">
        <v>2007</v>
      </c>
      <c r="D7" s="30">
        <v>2008</v>
      </c>
      <c r="E7" s="30">
        <v>2009</v>
      </c>
      <c r="F7" s="30">
        <v>2010</v>
      </c>
      <c r="G7" s="3" t="s">
        <v>0</v>
      </c>
    </row>
    <row r="8" spans="1:7" ht="15.75" customHeight="1">
      <c r="A8" s="2"/>
      <c r="B8" s="19" t="s">
        <v>2</v>
      </c>
      <c r="C8" s="19" t="s">
        <v>2</v>
      </c>
      <c r="D8" s="19" t="s">
        <v>2</v>
      </c>
      <c r="E8" s="19" t="s">
        <v>2</v>
      </c>
      <c r="F8" s="19" t="s">
        <v>2</v>
      </c>
      <c r="G8" s="3" t="s">
        <v>2</v>
      </c>
    </row>
    <row r="9" spans="1:7" ht="15.75" customHeight="1">
      <c r="A9" s="4" t="s">
        <v>1</v>
      </c>
      <c r="B9" s="18"/>
      <c r="C9" s="24"/>
      <c r="D9" s="24"/>
      <c r="E9" s="24"/>
      <c r="F9" s="24"/>
      <c r="G9" s="23"/>
    </row>
    <row r="10" spans="1:7" ht="15.75" customHeight="1">
      <c r="A10" s="2" t="s">
        <v>3</v>
      </c>
      <c r="B10" s="40">
        <f>G10*0.1</f>
        <v>0.58</v>
      </c>
      <c r="C10" s="41">
        <f>G10*0.2</f>
        <v>1.16</v>
      </c>
      <c r="D10" s="41">
        <f>G10*0.3</f>
        <v>1.74</v>
      </c>
      <c r="E10" s="41">
        <f>G10*0.3</f>
        <v>1.74</v>
      </c>
      <c r="F10" s="41">
        <f>G10*0.1</f>
        <v>0.58</v>
      </c>
      <c r="G10" s="69">
        <v>5.8</v>
      </c>
    </row>
    <row r="11" spans="1:7" ht="15.75" customHeight="1">
      <c r="A11" s="2" t="s">
        <v>4</v>
      </c>
      <c r="B11" s="40"/>
      <c r="C11" s="41">
        <f>G11*0.2</f>
        <v>0.7400000000000001</v>
      </c>
      <c r="D11" s="41">
        <f>G11*0.3</f>
        <v>1.11</v>
      </c>
      <c r="E11" s="41">
        <f>G11*0.3</f>
        <v>1.11</v>
      </c>
      <c r="F11" s="41">
        <f>G11*0.2</f>
        <v>0.7400000000000001</v>
      </c>
      <c r="G11" s="70">
        <v>3.7</v>
      </c>
    </row>
    <row r="12" spans="1:7" ht="15.75" customHeight="1">
      <c r="A12" s="2" t="s">
        <v>5</v>
      </c>
      <c r="B12" s="40"/>
      <c r="C12" s="41">
        <f>G12*0.3</f>
        <v>1.2899999999999998</v>
      </c>
      <c r="D12" s="41">
        <f>G12*0.5</f>
        <v>2.15</v>
      </c>
      <c r="E12" s="41">
        <f>G12*0.2</f>
        <v>0.86</v>
      </c>
      <c r="F12" s="41"/>
      <c r="G12" s="70">
        <v>4.3</v>
      </c>
    </row>
    <row r="13" spans="1:7" ht="17.25" customHeight="1">
      <c r="A13" s="77" t="s">
        <v>65</v>
      </c>
      <c r="B13" s="40"/>
      <c r="C13" s="41">
        <f>G13*0.3</f>
        <v>3.5999999999999996</v>
      </c>
      <c r="D13" s="41">
        <f>G13*0.4</f>
        <v>4.800000000000001</v>
      </c>
      <c r="E13" s="41">
        <f>G13*0.3</f>
        <v>3.5999999999999996</v>
      </c>
      <c r="F13" s="41"/>
      <c r="G13" s="119">
        <v>12</v>
      </c>
    </row>
    <row r="14" spans="1:9" ht="15.75" customHeight="1">
      <c r="A14" s="2" t="s">
        <v>7</v>
      </c>
      <c r="B14" s="40"/>
      <c r="C14" s="41">
        <f>G14*0.2</f>
        <v>3.24</v>
      </c>
      <c r="D14" s="41">
        <f>G14*0.2</f>
        <v>3.24</v>
      </c>
      <c r="E14" s="41">
        <f>G14*0.4</f>
        <v>6.48</v>
      </c>
      <c r="F14" s="41">
        <f>G14*0.2</f>
        <v>3.24</v>
      </c>
      <c r="G14" s="39">
        <v>16.2</v>
      </c>
      <c r="I14" s="100" t="s">
        <v>64</v>
      </c>
    </row>
    <row r="15" spans="1:7" ht="15.75" customHeight="1">
      <c r="A15" s="2" t="s">
        <v>8</v>
      </c>
      <c r="B15" s="40">
        <f>G15*0.1</f>
        <v>1.42</v>
      </c>
      <c r="C15" s="41">
        <f>G15*0.2</f>
        <v>2.84</v>
      </c>
      <c r="D15" s="41">
        <f>G15*0.2</f>
        <v>2.84</v>
      </c>
      <c r="E15" s="41">
        <f>G15*0.3</f>
        <v>4.26</v>
      </c>
      <c r="F15" s="41">
        <f>G15*0.2</f>
        <v>2.84</v>
      </c>
      <c r="G15" s="39">
        <v>14.2</v>
      </c>
    </row>
    <row r="16" spans="1:7" ht="15.75" customHeight="1">
      <c r="A16" s="5" t="s">
        <v>34</v>
      </c>
      <c r="B16" s="25">
        <f aca="true" t="shared" si="0" ref="B16:G16">SUM(B10:B15)</f>
        <v>2</v>
      </c>
      <c r="C16" s="25">
        <f t="shared" si="0"/>
        <v>12.87</v>
      </c>
      <c r="D16" s="25">
        <f t="shared" si="0"/>
        <v>15.88</v>
      </c>
      <c r="E16" s="25">
        <f t="shared" si="0"/>
        <v>18.049999999999997</v>
      </c>
      <c r="F16" s="25">
        <f t="shared" si="0"/>
        <v>7.4</v>
      </c>
      <c r="G16" s="31">
        <f t="shared" si="0"/>
        <v>56.2</v>
      </c>
    </row>
    <row r="17" spans="1:7" ht="15.75" customHeight="1">
      <c r="A17" s="5"/>
      <c r="B17" s="44"/>
      <c r="C17" s="25"/>
      <c r="D17" s="25"/>
      <c r="E17" s="25"/>
      <c r="F17" s="25"/>
      <c r="G17" s="31"/>
    </row>
    <row r="18" spans="1:7" ht="15.75" customHeight="1">
      <c r="A18" s="4" t="s">
        <v>10</v>
      </c>
      <c r="B18" s="45"/>
      <c r="C18" s="25"/>
      <c r="D18" s="25"/>
      <c r="E18" s="25"/>
      <c r="F18" s="25"/>
      <c r="G18" s="39"/>
    </row>
    <row r="19" spans="1:7" ht="15.75" customHeight="1">
      <c r="A19" s="21" t="s">
        <v>32</v>
      </c>
      <c r="B19" s="37">
        <f>G19*0.1</f>
        <v>1.55</v>
      </c>
      <c r="C19" s="38">
        <f>G19*0.2</f>
        <v>3.1</v>
      </c>
      <c r="D19" s="38">
        <f>G19*0.3</f>
        <v>4.6499999999999995</v>
      </c>
      <c r="E19" s="38">
        <f>G19*0.3</f>
        <v>4.6499999999999995</v>
      </c>
      <c r="F19" s="38">
        <f>G19*0.1</f>
        <v>1.55</v>
      </c>
      <c r="G19" s="39">
        <v>15.5</v>
      </c>
    </row>
    <row r="20" spans="1:9" ht="15.75" customHeight="1">
      <c r="A20" s="2" t="s">
        <v>11</v>
      </c>
      <c r="B20" s="40">
        <v>2.51</v>
      </c>
      <c r="C20" s="41">
        <v>5.02</v>
      </c>
      <c r="D20" s="41">
        <v>7.53</v>
      </c>
      <c r="E20" s="41">
        <v>7.53</v>
      </c>
      <c r="F20" s="41">
        <v>2.51</v>
      </c>
      <c r="G20" s="39">
        <f>B20+C20+D20+E20+F20</f>
        <v>25.1</v>
      </c>
      <c r="I20" s="100" t="s">
        <v>64</v>
      </c>
    </row>
    <row r="21" spans="1:9" ht="15.75" customHeight="1">
      <c r="A21" s="2" t="s">
        <v>12</v>
      </c>
      <c r="B21" s="40">
        <f>G21*0.1</f>
        <v>1.4000000000000001</v>
      </c>
      <c r="C21" s="41">
        <f>G21*0.2</f>
        <v>2.8000000000000003</v>
      </c>
      <c r="D21" s="41">
        <f>G21*0.3</f>
        <v>4.2</v>
      </c>
      <c r="E21" s="41">
        <f>G21*0.3</f>
        <v>4.2</v>
      </c>
      <c r="F21" s="41">
        <f>G21*0.1</f>
        <v>1.4000000000000001</v>
      </c>
      <c r="G21" s="39">
        <v>14</v>
      </c>
      <c r="I21" s="100" t="s">
        <v>64</v>
      </c>
    </row>
    <row r="22" spans="1:7" ht="15.75" customHeight="1">
      <c r="A22" s="2" t="s">
        <v>13</v>
      </c>
      <c r="B22" s="40"/>
      <c r="C22" s="41">
        <f>G22*0.1</f>
        <v>0.81</v>
      </c>
      <c r="D22" s="41">
        <f>G22*0.2</f>
        <v>1.62</v>
      </c>
      <c r="E22" s="41">
        <f>G22*0.4</f>
        <v>3.24</v>
      </c>
      <c r="F22" s="41">
        <f>G22*0.3</f>
        <v>2.4299999999999997</v>
      </c>
      <c r="G22" s="39">
        <v>8.1</v>
      </c>
    </row>
    <row r="23" spans="1:7" ht="15.75" customHeight="1">
      <c r="A23" s="2" t="s">
        <v>68</v>
      </c>
      <c r="B23" s="40"/>
      <c r="C23" s="41">
        <f>G23*0.2</f>
        <v>0</v>
      </c>
      <c r="D23" s="41">
        <f>G23*0.3</f>
        <v>0</v>
      </c>
      <c r="E23" s="41">
        <f>G23*0.3</f>
        <v>0</v>
      </c>
      <c r="F23" s="41">
        <f>G23*0.2</f>
        <v>0</v>
      </c>
      <c r="G23" s="116">
        <v>0</v>
      </c>
    </row>
    <row r="24" spans="1:7" ht="15.75" customHeight="1">
      <c r="A24" s="2" t="s">
        <v>67</v>
      </c>
      <c r="B24" s="40"/>
      <c r="C24" s="41">
        <f>G24*0.1</f>
        <v>0</v>
      </c>
      <c r="D24" s="41">
        <f>G24*0.3</f>
        <v>0</v>
      </c>
      <c r="E24" s="41">
        <f>G24*0.4</f>
        <v>0</v>
      </c>
      <c r="F24" s="41">
        <f>G24*0.2</f>
        <v>0</v>
      </c>
      <c r="G24" s="116">
        <v>0</v>
      </c>
    </row>
    <row r="25" spans="1:7" ht="15.75" customHeight="1">
      <c r="A25" s="2" t="s">
        <v>16</v>
      </c>
      <c r="B25" s="40"/>
      <c r="C25" s="41">
        <f>G25*0.2</f>
        <v>1.8600000000000003</v>
      </c>
      <c r="D25" s="41">
        <f>G25*0.2</f>
        <v>1.8600000000000003</v>
      </c>
      <c r="E25" s="41">
        <f>G25*0.4</f>
        <v>3.7200000000000006</v>
      </c>
      <c r="F25" s="41">
        <f>G25*0.2</f>
        <v>1.8600000000000003</v>
      </c>
      <c r="G25" s="117">
        <v>9.3</v>
      </c>
    </row>
    <row r="26" spans="1:7" ht="15.75" customHeight="1">
      <c r="A26" s="2" t="s">
        <v>66</v>
      </c>
      <c r="B26" s="40"/>
      <c r="C26" s="41">
        <f>G26*0.2</f>
        <v>0</v>
      </c>
      <c r="D26" s="41">
        <f>G26*0.3</f>
        <v>0</v>
      </c>
      <c r="E26" s="41">
        <f>G26*0.3</f>
        <v>0</v>
      </c>
      <c r="F26" s="41">
        <f>G26*0.2</f>
        <v>0</v>
      </c>
      <c r="G26" s="116">
        <v>0</v>
      </c>
    </row>
    <row r="27" spans="1:7" ht="15.75" customHeight="1">
      <c r="A27" s="5" t="s">
        <v>35</v>
      </c>
      <c r="B27" s="25">
        <f aca="true" t="shared" si="1" ref="B27:G27">SUM(B19:B26)</f>
        <v>5.46</v>
      </c>
      <c r="C27" s="25">
        <f t="shared" si="1"/>
        <v>13.59</v>
      </c>
      <c r="D27" s="25">
        <f t="shared" si="1"/>
        <v>19.86</v>
      </c>
      <c r="E27" s="25">
        <f t="shared" si="1"/>
        <v>23.339999999999996</v>
      </c>
      <c r="F27" s="25">
        <f t="shared" si="1"/>
        <v>9.75</v>
      </c>
      <c r="G27" s="31">
        <f t="shared" si="1"/>
        <v>72</v>
      </c>
    </row>
    <row r="28" spans="1:7" ht="15.75" customHeight="1">
      <c r="A28" s="5"/>
      <c r="B28" s="44"/>
      <c r="C28" s="25"/>
      <c r="D28" s="25"/>
      <c r="E28" s="25"/>
      <c r="F28" s="25"/>
      <c r="G28" s="31"/>
    </row>
    <row r="29" spans="1:7" ht="15.75" customHeight="1">
      <c r="A29" s="103" t="s">
        <v>64</v>
      </c>
      <c r="B29" s="45"/>
      <c r="C29" s="25"/>
      <c r="D29" s="25"/>
      <c r="E29" s="25"/>
      <c r="F29" s="25"/>
      <c r="G29" s="31"/>
    </row>
    <row r="30" spans="1:7" ht="15.75" customHeight="1">
      <c r="A30" s="93" t="s">
        <v>64</v>
      </c>
      <c r="B30" s="40"/>
      <c r="C30" s="41"/>
      <c r="D30" s="107" t="s">
        <v>64</v>
      </c>
      <c r="E30" s="107" t="s">
        <v>64</v>
      </c>
      <c r="F30" s="107" t="s">
        <v>64</v>
      </c>
      <c r="G30" s="94" t="s">
        <v>64</v>
      </c>
    </row>
    <row r="31" spans="1:7" ht="15.75" customHeight="1">
      <c r="A31" s="93" t="s">
        <v>64</v>
      </c>
      <c r="B31" s="40"/>
      <c r="C31" s="41"/>
      <c r="D31" s="107" t="s">
        <v>64</v>
      </c>
      <c r="E31" s="107" t="s">
        <v>64</v>
      </c>
      <c r="F31" s="107" t="s">
        <v>64</v>
      </c>
      <c r="G31" s="94" t="s">
        <v>64</v>
      </c>
    </row>
    <row r="32" spans="1:7" ht="15.75" customHeight="1">
      <c r="A32" s="93" t="s">
        <v>64</v>
      </c>
      <c r="B32" s="40"/>
      <c r="C32" s="41"/>
      <c r="D32" s="107" t="s">
        <v>64</v>
      </c>
      <c r="E32" s="107" t="s">
        <v>64</v>
      </c>
      <c r="F32" s="107" t="s">
        <v>64</v>
      </c>
      <c r="G32" s="94" t="s">
        <v>64</v>
      </c>
    </row>
    <row r="33" spans="1:7" ht="15.75" customHeight="1">
      <c r="A33" s="93" t="s">
        <v>64</v>
      </c>
      <c r="B33" s="106" t="s">
        <v>64</v>
      </c>
      <c r="C33" s="107" t="s">
        <v>64</v>
      </c>
      <c r="D33" s="107" t="s">
        <v>64</v>
      </c>
      <c r="E33" s="107" t="s">
        <v>64</v>
      </c>
      <c r="F33" s="107" t="s">
        <v>64</v>
      </c>
      <c r="G33" s="94" t="s">
        <v>64</v>
      </c>
    </row>
    <row r="34" spans="1:7" ht="15.75" customHeight="1">
      <c r="A34" s="93" t="s">
        <v>64</v>
      </c>
      <c r="B34" s="106" t="s">
        <v>64</v>
      </c>
      <c r="C34" s="107" t="s">
        <v>64</v>
      </c>
      <c r="D34" s="107" t="s">
        <v>64</v>
      </c>
      <c r="E34" s="107" t="s">
        <v>64</v>
      </c>
      <c r="F34" s="107" t="s">
        <v>64</v>
      </c>
      <c r="G34" s="94" t="s">
        <v>64</v>
      </c>
    </row>
    <row r="35" spans="1:7" ht="15.75" customHeight="1">
      <c r="A35" s="93" t="s">
        <v>64</v>
      </c>
      <c r="B35" s="106" t="s">
        <v>64</v>
      </c>
      <c r="C35" s="107" t="s">
        <v>64</v>
      </c>
      <c r="D35" s="107" t="s">
        <v>64</v>
      </c>
      <c r="E35" s="107" t="s">
        <v>64</v>
      </c>
      <c r="F35" s="107" t="s">
        <v>64</v>
      </c>
      <c r="G35" s="94" t="s">
        <v>64</v>
      </c>
    </row>
    <row r="36" spans="1:7" ht="15.75" customHeight="1">
      <c r="A36" s="93" t="s">
        <v>64</v>
      </c>
      <c r="B36" s="106" t="s">
        <v>64</v>
      </c>
      <c r="C36" s="107" t="s">
        <v>64</v>
      </c>
      <c r="D36" s="107" t="s">
        <v>64</v>
      </c>
      <c r="E36" s="107" t="s">
        <v>64</v>
      </c>
      <c r="F36" s="107" t="s">
        <v>64</v>
      </c>
      <c r="G36" s="94" t="s">
        <v>64</v>
      </c>
    </row>
    <row r="37" spans="1:7" ht="15.75" customHeight="1">
      <c r="A37" s="104" t="s">
        <v>64</v>
      </c>
      <c r="B37" s="105" t="s">
        <v>64</v>
      </c>
      <c r="C37" s="105" t="s">
        <v>64</v>
      </c>
      <c r="D37" s="105" t="s">
        <v>64</v>
      </c>
      <c r="E37" s="105" t="s">
        <v>64</v>
      </c>
      <c r="F37" s="105" t="s">
        <v>64</v>
      </c>
      <c r="G37" s="108" t="s">
        <v>64</v>
      </c>
    </row>
    <row r="38" spans="1:7" ht="15.75" customHeight="1">
      <c r="A38" s="5"/>
      <c r="B38" s="44"/>
      <c r="C38" s="25"/>
      <c r="D38" s="25"/>
      <c r="E38" s="25"/>
      <c r="F38" s="25"/>
      <c r="G38" s="31"/>
    </row>
    <row r="39" spans="1:7" ht="15.75" customHeight="1">
      <c r="A39" s="2" t="s">
        <v>18</v>
      </c>
      <c r="B39" s="25">
        <f aca="true" t="shared" si="2" ref="B39:G39">(B16+B27)*11.5%</f>
        <v>0.8579</v>
      </c>
      <c r="C39" s="25">
        <f t="shared" si="2"/>
        <v>3.0429000000000004</v>
      </c>
      <c r="D39" s="25">
        <f t="shared" si="2"/>
        <v>4.1101</v>
      </c>
      <c r="E39" s="25">
        <f t="shared" si="2"/>
        <v>4.759849999999999</v>
      </c>
      <c r="F39" s="25">
        <f t="shared" si="2"/>
        <v>1.9722499999999998</v>
      </c>
      <c r="G39" s="31">
        <f t="shared" si="2"/>
        <v>14.742999999999999</v>
      </c>
    </row>
    <row r="40" spans="1:7" ht="15.75" customHeight="1">
      <c r="A40" s="2" t="s">
        <v>33</v>
      </c>
      <c r="B40" s="25">
        <f aca="true" t="shared" si="3" ref="B40:G40">(B16+B27)*10%</f>
        <v>0.746</v>
      </c>
      <c r="C40" s="25">
        <f t="shared" si="3"/>
        <v>2.6460000000000004</v>
      </c>
      <c r="D40" s="25">
        <f t="shared" si="3"/>
        <v>3.5740000000000003</v>
      </c>
      <c r="E40" s="25">
        <f t="shared" si="3"/>
        <v>4.138999999999999</v>
      </c>
      <c r="F40" s="25">
        <f t="shared" si="3"/>
        <v>1.7149999999999999</v>
      </c>
      <c r="G40" s="31">
        <f t="shared" si="3"/>
        <v>12.82</v>
      </c>
    </row>
    <row r="41" spans="1:7" ht="15.75" customHeight="1">
      <c r="A41" s="2" t="s">
        <v>38</v>
      </c>
      <c r="B41" s="25">
        <f aca="true" t="shared" si="4" ref="B41:G41">(B16+B27)*10%</f>
        <v>0.746</v>
      </c>
      <c r="C41" s="25">
        <f t="shared" si="4"/>
        <v>2.6460000000000004</v>
      </c>
      <c r="D41" s="25">
        <f t="shared" si="4"/>
        <v>3.5740000000000003</v>
      </c>
      <c r="E41" s="25">
        <f t="shared" si="4"/>
        <v>4.138999999999999</v>
      </c>
      <c r="F41" s="25">
        <f t="shared" si="4"/>
        <v>1.7149999999999999</v>
      </c>
      <c r="G41" s="31">
        <f t="shared" si="4"/>
        <v>12.82</v>
      </c>
    </row>
    <row r="42" spans="1:7" ht="15.75" customHeight="1">
      <c r="A42" s="2"/>
      <c r="B42" s="40"/>
      <c r="C42" s="41"/>
      <c r="D42" s="41"/>
      <c r="E42" s="41"/>
      <c r="F42" s="41"/>
      <c r="G42" s="39"/>
    </row>
    <row r="43" spans="1:7" ht="15.75" customHeight="1">
      <c r="A43" s="22" t="s">
        <v>37</v>
      </c>
      <c r="B43" s="26">
        <f aca="true" t="shared" si="5" ref="B43:G43">B16+B27+B39+B40+B41</f>
        <v>9.8099</v>
      </c>
      <c r="C43" s="26">
        <f t="shared" si="5"/>
        <v>34.7949</v>
      </c>
      <c r="D43" s="26">
        <f t="shared" si="5"/>
        <v>46.9981</v>
      </c>
      <c r="E43" s="26">
        <f t="shared" si="5"/>
        <v>54.42784999999999</v>
      </c>
      <c r="F43" s="26">
        <f t="shared" si="5"/>
        <v>22.552249999999997</v>
      </c>
      <c r="G43" s="32">
        <f t="shared" si="5"/>
        <v>168.58299999999997</v>
      </c>
    </row>
    <row r="44" spans="1:7" ht="16.5" thickBot="1">
      <c r="A44" s="111" t="s">
        <v>64</v>
      </c>
      <c r="G44" s="23"/>
    </row>
    <row r="45" spans="1:7" ht="15.75" customHeight="1">
      <c r="A45" s="72" t="s">
        <v>63</v>
      </c>
      <c r="B45" s="48"/>
      <c r="C45" s="48">
        <f>G16/0.3</f>
        <v>187.33333333333334</v>
      </c>
      <c r="D45" s="33"/>
      <c r="E45" s="33"/>
      <c r="F45" s="33"/>
      <c r="G45" s="34"/>
    </row>
    <row r="46" spans="1:7" ht="15.75" customHeight="1" thickBot="1">
      <c r="A46" s="101" t="s">
        <v>64</v>
      </c>
      <c r="B46" s="49"/>
      <c r="C46" s="102" t="s">
        <v>64</v>
      </c>
      <c r="D46" s="35"/>
      <c r="E46" s="35"/>
      <c r="F46" s="35"/>
      <c r="G46" s="36"/>
    </row>
    <row r="47" spans="1:7" ht="15.75">
      <c r="A47" s="78"/>
      <c r="B47" s="6"/>
      <c r="C47" s="27"/>
      <c r="D47" s="27"/>
      <c r="E47" s="27"/>
      <c r="F47" s="27"/>
      <c r="G47" s="28"/>
    </row>
    <row r="48" spans="1:7" ht="15.75">
      <c r="A48" s="50" t="s">
        <v>49</v>
      </c>
      <c r="B48" s="6"/>
      <c r="C48" s="27"/>
      <c r="D48" s="27"/>
      <c r="E48" s="27"/>
      <c r="F48" s="27"/>
      <c r="G48" s="28"/>
    </row>
    <row r="49" spans="1:7" ht="15.75">
      <c r="A49" s="71" t="s">
        <v>70</v>
      </c>
      <c r="B49" s="6"/>
      <c r="C49" s="27"/>
      <c r="D49" s="27"/>
      <c r="E49" s="27"/>
      <c r="F49" s="27"/>
      <c r="G49" s="28"/>
    </row>
    <row r="51" ht="25.5">
      <c r="A51" s="95" t="s">
        <v>75</v>
      </c>
    </row>
    <row r="53" ht="12.75">
      <c r="A53" t="s">
        <v>69</v>
      </c>
    </row>
  </sheetData>
  <mergeCells count="3">
    <mergeCell ref="A4:G4"/>
    <mergeCell ref="A5:G5"/>
    <mergeCell ref="A6:G6"/>
  </mergeCells>
  <printOptions horizontalCentered="1"/>
  <pageMargins left="0.75" right="0.75" top="1" bottom="1" header="0.5" footer="0.5"/>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dimension ref="A1:K50"/>
  <sheetViews>
    <sheetView workbookViewId="0" topLeftCell="A31">
      <selection activeCell="M9" sqref="M9"/>
    </sheetView>
  </sheetViews>
  <sheetFormatPr defaultColWidth="9.140625" defaultRowHeight="12.75"/>
  <cols>
    <col min="1" max="1" width="70.57421875" style="0" customWidth="1"/>
    <col min="2" max="2" width="22.00390625" style="0" customWidth="1"/>
    <col min="5" max="5" width="26.7109375" style="0" customWidth="1"/>
    <col min="6" max="6" width="18.8515625" style="0" customWidth="1"/>
  </cols>
  <sheetData>
    <row r="1" spans="1:2" ht="15">
      <c r="A1" s="214" t="s">
        <v>30</v>
      </c>
      <c r="B1" s="215"/>
    </row>
    <row r="2" spans="1:2" ht="15.75">
      <c r="A2" s="7" t="s">
        <v>1</v>
      </c>
      <c r="B2" s="17" t="s">
        <v>2</v>
      </c>
    </row>
    <row r="3" spans="1:6" ht="15.75">
      <c r="A3" s="9" t="s">
        <v>3</v>
      </c>
      <c r="B3" s="12">
        <v>53</v>
      </c>
      <c r="E3" s="55" t="s">
        <v>21</v>
      </c>
      <c r="F3" s="59"/>
    </row>
    <row r="4" spans="1:6" ht="15">
      <c r="A4" s="9" t="s">
        <v>4</v>
      </c>
      <c r="B4" s="12">
        <v>26</v>
      </c>
      <c r="E4" s="56" t="s">
        <v>22</v>
      </c>
      <c r="F4" s="57">
        <v>3.8</v>
      </c>
    </row>
    <row r="5" spans="1:6" ht="15">
      <c r="A5" s="9" t="s">
        <v>5</v>
      </c>
      <c r="B5" s="12">
        <v>19.1</v>
      </c>
      <c r="E5" s="56" t="s">
        <v>23</v>
      </c>
      <c r="F5" s="57">
        <v>56.4</v>
      </c>
    </row>
    <row r="6" spans="1:6" ht="15">
      <c r="A6" s="9" t="s">
        <v>6</v>
      </c>
      <c r="B6" s="12">
        <v>19</v>
      </c>
      <c r="E6" s="56" t="s">
        <v>24</v>
      </c>
      <c r="F6" s="57">
        <v>1</v>
      </c>
    </row>
    <row r="7" spans="1:6" ht="15">
      <c r="A7" s="9" t="s">
        <v>7</v>
      </c>
      <c r="B7" s="12">
        <v>40.4</v>
      </c>
      <c r="E7" s="56" t="s">
        <v>25</v>
      </c>
      <c r="F7" s="57">
        <f>3.4</f>
        <v>3.4</v>
      </c>
    </row>
    <row r="8" spans="1:6" ht="15">
      <c r="A8" s="9" t="s">
        <v>8</v>
      </c>
      <c r="B8" s="12">
        <v>30</v>
      </c>
      <c r="E8" s="56" t="s">
        <v>26</v>
      </c>
      <c r="F8" s="57">
        <f>22.6</f>
        <v>22.6</v>
      </c>
    </row>
    <row r="9" spans="1:6" ht="15">
      <c r="A9" s="9" t="s">
        <v>9</v>
      </c>
      <c r="B9" s="12">
        <v>5.6</v>
      </c>
      <c r="E9" s="56" t="s">
        <v>27</v>
      </c>
      <c r="F9" s="57">
        <f>3.9</f>
        <v>3.9</v>
      </c>
    </row>
    <row r="10" spans="1:6" ht="15.75">
      <c r="A10" s="13" t="s">
        <v>0</v>
      </c>
      <c r="B10" s="14">
        <v>193.1</v>
      </c>
      <c r="E10" s="56" t="s">
        <v>28</v>
      </c>
      <c r="F10" s="57">
        <v>1.9</v>
      </c>
    </row>
    <row r="11" spans="1:6" ht="15.75">
      <c r="A11" s="7" t="s">
        <v>10</v>
      </c>
      <c r="B11" s="12"/>
      <c r="E11" s="58" t="s">
        <v>36</v>
      </c>
      <c r="F11" s="59">
        <f>SUM(F4:F10)</f>
        <v>93</v>
      </c>
    </row>
    <row r="12" spans="1:2" ht="15">
      <c r="A12" s="9" t="s">
        <v>11</v>
      </c>
      <c r="B12" s="12">
        <v>14.5</v>
      </c>
    </row>
    <row r="13" spans="1:2" ht="15">
      <c r="A13" s="9" t="s">
        <v>12</v>
      </c>
      <c r="B13" s="12">
        <v>20</v>
      </c>
    </row>
    <row r="14" spans="1:11" ht="18">
      <c r="A14" s="9" t="s">
        <v>13</v>
      </c>
      <c r="B14" s="12">
        <v>2</v>
      </c>
      <c r="E14" s="4" t="s">
        <v>21</v>
      </c>
      <c r="F14" s="20">
        <v>2006</v>
      </c>
      <c r="G14" s="30">
        <v>2007</v>
      </c>
      <c r="H14" s="30">
        <v>2008</v>
      </c>
      <c r="I14" s="30">
        <v>2009</v>
      </c>
      <c r="J14" s="30">
        <v>2010</v>
      </c>
      <c r="K14" s="3" t="s">
        <v>0</v>
      </c>
    </row>
    <row r="15" spans="1:11" ht="15">
      <c r="A15" s="9" t="s">
        <v>14</v>
      </c>
      <c r="B15" s="12">
        <v>10.8</v>
      </c>
      <c r="E15" s="2" t="s">
        <v>22</v>
      </c>
      <c r="F15" s="40"/>
      <c r="G15" s="41"/>
      <c r="H15" s="41">
        <f>K15*0.5</f>
        <v>1.9</v>
      </c>
      <c r="I15" s="41">
        <f>K15*0.4</f>
        <v>1.52</v>
      </c>
      <c r="J15" s="41">
        <f>K15*0.1</f>
        <v>0.38</v>
      </c>
      <c r="K15" s="39">
        <v>3.8</v>
      </c>
    </row>
    <row r="16" spans="1:11" ht="15">
      <c r="A16" s="9" t="s">
        <v>15</v>
      </c>
      <c r="B16" s="12">
        <v>1</v>
      </c>
      <c r="E16" s="2" t="s">
        <v>23</v>
      </c>
      <c r="F16" s="40"/>
      <c r="G16" s="41"/>
      <c r="H16" s="41">
        <f>K16*0.5</f>
        <v>28.2</v>
      </c>
      <c r="I16" s="41">
        <f>K16*0.4</f>
        <v>22.560000000000002</v>
      </c>
      <c r="J16" s="41">
        <f>K16*0.1</f>
        <v>5.640000000000001</v>
      </c>
      <c r="K16" s="39">
        <v>56.4</v>
      </c>
    </row>
    <row r="17" spans="1:11" ht="15">
      <c r="A17" s="9" t="s">
        <v>16</v>
      </c>
      <c r="B17" s="12">
        <v>13.2</v>
      </c>
      <c r="E17" s="2" t="s">
        <v>24</v>
      </c>
      <c r="F17" s="40"/>
      <c r="G17" s="41"/>
      <c r="H17" s="41">
        <f>K17*0.6</f>
        <v>0.6</v>
      </c>
      <c r="I17" s="41">
        <f>K17*0.4</f>
        <v>0.4</v>
      </c>
      <c r="J17" s="41"/>
      <c r="K17" s="39">
        <v>1</v>
      </c>
    </row>
    <row r="18" spans="1:11" ht="15">
      <c r="A18" s="9" t="s">
        <v>17</v>
      </c>
      <c r="B18" s="12">
        <v>12</v>
      </c>
      <c r="E18" s="2" t="s">
        <v>25</v>
      </c>
      <c r="F18" s="40">
        <f>K18*0.1</f>
        <v>0.34</v>
      </c>
      <c r="G18" s="41">
        <f>K18*0.3</f>
        <v>1.02</v>
      </c>
      <c r="H18" s="41">
        <f>K18*0.4</f>
        <v>1.36</v>
      </c>
      <c r="I18" s="41">
        <f>K18*0.1</f>
        <v>0.34</v>
      </c>
      <c r="J18" s="41">
        <f>K18*0.1</f>
        <v>0.34</v>
      </c>
      <c r="K18" s="39">
        <f>3.4</f>
        <v>3.4</v>
      </c>
    </row>
    <row r="19" spans="1:11" ht="15.75">
      <c r="A19" s="13" t="s">
        <v>0</v>
      </c>
      <c r="B19" s="14">
        <v>73.5</v>
      </c>
      <c r="E19" s="2" t="s">
        <v>26</v>
      </c>
      <c r="F19" s="40">
        <f>K19*0.1</f>
        <v>2.2600000000000002</v>
      </c>
      <c r="G19" s="41">
        <f>K19*0.1</f>
        <v>2.2600000000000002</v>
      </c>
      <c r="H19" s="41">
        <f>K19*0.4</f>
        <v>9.040000000000001</v>
      </c>
      <c r="I19" s="41">
        <f>K19*0.3</f>
        <v>6.78</v>
      </c>
      <c r="J19" s="41">
        <f>K19*0.1</f>
        <v>2.2600000000000002</v>
      </c>
      <c r="K19" s="39">
        <f>22.6</f>
        <v>22.6</v>
      </c>
    </row>
    <row r="20" spans="1:11" ht="15.75">
      <c r="A20" s="7" t="s">
        <v>29</v>
      </c>
      <c r="B20" s="12">
        <v>25.1</v>
      </c>
      <c r="E20" s="2" t="s">
        <v>27</v>
      </c>
      <c r="F20" s="40">
        <f>K20*0.1</f>
        <v>0.39</v>
      </c>
      <c r="G20" s="41">
        <f>K20*0.3</f>
        <v>1.17</v>
      </c>
      <c r="H20" s="41">
        <f>K20*0.3</f>
        <v>1.17</v>
      </c>
      <c r="I20" s="41">
        <f>K20*0.2</f>
        <v>0.78</v>
      </c>
      <c r="J20" s="41">
        <f>K20*0.1</f>
        <v>0.39</v>
      </c>
      <c r="K20" s="39">
        <f>3.9</f>
        <v>3.9</v>
      </c>
    </row>
    <row r="21" spans="1:11" ht="15.75">
      <c r="A21" s="13" t="s">
        <v>0</v>
      </c>
      <c r="B21" s="14">
        <v>25.1</v>
      </c>
      <c r="E21" s="2" t="s">
        <v>28</v>
      </c>
      <c r="F21" s="40">
        <f>K21*0.1</f>
        <v>0.19</v>
      </c>
      <c r="G21" s="41">
        <f>K21*0.3</f>
        <v>0.57</v>
      </c>
      <c r="H21" s="41">
        <f>K21*0.3</f>
        <v>0.57</v>
      </c>
      <c r="I21" s="41">
        <f>K21*0.2</f>
        <v>0.38</v>
      </c>
      <c r="J21" s="41">
        <f>K21*0.1</f>
        <v>0.19</v>
      </c>
      <c r="K21" s="39">
        <v>1.9</v>
      </c>
    </row>
    <row r="22" spans="1:11" ht="15.75">
      <c r="A22" s="9"/>
      <c r="B22" s="12"/>
      <c r="E22" s="5" t="s">
        <v>36</v>
      </c>
      <c r="F22" s="25">
        <f aca="true" t="shared" si="0" ref="F22:K22">SUM(F15:F21)</f>
        <v>3.18</v>
      </c>
      <c r="G22" s="25">
        <f t="shared" si="0"/>
        <v>5.0200000000000005</v>
      </c>
      <c r="H22" s="25">
        <f t="shared" si="0"/>
        <v>42.84</v>
      </c>
      <c r="I22" s="25">
        <f t="shared" si="0"/>
        <v>32.760000000000005</v>
      </c>
      <c r="J22" s="25">
        <f t="shared" si="0"/>
        <v>9.200000000000001</v>
      </c>
      <c r="K22" s="31">
        <f t="shared" si="0"/>
        <v>93</v>
      </c>
    </row>
    <row r="23" spans="1:2" ht="15">
      <c r="A23" s="9" t="s">
        <v>18</v>
      </c>
      <c r="B23" s="12">
        <v>33.545500000000004</v>
      </c>
    </row>
    <row r="24" spans="1:2" ht="15">
      <c r="A24" s="9"/>
      <c r="B24" s="12"/>
    </row>
    <row r="25" spans="1:2" ht="15.75">
      <c r="A25" s="15" t="s">
        <v>19</v>
      </c>
      <c r="B25" s="16">
        <v>325.24550000000005</v>
      </c>
    </row>
    <row r="27" spans="1:2" ht="15">
      <c r="A27" s="214" t="s">
        <v>31</v>
      </c>
      <c r="B27" s="216"/>
    </row>
    <row r="28" spans="1:2" ht="15.75">
      <c r="A28" s="7" t="s">
        <v>21</v>
      </c>
      <c r="B28" s="8"/>
    </row>
    <row r="29" spans="1:2" ht="15">
      <c r="A29" s="9" t="s">
        <v>22</v>
      </c>
      <c r="B29" s="8">
        <v>5.4</v>
      </c>
    </row>
    <row r="30" spans="1:2" ht="15">
      <c r="A30" s="9" t="s">
        <v>23</v>
      </c>
      <c r="B30" s="8">
        <v>73.4</v>
      </c>
    </row>
    <row r="31" spans="1:2" ht="15">
      <c r="A31" s="9" t="s">
        <v>24</v>
      </c>
      <c r="B31" s="8">
        <v>0</v>
      </c>
    </row>
    <row r="32" spans="1:2" ht="15">
      <c r="A32" s="9" t="s">
        <v>25</v>
      </c>
      <c r="B32" s="8">
        <v>4.9</v>
      </c>
    </row>
    <row r="33" spans="1:2" ht="15">
      <c r="A33" s="9" t="s">
        <v>26</v>
      </c>
      <c r="B33" s="8">
        <v>32.3</v>
      </c>
    </row>
    <row r="34" spans="1:2" ht="15">
      <c r="A34" s="9" t="s">
        <v>27</v>
      </c>
      <c r="B34" s="8">
        <v>5.6</v>
      </c>
    </row>
    <row r="35" spans="1:2" ht="15">
      <c r="A35" s="9" t="s">
        <v>28</v>
      </c>
      <c r="B35" s="8">
        <v>0.4</v>
      </c>
    </row>
    <row r="36" spans="1:2" ht="15.75">
      <c r="A36" s="10" t="s">
        <v>0</v>
      </c>
      <c r="B36" s="11">
        <f>SUM(B29:B35)</f>
        <v>122.00000000000001</v>
      </c>
    </row>
    <row r="38" spans="3:7" ht="12.75">
      <c r="C38" s="47"/>
      <c r="D38" s="47"/>
      <c r="E38" s="47"/>
      <c r="F38" s="47"/>
      <c r="G38" s="47"/>
    </row>
    <row r="39" spans="1:7" ht="12.75">
      <c r="A39" s="205" t="s">
        <v>47</v>
      </c>
      <c r="B39" s="205"/>
      <c r="C39" s="46"/>
      <c r="D39" s="46"/>
      <c r="E39" s="46"/>
      <c r="F39" s="46"/>
      <c r="G39" s="46"/>
    </row>
    <row r="40" spans="1:7" ht="12.75">
      <c r="A40" s="205" t="s">
        <v>46</v>
      </c>
      <c r="B40" s="205"/>
      <c r="C40" s="43"/>
      <c r="D40" s="43"/>
      <c r="E40" s="43"/>
      <c r="F40" s="43"/>
      <c r="G40" s="43"/>
    </row>
    <row r="41" spans="1:7" ht="12.75">
      <c r="A41" s="205" t="s">
        <v>39</v>
      </c>
      <c r="B41" s="205"/>
      <c r="C41" s="46"/>
      <c r="D41" s="46"/>
      <c r="E41" s="46"/>
      <c r="F41" s="46"/>
      <c r="G41" s="46"/>
    </row>
    <row r="42" spans="1:7" ht="15.75" customHeight="1">
      <c r="A42" s="43"/>
      <c r="B42" s="43"/>
      <c r="C42" s="43"/>
      <c r="D42" s="43"/>
      <c r="E42" s="43"/>
      <c r="F42" s="43"/>
      <c r="G42" s="43"/>
    </row>
    <row r="43" ht="12.75">
      <c r="A43" s="42" t="s">
        <v>42</v>
      </c>
    </row>
    <row r="44" ht="12.75">
      <c r="A44" t="s">
        <v>43</v>
      </c>
    </row>
    <row r="45" ht="12.75">
      <c r="A45" t="s">
        <v>44</v>
      </c>
    </row>
    <row r="47" ht="12.75">
      <c r="A47" t="s">
        <v>41</v>
      </c>
    </row>
    <row r="48" ht="12.75">
      <c r="A48" t="s">
        <v>40</v>
      </c>
    </row>
    <row r="50" ht="12.75">
      <c r="A50" t="s">
        <v>45</v>
      </c>
    </row>
  </sheetData>
  <mergeCells count="5">
    <mergeCell ref="A41:B41"/>
    <mergeCell ref="A40:B40"/>
    <mergeCell ref="A39:B39"/>
    <mergeCell ref="A1:B1"/>
    <mergeCell ref="A27:B27"/>
  </mergeCells>
  <printOptions/>
  <pageMargins left="0.75" right="0.75" top="1" bottom="1" header="0.5" footer="0.5"/>
  <pageSetup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G58"/>
  <sheetViews>
    <sheetView workbookViewId="0" topLeftCell="A1">
      <selection activeCell="A1" sqref="A1:B1"/>
    </sheetView>
  </sheetViews>
  <sheetFormatPr defaultColWidth="9.140625" defaultRowHeight="12.75"/>
  <cols>
    <col min="1" max="1" width="70.57421875" style="0" customWidth="1"/>
    <col min="2" max="2" width="22.00390625" style="0" customWidth="1"/>
  </cols>
  <sheetData>
    <row r="1" spans="1:2" ht="15">
      <c r="A1" s="214" t="s">
        <v>30</v>
      </c>
      <c r="B1" s="215"/>
    </row>
    <row r="2" spans="1:2" ht="15.75">
      <c r="A2" s="7" t="s">
        <v>1</v>
      </c>
      <c r="B2" s="17" t="s">
        <v>2</v>
      </c>
    </row>
    <row r="3" spans="1:2" ht="15">
      <c r="A3" s="9" t="s">
        <v>3</v>
      </c>
      <c r="B3" s="12">
        <v>53</v>
      </c>
    </row>
    <row r="4" spans="1:2" ht="15">
      <c r="A4" s="9" t="s">
        <v>4</v>
      </c>
      <c r="B4" s="12">
        <v>26</v>
      </c>
    </row>
    <row r="5" spans="1:2" ht="15">
      <c r="A5" s="9" t="s">
        <v>5</v>
      </c>
      <c r="B5" s="12">
        <v>19.1</v>
      </c>
    </row>
    <row r="6" spans="1:2" ht="15">
      <c r="A6" s="9" t="s">
        <v>6</v>
      </c>
      <c r="B6" s="12">
        <v>19</v>
      </c>
    </row>
    <row r="7" spans="1:2" ht="15">
      <c r="A7" s="9" t="s">
        <v>7</v>
      </c>
      <c r="B7" s="12">
        <v>40.4</v>
      </c>
    </row>
    <row r="8" spans="1:2" ht="15">
      <c r="A8" s="9" t="s">
        <v>8</v>
      </c>
      <c r="B8" s="12">
        <v>30</v>
      </c>
    </row>
    <row r="9" spans="1:2" ht="15">
      <c r="A9" s="9" t="s">
        <v>9</v>
      </c>
      <c r="B9" s="12">
        <v>5.6</v>
      </c>
    </row>
    <row r="10" spans="1:2" ht="15.75">
      <c r="A10" s="13" t="s">
        <v>0</v>
      </c>
      <c r="B10" s="14">
        <v>193.1</v>
      </c>
    </row>
    <row r="11" spans="1:2" ht="15.75">
      <c r="A11" s="7" t="s">
        <v>10</v>
      </c>
      <c r="B11" s="12"/>
    </row>
    <row r="12" spans="1:2" ht="15">
      <c r="A12" s="9" t="s">
        <v>11</v>
      </c>
      <c r="B12" s="12">
        <v>14.5</v>
      </c>
    </row>
    <row r="13" spans="1:2" ht="15">
      <c r="A13" s="9" t="s">
        <v>12</v>
      </c>
      <c r="B13" s="12">
        <v>20</v>
      </c>
    </row>
    <row r="14" spans="1:2" ht="15">
      <c r="A14" s="9" t="s">
        <v>13</v>
      </c>
      <c r="B14" s="12">
        <v>2</v>
      </c>
    </row>
    <row r="15" spans="1:2" ht="15">
      <c r="A15" s="9" t="s">
        <v>14</v>
      </c>
      <c r="B15" s="12">
        <v>10.8</v>
      </c>
    </row>
    <row r="16" spans="1:2" ht="15">
      <c r="A16" s="9" t="s">
        <v>15</v>
      </c>
      <c r="B16" s="12">
        <v>1</v>
      </c>
    </row>
    <row r="17" spans="1:2" ht="15">
      <c r="A17" s="9" t="s">
        <v>16</v>
      </c>
      <c r="B17" s="12">
        <v>13.2</v>
      </c>
    </row>
    <row r="18" spans="1:2" ht="15">
      <c r="A18" s="9" t="s">
        <v>17</v>
      </c>
      <c r="B18" s="12">
        <v>12</v>
      </c>
    </row>
    <row r="19" spans="1:2" ht="15.75">
      <c r="A19" s="13" t="s">
        <v>0</v>
      </c>
      <c r="B19" s="14">
        <v>73.5</v>
      </c>
    </row>
    <row r="20" spans="1:2" ht="15.75">
      <c r="A20" s="7" t="s">
        <v>29</v>
      </c>
      <c r="B20" s="12">
        <v>25.1</v>
      </c>
    </row>
    <row r="21" spans="1:2" ht="15.75">
      <c r="A21" s="13" t="s">
        <v>0</v>
      </c>
      <c r="B21" s="14">
        <v>25.1</v>
      </c>
    </row>
    <row r="22" spans="1:2" ht="15">
      <c r="A22" s="9"/>
      <c r="B22" s="12"/>
    </row>
    <row r="23" spans="1:2" ht="15">
      <c r="A23" s="9" t="s">
        <v>18</v>
      </c>
      <c r="B23" s="12">
        <v>33.545500000000004</v>
      </c>
    </row>
    <row r="24" spans="1:2" ht="15">
      <c r="A24" s="9"/>
      <c r="B24" s="12"/>
    </row>
    <row r="25" spans="1:2" ht="15.75">
      <c r="A25" s="15" t="s">
        <v>19</v>
      </c>
      <c r="B25" s="16">
        <v>325.24550000000005</v>
      </c>
    </row>
    <row r="27" spans="1:2" ht="15">
      <c r="A27" s="214" t="s">
        <v>31</v>
      </c>
      <c r="B27" s="216"/>
    </row>
    <row r="28" spans="1:2" ht="15.75">
      <c r="A28" s="7" t="s">
        <v>21</v>
      </c>
      <c r="B28" s="8"/>
    </row>
    <row r="29" spans="1:2" ht="15">
      <c r="A29" s="9" t="s">
        <v>22</v>
      </c>
      <c r="B29" s="8">
        <v>5.4</v>
      </c>
    </row>
    <row r="30" spans="1:2" ht="15">
      <c r="A30" s="9" t="s">
        <v>23</v>
      </c>
      <c r="B30" s="8">
        <v>73.4</v>
      </c>
    </row>
    <row r="31" spans="1:2" ht="15">
      <c r="A31" s="9" t="s">
        <v>24</v>
      </c>
      <c r="B31" s="8">
        <v>0</v>
      </c>
    </row>
    <row r="32" spans="1:2" ht="15">
      <c r="A32" s="9" t="s">
        <v>25</v>
      </c>
      <c r="B32" s="8">
        <v>4.9</v>
      </c>
    </row>
    <row r="33" spans="1:2" ht="15">
      <c r="A33" s="9" t="s">
        <v>26</v>
      </c>
      <c r="B33" s="8">
        <v>32.3</v>
      </c>
    </row>
    <row r="34" spans="1:2" ht="15">
      <c r="A34" s="9" t="s">
        <v>27</v>
      </c>
      <c r="B34" s="8">
        <v>5.6</v>
      </c>
    </row>
    <row r="35" spans="1:2" ht="15">
      <c r="A35" s="9" t="s">
        <v>28</v>
      </c>
      <c r="B35" s="8">
        <v>0.4</v>
      </c>
    </row>
    <row r="36" spans="1:2" ht="15.75">
      <c r="A36" s="10" t="s">
        <v>0</v>
      </c>
      <c r="B36" s="11">
        <f>SUM(B29:B35)</f>
        <v>122.00000000000001</v>
      </c>
    </row>
    <row r="38" spans="1:2" ht="15" hidden="1">
      <c r="A38" s="214" t="s">
        <v>98</v>
      </c>
      <c r="B38" s="216"/>
    </row>
    <row r="39" spans="1:2" ht="15.75" hidden="1">
      <c r="A39" s="7" t="s">
        <v>21</v>
      </c>
      <c r="B39" s="8"/>
    </row>
    <row r="40" spans="1:2" ht="15" hidden="1">
      <c r="A40" s="9" t="s">
        <v>22</v>
      </c>
      <c r="B40" s="8">
        <v>24.3</v>
      </c>
    </row>
    <row r="41" spans="1:2" ht="15" hidden="1">
      <c r="A41" s="9" t="s">
        <v>23</v>
      </c>
      <c r="B41" s="8">
        <v>42.4</v>
      </c>
    </row>
    <row r="42" spans="1:2" ht="15" hidden="1">
      <c r="A42" s="9" t="s">
        <v>27</v>
      </c>
      <c r="B42" s="8">
        <v>18.2</v>
      </c>
    </row>
    <row r="43" spans="1:2" ht="15" hidden="1">
      <c r="A43" s="9" t="s">
        <v>28</v>
      </c>
      <c r="B43" s="8">
        <v>0.5</v>
      </c>
    </row>
    <row r="44" spans="1:2" ht="15" hidden="1">
      <c r="A44" s="9" t="s">
        <v>99</v>
      </c>
      <c r="B44" s="8">
        <v>2.1</v>
      </c>
    </row>
    <row r="45" spans="1:2" ht="15.75" hidden="1">
      <c r="A45" s="10" t="s">
        <v>0</v>
      </c>
      <c r="B45" s="11">
        <f>SUM(B40:B44)</f>
        <v>87.5</v>
      </c>
    </row>
    <row r="46" spans="3:7" ht="12.75">
      <c r="C46" s="47"/>
      <c r="D46" s="47"/>
      <c r="E46" s="47"/>
      <c r="F46" s="47"/>
      <c r="G46" s="47"/>
    </row>
    <row r="47" spans="1:7" ht="12.75">
      <c r="A47" s="205" t="s">
        <v>47</v>
      </c>
      <c r="B47" s="205"/>
      <c r="C47" s="46"/>
      <c r="D47" s="46"/>
      <c r="E47" s="46"/>
      <c r="F47" s="46"/>
      <c r="G47" s="46"/>
    </row>
    <row r="48" spans="1:7" ht="12.75">
      <c r="A48" s="205" t="s">
        <v>46</v>
      </c>
      <c r="B48" s="205"/>
      <c r="C48" s="43"/>
      <c r="D48" s="43"/>
      <c r="E48" s="43"/>
      <c r="F48" s="43"/>
      <c r="G48" s="43"/>
    </row>
    <row r="49" spans="1:7" ht="12.75">
      <c r="A49" s="205" t="s">
        <v>39</v>
      </c>
      <c r="B49" s="205"/>
      <c r="C49" s="46"/>
      <c r="D49" s="46"/>
      <c r="E49" s="46"/>
      <c r="F49" s="46"/>
      <c r="G49" s="46"/>
    </row>
    <row r="50" spans="1:7" ht="15.75" customHeight="1">
      <c r="A50" s="43"/>
      <c r="B50" s="43"/>
      <c r="C50" s="43"/>
      <c r="D50" s="43"/>
      <c r="E50" s="43"/>
      <c r="F50" s="43"/>
      <c r="G50" s="43"/>
    </row>
    <row r="51" ht="12.75">
      <c r="A51" s="42" t="s">
        <v>42</v>
      </c>
    </row>
    <row r="52" ht="12.75">
      <c r="A52" t="s">
        <v>43</v>
      </c>
    </row>
    <row r="53" ht="12.75">
      <c r="A53" t="s">
        <v>44</v>
      </c>
    </row>
    <row r="55" ht="12.75">
      <c r="A55" t="s">
        <v>41</v>
      </c>
    </row>
    <row r="56" ht="12.75">
      <c r="A56" t="s">
        <v>40</v>
      </c>
    </row>
    <row r="58" ht="12.75">
      <c r="A58" t="s">
        <v>45</v>
      </c>
    </row>
  </sheetData>
  <mergeCells count="6">
    <mergeCell ref="A48:B48"/>
    <mergeCell ref="A49:B49"/>
    <mergeCell ref="A1:B1"/>
    <mergeCell ref="A27:B27"/>
    <mergeCell ref="A38:B38"/>
    <mergeCell ref="A47:B4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workbookViewId="0" topLeftCell="A1">
      <selection activeCell="A1" sqref="A1:IV16384"/>
    </sheetView>
  </sheetViews>
  <sheetFormatPr defaultColWidth="9.140625" defaultRowHeight="12.75"/>
  <cols>
    <col min="1" max="1" width="70.57421875" style="0" customWidth="1"/>
    <col min="2" max="2" width="22.00390625" style="0" customWidth="1"/>
  </cols>
  <sheetData>
    <row r="1" spans="1:2" ht="15">
      <c r="A1" s="214" t="s">
        <v>30</v>
      </c>
      <c r="B1" s="215"/>
    </row>
    <row r="2" spans="1:2" ht="15.75">
      <c r="A2" s="7" t="s">
        <v>1</v>
      </c>
      <c r="B2" s="17" t="s">
        <v>2</v>
      </c>
    </row>
    <row r="3" spans="1:2" ht="15">
      <c r="A3" s="9" t="s">
        <v>3</v>
      </c>
      <c r="B3" s="12">
        <v>53</v>
      </c>
    </row>
    <row r="4" spans="1:2" ht="15">
      <c r="A4" s="9" t="s">
        <v>4</v>
      </c>
      <c r="B4" s="12">
        <v>26</v>
      </c>
    </row>
    <row r="5" spans="1:2" ht="15">
      <c r="A5" s="9" t="s">
        <v>5</v>
      </c>
      <c r="B5" s="12">
        <v>19.1</v>
      </c>
    </row>
    <row r="6" spans="1:2" ht="15">
      <c r="A6" s="9" t="s">
        <v>6</v>
      </c>
      <c r="B6" s="12">
        <v>19</v>
      </c>
    </row>
    <row r="7" spans="1:2" ht="15">
      <c r="A7" s="9" t="s">
        <v>7</v>
      </c>
      <c r="B7" s="12">
        <v>40.4</v>
      </c>
    </row>
    <row r="8" spans="1:2" ht="15">
      <c r="A8" s="9" t="s">
        <v>8</v>
      </c>
      <c r="B8" s="12">
        <v>30</v>
      </c>
    </row>
    <row r="9" spans="1:2" ht="15">
      <c r="A9" s="9" t="s">
        <v>9</v>
      </c>
      <c r="B9" s="12">
        <v>5.6</v>
      </c>
    </row>
    <row r="10" spans="1:2" ht="15.75">
      <c r="A10" s="13" t="s">
        <v>0</v>
      </c>
      <c r="B10" s="14">
        <v>193.1</v>
      </c>
    </row>
    <row r="11" spans="1:2" ht="15.75">
      <c r="A11" s="7" t="s">
        <v>10</v>
      </c>
      <c r="B11" s="12"/>
    </row>
    <row r="12" spans="1:2" ht="15">
      <c r="A12" s="9" t="s">
        <v>11</v>
      </c>
      <c r="B12" s="12">
        <v>14.5</v>
      </c>
    </row>
    <row r="13" spans="1:2" ht="15">
      <c r="A13" s="9" t="s">
        <v>12</v>
      </c>
      <c r="B13" s="12">
        <v>20</v>
      </c>
    </row>
    <row r="14" spans="1:2" ht="15">
      <c r="A14" s="9" t="s">
        <v>13</v>
      </c>
      <c r="B14" s="12">
        <v>2</v>
      </c>
    </row>
    <row r="15" spans="1:2" ht="15">
      <c r="A15" s="9" t="s">
        <v>14</v>
      </c>
      <c r="B15" s="12">
        <v>10.8</v>
      </c>
    </row>
    <row r="16" spans="1:2" ht="15">
      <c r="A16" s="9" t="s">
        <v>15</v>
      </c>
      <c r="B16" s="12">
        <v>1</v>
      </c>
    </row>
    <row r="17" spans="1:2" ht="15">
      <c r="A17" s="9" t="s">
        <v>16</v>
      </c>
      <c r="B17" s="12">
        <v>13.2</v>
      </c>
    </row>
    <row r="18" spans="1:2" ht="15">
      <c r="A18" s="9" t="s">
        <v>17</v>
      </c>
      <c r="B18" s="12">
        <v>12</v>
      </c>
    </row>
    <row r="19" spans="1:2" ht="15.75">
      <c r="A19" s="13" t="s">
        <v>0</v>
      </c>
      <c r="B19" s="14">
        <v>73.5</v>
      </c>
    </row>
    <row r="20" spans="1:2" ht="15.75">
      <c r="A20" s="7" t="s">
        <v>29</v>
      </c>
      <c r="B20" s="12">
        <v>25.1</v>
      </c>
    </row>
    <row r="21" spans="1:2" ht="15.75">
      <c r="A21" s="13" t="s">
        <v>0</v>
      </c>
      <c r="B21" s="14">
        <v>25.1</v>
      </c>
    </row>
    <row r="22" spans="1:2" ht="15">
      <c r="A22" s="9"/>
      <c r="B22" s="12"/>
    </row>
    <row r="23" spans="1:2" ht="15">
      <c r="A23" s="9" t="s">
        <v>18</v>
      </c>
      <c r="B23" s="12">
        <v>33.545500000000004</v>
      </c>
    </row>
    <row r="24" spans="1:2" ht="15">
      <c r="A24" s="9"/>
      <c r="B24" s="12"/>
    </row>
    <row r="25" spans="1:2" ht="15.75">
      <c r="A25" s="15" t="s">
        <v>19</v>
      </c>
      <c r="B25" s="16">
        <v>325.24550000000005</v>
      </c>
    </row>
    <row r="27" spans="1:2" ht="15">
      <c r="A27" s="214" t="s">
        <v>31</v>
      </c>
      <c r="B27" s="216"/>
    </row>
    <row r="28" spans="1:2" ht="15.75">
      <c r="A28" s="7" t="s">
        <v>21</v>
      </c>
      <c r="B28" s="8"/>
    </row>
    <row r="29" spans="1:2" ht="15">
      <c r="A29" s="9" t="s">
        <v>22</v>
      </c>
      <c r="B29" s="8">
        <v>5.4</v>
      </c>
    </row>
    <row r="30" spans="1:2" ht="15">
      <c r="A30" s="9" t="s">
        <v>23</v>
      </c>
      <c r="B30" s="8">
        <v>73.4</v>
      </c>
    </row>
    <row r="31" spans="1:2" ht="15">
      <c r="A31" s="9" t="s">
        <v>24</v>
      </c>
      <c r="B31" s="8">
        <v>0</v>
      </c>
    </row>
    <row r="32" spans="1:2" ht="15">
      <c r="A32" s="9" t="s">
        <v>25</v>
      </c>
      <c r="B32" s="8">
        <v>4.9</v>
      </c>
    </row>
    <row r="33" spans="1:2" ht="15">
      <c r="A33" s="9" t="s">
        <v>26</v>
      </c>
      <c r="B33" s="8">
        <v>32.3</v>
      </c>
    </row>
    <row r="34" spans="1:2" ht="15">
      <c r="A34" s="9" t="s">
        <v>27</v>
      </c>
      <c r="B34" s="8">
        <v>5.6</v>
      </c>
    </row>
    <row r="35" spans="1:2" ht="15">
      <c r="A35" s="9" t="s">
        <v>28</v>
      </c>
      <c r="B35" s="8">
        <v>0.4</v>
      </c>
    </row>
    <row r="36" spans="1:2" ht="15.75">
      <c r="A36" s="10" t="s">
        <v>0</v>
      </c>
      <c r="B36" s="11">
        <f>SUM(B29:B35)</f>
        <v>122.00000000000001</v>
      </c>
    </row>
    <row r="38" spans="3:7" ht="12.75">
      <c r="C38" s="47"/>
      <c r="D38" s="47"/>
      <c r="E38" s="47"/>
      <c r="F38" s="47"/>
      <c r="G38" s="47"/>
    </row>
    <row r="39" spans="1:7" ht="12.75">
      <c r="A39" s="205" t="s">
        <v>47</v>
      </c>
      <c r="B39" s="205"/>
      <c r="C39" s="46"/>
      <c r="D39" s="46"/>
      <c r="E39" s="46"/>
      <c r="F39" s="46"/>
      <c r="G39" s="46"/>
    </row>
    <row r="40" spans="1:7" ht="12.75">
      <c r="A40" s="205" t="s">
        <v>46</v>
      </c>
      <c r="B40" s="205"/>
      <c r="C40" s="43"/>
      <c r="D40" s="43"/>
      <c r="E40" s="43"/>
      <c r="F40" s="43"/>
      <c r="G40" s="43"/>
    </row>
    <row r="41" spans="1:7" ht="12.75">
      <c r="A41" s="205" t="s">
        <v>39</v>
      </c>
      <c r="B41" s="205"/>
      <c r="C41" s="46"/>
      <c r="D41" s="46"/>
      <c r="E41" s="46"/>
      <c r="F41" s="46"/>
      <c r="G41" s="46"/>
    </row>
    <row r="42" spans="1:7" ht="15.75" customHeight="1">
      <c r="A42" s="43"/>
      <c r="B42" s="43"/>
      <c r="C42" s="43"/>
      <c r="D42" s="43"/>
      <c r="E42" s="43"/>
      <c r="F42" s="43"/>
      <c r="G42" s="43"/>
    </row>
    <row r="43" ht="12.75">
      <c r="A43" s="42" t="s">
        <v>42</v>
      </c>
    </row>
    <row r="44" ht="12.75">
      <c r="A44" t="s">
        <v>43</v>
      </c>
    </row>
    <row r="45" ht="12.75">
      <c r="A45" t="s">
        <v>44</v>
      </c>
    </row>
    <row r="47" ht="12.75">
      <c r="A47" t="s">
        <v>41</v>
      </c>
    </row>
    <row r="48" ht="12.75">
      <c r="A48" t="s">
        <v>40</v>
      </c>
    </row>
    <row r="50" ht="12.75">
      <c r="A50" t="s">
        <v>45</v>
      </c>
    </row>
  </sheetData>
  <mergeCells count="5">
    <mergeCell ref="A41:B41"/>
    <mergeCell ref="A1:B1"/>
    <mergeCell ref="A27:B27"/>
    <mergeCell ref="A39:B39"/>
    <mergeCell ref="A40:B4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50"/>
  <sheetViews>
    <sheetView workbookViewId="0" topLeftCell="A1">
      <selection activeCell="A5" sqref="A5"/>
    </sheetView>
  </sheetViews>
  <sheetFormatPr defaultColWidth="9.140625" defaultRowHeight="12.75"/>
  <cols>
    <col min="1" max="1" width="109.7109375" style="0" bestFit="1" customWidth="1"/>
    <col min="5" max="5" width="24.8515625" style="0" bestFit="1" customWidth="1"/>
    <col min="6" max="10" width="7.57421875" style="0" bestFit="1" customWidth="1"/>
    <col min="11" max="11" width="8.8515625" style="0" bestFit="1" customWidth="1"/>
  </cols>
  <sheetData>
    <row r="1" spans="1:2" ht="15">
      <c r="A1" s="214" t="s">
        <v>30</v>
      </c>
      <c r="B1" s="215"/>
    </row>
    <row r="2" spans="1:2" ht="15.75">
      <c r="A2" s="7" t="s">
        <v>1</v>
      </c>
      <c r="B2" s="17" t="s">
        <v>2</v>
      </c>
    </row>
    <row r="3" spans="1:6" ht="15.75">
      <c r="A3" s="9" t="s">
        <v>3</v>
      </c>
      <c r="B3" s="12">
        <v>53</v>
      </c>
      <c r="E3" s="55" t="s">
        <v>21</v>
      </c>
      <c r="F3" s="59"/>
    </row>
    <row r="4" spans="1:6" ht="15">
      <c r="A4" s="9" t="s">
        <v>4</v>
      </c>
      <c r="B4" s="12">
        <v>26</v>
      </c>
      <c r="E4" s="56" t="s">
        <v>22</v>
      </c>
      <c r="F4" s="57">
        <v>3.8</v>
      </c>
    </row>
    <row r="5" spans="1:6" ht="15">
      <c r="A5" s="9" t="s">
        <v>5</v>
      </c>
      <c r="B5" s="12">
        <v>19.1</v>
      </c>
      <c r="E5" s="56" t="s">
        <v>23</v>
      </c>
      <c r="F5" s="57">
        <v>56.4</v>
      </c>
    </row>
    <row r="6" spans="1:6" ht="15">
      <c r="A6" s="9" t="s">
        <v>6</v>
      </c>
      <c r="B6" s="12">
        <v>19</v>
      </c>
      <c r="E6" s="56" t="s">
        <v>24</v>
      </c>
      <c r="F6" s="57">
        <v>1</v>
      </c>
    </row>
    <row r="7" spans="1:6" ht="15">
      <c r="A7" s="9" t="s">
        <v>7</v>
      </c>
      <c r="B7" s="12">
        <v>40.4</v>
      </c>
      <c r="E7" s="56" t="s">
        <v>25</v>
      </c>
      <c r="F7" s="57">
        <f>3.4</f>
        <v>3.4</v>
      </c>
    </row>
    <row r="8" spans="1:6" ht="15">
      <c r="A8" s="9" t="s">
        <v>8</v>
      </c>
      <c r="B8" s="12">
        <v>30</v>
      </c>
      <c r="E8" s="56" t="s">
        <v>26</v>
      </c>
      <c r="F8" s="57">
        <f>22.6</f>
        <v>22.6</v>
      </c>
    </row>
    <row r="9" spans="1:6" ht="15">
      <c r="A9" s="9" t="s">
        <v>9</v>
      </c>
      <c r="B9" s="12">
        <v>5.6</v>
      </c>
      <c r="E9" s="56" t="s">
        <v>27</v>
      </c>
      <c r="F9" s="57">
        <f>3.9</f>
        <v>3.9</v>
      </c>
    </row>
    <row r="10" spans="1:6" ht="15.75">
      <c r="A10" s="13" t="s">
        <v>0</v>
      </c>
      <c r="B10" s="14">
        <v>193.1</v>
      </c>
      <c r="E10" s="56" t="s">
        <v>28</v>
      </c>
      <c r="F10" s="57">
        <v>1.9</v>
      </c>
    </row>
    <row r="11" spans="1:6" ht="15.75">
      <c r="A11" s="7" t="s">
        <v>10</v>
      </c>
      <c r="B11" s="12"/>
      <c r="E11" s="58" t="s">
        <v>36</v>
      </c>
      <c r="F11" s="59">
        <f>SUM(F4:F10)</f>
        <v>93</v>
      </c>
    </row>
    <row r="12" spans="1:2" ht="15">
      <c r="A12" s="9" t="s">
        <v>11</v>
      </c>
      <c r="B12" s="12">
        <v>14.5</v>
      </c>
    </row>
    <row r="13" spans="1:2" ht="15">
      <c r="A13" s="9" t="s">
        <v>12</v>
      </c>
      <c r="B13" s="12">
        <v>20</v>
      </c>
    </row>
    <row r="14" spans="1:11" ht="18">
      <c r="A14" s="9" t="s">
        <v>13</v>
      </c>
      <c r="B14" s="12">
        <v>2</v>
      </c>
      <c r="E14" s="4" t="s">
        <v>21</v>
      </c>
      <c r="F14" s="20">
        <v>2006</v>
      </c>
      <c r="G14" s="30">
        <v>2007</v>
      </c>
      <c r="H14" s="30">
        <v>2008</v>
      </c>
      <c r="I14" s="30">
        <v>2009</v>
      </c>
      <c r="J14" s="30">
        <v>2010</v>
      </c>
      <c r="K14" s="3" t="s">
        <v>0</v>
      </c>
    </row>
    <row r="15" spans="1:11" ht="15">
      <c r="A15" s="9" t="s">
        <v>14</v>
      </c>
      <c r="B15" s="12">
        <v>10.8</v>
      </c>
      <c r="E15" s="2" t="s">
        <v>22</v>
      </c>
      <c r="F15" s="40"/>
      <c r="G15" s="41"/>
      <c r="H15" s="41">
        <f>K15*0.5</f>
        <v>1.9</v>
      </c>
      <c r="I15" s="41">
        <f>K15*0.4</f>
        <v>1.52</v>
      </c>
      <c r="J15" s="41">
        <f>K15*0.1</f>
        <v>0.38</v>
      </c>
      <c r="K15" s="39">
        <v>3.8</v>
      </c>
    </row>
    <row r="16" spans="1:11" ht="15">
      <c r="A16" s="9" t="s">
        <v>15</v>
      </c>
      <c r="B16" s="12">
        <v>1</v>
      </c>
      <c r="E16" s="2" t="s">
        <v>23</v>
      </c>
      <c r="F16" s="40"/>
      <c r="G16" s="41"/>
      <c r="H16" s="41">
        <f>K16*0.5</f>
        <v>28.2</v>
      </c>
      <c r="I16" s="41">
        <f>K16*0.4</f>
        <v>22.560000000000002</v>
      </c>
      <c r="J16" s="41">
        <f>K16*0.1</f>
        <v>5.640000000000001</v>
      </c>
      <c r="K16" s="39">
        <v>56.4</v>
      </c>
    </row>
    <row r="17" spans="1:11" ht="15">
      <c r="A17" s="9" t="s">
        <v>16</v>
      </c>
      <c r="B17" s="12">
        <v>13.2</v>
      </c>
      <c r="E17" s="2" t="s">
        <v>24</v>
      </c>
      <c r="F17" s="40"/>
      <c r="G17" s="41"/>
      <c r="H17" s="41">
        <f>K17*0.6</f>
        <v>0.6</v>
      </c>
      <c r="I17" s="41">
        <f>K17*0.4</f>
        <v>0.4</v>
      </c>
      <c r="J17" s="41"/>
      <c r="K17" s="39">
        <v>1</v>
      </c>
    </row>
    <row r="18" spans="1:11" ht="15">
      <c r="A18" s="9" t="s">
        <v>17</v>
      </c>
      <c r="B18" s="12">
        <v>12</v>
      </c>
      <c r="E18" s="2" t="s">
        <v>25</v>
      </c>
      <c r="F18" s="40">
        <f>K18*0.1</f>
        <v>0.34</v>
      </c>
      <c r="G18" s="41">
        <f>K18*0.3</f>
        <v>1.02</v>
      </c>
      <c r="H18" s="41">
        <f>K18*0.4</f>
        <v>1.36</v>
      </c>
      <c r="I18" s="41">
        <f>K18*0.1</f>
        <v>0.34</v>
      </c>
      <c r="J18" s="41">
        <f>K18*0.1</f>
        <v>0.34</v>
      </c>
      <c r="K18" s="39">
        <f>3.4</f>
        <v>3.4</v>
      </c>
    </row>
    <row r="19" spans="1:11" ht="15.75">
      <c r="A19" s="13" t="s">
        <v>0</v>
      </c>
      <c r="B19" s="14">
        <v>73.5</v>
      </c>
      <c r="E19" s="2" t="s">
        <v>26</v>
      </c>
      <c r="F19" s="40">
        <f>K19*0.1</f>
        <v>2.2600000000000002</v>
      </c>
      <c r="G19" s="41">
        <f>K19*0.1</f>
        <v>2.2600000000000002</v>
      </c>
      <c r="H19" s="41">
        <f>K19*0.4</f>
        <v>9.040000000000001</v>
      </c>
      <c r="I19" s="41">
        <f>K19*0.3</f>
        <v>6.78</v>
      </c>
      <c r="J19" s="41">
        <f>K19*0.1</f>
        <v>2.2600000000000002</v>
      </c>
      <c r="K19" s="39">
        <f>22.6</f>
        <v>22.6</v>
      </c>
    </row>
    <row r="20" spans="1:11" ht="15.75">
      <c r="A20" s="7" t="s">
        <v>29</v>
      </c>
      <c r="B20" s="12">
        <v>25.1</v>
      </c>
      <c r="E20" s="2" t="s">
        <v>27</v>
      </c>
      <c r="F20" s="40">
        <f>K20*0.1</f>
        <v>0.39</v>
      </c>
      <c r="G20" s="41">
        <f>K20*0.3</f>
        <v>1.17</v>
      </c>
      <c r="H20" s="41">
        <f>K20*0.3</f>
        <v>1.17</v>
      </c>
      <c r="I20" s="41">
        <f>K20*0.2</f>
        <v>0.78</v>
      </c>
      <c r="J20" s="41">
        <f>K20*0.1</f>
        <v>0.39</v>
      </c>
      <c r="K20" s="39">
        <f>3.9</f>
        <v>3.9</v>
      </c>
    </row>
    <row r="21" spans="1:11" ht="15.75">
      <c r="A21" s="13" t="s">
        <v>0</v>
      </c>
      <c r="B21" s="14">
        <v>25.1</v>
      </c>
      <c r="E21" s="2" t="s">
        <v>28</v>
      </c>
      <c r="F21" s="40">
        <f>K21*0.1</f>
        <v>0.19</v>
      </c>
      <c r="G21" s="41">
        <f>K21*0.3</f>
        <v>0.57</v>
      </c>
      <c r="H21" s="41">
        <f>K21*0.3</f>
        <v>0.57</v>
      </c>
      <c r="I21" s="41">
        <f>K21*0.2</f>
        <v>0.38</v>
      </c>
      <c r="J21" s="41">
        <f>K21*0.1</f>
        <v>0.19</v>
      </c>
      <c r="K21" s="39">
        <v>1.9</v>
      </c>
    </row>
    <row r="22" spans="1:11" ht="15.75">
      <c r="A22" s="9"/>
      <c r="B22" s="12"/>
      <c r="E22" s="5" t="s">
        <v>36</v>
      </c>
      <c r="F22" s="25">
        <f aca="true" t="shared" si="0" ref="F22:K22">SUM(F15:F21)</f>
        <v>3.18</v>
      </c>
      <c r="G22" s="25">
        <f t="shared" si="0"/>
        <v>5.0200000000000005</v>
      </c>
      <c r="H22" s="25">
        <f t="shared" si="0"/>
        <v>42.84</v>
      </c>
      <c r="I22" s="25">
        <f t="shared" si="0"/>
        <v>32.760000000000005</v>
      </c>
      <c r="J22" s="25">
        <f t="shared" si="0"/>
        <v>9.200000000000001</v>
      </c>
      <c r="K22" s="31">
        <f t="shared" si="0"/>
        <v>93</v>
      </c>
    </row>
    <row r="23" spans="1:2" ht="15">
      <c r="A23" s="9" t="s">
        <v>18</v>
      </c>
      <c r="B23" s="12">
        <v>33.545500000000004</v>
      </c>
    </row>
    <row r="24" spans="1:2" ht="15">
      <c r="A24" s="9"/>
      <c r="B24" s="12"/>
    </row>
    <row r="25" spans="1:2" ht="15.75">
      <c r="A25" s="15" t="s">
        <v>19</v>
      </c>
      <c r="B25" s="16">
        <v>325.24550000000005</v>
      </c>
    </row>
    <row r="27" spans="1:2" ht="15">
      <c r="A27" s="214" t="s">
        <v>31</v>
      </c>
      <c r="B27" s="216"/>
    </row>
    <row r="28" spans="1:2" ht="15.75">
      <c r="A28" s="7" t="s">
        <v>21</v>
      </c>
      <c r="B28" s="8"/>
    </row>
    <row r="29" spans="1:2" ht="15">
      <c r="A29" s="9" t="s">
        <v>22</v>
      </c>
      <c r="B29" s="8">
        <v>5.4</v>
      </c>
    </row>
    <row r="30" spans="1:2" ht="15">
      <c r="A30" s="9" t="s">
        <v>23</v>
      </c>
      <c r="B30" s="8">
        <v>73.4</v>
      </c>
    </row>
    <row r="31" spans="1:2" ht="15">
      <c r="A31" s="9" t="s">
        <v>24</v>
      </c>
      <c r="B31" s="8">
        <v>0</v>
      </c>
    </row>
    <row r="32" spans="1:2" ht="15">
      <c r="A32" s="9" t="s">
        <v>25</v>
      </c>
      <c r="B32" s="8">
        <v>4.9</v>
      </c>
    </row>
    <row r="33" spans="1:2" ht="15">
      <c r="A33" s="9" t="s">
        <v>26</v>
      </c>
      <c r="B33" s="8">
        <v>32.3</v>
      </c>
    </row>
    <row r="34" spans="1:2" ht="15">
      <c r="A34" s="9" t="s">
        <v>27</v>
      </c>
      <c r="B34" s="8">
        <v>5.6</v>
      </c>
    </row>
    <row r="35" spans="1:2" ht="15">
      <c r="A35" s="9" t="s">
        <v>28</v>
      </c>
      <c r="B35" s="8">
        <v>0.4</v>
      </c>
    </row>
    <row r="36" spans="1:2" ht="15.75">
      <c r="A36" s="10" t="s">
        <v>0</v>
      </c>
      <c r="B36" s="11">
        <f>SUM(B29:B35)</f>
        <v>122.00000000000001</v>
      </c>
    </row>
    <row r="38" spans="3:7" ht="12.75">
      <c r="C38" s="47"/>
      <c r="D38" s="47"/>
      <c r="E38" s="47"/>
      <c r="F38" s="47"/>
      <c r="G38" s="47"/>
    </row>
    <row r="39" spans="1:7" ht="12.75">
      <c r="A39" s="205" t="s">
        <v>47</v>
      </c>
      <c r="B39" s="205"/>
      <c r="C39" s="46"/>
      <c r="D39" s="46"/>
      <c r="E39" s="46"/>
      <c r="F39" s="46"/>
      <c r="G39" s="46"/>
    </row>
    <row r="40" spans="1:7" ht="12.75">
      <c r="A40" s="205" t="s">
        <v>46</v>
      </c>
      <c r="B40" s="205"/>
      <c r="C40" s="43"/>
      <c r="D40" s="43"/>
      <c r="E40" s="43"/>
      <c r="F40" s="43"/>
      <c r="G40" s="43"/>
    </row>
    <row r="41" spans="1:7" ht="12.75">
      <c r="A41" s="205" t="s">
        <v>39</v>
      </c>
      <c r="B41" s="205"/>
      <c r="C41" s="46"/>
      <c r="D41" s="46"/>
      <c r="E41" s="46"/>
      <c r="F41" s="46"/>
      <c r="G41" s="46"/>
    </row>
    <row r="42" spans="1:7" ht="15.75" customHeight="1">
      <c r="A42" s="43"/>
      <c r="B42" s="43"/>
      <c r="C42" s="43"/>
      <c r="D42" s="43"/>
      <c r="E42" s="43"/>
      <c r="F42" s="43"/>
      <c r="G42" s="43"/>
    </row>
    <row r="43" ht="12.75">
      <c r="A43" s="42" t="s">
        <v>42</v>
      </c>
    </row>
    <row r="44" ht="12.75">
      <c r="A44" t="s">
        <v>43</v>
      </c>
    </row>
    <row r="45" ht="12.75">
      <c r="A45" t="s">
        <v>44</v>
      </c>
    </row>
    <row r="47" ht="12.75">
      <c r="A47" t="s">
        <v>41</v>
      </c>
    </row>
    <row r="48" ht="12.75">
      <c r="A48" t="s">
        <v>40</v>
      </c>
    </row>
    <row r="50" ht="12.75">
      <c r="A50" t="s">
        <v>45</v>
      </c>
    </row>
  </sheetData>
  <mergeCells count="5">
    <mergeCell ref="A41:B41"/>
    <mergeCell ref="A1:B1"/>
    <mergeCell ref="A27:B27"/>
    <mergeCell ref="A39:B39"/>
    <mergeCell ref="A40:B4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P37"/>
  <sheetViews>
    <sheetView workbookViewId="0" topLeftCell="A1">
      <selection activeCell="A1" sqref="A1"/>
    </sheetView>
  </sheetViews>
  <sheetFormatPr defaultColWidth="9.140625" defaultRowHeight="12.75"/>
  <sheetData>
    <row r="1" ht="12.75">
      <c r="A1" t="s">
        <v>100</v>
      </c>
    </row>
    <row r="3" ht="12.75">
      <c r="A3" t="s">
        <v>101</v>
      </c>
    </row>
    <row r="4" ht="12.75">
      <c r="A4" t="s">
        <v>102</v>
      </c>
    </row>
    <row r="5" ht="12.75">
      <c r="A5" t="s">
        <v>103</v>
      </c>
    </row>
    <row r="6" ht="12.75">
      <c r="A6" t="s">
        <v>104</v>
      </c>
    </row>
    <row r="7" ht="12.75">
      <c r="A7" t="s">
        <v>105</v>
      </c>
    </row>
    <row r="9" ht="12.75">
      <c r="A9" t="s">
        <v>106</v>
      </c>
    </row>
    <row r="10" ht="12.75">
      <c r="A10" t="s">
        <v>107</v>
      </c>
    </row>
    <row r="11" ht="12.75">
      <c r="A11" t="s">
        <v>108</v>
      </c>
    </row>
    <row r="12" ht="12.75">
      <c r="A12" t="s">
        <v>109</v>
      </c>
    </row>
    <row r="13" spans="1:11" s="153" customFormat="1" ht="24.75" customHeight="1">
      <c r="A13" s="186" t="s">
        <v>110</v>
      </c>
      <c r="B13" s="186"/>
      <c r="C13" s="186"/>
      <c r="D13" s="186"/>
      <c r="E13" s="186"/>
      <c r="F13" s="186"/>
      <c r="G13" s="186"/>
      <c r="H13" s="186"/>
      <c r="I13" s="186"/>
      <c r="J13" s="186"/>
      <c r="K13" s="186"/>
    </row>
    <row r="14" spans="1:16" ht="37.5" customHeight="1">
      <c r="A14" s="217" t="s">
        <v>111</v>
      </c>
      <c r="B14" s="186"/>
      <c r="C14" s="186"/>
      <c r="D14" s="186"/>
      <c r="E14" s="186"/>
      <c r="F14" s="186"/>
      <c r="G14" s="186"/>
      <c r="H14" s="186"/>
      <c r="I14" s="186"/>
      <c r="J14" s="186"/>
      <c r="K14" s="186"/>
      <c r="L14" s="153"/>
      <c r="M14" s="153"/>
      <c r="N14" s="153"/>
      <c r="O14" s="153"/>
      <c r="P14" s="153"/>
    </row>
    <row r="15" ht="12.75">
      <c r="A15" t="s">
        <v>112</v>
      </c>
    </row>
    <row r="16" spans="1:11" ht="24" customHeight="1">
      <c r="A16" s="186" t="s">
        <v>113</v>
      </c>
      <c r="B16" s="186"/>
      <c r="C16" s="186"/>
      <c r="D16" s="186"/>
      <c r="E16" s="186"/>
      <c r="F16" s="186"/>
      <c r="G16" s="186"/>
      <c r="H16" s="186"/>
      <c r="I16" s="186"/>
      <c r="J16" s="186"/>
      <c r="K16" s="186"/>
    </row>
    <row r="17" spans="1:11" ht="43.5" customHeight="1">
      <c r="A17" s="217" t="s">
        <v>114</v>
      </c>
      <c r="B17" s="186"/>
      <c r="C17" s="186"/>
      <c r="D17" s="186"/>
      <c r="E17" s="186"/>
      <c r="F17" s="186"/>
      <c r="G17" s="186"/>
      <c r="H17" s="186"/>
      <c r="I17" s="186"/>
      <c r="J17" s="186"/>
      <c r="K17" s="186"/>
    </row>
    <row r="19" ht="12.75">
      <c r="A19" t="s">
        <v>115</v>
      </c>
    </row>
    <row r="21" spans="1:11" ht="27.75" customHeight="1">
      <c r="A21" s="217" t="s">
        <v>116</v>
      </c>
      <c r="B21" s="186"/>
      <c r="C21" s="186"/>
      <c r="D21" s="186"/>
      <c r="E21" s="186"/>
      <c r="F21" s="186"/>
      <c r="G21" s="186"/>
      <c r="H21" s="186"/>
      <c r="I21" s="186"/>
      <c r="J21" s="186"/>
      <c r="K21" s="186"/>
    </row>
    <row r="23" ht="12.75">
      <c r="A23" t="s">
        <v>117</v>
      </c>
    </row>
    <row r="25" spans="1:11" ht="29.25" customHeight="1">
      <c r="A25" s="186" t="s">
        <v>118</v>
      </c>
      <c r="B25" s="186"/>
      <c r="C25" s="186"/>
      <c r="D25" s="186"/>
      <c r="E25" s="186"/>
      <c r="F25" s="186"/>
      <c r="G25" s="186"/>
      <c r="H25" s="186"/>
      <c r="I25" s="186"/>
      <c r="J25" s="186"/>
      <c r="K25" s="186"/>
    </row>
    <row r="27" spans="1:11" ht="25.5" customHeight="1">
      <c r="A27" s="186" t="s">
        <v>119</v>
      </c>
      <c r="B27" s="186"/>
      <c r="C27" s="186"/>
      <c r="D27" s="186"/>
      <c r="E27" s="186"/>
      <c r="F27" s="186"/>
      <c r="G27" s="186"/>
      <c r="H27" s="186"/>
      <c r="I27" s="186"/>
      <c r="J27" s="186"/>
      <c r="K27" s="186"/>
    </row>
    <row r="29" ht="12.75">
      <c r="A29" t="s">
        <v>120</v>
      </c>
    </row>
    <row r="31" spans="1:11" ht="52.5" customHeight="1">
      <c r="A31" s="217" t="s">
        <v>121</v>
      </c>
      <c r="B31" s="186"/>
      <c r="C31" s="186"/>
      <c r="D31" s="186"/>
      <c r="E31" s="186"/>
      <c r="F31" s="186"/>
      <c r="G31" s="186"/>
      <c r="H31" s="186"/>
      <c r="I31" s="186"/>
      <c r="J31" s="186"/>
      <c r="K31" s="186"/>
    </row>
    <row r="33" spans="1:11" ht="54.75" customHeight="1">
      <c r="A33" s="217" t="s">
        <v>122</v>
      </c>
      <c r="B33" s="186"/>
      <c r="C33" s="186"/>
      <c r="D33" s="186"/>
      <c r="E33" s="186"/>
      <c r="F33" s="186"/>
      <c r="G33" s="186"/>
      <c r="H33" s="186"/>
      <c r="I33" s="186"/>
      <c r="J33" s="186"/>
      <c r="K33" s="186"/>
    </row>
    <row r="35" ht="12.75">
      <c r="A35" t="s">
        <v>123</v>
      </c>
    </row>
    <row r="37" ht="12.75">
      <c r="A37" t="s">
        <v>124</v>
      </c>
    </row>
  </sheetData>
  <mergeCells count="9">
    <mergeCell ref="A13:K13"/>
    <mergeCell ref="A14:K14"/>
    <mergeCell ref="A27:K27"/>
    <mergeCell ref="A31:K31"/>
    <mergeCell ref="A33:K33"/>
    <mergeCell ref="A16:K16"/>
    <mergeCell ref="A17:K17"/>
    <mergeCell ref="A21:K21"/>
    <mergeCell ref="A25:K25"/>
  </mergeCells>
  <printOptions/>
  <pageMargins left="0" right="0" top="0.75" bottom="0.5" header="0.5" footer="0.2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S182825</cp:lastModifiedBy>
  <cp:lastPrinted>2006-01-23T18:14:17Z</cp:lastPrinted>
  <dcterms:created xsi:type="dcterms:W3CDTF">1996-10-14T23:33:28Z</dcterms:created>
  <dcterms:modified xsi:type="dcterms:W3CDTF">2006-01-23T19:34:05Z</dcterms:modified>
  <cp:category/>
  <cp:version/>
  <cp:contentType/>
  <cp:contentStatus/>
</cp:coreProperties>
</file>