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able 3" sheetId="1" r:id="rId1"/>
    <sheet name="Supporting Cost Detail" sheetId="2" r:id="rId2"/>
  </sheets>
  <definedNames>
    <definedName name="_xlnm.Print_Area" localSheetId="1">'Supporting Cost Detail'!$B$75:$T$97</definedName>
    <definedName name="_xlnm.Print_Area" localSheetId="0">'Table 3'!$A$8:$L$66</definedName>
  </definedNames>
  <calcPr fullCalcOnLoad="1"/>
</workbook>
</file>

<file path=xl/sharedStrings.xml><?xml version="1.0" encoding="utf-8"?>
<sst xmlns="http://schemas.openxmlformats.org/spreadsheetml/2006/main" count="301" uniqueCount="169">
  <si>
    <t>$/kW Installed</t>
  </si>
  <si>
    <t>(2011 $)</t>
  </si>
  <si>
    <t>MW</t>
  </si>
  <si>
    <t>Unit Capacity</t>
  </si>
  <si>
    <t>TOTAL</t>
  </si>
  <si>
    <t>Cost per kW</t>
  </si>
  <si>
    <t>2011 $</t>
  </si>
  <si>
    <t>('As-Spent' $)</t>
  </si>
  <si>
    <t xml:space="preserve"> Millions</t>
  </si>
  <si>
    <t xml:space="preserve">GRAND TOTAL w/ AFUDC </t>
  </si>
  <si>
    <t xml:space="preserve">     Total EPC</t>
  </si>
  <si>
    <t xml:space="preserve">Option #1:  Big Sandy Unit 2 </t>
  </si>
  <si>
    <t>Option #2:  Big Sandy Unit 2</t>
  </si>
  <si>
    <t>000020356    BS U2 Ash WWT System</t>
  </si>
  <si>
    <t>TOTAL Unit (Contingency-Adjusted)</t>
  </si>
  <si>
    <t>Contingency-Adjusted</t>
  </si>
  <si>
    <t>Total '2011 $' EPC</t>
  </si>
  <si>
    <t>Total '2011 $' OH</t>
  </si>
  <si>
    <t>Total '2011 $' TOTAL</t>
  </si>
  <si>
    <t>"w/o ~20% Contengency"</t>
  </si>
  <si>
    <t>Option #3:  Big Sandy Unit 2</t>
  </si>
  <si>
    <t xml:space="preserve">BS1 CC Repowering </t>
  </si>
  <si>
    <t>'2011 $'/kW</t>
  </si>
  <si>
    <t>2011 k$</t>
  </si>
  <si>
    <t>Nominal k$</t>
  </si>
  <si>
    <t>"w/ ~20% Contengency"</t>
  </si>
  <si>
    <r>
      <t xml:space="preserve">             </t>
    </r>
    <r>
      <rPr>
        <u val="single"/>
        <sz val="11"/>
        <color indexed="10"/>
        <rFont val="Calibri"/>
        <family val="2"/>
      </rPr>
      <t>RETROFIT</t>
    </r>
    <r>
      <rPr>
        <sz val="11"/>
        <color indexed="10"/>
        <rFont val="Calibri"/>
        <family val="2"/>
      </rPr>
      <t xml:space="preserve"> Option </t>
    </r>
  </si>
  <si>
    <r>
      <t xml:space="preserve">              </t>
    </r>
    <r>
      <rPr>
        <u val="single"/>
        <sz val="11"/>
        <color indexed="10"/>
        <rFont val="Calibri"/>
        <family val="2"/>
      </rPr>
      <t>REPLACEMENT</t>
    </r>
    <r>
      <rPr>
        <sz val="11"/>
        <color indexed="10"/>
        <rFont val="Calibri"/>
        <family val="2"/>
      </rPr>
      <t xml:space="preserve"> Option </t>
    </r>
  </si>
  <si>
    <t>AFUDC (KPCo @ 8.58%)</t>
  </si>
  <si>
    <t>(w/ Duct-Firing)</t>
  </si>
  <si>
    <t>Big Sandy 2 DFGD Retrofit</t>
  </si>
  <si>
    <t>2011$</t>
  </si>
  <si>
    <t>(a)</t>
  </si>
  <si>
    <t>(b)</t>
  </si>
  <si>
    <t>(c)</t>
  </si>
  <si>
    <t>(d)</t>
  </si>
  <si>
    <t>(e)</t>
  </si>
  <si>
    <t>(f)</t>
  </si>
  <si>
    <t>(g)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</si>
  <si>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</si>
  <si>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</si>
  <si>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</si>
  <si>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</si>
  <si>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</si>
  <si>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</si>
  <si>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</si>
  <si>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</si>
  <si>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</si>
  <si>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</si>
  <si>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</si>
  <si>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</si>
  <si>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</si>
  <si>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</si>
  <si>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</si>
  <si>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</si>
  <si>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</si>
  <si>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</si>
  <si>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r>
      <t>New-Build  CC</t>
    </r>
    <r>
      <rPr>
        <i/>
        <sz val="11"/>
        <color indexed="8"/>
        <rFont val="Calibri"/>
        <family val="2"/>
      </rPr>
      <t xml:space="preserve"> (@ BS site)</t>
    </r>
  </si>
  <si>
    <t>GRAND TOTAL FGD</t>
  </si>
  <si>
    <t xml:space="preserve">  TOTAL CCR Direct </t>
  </si>
  <si>
    <t>Cash Flow</t>
  </si>
  <si>
    <t>Total FGD Direct -- Contingency-Adj.</t>
  </si>
  <si>
    <t>(Escalation Factor)</t>
  </si>
  <si>
    <t>Total (Nominal), excl. AFUDC</t>
  </si>
  <si>
    <t>w/o Corp OH and Contingency</t>
  </si>
  <si>
    <r>
      <t xml:space="preserve">000020353    BS U2 Bottom Ash </t>
    </r>
    <r>
      <rPr>
        <sz val="11"/>
        <color theme="1"/>
        <rFont val="Calibri"/>
        <family val="2"/>
      </rPr>
      <t>Reline</t>
    </r>
  </si>
  <si>
    <t>(Big Sandy Unit 1) Repowered CC</t>
  </si>
  <si>
    <t>New-Build CC (Brownfield @ BS site)</t>
  </si>
  <si>
    <t>GRAND CC @ BS</t>
  </si>
  <si>
    <r>
      <t xml:space="preserve">Nominal </t>
    </r>
  </si>
  <si>
    <r>
      <rPr>
        <sz val="9"/>
        <color indexed="8"/>
        <rFont val="Calibri"/>
        <family val="2"/>
      </rPr>
      <t>('As-Spent')</t>
    </r>
    <r>
      <rPr>
        <sz val="11"/>
        <color theme="1"/>
        <rFont val="Calibri"/>
        <family val="2"/>
      </rPr>
      <t>$</t>
    </r>
  </si>
  <si>
    <t>Project Estimate (Per S&amp;L/Kiewet Study)</t>
  </si>
  <si>
    <t>DFGD and Alternative Project Cost Estimates</t>
  </si>
  <si>
    <t>Contingency Adder @ 10% (Per EP&amp;FS)</t>
  </si>
  <si>
    <t>Contingency Adder @ 20% (Per EP&amp;FS)</t>
  </si>
  <si>
    <t>AEP Allocated Costs/OH (10.46%)</t>
  </si>
  <si>
    <t>AEP Allocated Costs/OH (Increm 8.5%)</t>
  </si>
  <si>
    <t>(Big Sandy Unit 1) Gas Conversion</t>
  </si>
  <si>
    <t>Contingency Adder @ 0% (Per EP&amp;FS)</t>
  </si>
  <si>
    <t>Project Estimate (Per Black &amp; Veatch Study)</t>
  </si>
  <si>
    <t>Assuming 2x1 Mitsubishi 501-GAC (918-MW w/ Duct-Firing)</t>
  </si>
  <si>
    <t>Assuming 2x1 Mitsubishi 501-GAC (802-MW w/ Duct-Firing)</t>
  </si>
  <si>
    <t>Assuming 2x1 Mitsubishi 501-GAC (278-MW)</t>
  </si>
  <si>
    <r>
      <rPr>
        <i/>
        <u val="single"/>
        <sz val="11"/>
        <color indexed="8"/>
        <rFont val="Calibri"/>
        <family val="2"/>
      </rPr>
      <t xml:space="preserve"> Includes</t>
    </r>
    <r>
      <rPr>
        <i/>
        <sz val="11"/>
        <color indexed="8"/>
        <rFont val="Calibri"/>
        <family val="2"/>
      </rPr>
      <t xml:space="preserve"> pipeline costs</t>
    </r>
  </si>
  <si>
    <r>
      <rPr>
        <i/>
        <u val="single"/>
        <sz val="11"/>
        <color indexed="8"/>
        <rFont val="Calibri"/>
        <family val="2"/>
      </rPr>
      <t xml:space="preserve"> Excludes</t>
    </r>
    <r>
      <rPr>
        <i/>
        <sz val="11"/>
        <color indexed="8"/>
        <rFont val="Calibri"/>
        <family val="2"/>
      </rPr>
      <t xml:space="preserve"> pipeline costs</t>
    </r>
  </si>
  <si>
    <t>Mitchell 1 &amp; 2 Transfer Cost</t>
  </si>
  <si>
    <t>@ 20% (Options #1A, 2A, 3A)</t>
  </si>
  <si>
    <t>@ 50% (Options #5A, 6)</t>
  </si>
  <si>
    <t>Total Transfer Cost (Net Book Value) @ 12/31/2013</t>
  </si>
  <si>
    <t>Gas Conversion</t>
  </si>
  <si>
    <t>Big Sandy U1 316(b) (Direct)</t>
  </si>
  <si>
    <t>Total (Post-Transfer)</t>
  </si>
  <si>
    <t xml:space="preserve">Total Transfer Cost </t>
  </si>
  <si>
    <t>000021653    BS U2 316(b)</t>
  </si>
  <si>
    <t>Option #5:  Big Sandy Unit 1</t>
  </si>
  <si>
    <t>BS1 Gas Conversion</t>
  </si>
  <si>
    <t>KPCo Prod. Capital Overhead Alloc.</t>
  </si>
  <si>
    <t>Direct (EPC) &amp; Indirect Cost</t>
  </si>
  <si>
    <t xml:space="preserve">  No AFUDC would apply</t>
  </si>
  <si>
    <t xml:space="preserve">$/kW </t>
  </si>
  <si>
    <t>$/kW</t>
  </si>
  <si>
    <t>N/A</t>
  </si>
  <si>
    <r>
      <t>(A) Represents AEP EP&amp;FS</t>
    </r>
    <r>
      <rPr>
        <sz val="10"/>
        <color indexed="8"/>
        <rFont val="Calibri"/>
        <family val="2"/>
      </rPr>
      <t xml:space="preserve"> and FEL capital cost estimates utilized for modeling purposes in Strategist® </t>
    </r>
  </si>
  <si>
    <r>
      <t xml:space="preserve">  (</t>
    </r>
    <r>
      <rPr>
        <i/>
        <u val="single"/>
        <sz val="11"/>
        <color indexed="8"/>
        <rFont val="Calibri"/>
        <family val="2"/>
      </rPr>
      <t>Excluding</t>
    </r>
    <r>
      <rPr>
        <i/>
        <sz val="11"/>
        <color indexed="8"/>
        <rFont val="Calibri"/>
        <family val="2"/>
      </rPr>
      <t xml:space="preserve"> AFUDC)</t>
    </r>
  </si>
  <si>
    <r>
      <t xml:space="preserve">Estimated "Alternative" Capital Expenditures </t>
    </r>
    <r>
      <rPr>
        <vertAlign val="superscript"/>
        <sz val="13"/>
        <color indexed="8"/>
        <rFont val="Calibri"/>
        <family val="2"/>
      </rPr>
      <t>(A)</t>
    </r>
  </si>
  <si>
    <t>(B)"DFGD" also includes necessary landfill and associated boiler modifications</t>
  </si>
  <si>
    <t xml:space="preserve">(C) Reflects an assumed ~1.5% unit derate to compensate for assumed NID-FGD parasitic load  </t>
  </si>
  <si>
    <t>(C)</t>
  </si>
  <si>
    <r>
      <t>Dry (NID</t>
    </r>
    <r>
      <rPr>
        <b/>
        <sz val="11"/>
        <color indexed="8"/>
        <rFont val="Calibri"/>
        <family val="2"/>
      </rPr>
      <t>™</t>
    </r>
    <r>
      <rPr>
        <b/>
        <sz val="11"/>
        <color indexed="8"/>
        <rFont val="Calibri"/>
        <family val="2"/>
      </rPr>
      <t>) FGD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2"/>
        <color indexed="8"/>
        <rFont val="Calibri"/>
        <family val="2"/>
      </rPr>
      <t>(B)</t>
    </r>
  </si>
  <si>
    <t>(D)</t>
  </si>
  <si>
    <t>(E)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</si>
  <si>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</si>
  <si>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</si>
  <si>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</si>
  <si>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</si>
  <si>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</si>
  <si>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</si>
  <si>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</si>
  <si>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</si>
  <si>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</si>
  <si>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</si>
  <si>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</si>
  <si>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</si>
  <si>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 xml:space="preserve">          TOTAL  All Major Projects </t>
  </si>
  <si>
    <t>(31)</t>
  </si>
  <si>
    <t>(32)</t>
  </si>
  <si>
    <t>(33)</t>
  </si>
  <si>
    <t>(34)</t>
  </si>
  <si>
    <t>(35)</t>
  </si>
  <si>
    <t>(36)</t>
  </si>
  <si>
    <t>(37)</t>
  </si>
  <si>
    <t>Options #1,2,3,5 &amp; 6:  Big Sandy Unit 1 or 2</t>
  </si>
  <si>
    <t>Mitchell 1&amp;2 Asset Transfer @ 20%</t>
  </si>
  <si>
    <t>Mitchell 1&amp;2 Asset Transfer @ 50%</t>
  </si>
  <si>
    <t xml:space="preserve">AEP Allocated Costs/OH </t>
  </si>
  <si>
    <t xml:space="preserve">     (cost estimates above are fully-loaded)</t>
  </si>
  <si>
    <t>(E) Costs estimated were already 'fully-loaded'</t>
  </si>
  <si>
    <t>(F)</t>
  </si>
  <si>
    <t>(F) Reflects estimated "per book" cost @ 12/31/2013</t>
  </si>
  <si>
    <t xml:space="preserve">(D) Reflects an assumed ~3.5% unit derate; also reflects all required interconnection and gas pipeline/infrastructure costs  </t>
  </si>
  <si>
    <r>
      <t xml:space="preserve">TOTAL COST 
</t>
    </r>
    <r>
      <rPr>
        <i/>
        <sz val="9"/>
        <color indexed="8"/>
        <rFont val="Calibri"/>
        <family val="2"/>
      </rPr>
      <t>(</t>
    </r>
    <r>
      <rPr>
        <i/>
        <u val="single"/>
        <sz val="9"/>
        <color indexed="8"/>
        <rFont val="Calibri"/>
        <family val="2"/>
      </rPr>
      <t>Excluding</t>
    </r>
    <r>
      <rPr>
        <i/>
        <sz val="9"/>
        <color indexed="8"/>
        <rFont val="Calibri"/>
        <family val="2"/>
      </rPr>
      <t xml:space="preserve"> AFUDC)</t>
    </r>
  </si>
  <si>
    <r>
      <t xml:space="preserve"> (</t>
    </r>
    <r>
      <rPr>
        <i/>
        <u val="single"/>
        <sz val="11"/>
        <color indexed="8"/>
        <rFont val="Calibri"/>
        <family val="2"/>
      </rPr>
      <t>Excl</t>
    </r>
    <r>
      <rPr>
        <i/>
        <sz val="11"/>
        <color indexed="8"/>
        <rFont val="Calibri"/>
        <family val="2"/>
      </rPr>
      <t>. AFUDC)</t>
    </r>
  </si>
  <si>
    <t>Ann Escalator</t>
  </si>
  <si>
    <t>Ann Cash Flow</t>
  </si>
  <si>
    <t xml:space="preserve"> with duct-firing</t>
  </si>
  <si>
    <r>
      <t xml:space="preserve">Greenfield CC (Option #4) </t>
    </r>
    <r>
      <rPr>
        <b/>
        <sz val="12"/>
        <color indexed="8"/>
        <rFont val="Calibri"/>
        <family val="2"/>
      </rPr>
      <t>with Duct Firing</t>
    </r>
  </si>
  <si>
    <t>CC (2x1 GE-7FA Series)… 100% (624-MW, nominal [ISP rating]… 740-MW w/ Duct-Firing)</t>
  </si>
  <si>
    <t xml:space="preserve">Per EP&amp;FS Estimates 2x1 GE 7FA.05 Series ($000): </t>
  </si>
  <si>
    <t xml:space="preserve">000021737    BS U2 BA Pond Reline </t>
  </si>
  <si>
    <t xml:space="preserve">         Plus:  Additional Non-Recurring BS2 Environmental </t>
  </si>
  <si>
    <t xml:space="preserve">         Plus:  Additional Non-Recurring BS1 Environmental </t>
  </si>
  <si>
    <t xml:space="preserve">         Plus:  Additional Non-Recurring Mitchell Environmental </t>
  </si>
  <si>
    <t xml:space="preserve">CCR, ELG &amp; 316(b) </t>
  </si>
  <si>
    <t xml:space="preserve">CCR &amp; 316(b) </t>
  </si>
  <si>
    <t>316(b) (only)</t>
  </si>
  <si>
    <t xml:space="preserve">Note: Any subsequent years' in-service date established in Strategist resource optimization modeling escalated these annual cash flows by 2.5% per year </t>
  </si>
  <si>
    <r>
      <t xml:space="preserve">  2011 $ CC </t>
    </r>
    <r>
      <rPr>
        <sz val="10"/>
        <color indexed="17"/>
        <rFont val="Calibri"/>
        <family val="2"/>
      </rPr>
      <t>(BEFORE Add'l OH &amp; AFUDC)</t>
    </r>
  </si>
  <si>
    <r>
      <t xml:space="preserve"> 'As Spent', Nominal $ CC </t>
    </r>
    <r>
      <rPr>
        <sz val="10"/>
        <color indexed="17"/>
        <rFont val="Calibri"/>
        <family val="2"/>
      </rPr>
      <t>(BEFORE Add'l OH &amp; AFUDC)</t>
    </r>
  </si>
  <si>
    <t>Annual Inflator/Escalator</t>
  </si>
  <si>
    <t>TABLE 3</t>
  </si>
  <si>
    <t>CCR, 316(b), ELG</t>
  </si>
  <si>
    <t xml:space="preserve">                     Costs included in Modeling (thru 2021)</t>
  </si>
  <si>
    <r>
      <t xml:space="preserve">                     Costs included in Modeling (thru 2021), </t>
    </r>
    <r>
      <rPr>
        <i/>
        <u val="single"/>
        <sz val="11"/>
        <color indexed="8"/>
        <rFont val="Calibri"/>
        <family val="2"/>
      </rPr>
      <t>post-1/2014</t>
    </r>
  </si>
  <si>
    <t>KPSC Case No. 2012-00578</t>
  </si>
  <si>
    <t>Kentucky Industrial Utility Customers First Set of Data Requests</t>
  </si>
  <si>
    <t>Dated February 6, 2013</t>
  </si>
  <si>
    <t>Attachment 1</t>
  </si>
  <si>
    <t>Page 1 of 1</t>
  </si>
  <si>
    <t>Item No.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</si>
</sst>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.0_);[Red]\(&quot;$&quot;#,##0.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u val="single"/>
      <sz val="11"/>
      <color indexed="8"/>
      <name val="Calibri"/>
      <family val="2"/>
    </font>
    <font>
      <sz val="9"/>
      <name val="Arial"/>
      <family val="2"/>
    </font>
    <font>
      <vertAlign val="superscript"/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17"/>
      <name val="Calibri"/>
      <family val="2"/>
    </font>
    <font>
      <i/>
      <sz val="10"/>
      <color indexed="8"/>
      <name val="Calibri"/>
      <family val="2"/>
    </font>
    <font>
      <sz val="11"/>
      <color indexed="30"/>
      <name val="Calibri"/>
      <family val="2"/>
    </font>
    <font>
      <u val="single"/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8"/>
      <color indexed="8"/>
      <name val="Calibri"/>
      <family val="2"/>
    </font>
    <font>
      <i/>
      <u val="single"/>
      <sz val="10"/>
      <color indexed="10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sz val="11"/>
      <name val="Calibri"/>
      <family val="2"/>
    </font>
    <font>
      <b/>
      <i/>
      <sz val="11"/>
      <color indexed="17"/>
      <name val="Calibri"/>
      <family val="2"/>
    </font>
    <font>
      <b/>
      <sz val="12"/>
      <color indexed="17"/>
      <name val="Calibri"/>
      <family val="2"/>
    </font>
    <font>
      <sz val="8"/>
      <color indexed="8"/>
      <name val="Calibri"/>
      <family val="2"/>
    </font>
    <font>
      <sz val="8"/>
      <color indexed="56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B050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rgb="FF00B050"/>
      <name val="Calibri"/>
      <family val="2"/>
    </font>
    <font>
      <i/>
      <sz val="10"/>
      <color theme="1"/>
      <name val="Calibri"/>
      <family val="2"/>
    </font>
    <font>
      <u val="single"/>
      <sz val="11"/>
      <color rgb="FFFF0000"/>
      <name val="Calibri"/>
      <family val="2"/>
    </font>
    <font>
      <sz val="11"/>
      <color rgb="FF0070C0"/>
      <name val="Calibri"/>
      <family val="2"/>
    </font>
    <font>
      <u val="single"/>
      <sz val="11"/>
      <color rgb="FF0070C0"/>
      <name val="Calibri"/>
      <family val="2"/>
    </font>
    <font>
      <i/>
      <sz val="9"/>
      <color theme="1"/>
      <name val="Calibri"/>
      <family val="2"/>
    </font>
    <font>
      <i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i/>
      <sz val="8"/>
      <color theme="1"/>
      <name val="Calibri"/>
      <family val="2"/>
    </font>
    <font>
      <i/>
      <u val="single"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i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8"/>
      <color theme="1"/>
      <name val="Calibri"/>
      <family val="2"/>
    </font>
    <font>
      <sz val="8"/>
      <color theme="3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38" fontId="71" fillId="33" borderId="0" xfId="42" applyNumberFormat="1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 quotePrefix="1">
      <alignment horizontal="center"/>
    </xf>
    <xf numFmtId="38" fontId="73" fillId="33" borderId="0" xfId="42" applyNumberFormat="1" applyFont="1" applyFill="1" applyAlignment="1">
      <alignment horizontal="center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38" fontId="0" fillId="0" borderId="0" xfId="42" applyNumberFormat="1" applyFont="1" applyAlignment="1">
      <alignment/>
    </xf>
    <xf numFmtId="38" fontId="0" fillId="0" borderId="0" xfId="0" applyNumberFormat="1" applyAlignment="1">
      <alignment/>
    </xf>
    <xf numFmtId="0" fontId="76" fillId="0" borderId="0" xfId="0" applyFont="1" applyAlignment="1">
      <alignment/>
    </xf>
    <xf numFmtId="38" fontId="75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66" fontId="78" fillId="0" borderId="0" xfId="57" applyNumberFormat="1" applyFont="1" applyAlignment="1">
      <alignment/>
    </xf>
    <xf numFmtId="38" fontId="73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34" borderId="0" xfId="0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0" fontId="81" fillId="33" borderId="0" xfId="0" applyFont="1" applyFill="1" applyAlignment="1">
      <alignment horizontal="center"/>
    </xf>
    <xf numFmtId="38" fontId="0" fillId="33" borderId="0" xfId="42" applyNumberFormat="1" applyFont="1" applyFill="1" applyAlignment="1">
      <alignment horizontal="center"/>
    </xf>
    <xf numFmtId="38" fontId="0" fillId="33" borderId="0" xfId="42" applyNumberFormat="1" applyFont="1" applyFill="1" applyAlignment="1">
      <alignment/>
    </xf>
    <xf numFmtId="38" fontId="82" fillId="0" borderId="0" xfId="0" applyNumberFormat="1" applyFont="1" applyFill="1" applyBorder="1" applyAlignment="1">
      <alignment/>
    </xf>
    <xf numFmtId="0" fontId="83" fillId="0" borderId="0" xfId="0" applyFont="1" applyAlignment="1">
      <alignment/>
    </xf>
    <xf numFmtId="38" fontId="83" fillId="0" borderId="0" xfId="0" applyNumberFormat="1" applyFont="1" applyAlignment="1">
      <alignment/>
    </xf>
    <xf numFmtId="38" fontId="83" fillId="0" borderId="0" xfId="0" applyNumberFormat="1" applyFont="1" applyFill="1" applyBorder="1" applyAlignment="1">
      <alignment/>
    </xf>
    <xf numFmtId="38" fontId="84" fillId="0" borderId="0" xfId="0" applyNumberFormat="1" applyFont="1" applyAlignment="1">
      <alignment/>
    </xf>
    <xf numFmtId="38" fontId="84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85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38" fontId="86" fillId="33" borderId="0" xfId="42" applyNumberFormat="1" applyFont="1" applyFill="1" applyBorder="1" applyAlignment="1">
      <alignment horizontal="center"/>
    </xf>
    <xf numFmtId="38" fontId="73" fillId="33" borderId="0" xfId="42" applyNumberFormat="1" applyFont="1" applyFill="1" applyAlignment="1">
      <alignment/>
    </xf>
    <xf numFmtId="0" fontId="87" fillId="33" borderId="10" xfId="0" applyFont="1" applyFill="1" applyBorder="1" applyAlignment="1">
      <alignment horizontal="center"/>
    </xf>
    <xf numFmtId="0" fontId="87" fillId="33" borderId="11" xfId="0" applyFont="1" applyFill="1" applyBorder="1" applyAlignment="1">
      <alignment horizontal="center"/>
    </xf>
    <xf numFmtId="0" fontId="85" fillId="33" borderId="12" xfId="0" applyFont="1" applyFill="1" applyBorder="1" applyAlignment="1">
      <alignment horizontal="center"/>
    </xf>
    <xf numFmtId="0" fontId="85" fillId="33" borderId="13" xfId="0" applyFont="1" applyFill="1" applyBorder="1" applyAlignment="1">
      <alignment horizontal="center"/>
    </xf>
    <xf numFmtId="38" fontId="0" fillId="33" borderId="13" xfId="42" applyNumberFormat="1" applyFont="1" applyFill="1" applyBorder="1" applyAlignment="1">
      <alignment horizontal="center"/>
    </xf>
    <xf numFmtId="6" fontId="86" fillId="33" borderId="12" xfId="0" applyNumberFormat="1" applyFont="1" applyFill="1" applyBorder="1" applyAlignment="1">
      <alignment horizontal="center"/>
    </xf>
    <xf numFmtId="38" fontId="86" fillId="33" borderId="13" xfId="42" applyNumberFormat="1" applyFont="1" applyFill="1" applyBorder="1" applyAlignment="1">
      <alignment horizontal="center"/>
    </xf>
    <xf numFmtId="0" fontId="87" fillId="33" borderId="14" xfId="0" applyFont="1" applyFill="1" applyBorder="1" applyAlignment="1">
      <alignment horizontal="center"/>
    </xf>
    <xf numFmtId="0" fontId="85" fillId="33" borderId="15" xfId="0" applyFont="1" applyFill="1" applyBorder="1" applyAlignment="1">
      <alignment horizontal="center"/>
    </xf>
    <xf numFmtId="38" fontId="0" fillId="33" borderId="15" xfId="42" applyNumberFormat="1" applyFont="1" applyFill="1" applyBorder="1" applyAlignment="1">
      <alignment horizontal="center"/>
    </xf>
    <xf numFmtId="38" fontId="0" fillId="33" borderId="15" xfId="42" applyNumberFormat="1" applyFont="1" applyFill="1" applyBorder="1" applyAlignment="1">
      <alignment/>
    </xf>
    <xf numFmtId="38" fontId="0" fillId="33" borderId="12" xfId="42" applyNumberFormat="1" applyFont="1" applyFill="1" applyBorder="1" applyAlignment="1">
      <alignment horizontal="center"/>
    </xf>
    <xf numFmtId="6" fontId="86" fillId="33" borderId="12" xfId="42" applyNumberFormat="1" applyFont="1" applyFill="1" applyBorder="1" applyAlignment="1">
      <alignment horizontal="center"/>
    </xf>
    <xf numFmtId="38" fontId="0" fillId="33" borderId="12" xfId="42" applyNumberFormat="1" applyFont="1" applyFill="1" applyBorder="1" applyAlignment="1">
      <alignment/>
    </xf>
    <xf numFmtId="38" fontId="0" fillId="33" borderId="13" xfId="42" applyNumberFormat="1" applyFont="1" applyFill="1" applyBorder="1" applyAlignment="1">
      <alignment/>
    </xf>
    <xf numFmtId="6" fontId="86" fillId="33" borderId="15" xfId="42" applyNumberFormat="1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87" fillId="0" borderId="0" xfId="0" applyFont="1" applyAlignment="1">
      <alignment/>
    </xf>
    <xf numFmtId="0" fontId="75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1" fillId="33" borderId="0" xfId="0" applyFont="1" applyFill="1" applyAlignment="1">
      <alignment/>
    </xf>
    <xf numFmtId="3" fontId="0" fillId="0" borderId="0" xfId="0" applyNumberFormat="1" applyAlignment="1">
      <alignment/>
    </xf>
    <xf numFmtId="164" fontId="73" fillId="0" borderId="0" xfId="42" applyNumberFormat="1" applyFont="1" applyAlignment="1">
      <alignment/>
    </xf>
    <xf numFmtId="164" fontId="86" fillId="0" borderId="0" xfId="42" applyNumberFormat="1" applyFont="1" applyAlignment="1">
      <alignment/>
    </xf>
    <xf numFmtId="166" fontId="73" fillId="0" borderId="0" xfId="57" applyNumberFormat="1" applyFont="1" applyAlignment="1">
      <alignment/>
    </xf>
    <xf numFmtId="166" fontId="73" fillId="0" borderId="0" xfId="0" applyNumberFormat="1" applyFont="1" applyAlignment="1">
      <alignment/>
    </xf>
    <xf numFmtId="6" fontId="73" fillId="33" borderId="16" xfId="42" applyNumberFormat="1" applyFont="1" applyFill="1" applyBorder="1" applyAlignment="1">
      <alignment horizontal="center"/>
    </xf>
    <xf numFmtId="38" fontId="73" fillId="33" borderId="17" xfId="42" applyNumberFormat="1" applyFont="1" applyFill="1" applyBorder="1" applyAlignment="1">
      <alignment horizontal="center"/>
    </xf>
    <xf numFmtId="6" fontId="73" fillId="33" borderId="18" xfId="42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75" fillId="0" borderId="0" xfId="0" applyFont="1" applyAlignment="1" quotePrefix="1">
      <alignment horizontal="center"/>
    </xf>
    <xf numFmtId="38" fontId="0" fillId="0" borderId="0" xfId="0" applyNumberFormat="1" applyFill="1" applyAlignment="1">
      <alignment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0" fontId="89" fillId="33" borderId="0" xfId="0" applyFont="1" applyFill="1" applyAlignment="1">
      <alignment horizontal="righ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74" fillId="33" borderId="0" xfId="0" applyFont="1" applyFill="1" applyAlignment="1" quotePrefix="1">
      <alignment horizontal="center" vertical="center"/>
    </xf>
    <xf numFmtId="0" fontId="74" fillId="33" borderId="0" xfId="0" applyFont="1" applyFill="1" applyAlignment="1" quotePrefix="1">
      <alignment horizontal="center"/>
    </xf>
    <xf numFmtId="0" fontId="74" fillId="37" borderId="0" xfId="0" applyFont="1" applyFill="1" applyAlignment="1" quotePrefix="1">
      <alignment horizontal="center"/>
    </xf>
    <xf numFmtId="0" fontId="74" fillId="37" borderId="0" xfId="0" applyFont="1" applyFill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1" fillId="38" borderId="0" xfId="0" applyFont="1" applyFill="1" applyAlignment="1">
      <alignment/>
    </xf>
    <xf numFmtId="6" fontId="71" fillId="38" borderId="12" xfId="0" applyNumberFormat="1" applyFont="1" applyFill="1" applyBorder="1" applyAlignment="1">
      <alignment horizontal="center"/>
    </xf>
    <xf numFmtId="38" fontId="71" fillId="38" borderId="13" xfId="42" applyNumberFormat="1" applyFont="1" applyFill="1" applyBorder="1" applyAlignment="1">
      <alignment horizontal="center"/>
    </xf>
    <xf numFmtId="38" fontId="71" fillId="38" borderId="0" xfId="42" applyNumberFormat="1" applyFont="1" applyFill="1" applyAlignment="1">
      <alignment horizontal="center"/>
    </xf>
    <xf numFmtId="6" fontId="71" fillId="38" borderId="15" xfId="42" applyNumberFormat="1" applyFont="1" applyFill="1" applyBorder="1" applyAlignment="1">
      <alignment horizontal="center"/>
    </xf>
    <xf numFmtId="6" fontId="71" fillId="38" borderId="12" xfId="42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38" fontId="73" fillId="38" borderId="0" xfId="42" applyNumberFormat="1" applyFont="1" applyFill="1" applyAlignment="1">
      <alignment horizontal="center"/>
    </xf>
    <xf numFmtId="6" fontId="71" fillId="38" borderId="16" xfId="42" applyNumberFormat="1" applyFont="1" applyFill="1" applyBorder="1" applyAlignment="1">
      <alignment horizontal="center"/>
    </xf>
    <xf numFmtId="38" fontId="71" fillId="38" borderId="17" xfId="42" applyNumberFormat="1" applyFont="1" applyFill="1" applyBorder="1" applyAlignment="1">
      <alignment horizontal="center"/>
    </xf>
    <xf numFmtId="38" fontId="0" fillId="38" borderId="0" xfId="42" applyNumberFormat="1" applyFont="1" applyFill="1" applyAlignment="1">
      <alignment/>
    </xf>
    <xf numFmtId="6" fontId="71" fillId="38" borderId="18" xfId="42" applyNumberFormat="1" applyFont="1" applyFill="1" applyBorder="1" applyAlignment="1">
      <alignment horizontal="center"/>
    </xf>
    <xf numFmtId="0" fontId="73" fillId="34" borderId="0" xfId="0" applyFont="1" applyFill="1" applyAlignment="1" quotePrefix="1">
      <alignment horizontal="center"/>
    </xf>
    <xf numFmtId="6" fontId="71" fillId="34" borderId="0" xfId="42" applyNumberFormat="1" applyFont="1" applyFill="1" applyBorder="1" applyAlignment="1">
      <alignment horizontal="center"/>
    </xf>
    <xf numFmtId="38" fontId="71" fillId="34" borderId="0" xfId="42" applyNumberFormat="1" applyFont="1" applyFill="1" applyBorder="1" applyAlignment="1">
      <alignment horizontal="center"/>
    </xf>
    <xf numFmtId="38" fontId="0" fillId="34" borderId="0" xfId="42" applyNumberFormat="1" applyFont="1" applyFill="1" applyBorder="1" applyAlignment="1">
      <alignment/>
    </xf>
    <xf numFmtId="6" fontId="0" fillId="34" borderId="0" xfId="0" applyNumberFormat="1" applyFill="1" applyAlignment="1">
      <alignment/>
    </xf>
    <xf numFmtId="0" fontId="87" fillId="33" borderId="19" xfId="0" applyFont="1" applyFill="1" applyBorder="1" applyAlignment="1">
      <alignment horizontal="center" wrapText="1"/>
    </xf>
    <xf numFmtId="0" fontId="77" fillId="0" borderId="0" xfId="0" applyFont="1" applyBorder="1" applyAlignment="1">
      <alignment/>
    </xf>
    <xf numFmtId="0" fontId="0" fillId="0" borderId="0" xfId="0" applyFill="1" applyBorder="1" applyAlignment="1">
      <alignment/>
    </xf>
    <xf numFmtId="38" fontId="72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38" fontId="90" fillId="0" borderId="0" xfId="0" applyNumberFormat="1" applyFont="1" applyFill="1" applyBorder="1" applyAlignment="1">
      <alignment/>
    </xf>
    <xf numFmtId="0" fontId="30" fillId="0" borderId="20" xfId="0" applyFont="1" applyFill="1" applyBorder="1" applyAlignment="1">
      <alignment/>
    </xf>
    <xf numFmtId="38" fontId="3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8" fontId="0" fillId="0" borderId="23" xfId="0" applyNumberFormat="1" applyBorder="1" applyAlignment="1">
      <alignment/>
    </xf>
    <xf numFmtId="0" fontId="91" fillId="0" borderId="0" xfId="0" applyFont="1" applyFill="1" applyAlignment="1">
      <alignment horizontal="center"/>
    </xf>
    <xf numFmtId="0" fontId="32" fillId="0" borderId="22" xfId="0" applyFont="1" applyFill="1" applyBorder="1" applyAlignment="1">
      <alignment/>
    </xf>
    <xf numFmtId="38" fontId="32" fillId="0" borderId="23" xfId="0" applyNumberFormat="1" applyFont="1" applyFill="1" applyBorder="1" applyAlignment="1">
      <alignment/>
    </xf>
    <xf numFmtId="0" fontId="73" fillId="0" borderId="0" xfId="0" applyFont="1" applyAlignment="1">
      <alignment horizontal="right"/>
    </xf>
    <xf numFmtId="38" fontId="0" fillId="0" borderId="24" xfId="0" applyNumberFormat="1" applyFill="1" applyBorder="1" applyAlignment="1">
      <alignment/>
    </xf>
    <xf numFmtId="0" fontId="87" fillId="0" borderId="0" xfId="0" applyFont="1" applyFill="1" applyAlignment="1" quotePrefix="1">
      <alignment/>
    </xf>
    <xf numFmtId="0" fontId="0" fillId="0" borderId="0" xfId="0" applyBorder="1" applyAlignment="1">
      <alignment/>
    </xf>
    <xf numFmtId="0" fontId="79" fillId="0" borderId="0" xfId="0" applyFont="1" applyBorder="1" applyAlignment="1">
      <alignment/>
    </xf>
    <xf numFmtId="0" fontId="74" fillId="0" borderId="0" xfId="0" applyFont="1" applyAlignment="1">
      <alignment/>
    </xf>
    <xf numFmtId="38" fontId="72" fillId="39" borderId="24" xfId="0" applyNumberFormat="1" applyFont="1" applyFill="1" applyBorder="1" applyAlignment="1">
      <alignment/>
    </xf>
    <xf numFmtId="38" fontId="72" fillId="0" borderId="24" xfId="0" applyNumberFormat="1" applyFont="1" applyFill="1" applyBorder="1" applyAlignment="1">
      <alignment/>
    </xf>
    <xf numFmtId="38" fontId="73" fillId="0" borderId="0" xfId="42" applyNumberFormat="1" applyFont="1" applyAlignment="1">
      <alignment/>
    </xf>
    <xf numFmtId="38" fontId="73" fillId="0" borderId="0" xfId="0" applyNumberFormat="1" applyFont="1" applyFill="1" applyAlignment="1">
      <alignment/>
    </xf>
    <xf numFmtId="38" fontId="86" fillId="0" borderId="0" xfId="42" applyNumberFormat="1" applyFont="1" applyAlignment="1">
      <alignment/>
    </xf>
    <xf numFmtId="38" fontId="86" fillId="0" borderId="0" xfId="0" applyNumberFormat="1" applyFont="1" applyFill="1" applyAlignment="1">
      <alignment/>
    </xf>
    <xf numFmtId="0" fontId="92" fillId="0" borderId="0" xfId="0" applyFont="1" applyAlignment="1" quotePrefix="1">
      <alignment/>
    </xf>
    <xf numFmtId="0" fontId="93" fillId="0" borderId="0" xfId="0" applyFont="1" applyAlignment="1">
      <alignment/>
    </xf>
    <xf numFmtId="38" fontId="72" fillId="39" borderId="0" xfId="0" applyNumberFormat="1" applyFont="1" applyFill="1" applyBorder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/>
    </xf>
    <xf numFmtId="0" fontId="94" fillId="0" borderId="0" xfId="0" applyFont="1" applyAlignment="1">
      <alignment/>
    </xf>
    <xf numFmtId="0" fontId="0" fillId="0" borderId="22" xfId="0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1" xfId="0" applyNumberFormat="1" applyBorder="1" applyAlignment="1">
      <alignment/>
    </xf>
    <xf numFmtId="0" fontId="0" fillId="33" borderId="0" xfId="0" applyFill="1" applyBorder="1" applyAlignment="1">
      <alignment/>
    </xf>
    <xf numFmtId="0" fontId="95" fillId="33" borderId="13" xfId="0" applyFont="1" applyFill="1" applyBorder="1" applyAlignment="1">
      <alignment horizontal="center"/>
    </xf>
    <xf numFmtId="0" fontId="95" fillId="33" borderId="0" xfId="0" applyFont="1" applyFill="1" applyAlignment="1">
      <alignment/>
    </xf>
    <xf numFmtId="0" fontId="95" fillId="33" borderId="15" xfId="0" applyFont="1" applyFill="1" applyBorder="1" applyAlignment="1">
      <alignment/>
    </xf>
    <xf numFmtId="0" fontId="95" fillId="33" borderId="12" xfId="0" applyFont="1" applyFill="1" applyBorder="1" applyAlignment="1">
      <alignment/>
    </xf>
    <xf numFmtId="38" fontId="0" fillId="0" borderId="24" xfId="42" applyNumberFormat="1" applyFont="1" applyBorder="1" applyAlignment="1">
      <alignment/>
    </xf>
    <xf numFmtId="38" fontId="96" fillId="0" borderId="26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4" fontId="72" fillId="0" borderId="25" xfId="42" applyNumberFormat="1" applyFont="1" applyFill="1" applyBorder="1" applyAlignment="1">
      <alignment/>
    </xf>
    <xf numFmtId="165" fontId="97" fillId="0" borderId="24" xfId="44" applyNumberFormat="1" applyFont="1" applyFill="1" applyBorder="1" applyAlignment="1">
      <alignment/>
    </xf>
    <xf numFmtId="38" fontId="72" fillId="0" borderId="0" xfId="0" applyNumberFormat="1" applyFont="1" applyFill="1" applyAlignment="1">
      <alignment/>
    </xf>
    <xf numFmtId="38" fontId="72" fillId="0" borderId="26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38" fontId="73" fillId="0" borderId="23" xfId="0" applyNumberFormat="1" applyFont="1" applyBorder="1" applyAlignment="1">
      <alignment/>
    </xf>
    <xf numFmtId="38" fontId="73" fillId="0" borderId="25" xfId="0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 quotePrefix="1">
      <alignment horizontal="right"/>
    </xf>
    <xf numFmtId="164" fontId="0" fillId="0" borderId="2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0" fontId="92" fillId="0" borderId="0" xfId="0" applyFont="1" applyAlignment="1" quotePrefix="1">
      <alignment horizontal="right"/>
    </xf>
    <xf numFmtId="38" fontId="0" fillId="0" borderId="0" xfId="42" applyNumberFormat="1" applyFont="1" applyBorder="1" applyAlignment="1">
      <alignment/>
    </xf>
    <xf numFmtId="38" fontId="73" fillId="0" borderId="0" xfId="42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65" fontId="97" fillId="0" borderId="0" xfId="44" applyNumberFormat="1" applyFont="1" applyFill="1" applyBorder="1" applyAlignment="1">
      <alignment/>
    </xf>
    <xf numFmtId="38" fontId="0" fillId="34" borderId="0" xfId="0" applyNumberFormat="1" applyFill="1" applyAlignment="1">
      <alignment/>
    </xf>
    <xf numFmtId="0" fontId="3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34" borderId="0" xfId="0" applyFill="1" applyBorder="1" applyAlignment="1">
      <alignment/>
    </xf>
    <xf numFmtId="38" fontId="0" fillId="34" borderId="0" xfId="0" applyNumberFormat="1" applyFill="1" applyBorder="1" applyAlignment="1">
      <alignment/>
    </xf>
    <xf numFmtId="38" fontId="72" fillId="34" borderId="0" xfId="0" applyNumberFormat="1" applyFont="1" applyFill="1" applyBorder="1" applyAlignment="1">
      <alignment/>
    </xf>
    <xf numFmtId="0" fontId="75" fillId="34" borderId="0" xfId="0" applyFont="1" applyFill="1" applyAlignment="1">
      <alignment/>
    </xf>
    <xf numFmtId="0" fontId="87" fillId="34" borderId="0" xfId="0" applyFont="1" applyFill="1" applyAlignment="1" quotePrefix="1">
      <alignment/>
    </xf>
    <xf numFmtId="165" fontId="0" fillId="34" borderId="0" xfId="44" applyNumberFormat="1" applyFont="1" applyFill="1" applyAlignment="1">
      <alignment/>
    </xf>
    <xf numFmtId="0" fontId="32" fillId="0" borderId="0" xfId="0" applyFont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4" fontId="0" fillId="0" borderId="0" xfId="42" applyNumberFormat="1" applyFont="1" applyFill="1" applyAlignment="1">
      <alignment/>
    </xf>
    <xf numFmtId="38" fontId="72" fillId="0" borderId="24" xfId="42" applyNumberFormat="1" applyFont="1" applyBorder="1" applyAlignment="1">
      <alignment/>
    </xf>
    <xf numFmtId="165" fontId="97" fillId="32" borderId="24" xfId="44" applyNumberFormat="1" applyFont="1" applyFill="1" applyBorder="1" applyAlignment="1">
      <alignment/>
    </xf>
    <xf numFmtId="165" fontId="97" fillId="32" borderId="24" xfId="44" applyNumberFormat="1" applyFont="1" applyFill="1" applyBorder="1" applyAlignment="1">
      <alignment horizontal="center"/>
    </xf>
    <xf numFmtId="38" fontId="72" fillId="32" borderId="24" xfId="0" applyNumberFormat="1" applyFont="1" applyFill="1" applyBorder="1" applyAlignment="1">
      <alignment/>
    </xf>
    <xf numFmtId="38" fontId="0" fillId="32" borderId="24" xfId="42" applyNumberFormat="1" applyFont="1" applyFill="1" applyBorder="1" applyAlignment="1">
      <alignment/>
    </xf>
    <xf numFmtId="167" fontId="86" fillId="33" borderId="15" xfId="42" applyNumberFormat="1" applyFont="1" applyFill="1" applyBorder="1" applyAlignment="1">
      <alignment horizontal="center"/>
    </xf>
    <xf numFmtId="167" fontId="73" fillId="33" borderId="18" xfId="42" applyNumberFormat="1" applyFont="1" applyFill="1" applyBorder="1" applyAlignment="1">
      <alignment horizontal="center"/>
    </xf>
    <xf numFmtId="38" fontId="86" fillId="33" borderId="13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73" fillId="38" borderId="0" xfId="0" applyFont="1" applyFill="1" applyAlignment="1">
      <alignment horizontal="center"/>
    </xf>
    <xf numFmtId="38" fontId="73" fillId="0" borderId="13" xfId="42" applyNumberFormat="1" applyFont="1" applyFill="1" applyBorder="1" applyAlignment="1">
      <alignment horizontal="center"/>
    </xf>
    <xf numFmtId="38" fontId="71" fillId="38" borderId="13" xfId="0" applyNumberFormat="1" applyFont="1" applyFill="1" applyBorder="1" applyAlignment="1">
      <alignment horizontal="center"/>
    </xf>
    <xf numFmtId="6" fontId="73" fillId="33" borderId="12" xfId="0" applyNumberFormat="1" applyFont="1" applyFill="1" applyBorder="1" applyAlignment="1">
      <alignment horizontal="center"/>
    </xf>
    <xf numFmtId="6" fontId="73" fillId="33" borderId="16" xfId="0" applyNumberFormat="1" applyFont="1" applyFill="1" applyBorder="1" applyAlignment="1">
      <alignment horizontal="center"/>
    </xf>
    <xf numFmtId="38" fontId="73" fillId="0" borderId="17" xfId="42" applyNumberFormat="1" applyFont="1" applyFill="1" applyBorder="1" applyAlignment="1">
      <alignment horizontal="center"/>
    </xf>
    <xf numFmtId="0" fontId="81" fillId="38" borderId="15" xfId="0" applyFont="1" applyFill="1" applyBorder="1" applyAlignment="1">
      <alignment horizontal="center"/>
    </xf>
    <xf numFmtId="6" fontId="73" fillId="33" borderId="15" xfId="0" applyNumberFormat="1" applyFont="1" applyFill="1" applyBorder="1" applyAlignment="1">
      <alignment horizontal="center"/>
    </xf>
    <xf numFmtId="6" fontId="73" fillId="33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6" fontId="0" fillId="33" borderId="12" xfId="0" applyNumberFormat="1" applyFill="1" applyBorder="1" applyAlignment="1">
      <alignment horizontal="center"/>
    </xf>
    <xf numFmtId="38" fontId="73" fillId="33" borderId="13" xfId="0" applyNumberFormat="1" applyFont="1" applyFill="1" applyBorder="1" applyAlignment="1">
      <alignment horizontal="center"/>
    </xf>
    <xf numFmtId="38" fontId="73" fillId="33" borderId="17" xfId="0" applyNumberFormat="1" applyFont="1" applyFill="1" applyBorder="1" applyAlignment="1">
      <alignment horizontal="center"/>
    </xf>
    <xf numFmtId="0" fontId="7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3" fillId="37" borderId="0" xfId="0" applyFont="1" applyFill="1" applyAlignment="1">
      <alignment/>
    </xf>
    <xf numFmtId="0" fontId="98" fillId="33" borderId="0" xfId="0" applyFont="1" applyFill="1" applyAlignment="1">
      <alignment vertical="center"/>
    </xf>
    <xf numFmtId="38" fontId="94" fillId="37" borderId="0" xfId="42" applyNumberFormat="1" applyFont="1" applyFill="1" applyBorder="1" applyAlignment="1">
      <alignment horizontal="right"/>
    </xf>
    <xf numFmtId="0" fontId="94" fillId="33" borderId="12" xfId="0" applyFont="1" applyFill="1" applyBorder="1" applyAlignment="1">
      <alignment horizontal="center"/>
    </xf>
    <xf numFmtId="6" fontId="75" fillId="33" borderId="12" xfId="0" applyNumberFormat="1" applyFont="1" applyFill="1" applyBorder="1" applyAlignment="1">
      <alignment horizontal="center"/>
    </xf>
    <xf numFmtId="6" fontId="86" fillId="33" borderId="15" xfId="0" applyNumberFormat="1" applyFont="1" applyFill="1" applyBorder="1" applyAlignment="1">
      <alignment horizontal="center"/>
    </xf>
    <xf numFmtId="38" fontId="86" fillId="0" borderId="13" xfId="42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57" fillId="0" borderId="0" xfId="0" applyFont="1" applyAlignment="1">
      <alignment/>
    </xf>
    <xf numFmtId="6" fontId="0" fillId="33" borderId="12" xfId="0" applyNumberFormat="1" applyFill="1" applyBorder="1" applyAlignment="1">
      <alignment/>
    </xf>
    <xf numFmtId="38" fontId="94" fillId="37" borderId="15" xfId="42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164" fontId="78" fillId="0" borderId="0" xfId="42" applyNumberFormat="1" applyFont="1" applyFill="1" applyBorder="1" applyAlignment="1">
      <alignment/>
    </xf>
    <xf numFmtId="0" fontId="78" fillId="0" borderId="0" xfId="0" applyFont="1" applyBorder="1" applyAlignment="1">
      <alignment/>
    </xf>
    <xf numFmtId="10" fontId="0" fillId="0" borderId="0" xfId="57" applyNumberFormat="1" applyFont="1" applyBorder="1" applyAlignment="1">
      <alignment/>
    </xf>
    <xf numFmtId="164" fontId="32" fillId="0" borderId="0" xfId="42" applyNumberFormat="1" applyFont="1" applyFill="1" applyBorder="1" applyAlignment="1">
      <alignment/>
    </xf>
    <xf numFmtId="166" fontId="81" fillId="0" borderId="0" xfId="57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64" fontId="40" fillId="0" borderId="0" xfId="42" applyNumberFormat="1" applyFont="1" applyFill="1" applyBorder="1" applyAlignment="1">
      <alignment/>
    </xf>
    <xf numFmtId="0" fontId="99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165" fontId="74" fillId="0" borderId="0" xfId="44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9" fontId="81" fillId="0" borderId="0" xfId="57" applyFont="1" applyFill="1" applyBorder="1" applyAlignment="1">
      <alignment/>
    </xf>
    <xf numFmtId="165" fontId="100" fillId="0" borderId="24" xfId="44" applyNumberFormat="1" applyFont="1" applyFill="1" applyBorder="1" applyAlignment="1">
      <alignment/>
    </xf>
    <xf numFmtId="0" fontId="101" fillId="0" borderId="0" xfId="0" applyFont="1" applyAlignment="1">
      <alignment/>
    </xf>
    <xf numFmtId="38" fontId="73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02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166" fontId="81" fillId="0" borderId="0" xfId="57" applyNumberFormat="1" applyFont="1" applyBorder="1" applyAlignment="1">
      <alignment/>
    </xf>
    <xf numFmtId="10" fontId="81" fillId="0" borderId="0" xfId="57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164" fontId="73" fillId="0" borderId="0" xfId="42" applyNumberFormat="1" applyFont="1" applyBorder="1" applyAlignment="1">
      <alignment/>
    </xf>
    <xf numFmtId="0" fontId="71" fillId="0" borderId="0" xfId="0" applyFont="1" applyAlignment="1">
      <alignment horizontal="right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center"/>
    </xf>
    <xf numFmtId="0" fontId="85" fillId="38" borderId="13" xfId="0" applyFont="1" applyFill="1" applyBorder="1" applyAlignment="1">
      <alignment horizontal="center"/>
    </xf>
    <xf numFmtId="0" fontId="103" fillId="33" borderId="0" xfId="0" applyFont="1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38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0.00390625" style="0" customWidth="1"/>
    <col min="3" max="3" width="15.7109375" style="0" customWidth="1"/>
    <col min="4" max="4" width="16.421875" style="0" customWidth="1"/>
    <col min="5" max="5" width="12.7109375" style="0" customWidth="1"/>
    <col min="6" max="6" width="11.8515625" style="0" customWidth="1"/>
    <col min="7" max="7" width="13.00390625" style="0" customWidth="1"/>
    <col min="8" max="8" width="1.8515625" style="0" customWidth="1"/>
    <col min="9" max="9" width="12.140625" style="0" customWidth="1"/>
    <col min="10" max="10" width="1.57421875" style="0" customWidth="1"/>
    <col min="11" max="11" width="12.421875" style="0" customWidth="1"/>
    <col min="12" max="12" width="13.140625" style="0" customWidth="1"/>
    <col min="13" max="13" width="4.57421875" style="0" customWidth="1"/>
    <col min="16" max="16" width="6.28125" style="0" customWidth="1"/>
  </cols>
  <sheetData>
    <row r="1" ht="14.25">
      <c r="L1" s="236" t="s">
        <v>163</v>
      </c>
    </row>
    <row r="2" ht="14.25">
      <c r="L2" s="236" t="s">
        <v>164</v>
      </c>
    </row>
    <row r="3" ht="14.25">
      <c r="L3" s="236" t="s">
        <v>165</v>
      </c>
    </row>
    <row r="4" ht="14.25">
      <c r="L4" s="236" t="s">
        <v>168</v>
      </c>
    </row>
    <row r="5" ht="14.25">
      <c r="L5" s="236" t="s">
        <v>166</v>
      </c>
    </row>
    <row r="6" ht="14.25">
      <c r="L6" s="236" t="s">
        <v>167</v>
      </c>
    </row>
    <row r="7" spans="1:13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>
      <c r="A8" s="242" t="s">
        <v>159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1"/>
    </row>
    <row r="9" spans="1:13" ht="14.25">
      <c r="A9" s="1"/>
      <c r="C9" s="1"/>
      <c r="D9" s="1"/>
      <c r="E9" s="1"/>
      <c r="F9" s="1"/>
      <c r="L9" s="1"/>
      <c r="M9" s="1"/>
    </row>
    <row r="10" spans="1:13" ht="15" thickBot="1">
      <c r="A10" s="1"/>
      <c r="B10" s="3"/>
      <c r="C10" s="79" t="s">
        <v>32</v>
      </c>
      <c r="D10" s="3"/>
      <c r="E10" s="79" t="s">
        <v>33</v>
      </c>
      <c r="F10" s="80" t="s">
        <v>34</v>
      </c>
      <c r="G10" s="80" t="s">
        <v>35</v>
      </c>
      <c r="H10" s="81"/>
      <c r="I10" s="80" t="s">
        <v>36</v>
      </c>
      <c r="J10" s="82"/>
      <c r="K10" s="79" t="s">
        <v>37</v>
      </c>
      <c r="L10" s="79" t="s">
        <v>38</v>
      </c>
      <c r="M10" s="4"/>
    </row>
    <row r="11" spans="1:13" ht="36.75" thickBot="1">
      <c r="A11" s="78" t="s">
        <v>39</v>
      </c>
      <c r="B11" s="200" t="s">
        <v>104</v>
      </c>
      <c r="D11" s="1"/>
      <c r="E11" s="1"/>
      <c r="F11" s="237" t="s">
        <v>97</v>
      </c>
      <c r="G11" s="238"/>
      <c r="H11" s="4"/>
      <c r="I11" s="100" t="s">
        <v>96</v>
      </c>
      <c r="J11" s="35"/>
      <c r="K11" s="239" t="s">
        <v>140</v>
      </c>
      <c r="L11" s="238"/>
      <c r="M11" s="4"/>
    </row>
    <row r="12" spans="1:13" ht="14.25">
      <c r="A12" s="3"/>
      <c r="B12" s="199" t="s">
        <v>103</v>
      </c>
      <c r="D12" s="1"/>
      <c r="E12" s="6"/>
      <c r="F12" s="2"/>
      <c r="G12" s="2"/>
      <c r="H12" s="2"/>
      <c r="I12" s="37"/>
      <c r="J12" s="35"/>
      <c r="K12" s="4"/>
      <c r="L12" s="4"/>
      <c r="M12" s="4"/>
    </row>
    <row r="13" spans="1:13" ht="14.25">
      <c r="A13" s="78" t="s">
        <v>40</v>
      </c>
      <c r="B13" s="1"/>
      <c r="C13" s="1"/>
      <c r="D13" s="1"/>
      <c r="E13" s="26" t="s">
        <v>3</v>
      </c>
      <c r="F13" s="40" t="s">
        <v>8</v>
      </c>
      <c r="G13" s="41" t="s">
        <v>0</v>
      </c>
      <c r="H13" s="26"/>
      <c r="I13" s="47" t="s">
        <v>8</v>
      </c>
      <c r="J13" s="26"/>
      <c r="K13" s="40" t="s">
        <v>8</v>
      </c>
      <c r="L13" s="41" t="s">
        <v>0</v>
      </c>
      <c r="M13" s="26"/>
    </row>
    <row r="14" spans="1:13" ht="14.25">
      <c r="A14" s="78" t="s">
        <v>41</v>
      </c>
      <c r="B14" s="56" t="s">
        <v>11</v>
      </c>
      <c r="C14" s="56"/>
      <c r="D14" s="56"/>
      <c r="E14" s="36" t="s">
        <v>2</v>
      </c>
      <c r="F14" s="42" t="s">
        <v>7</v>
      </c>
      <c r="G14" s="43" t="s">
        <v>1</v>
      </c>
      <c r="H14" s="1"/>
      <c r="I14" s="48" t="s">
        <v>7</v>
      </c>
      <c r="J14" s="1"/>
      <c r="K14" s="42" t="s">
        <v>7</v>
      </c>
      <c r="L14" s="43" t="s">
        <v>1</v>
      </c>
      <c r="M14" s="1"/>
    </row>
    <row r="15" spans="1:13" ht="14.25">
      <c r="A15" s="78" t="s">
        <v>42</v>
      </c>
      <c r="B15" s="56" t="s">
        <v>26</v>
      </c>
      <c r="C15" s="56"/>
      <c r="D15" s="56"/>
      <c r="E15" s="201" t="s">
        <v>107</v>
      </c>
      <c r="F15" s="59"/>
      <c r="G15" s="60"/>
      <c r="H15" s="1"/>
      <c r="I15" s="49"/>
      <c r="J15" s="27"/>
      <c r="K15" s="51"/>
      <c r="L15" s="44"/>
      <c r="M15" s="27"/>
    </row>
    <row r="16" spans="1:14" ht="18">
      <c r="A16" s="78" t="s">
        <v>43</v>
      </c>
      <c r="B16" s="61"/>
      <c r="C16" s="83" t="s">
        <v>108</v>
      </c>
      <c r="D16" s="83"/>
      <c r="E16" s="184">
        <v>788</v>
      </c>
      <c r="F16" s="84">
        <f>'Supporting Cost Detail'!L12/1000</f>
        <v>858</v>
      </c>
      <c r="G16" s="85">
        <f>'Supporting Cost Detail'!R31</f>
        <v>949.186614786839</v>
      </c>
      <c r="H16" s="86"/>
      <c r="I16" s="87">
        <f>'Supporting Cost Detail'!L13/1000</f>
        <v>89.74680000000001</v>
      </c>
      <c r="J16" s="86"/>
      <c r="K16" s="88">
        <f>F16+I16</f>
        <v>947.7468</v>
      </c>
      <c r="L16" s="85">
        <f>G16*(K16/F16)</f>
        <v>1048.4715346935423</v>
      </c>
      <c r="N16" s="132"/>
    </row>
    <row r="17" spans="1:14" ht="15" customHeight="1">
      <c r="A17" s="78" t="s">
        <v>44</v>
      </c>
      <c r="B17" s="2" t="s">
        <v>149</v>
      </c>
      <c r="C17" s="1"/>
      <c r="D17" s="1"/>
      <c r="E17" s="1"/>
      <c r="F17" s="59"/>
      <c r="G17" s="138"/>
      <c r="H17" s="139"/>
      <c r="I17" s="140"/>
      <c r="J17" s="139"/>
      <c r="K17" s="141"/>
      <c r="L17" s="138"/>
      <c r="N17" s="132"/>
    </row>
    <row r="18" spans="1:14" ht="14.25">
      <c r="A18" s="78" t="s">
        <v>45</v>
      </c>
      <c r="B18" s="2" t="s">
        <v>161</v>
      </c>
      <c r="C18" s="2"/>
      <c r="D18" s="2"/>
      <c r="E18" s="2"/>
      <c r="F18" s="45">
        <f>'Supporting Cost Detail'!L25/1000</f>
        <v>45.24400016000001</v>
      </c>
      <c r="G18" s="46">
        <f>'Supporting Cost Detail'!R38</f>
        <v>48.09200143878516</v>
      </c>
      <c r="H18" s="38"/>
      <c r="I18" s="55">
        <f>F18*0.1046</f>
        <v>4.732522416736002</v>
      </c>
      <c r="J18" s="8"/>
      <c r="K18" s="52">
        <f>F18+I18</f>
        <v>49.976522576736016</v>
      </c>
      <c r="L18" s="46">
        <f>G18*(K18/F18)</f>
        <v>53.12242478928209</v>
      </c>
      <c r="N18" s="132"/>
    </row>
    <row r="19" spans="1:14" ht="5.25" customHeight="1">
      <c r="A19" s="3"/>
      <c r="B19" s="1"/>
      <c r="C19" s="2"/>
      <c r="D19" s="2"/>
      <c r="E19" s="2"/>
      <c r="F19" s="45"/>
      <c r="G19" s="46"/>
      <c r="H19" s="38"/>
      <c r="I19" s="55"/>
      <c r="J19" s="8"/>
      <c r="K19" s="52"/>
      <c r="L19" s="46"/>
      <c r="N19" s="132"/>
    </row>
    <row r="20" spans="1:13" ht="14.25">
      <c r="A20" s="78" t="s">
        <v>46</v>
      </c>
      <c r="B20" s="2" t="s">
        <v>123</v>
      </c>
      <c r="D20" s="2"/>
      <c r="E20" s="7"/>
      <c r="F20" s="67">
        <f>F16+F18</f>
        <v>903.24400016</v>
      </c>
      <c r="G20" s="68">
        <f>SUM(G16:G18)</f>
        <v>997.2786162256241</v>
      </c>
      <c r="H20" s="8"/>
      <c r="I20" s="69">
        <f>I16+I18</f>
        <v>94.47932241673601</v>
      </c>
      <c r="J20" s="39"/>
      <c r="K20" s="67">
        <f>F20+I20</f>
        <v>997.7233225767361</v>
      </c>
      <c r="L20" s="68">
        <f>L16+L18</f>
        <v>1101.5939594828244</v>
      </c>
      <c r="M20" s="1"/>
    </row>
    <row r="21" spans="1:13" ht="12" customHeight="1">
      <c r="A21" s="3"/>
      <c r="B21" s="23"/>
      <c r="C21" s="23"/>
      <c r="D21" s="23"/>
      <c r="E21" s="95"/>
      <c r="F21" s="96"/>
      <c r="G21" s="97"/>
      <c r="H21" s="97"/>
      <c r="I21" s="98"/>
      <c r="J21" s="98"/>
      <c r="K21" s="98"/>
      <c r="L21" s="98"/>
      <c r="M21" s="5"/>
    </row>
    <row r="22" spans="1:13" ht="5.25" customHeight="1">
      <c r="A22" s="3"/>
      <c r="B22" s="1"/>
      <c r="C22" s="1"/>
      <c r="D22" s="1"/>
      <c r="E22" s="1"/>
      <c r="F22" s="1"/>
      <c r="G22" s="28"/>
      <c r="H22" s="28"/>
      <c r="I22" s="28"/>
      <c r="J22" s="28"/>
      <c r="K22" s="28"/>
      <c r="L22" s="28"/>
      <c r="M22" s="28"/>
    </row>
    <row r="23" spans="1:13" ht="14.25" customHeight="1">
      <c r="A23" s="78" t="s">
        <v>47</v>
      </c>
      <c r="B23" s="1"/>
      <c r="C23" s="1"/>
      <c r="D23" s="1"/>
      <c r="E23" s="26" t="s">
        <v>3</v>
      </c>
      <c r="F23" s="1"/>
      <c r="G23" s="1"/>
      <c r="H23" s="1"/>
      <c r="I23" s="1"/>
      <c r="J23" s="1"/>
      <c r="K23" s="1"/>
      <c r="L23" s="1"/>
      <c r="M23" s="28"/>
    </row>
    <row r="24" spans="1:13" ht="14.25">
      <c r="A24" s="78" t="s">
        <v>48</v>
      </c>
      <c r="B24" s="1"/>
      <c r="C24" s="1"/>
      <c r="D24" s="1"/>
      <c r="E24" s="75" t="s">
        <v>29</v>
      </c>
      <c r="F24" s="40" t="s">
        <v>8</v>
      </c>
      <c r="G24" s="41" t="s">
        <v>0</v>
      </c>
      <c r="H24" s="1"/>
      <c r="I24" s="47" t="s">
        <v>8</v>
      </c>
      <c r="J24" s="26"/>
      <c r="K24" s="40" t="s">
        <v>8</v>
      </c>
      <c r="L24" s="41" t="s">
        <v>0</v>
      </c>
      <c r="M24" s="28"/>
    </row>
    <row r="25" spans="1:13" ht="14.25">
      <c r="A25" s="78" t="s">
        <v>49</v>
      </c>
      <c r="B25" s="56" t="s">
        <v>12</v>
      </c>
      <c r="C25" s="56"/>
      <c r="D25" s="56"/>
      <c r="E25" s="36" t="s">
        <v>2</v>
      </c>
      <c r="F25" s="42" t="s">
        <v>7</v>
      </c>
      <c r="G25" s="43" t="s">
        <v>1</v>
      </c>
      <c r="H25" s="28"/>
      <c r="I25" s="48" t="s">
        <v>7</v>
      </c>
      <c r="J25" s="1"/>
      <c r="K25" s="42" t="s">
        <v>7</v>
      </c>
      <c r="L25" s="43" t="s">
        <v>1</v>
      </c>
      <c r="M25" s="28"/>
    </row>
    <row r="26" spans="1:13" ht="15.75" customHeight="1">
      <c r="A26" s="78" t="s">
        <v>50</v>
      </c>
      <c r="B26" s="56" t="s">
        <v>27</v>
      </c>
      <c r="C26" s="56"/>
      <c r="D26" s="56"/>
      <c r="E26" s="201"/>
      <c r="F26" s="59"/>
      <c r="G26" s="60"/>
      <c r="H26" s="5"/>
      <c r="I26" s="50"/>
      <c r="J26" s="28"/>
      <c r="K26" s="53"/>
      <c r="L26" s="54"/>
      <c r="M26" s="1"/>
    </row>
    <row r="27" spans="1:13" ht="14.25">
      <c r="A27" s="78" t="s">
        <v>51</v>
      </c>
      <c r="B27" s="1"/>
      <c r="C27" s="83" t="s">
        <v>57</v>
      </c>
      <c r="D27" s="89"/>
      <c r="E27" s="90">
        <f>918</f>
        <v>918</v>
      </c>
      <c r="F27" s="91">
        <f>'Supporting Cost Detail'!L48/1000</f>
        <v>1137.4</v>
      </c>
      <c r="G27" s="92">
        <f>'Supporting Cost Detail'!R53</f>
        <v>1076.85074215899</v>
      </c>
      <c r="H27" s="93"/>
      <c r="I27" s="94">
        <f>'Supporting Cost Detail'!L49/1000</f>
        <v>96.679</v>
      </c>
      <c r="J27" s="93"/>
      <c r="K27" s="91">
        <f>F27+I27</f>
        <v>1234.0790000000002</v>
      </c>
      <c r="L27" s="92">
        <f>'Supporting Cost Detail'!R55</f>
        <v>1168.383055242504</v>
      </c>
      <c r="M27" s="1"/>
    </row>
    <row r="28" spans="1:13" ht="12" customHeight="1">
      <c r="A28" s="3"/>
      <c r="B28" s="23"/>
      <c r="C28" s="23"/>
      <c r="D28" s="23"/>
      <c r="E28" s="23"/>
      <c r="F28" s="23"/>
      <c r="G28" s="23"/>
      <c r="H28" s="23"/>
      <c r="I28" s="99"/>
      <c r="J28" s="23"/>
      <c r="K28" s="23"/>
      <c r="L28" s="23"/>
      <c r="M28" s="28"/>
    </row>
    <row r="29" spans="1:13" ht="5.25" customHeight="1">
      <c r="A29" s="3"/>
      <c r="B29" s="1"/>
      <c r="C29" s="1"/>
      <c r="D29" s="1"/>
      <c r="E29" s="1"/>
      <c r="F29" s="1"/>
      <c r="G29" s="28"/>
      <c r="H29" s="28"/>
      <c r="I29" s="28"/>
      <c r="J29" s="28"/>
      <c r="K29" s="28"/>
      <c r="L29" s="28"/>
      <c r="M29" s="28"/>
    </row>
    <row r="30" spans="1:13" ht="14.25" customHeight="1">
      <c r="A30" s="78" t="s">
        <v>52</v>
      </c>
      <c r="B30" s="1"/>
      <c r="C30" s="1"/>
      <c r="D30" s="1"/>
      <c r="E30" s="26" t="s">
        <v>3</v>
      </c>
      <c r="F30" s="1"/>
      <c r="G30" s="1"/>
      <c r="H30" s="1"/>
      <c r="I30" s="1"/>
      <c r="J30" s="1"/>
      <c r="K30" s="1"/>
      <c r="L30" s="1"/>
      <c r="M30" s="28"/>
    </row>
    <row r="31" spans="1:13" ht="15" customHeight="1">
      <c r="A31" s="78" t="s">
        <v>53</v>
      </c>
      <c r="B31" s="1"/>
      <c r="C31" s="1"/>
      <c r="D31" s="1"/>
      <c r="E31" s="75" t="s">
        <v>29</v>
      </c>
      <c r="F31" s="40" t="s">
        <v>8</v>
      </c>
      <c r="G31" s="41" t="s">
        <v>0</v>
      </c>
      <c r="H31" s="1"/>
      <c r="I31" s="47" t="s">
        <v>8</v>
      </c>
      <c r="J31" s="26"/>
      <c r="K31" s="40" t="s">
        <v>8</v>
      </c>
      <c r="L31" s="41" t="s">
        <v>0</v>
      </c>
      <c r="M31" s="28"/>
    </row>
    <row r="32" spans="1:13" ht="12" customHeight="1">
      <c r="A32" s="78" t="s">
        <v>54</v>
      </c>
      <c r="B32" s="56" t="s">
        <v>20</v>
      </c>
      <c r="C32" s="56"/>
      <c r="D32" s="56"/>
      <c r="E32" s="36" t="s">
        <v>2</v>
      </c>
      <c r="F32" s="42" t="s">
        <v>7</v>
      </c>
      <c r="G32" s="43" t="s">
        <v>1</v>
      </c>
      <c r="H32" s="28"/>
      <c r="I32" s="48" t="s">
        <v>7</v>
      </c>
      <c r="J32" s="1"/>
      <c r="K32" s="42" t="s">
        <v>7</v>
      </c>
      <c r="L32" s="43" t="s">
        <v>1</v>
      </c>
      <c r="M32" s="1"/>
    </row>
    <row r="33" spans="1:13" ht="14.25">
      <c r="A33" s="78" t="s">
        <v>55</v>
      </c>
      <c r="B33" s="56" t="s">
        <v>27</v>
      </c>
      <c r="C33" s="56"/>
      <c r="D33" s="56"/>
      <c r="E33" s="1"/>
      <c r="F33" s="59"/>
      <c r="G33" s="60"/>
      <c r="H33" s="5"/>
      <c r="I33" s="50"/>
      <c r="J33" s="28"/>
      <c r="K33" s="53"/>
      <c r="L33" s="54"/>
      <c r="M33" s="1"/>
    </row>
    <row r="34" spans="1:13" ht="14.25">
      <c r="A34" s="78" t="s">
        <v>56</v>
      </c>
      <c r="B34" s="1"/>
      <c r="C34" s="83" t="s">
        <v>21</v>
      </c>
      <c r="D34" s="89"/>
      <c r="E34" s="90">
        <f>802</f>
        <v>802</v>
      </c>
      <c r="F34" s="91">
        <f>'Supporting Cost Detail'!L65/1000</f>
        <v>1071.6</v>
      </c>
      <c r="G34" s="92">
        <f>'Supporting Cost Detail'!R70</f>
        <v>1161.2379493678866</v>
      </c>
      <c r="H34" s="93"/>
      <c r="I34" s="94">
        <f>'Supporting Cost Detail'!L66/1000</f>
        <v>91.086</v>
      </c>
      <c r="J34" s="93"/>
      <c r="K34" s="91">
        <f>F34+I34</f>
        <v>1162.686</v>
      </c>
      <c r="L34" s="92">
        <f>'Supporting Cost Detail'!R72</f>
        <v>1259.943175064157</v>
      </c>
      <c r="M34" s="1"/>
    </row>
    <row r="35" spans="1:13" ht="12" customHeight="1">
      <c r="A35" s="1"/>
      <c r="B35" s="23"/>
      <c r="C35" s="23"/>
      <c r="D35" s="23"/>
      <c r="E35" s="23"/>
      <c r="F35" s="23"/>
      <c r="G35" s="23"/>
      <c r="H35" s="23"/>
      <c r="I35" s="99"/>
      <c r="J35" s="23"/>
      <c r="K35" s="23"/>
      <c r="L35" s="23"/>
      <c r="M35" s="1"/>
    </row>
    <row r="36" spans="1:13" ht="5.25" customHeight="1">
      <c r="A36" s="1"/>
      <c r="B36" s="1"/>
      <c r="C36" s="1"/>
      <c r="D36" s="1"/>
      <c r="E36" s="1"/>
      <c r="F36" s="1"/>
      <c r="G36" s="28"/>
      <c r="H36" s="28"/>
      <c r="I36" s="28"/>
      <c r="J36" s="28"/>
      <c r="K36" s="28"/>
      <c r="L36" s="28"/>
      <c r="M36" s="1"/>
    </row>
    <row r="37" spans="1:13" ht="14.25">
      <c r="A37" s="78" t="s">
        <v>111</v>
      </c>
      <c r="B37" s="1"/>
      <c r="C37" s="1"/>
      <c r="D37" s="1"/>
      <c r="E37" s="26" t="s">
        <v>3</v>
      </c>
      <c r="F37" s="40" t="s">
        <v>8</v>
      </c>
      <c r="G37" s="41" t="s">
        <v>0</v>
      </c>
      <c r="H37" s="1"/>
      <c r="I37" s="47" t="s">
        <v>8</v>
      </c>
      <c r="J37" s="26"/>
      <c r="K37" s="40" t="s">
        <v>8</v>
      </c>
      <c r="L37" s="41" t="s">
        <v>0</v>
      </c>
      <c r="M37" s="1"/>
    </row>
    <row r="38" spans="1:13" ht="14.25">
      <c r="A38" s="78" t="s">
        <v>112</v>
      </c>
      <c r="B38" s="56" t="s">
        <v>94</v>
      </c>
      <c r="C38" s="56"/>
      <c r="D38" s="56"/>
      <c r="E38" s="36" t="s">
        <v>2</v>
      </c>
      <c r="F38" s="42" t="s">
        <v>7</v>
      </c>
      <c r="G38" s="43" t="s">
        <v>1</v>
      </c>
      <c r="H38" s="28"/>
      <c r="I38" s="48" t="s">
        <v>7</v>
      </c>
      <c r="J38" s="1"/>
      <c r="K38" s="42" t="s">
        <v>7</v>
      </c>
      <c r="L38" s="43" t="s">
        <v>1</v>
      </c>
      <c r="M38" s="1"/>
    </row>
    <row r="39" spans="1:13" ht="14.25">
      <c r="A39" s="78" t="s">
        <v>113</v>
      </c>
      <c r="B39" s="56" t="s">
        <v>27</v>
      </c>
      <c r="C39" s="56"/>
      <c r="D39" s="56"/>
      <c r="E39" s="201" t="s">
        <v>109</v>
      </c>
      <c r="F39" s="59"/>
      <c r="G39" s="60"/>
      <c r="H39" s="5"/>
      <c r="I39" s="209" t="s">
        <v>110</v>
      </c>
      <c r="J39" s="28"/>
      <c r="K39" s="53"/>
      <c r="L39" s="54"/>
      <c r="M39" s="1"/>
    </row>
    <row r="40" spans="1:13" ht="14.25">
      <c r="A40" s="78" t="s">
        <v>114</v>
      </c>
      <c r="B40" s="1"/>
      <c r="C40" s="83" t="s">
        <v>95</v>
      </c>
      <c r="D40" s="89"/>
      <c r="E40" s="90">
        <f>278*0.965</f>
        <v>268.27</v>
      </c>
      <c r="F40" s="88">
        <f>'Supporting Cost Detail'!L80/1000</f>
        <v>53.829</v>
      </c>
      <c r="G40" s="85">
        <f>'Supporting Cost Detail'!R92</f>
        <v>181.46927013156605</v>
      </c>
      <c r="H40" s="93"/>
      <c r="I40" s="190" t="s">
        <v>101</v>
      </c>
      <c r="J40" s="93"/>
      <c r="K40" s="88">
        <f>F40</f>
        <v>53.829</v>
      </c>
      <c r="L40" s="85">
        <f>G40*(K40/F40)</f>
        <v>181.46927013156605</v>
      </c>
      <c r="M40" s="1"/>
    </row>
    <row r="41" spans="1:13" ht="14.25">
      <c r="A41" s="78" t="s">
        <v>115</v>
      </c>
      <c r="B41" s="2" t="s">
        <v>150</v>
      </c>
      <c r="C41" s="1"/>
      <c r="D41" s="1"/>
      <c r="E41" s="1"/>
      <c r="F41" s="59"/>
      <c r="G41" s="60"/>
      <c r="H41" s="137"/>
      <c r="I41" s="183"/>
      <c r="J41" s="137"/>
      <c r="K41" s="59"/>
      <c r="L41" s="60"/>
      <c r="M41" s="1"/>
    </row>
    <row r="42" spans="1:13" ht="14.25">
      <c r="A42" s="78" t="s">
        <v>116</v>
      </c>
      <c r="B42" s="2" t="s">
        <v>161</v>
      </c>
      <c r="C42" s="2"/>
      <c r="D42" s="1"/>
      <c r="E42" s="1"/>
      <c r="F42" s="45">
        <f>'Supporting Cost Detail'!L88/1000</f>
        <v>3.098833</v>
      </c>
      <c r="G42" s="182">
        <f>'Supporting Cost Detail'!R96</f>
        <v>9.543040829328486</v>
      </c>
      <c r="H42" s="1"/>
      <c r="I42" s="180">
        <f>F42*0.091</f>
        <v>0.281993803</v>
      </c>
      <c r="J42" s="1"/>
      <c r="K42" s="52">
        <f>F42+I42</f>
        <v>3.3808268029999997</v>
      </c>
      <c r="L42" s="46">
        <f>G42*(K42/F42)</f>
        <v>10.411457544797377</v>
      </c>
      <c r="M42" s="1"/>
    </row>
    <row r="43" spans="1:13" ht="5.25" customHeight="1">
      <c r="A43" s="1"/>
      <c r="B43" s="1"/>
      <c r="C43" s="2"/>
      <c r="D43" s="1"/>
      <c r="E43" s="1"/>
      <c r="F43" s="59"/>
      <c r="G43" s="60"/>
      <c r="H43" s="1"/>
      <c r="I43" s="183"/>
      <c r="J43" s="1"/>
      <c r="K43" s="208"/>
      <c r="L43" s="60"/>
      <c r="M43" s="1"/>
    </row>
    <row r="44" spans="1:13" ht="14.25">
      <c r="A44" s="78" t="s">
        <v>117</v>
      </c>
      <c r="B44" s="2" t="s">
        <v>123</v>
      </c>
      <c r="D44" s="1"/>
      <c r="E44" s="1"/>
      <c r="F44" s="67">
        <f>F40+F42</f>
        <v>56.927833</v>
      </c>
      <c r="G44" s="68">
        <f>SUM(G40:G42)</f>
        <v>191.01231096089452</v>
      </c>
      <c r="H44" s="1"/>
      <c r="I44" s="181">
        <f>I42</f>
        <v>0.281993803</v>
      </c>
      <c r="J44" s="39"/>
      <c r="K44" s="67">
        <f>F44+I44</f>
        <v>57.209826803</v>
      </c>
      <c r="L44" s="68">
        <f>L40+L42</f>
        <v>191.88072767636342</v>
      </c>
      <c r="M44" s="1"/>
    </row>
    <row r="45" spans="1:13" ht="12" customHeight="1">
      <c r="A45" s="1"/>
      <c r="B45" s="23"/>
      <c r="C45" s="23"/>
      <c r="D45" s="23"/>
      <c r="E45" s="23"/>
      <c r="F45" s="23"/>
      <c r="G45" s="23"/>
      <c r="H45" s="23"/>
      <c r="I45" s="99"/>
      <c r="J45" s="23"/>
      <c r="K45" s="23"/>
      <c r="L45" s="23"/>
      <c r="M45" s="1"/>
    </row>
    <row r="46" spans="1:13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>
      <c r="A47" s="78" t="s">
        <v>118</v>
      </c>
      <c r="C47" s="56"/>
      <c r="D47" s="1"/>
      <c r="E47" s="26" t="s">
        <v>3</v>
      </c>
      <c r="F47" s="40" t="s">
        <v>8</v>
      </c>
      <c r="G47" s="41" t="s">
        <v>99</v>
      </c>
      <c r="H47" s="1"/>
      <c r="I47" s="47" t="s">
        <v>8</v>
      </c>
      <c r="J47" s="26"/>
      <c r="K47" s="40" t="s">
        <v>8</v>
      </c>
      <c r="L47" s="41" t="s">
        <v>100</v>
      </c>
      <c r="M47" s="1"/>
    </row>
    <row r="48" spans="1:13" ht="14.25">
      <c r="A48" s="78" t="s">
        <v>119</v>
      </c>
      <c r="B48" s="56" t="s">
        <v>131</v>
      </c>
      <c r="C48" s="56"/>
      <c r="D48" s="1"/>
      <c r="E48" s="36" t="s">
        <v>2</v>
      </c>
      <c r="F48" s="42" t="s">
        <v>7</v>
      </c>
      <c r="G48" s="43" t="s">
        <v>1</v>
      </c>
      <c r="H48" s="28"/>
      <c r="I48" s="48" t="s">
        <v>7</v>
      </c>
      <c r="J48" s="1"/>
      <c r="K48" s="42" t="s">
        <v>7</v>
      </c>
      <c r="L48" s="43" t="s">
        <v>1</v>
      </c>
      <c r="M48" s="1"/>
    </row>
    <row r="49" spans="1:13" ht="14.25">
      <c r="A49" s="78" t="s">
        <v>120</v>
      </c>
      <c r="B49" s="56" t="s">
        <v>27</v>
      </c>
      <c r="C49" s="56"/>
      <c r="D49" s="1"/>
      <c r="E49" s="36"/>
      <c r="F49" s="202" t="s">
        <v>137</v>
      </c>
      <c r="G49" s="43"/>
      <c r="H49" s="28"/>
      <c r="I49" s="48"/>
      <c r="J49" s="1"/>
      <c r="K49" s="240" t="s">
        <v>98</v>
      </c>
      <c r="L49" s="241"/>
      <c r="M49" s="1"/>
    </row>
    <row r="50" spans="1:13" ht="14.25">
      <c r="A50" s="78" t="s">
        <v>121</v>
      </c>
      <c r="B50" s="1"/>
      <c r="C50" s="83" t="s">
        <v>132</v>
      </c>
      <c r="D50" s="89"/>
      <c r="E50" s="184">
        <f>1560*0.2</f>
        <v>312</v>
      </c>
      <c r="F50" s="84">
        <f>'Supporting Cost Detail'!Q104/1000</f>
        <v>214.36440000000002</v>
      </c>
      <c r="G50" s="186">
        <f>'Supporting Cost Detail'!T115</f>
        <v>647.6250208458712</v>
      </c>
      <c r="H50" s="89"/>
      <c r="I50" s="190" t="s">
        <v>101</v>
      </c>
      <c r="J50" s="89"/>
      <c r="K50" s="84">
        <f>F50</f>
        <v>214.36440000000002</v>
      </c>
      <c r="L50" s="186">
        <f>G50</f>
        <v>647.6250208458712</v>
      </c>
      <c r="M50" s="1"/>
    </row>
    <row r="51" spans="1:13" ht="14.25">
      <c r="A51" s="78" t="s">
        <v>122</v>
      </c>
      <c r="B51" s="1"/>
      <c r="C51" s="83" t="s">
        <v>133</v>
      </c>
      <c r="D51" s="89"/>
      <c r="E51" s="184">
        <f>1560*0.5</f>
        <v>780</v>
      </c>
      <c r="F51" s="84">
        <f>'Supporting Cost Detail'!Q105/1000</f>
        <v>535.911</v>
      </c>
      <c r="G51" s="186">
        <f>'Supporting Cost Detail'!T116</f>
        <v>647.6250208458711</v>
      </c>
      <c r="H51" s="89"/>
      <c r="I51" s="190" t="s">
        <v>101</v>
      </c>
      <c r="J51" s="89"/>
      <c r="K51" s="84">
        <f>F51</f>
        <v>535.911</v>
      </c>
      <c r="L51" s="186">
        <f>G51</f>
        <v>647.6250208458711</v>
      </c>
      <c r="M51" s="1"/>
    </row>
    <row r="52" spans="1:13" ht="14.25">
      <c r="A52" s="78" t="s">
        <v>124</v>
      </c>
      <c r="B52" s="2" t="s">
        <v>151</v>
      </c>
      <c r="C52" s="1"/>
      <c r="D52" s="1"/>
      <c r="E52" s="1"/>
      <c r="F52" s="59"/>
      <c r="G52" s="60"/>
      <c r="H52" s="1"/>
      <c r="I52" s="183"/>
      <c r="J52" s="1"/>
      <c r="K52" s="59"/>
      <c r="L52" s="60"/>
      <c r="M52" s="1"/>
    </row>
    <row r="53" spans="1:13" ht="15" customHeight="1">
      <c r="A53" s="78" t="s">
        <v>125</v>
      </c>
      <c r="B53" s="2" t="s">
        <v>162</v>
      </c>
      <c r="C53" s="2"/>
      <c r="D53" s="1"/>
      <c r="E53" s="1"/>
      <c r="F53" s="193"/>
      <c r="G53" s="60"/>
      <c r="H53" s="1"/>
      <c r="I53" s="183"/>
      <c r="J53" s="1"/>
      <c r="K53" s="59"/>
      <c r="L53" s="60"/>
      <c r="M53" s="1"/>
    </row>
    <row r="54" spans="1:13" ht="15" customHeight="1">
      <c r="A54" s="78" t="s">
        <v>126</v>
      </c>
      <c r="B54" s="1"/>
      <c r="C54" s="149" t="s">
        <v>132</v>
      </c>
      <c r="D54" s="1"/>
      <c r="E54" s="1"/>
      <c r="F54" s="194">
        <f>'Supporting Cost Detail'!Q110/1000</f>
        <v>36.65276177999999</v>
      </c>
      <c r="G54" s="195">
        <f>'Supporting Cost Detail'!T118</f>
        <v>99.2935366806722</v>
      </c>
      <c r="H54" s="1"/>
      <c r="I54" s="191">
        <f>F54*0.1046</f>
        <v>3.833878882187999</v>
      </c>
      <c r="J54" s="1"/>
      <c r="K54" s="187">
        <f>F54+I54</f>
        <v>40.48664066218799</v>
      </c>
      <c r="L54" s="185">
        <f>G54*(K54/F54)</f>
        <v>109.6796406174705</v>
      </c>
      <c r="M54" s="1"/>
    </row>
    <row r="55" spans="1:13" ht="15" customHeight="1">
      <c r="A55" s="78" t="s">
        <v>127</v>
      </c>
      <c r="B55" s="1"/>
      <c r="C55" s="149" t="s">
        <v>133</v>
      </c>
      <c r="D55" s="1"/>
      <c r="E55" s="1"/>
      <c r="F55" s="203">
        <f>'Supporting Cost Detail'!Q111/1000</f>
        <v>91.63190445</v>
      </c>
      <c r="G55" s="182">
        <f>'Supporting Cost Detail'!T119</f>
        <v>99.2935366806722</v>
      </c>
      <c r="H55" s="1"/>
      <c r="I55" s="204">
        <f>F55*0.1046</f>
        <v>9.584697205469999</v>
      </c>
      <c r="J55" s="1"/>
      <c r="K55" s="45">
        <f>F55+I55</f>
        <v>101.21660165546999</v>
      </c>
      <c r="L55" s="205">
        <f>G55*(K55/F55)</f>
        <v>109.67964061747053</v>
      </c>
      <c r="M55" s="1"/>
    </row>
    <row r="56" spans="1:13" ht="5.25" customHeight="1">
      <c r="A56" s="1"/>
      <c r="B56" s="1"/>
      <c r="C56" s="2"/>
      <c r="D56" s="1"/>
      <c r="E56" s="1"/>
      <c r="F56" s="59"/>
      <c r="G56" s="60"/>
      <c r="H56" s="1"/>
      <c r="I56" s="183"/>
      <c r="J56" s="1"/>
      <c r="K56" s="59"/>
      <c r="L56" s="60"/>
      <c r="M56" s="1"/>
    </row>
    <row r="57" spans="1:13" ht="15">
      <c r="A57" s="78" t="s">
        <v>128</v>
      </c>
      <c r="B57" s="2" t="s">
        <v>123</v>
      </c>
      <c r="D57" s="1"/>
      <c r="E57" s="1"/>
      <c r="F57" s="59"/>
      <c r="G57" s="60"/>
      <c r="H57" s="1"/>
      <c r="I57" s="183"/>
      <c r="J57" s="1"/>
      <c r="K57" s="59"/>
      <c r="L57" s="60"/>
      <c r="M57" s="1"/>
    </row>
    <row r="58" spans="1:13" ht="15">
      <c r="A58" s="78" t="s">
        <v>129</v>
      </c>
      <c r="B58" s="1"/>
      <c r="C58" s="149" t="s">
        <v>132</v>
      </c>
      <c r="D58" s="1"/>
      <c r="E58" s="1"/>
      <c r="F58" s="187">
        <f>F50+F54</f>
        <v>251.01716178</v>
      </c>
      <c r="G58" s="195">
        <f>G50+G54</f>
        <v>746.9185575265434</v>
      </c>
      <c r="H58" s="1"/>
      <c r="I58" s="191">
        <f>I54</f>
        <v>3.833878882187999</v>
      </c>
      <c r="J58" s="1"/>
      <c r="K58" s="187">
        <f>K50+K54</f>
        <v>254.851040662188</v>
      </c>
      <c r="L58" s="185">
        <f>G58*(K58/F58)</f>
        <v>758.3265236755874</v>
      </c>
      <c r="M58" s="1"/>
    </row>
    <row r="59" spans="1:13" ht="15">
      <c r="A59" s="78" t="s">
        <v>130</v>
      </c>
      <c r="B59" s="1"/>
      <c r="C59" s="149" t="s">
        <v>133</v>
      </c>
      <c r="D59" s="1"/>
      <c r="E59" s="1"/>
      <c r="F59" s="188">
        <f>F51+F55</f>
        <v>627.5429044499999</v>
      </c>
      <c r="G59" s="196">
        <f>G51+G55</f>
        <v>746.9185575265433</v>
      </c>
      <c r="H59" s="1"/>
      <c r="I59" s="192">
        <f>I55</f>
        <v>9.584697205469999</v>
      </c>
      <c r="J59" s="1"/>
      <c r="K59" s="188">
        <f>K51+K55</f>
        <v>637.1276016554699</v>
      </c>
      <c r="L59" s="189">
        <f>G59*(K59/F59)</f>
        <v>758.3265236755873</v>
      </c>
      <c r="M59" s="1"/>
    </row>
    <row r="60" spans="1:13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97" t="s">
        <v>102</v>
      </c>
      <c r="C61" s="77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3" t="s">
        <v>105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97" t="s">
        <v>106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97" t="s">
        <v>139</v>
      </c>
      <c r="C64" s="77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97" t="s">
        <v>136</v>
      </c>
      <c r="C65" s="77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97" t="s">
        <v>138</v>
      </c>
      <c r="C66" s="77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98"/>
      <c r="C67" s="77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97"/>
      <c r="C68" s="77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97"/>
      <c r="C69" s="77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97"/>
      <c r="C70" s="77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97"/>
      <c r="C71" s="77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7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</sheetData>
  <sheetProtection/>
  <mergeCells count="4">
    <mergeCell ref="F11:G11"/>
    <mergeCell ref="K11:L11"/>
    <mergeCell ref="K49:L49"/>
    <mergeCell ref="A8:L8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0.28125" style="0" customWidth="1"/>
    <col min="3" max="4" width="8.7109375" style="0" customWidth="1"/>
    <col min="5" max="5" width="10.57421875" style="0" customWidth="1"/>
    <col min="6" max="11" width="8.7109375" style="0" customWidth="1"/>
    <col min="12" max="12" width="9.8515625" style="0" customWidth="1"/>
    <col min="13" max="13" width="8.421875" style="0" customWidth="1"/>
    <col min="14" max="14" width="17.8515625" style="0" hidden="1" customWidth="1"/>
    <col min="15" max="15" width="17.28125" style="0" hidden="1" customWidth="1"/>
    <col min="16" max="16" width="1.8515625" style="0" hidden="1" customWidth="1"/>
    <col min="17" max="17" width="14.00390625" style="0" customWidth="1"/>
    <col min="18" max="18" width="14.8515625" style="0" customWidth="1"/>
    <col min="19" max="20" width="11.8515625" style="0" customWidth="1"/>
  </cols>
  <sheetData>
    <row r="1" ht="14.25">
      <c r="R1" s="236" t="s">
        <v>163</v>
      </c>
    </row>
    <row r="2" ht="14.25">
      <c r="R2" s="236" t="s">
        <v>164</v>
      </c>
    </row>
    <row r="3" ht="14.25">
      <c r="R3" s="236" t="s">
        <v>165</v>
      </c>
    </row>
    <row r="4" ht="15" customHeight="1">
      <c r="R4" s="236" t="s">
        <v>168</v>
      </c>
    </row>
    <row r="5" spans="18:22" ht="12" customHeight="1">
      <c r="R5" s="236" t="s">
        <v>166</v>
      </c>
      <c r="U5" s="74"/>
      <c r="V5" s="74"/>
    </row>
    <row r="6" spans="18:22" ht="14.25">
      <c r="R6" s="236" t="s">
        <v>167</v>
      </c>
      <c r="U6" s="74"/>
      <c r="V6" s="74"/>
    </row>
    <row r="7" spans="2:22" ht="14.25">
      <c r="B7" t="s">
        <v>72</v>
      </c>
      <c r="U7" s="74"/>
      <c r="V7" s="74"/>
    </row>
    <row r="8" spans="17:22" ht="14.25">
      <c r="Q8" s="243" t="s">
        <v>5</v>
      </c>
      <c r="R8" s="244"/>
      <c r="U8" s="74"/>
      <c r="V8" s="74"/>
    </row>
    <row r="9" spans="3:22" ht="14.25">
      <c r="C9" s="12">
        <v>2011</v>
      </c>
      <c r="D9" s="12">
        <v>2012</v>
      </c>
      <c r="E9" s="12">
        <v>2013</v>
      </c>
      <c r="F9" s="12">
        <v>2014</v>
      </c>
      <c r="G9" s="12">
        <v>2015</v>
      </c>
      <c r="H9" s="12">
        <v>2016</v>
      </c>
      <c r="I9" s="12">
        <v>2017</v>
      </c>
      <c r="J9" s="12">
        <v>2018</v>
      </c>
      <c r="K9" s="12">
        <v>2019</v>
      </c>
      <c r="L9" s="11" t="s">
        <v>4</v>
      </c>
      <c r="N9" s="112" t="s">
        <v>19</v>
      </c>
      <c r="O9" s="112" t="s">
        <v>25</v>
      </c>
      <c r="Q9" s="11" t="s">
        <v>69</v>
      </c>
      <c r="R9" s="130" t="s">
        <v>6</v>
      </c>
      <c r="U9" s="74"/>
      <c r="V9" s="74"/>
    </row>
    <row r="10" spans="2:22" ht="15">
      <c r="B10" s="128" t="s">
        <v>24</v>
      </c>
      <c r="M10" s="74"/>
      <c r="N10" s="74"/>
      <c r="O10" s="74"/>
      <c r="Q10" s="11" t="s">
        <v>70</v>
      </c>
      <c r="R10" s="131"/>
      <c r="U10" s="74"/>
      <c r="V10" s="74"/>
    </row>
    <row r="11" spans="2:22" ht="15.75">
      <c r="B11" s="101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31"/>
      <c r="S11" s="74"/>
      <c r="U11" s="74"/>
      <c r="V11" s="74"/>
    </row>
    <row r="12" spans="2:20" ht="15">
      <c r="B12" s="113" t="s">
        <v>61</v>
      </c>
      <c r="C12" s="114">
        <v>0</v>
      </c>
      <c r="D12" s="114">
        <v>0</v>
      </c>
      <c r="E12" s="114">
        <v>9000</v>
      </c>
      <c r="F12" s="114">
        <v>135000</v>
      </c>
      <c r="G12" s="114">
        <v>205000</v>
      </c>
      <c r="H12" s="114">
        <v>299000</v>
      </c>
      <c r="I12" s="114">
        <v>210000</v>
      </c>
      <c r="J12" s="114">
        <v>0</v>
      </c>
      <c r="K12" s="114"/>
      <c r="L12" s="178">
        <f>SUM(C12:J12)</f>
        <v>858000</v>
      </c>
      <c r="M12" s="102"/>
      <c r="N12" s="102"/>
      <c r="O12" s="102"/>
      <c r="P12" s="102"/>
      <c r="Q12" s="152">
        <f>L12/788</f>
        <v>1088.8324873096446</v>
      </c>
      <c r="R12" s="118"/>
      <c r="S12" s="74"/>
      <c r="T12" s="74"/>
    </row>
    <row r="13" spans="2:20" ht="15">
      <c r="B13" s="106" t="s">
        <v>75</v>
      </c>
      <c r="C13" s="103">
        <f>C$12*0.1046</f>
        <v>0</v>
      </c>
      <c r="D13" s="103">
        <f aca="true" t="shared" si="0" ref="D13:I13">D$12*0.1046</f>
        <v>0</v>
      </c>
      <c r="E13" s="103">
        <f t="shared" si="0"/>
        <v>941.4</v>
      </c>
      <c r="F13" s="103">
        <f t="shared" si="0"/>
        <v>14121</v>
      </c>
      <c r="G13" s="103">
        <f t="shared" si="0"/>
        <v>21443</v>
      </c>
      <c r="H13" s="103">
        <f t="shared" si="0"/>
        <v>31275.399999999998</v>
      </c>
      <c r="I13" s="103">
        <f t="shared" si="0"/>
        <v>21966</v>
      </c>
      <c r="J13" s="103">
        <f>J$12*0.091</f>
        <v>0</v>
      </c>
      <c r="K13" s="103"/>
      <c r="L13" s="103">
        <f>SUM(C13:J13)</f>
        <v>89746.8</v>
      </c>
      <c r="M13" s="102"/>
      <c r="N13" s="102"/>
      <c r="O13" s="102"/>
      <c r="P13" s="102"/>
      <c r="Q13" s="152">
        <f>L13/788</f>
        <v>113.89187817258883</v>
      </c>
      <c r="R13" s="118"/>
      <c r="S13" s="74"/>
      <c r="T13" s="74"/>
    </row>
    <row r="14" spans="2:23" ht="15.75" thickBot="1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6"/>
      <c r="R14" s="118"/>
      <c r="S14" s="74"/>
      <c r="T14" s="74"/>
      <c r="U14" s="74"/>
      <c r="V14" s="74"/>
      <c r="W14" s="74"/>
    </row>
    <row r="15" spans="2:23" ht="15.75" thickBot="1">
      <c r="B15" s="108" t="s">
        <v>58</v>
      </c>
      <c r="C15" s="109">
        <f>C12+C13</f>
        <v>0</v>
      </c>
      <c r="D15" s="109">
        <f aca="true" t="shared" si="1" ref="D15:I15">D12+D13</f>
        <v>0</v>
      </c>
      <c r="E15" s="109">
        <f t="shared" si="1"/>
        <v>9941.4</v>
      </c>
      <c r="F15" s="109">
        <f t="shared" si="1"/>
        <v>149121</v>
      </c>
      <c r="G15" s="109">
        <f t="shared" si="1"/>
        <v>226443</v>
      </c>
      <c r="H15" s="109">
        <f t="shared" si="1"/>
        <v>330275.4</v>
      </c>
      <c r="I15" s="109">
        <f t="shared" si="1"/>
        <v>231966</v>
      </c>
      <c r="J15" s="109">
        <f>J12+J13</f>
        <v>0</v>
      </c>
      <c r="K15" s="109"/>
      <c r="L15" s="143">
        <f>SUM(C15:J15)</f>
        <v>947746.8</v>
      </c>
      <c r="M15" s="102"/>
      <c r="N15" s="102"/>
      <c r="O15" s="102"/>
      <c r="P15" s="102"/>
      <c r="Q15" s="106"/>
      <c r="R15" s="118"/>
      <c r="S15" s="74"/>
      <c r="T15" s="74"/>
      <c r="U15" s="74"/>
      <c r="V15" s="74"/>
      <c r="W15" s="74"/>
    </row>
    <row r="16" spans="2:23" ht="14.25">
      <c r="B16" s="102"/>
      <c r="C16" s="102"/>
      <c r="D16" s="102"/>
      <c r="E16" s="102"/>
      <c r="F16" s="102"/>
      <c r="G16" s="102"/>
      <c r="H16" s="102"/>
      <c r="I16" s="102"/>
      <c r="J16" s="107"/>
      <c r="K16" s="107"/>
      <c r="L16" s="29"/>
      <c r="M16" s="102"/>
      <c r="N16" s="102"/>
      <c r="O16" s="102"/>
      <c r="P16" s="102"/>
      <c r="Q16" s="102"/>
      <c r="R16" s="102"/>
      <c r="S16" s="74"/>
      <c r="T16" s="74"/>
      <c r="U16" s="74"/>
      <c r="V16" s="74"/>
      <c r="W16" s="74"/>
    </row>
    <row r="17" spans="2:23" ht="14.25">
      <c r="B17" s="30" t="s">
        <v>28</v>
      </c>
      <c r="C17" s="33">
        <f>C15*0.5*0.0858</f>
        <v>0</v>
      </c>
      <c r="D17" s="33">
        <f>(SUM($C17:C17)+SUM($C15:C15))*0.0858+D15*0.5*0.0858</f>
        <v>0</v>
      </c>
      <c r="E17" s="33">
        <f>(SUM($C17:D17)+SUM($C15:D15))*0.0858+E15*0.5*0.0858</f>
        <v>426.48606</v>
      </c>
      <c r="F17" s="33">
        <f>(SUM($C17:E17)+SUM($C15:E15))*0.0858+F15*0.5*0.0858</f>
        <v>7286.855523948</v>
      </c>
      <c r="G17" s="33">
        <f>(SUM($C17:F17)+SUM($C15:F15))*0.0858+G15*0.5*0.0858</f>
        <v>24023.76332790274</v>
      </c>
      <c r="H17" s="33">
        <f>((SUM($C17:G17)+SUM($C15:G15))*0.0858+H15*0.5*0.0858)*5/12</f>
        <v>20820.092325598667</v>
      </c>
      <c r="I17" s="33">
        <v>0</v>
      </c>
      <c r="J17" s="33">
        <v>0</v>
      </c>
      <c r="K17" s="33"/>
      <c r="L17" s="34">
        <f>SUM(C17:J17)</f>
        <v>52557.19723744941</v>
      </c>
      <c r="M17" s="25"/>
      <c r="N17" s="25"/>
      <c r="O17" s="25"/>
      <c r="P17" s="25"/>
      <c r="Q17" s="25"/>
      <c r="R17" s="25"/>
      <c r="U17" s="74"/>
      <c r="V17" s="74"/>
      <c r="W17" s="74"/>
    </row>
    <row r="18" spans="2:23" ht="14.25">
      <c r="B18" s="30" t="s">
        <v>9</v>
      </c>
      <c r="C18" s="31">
        <f aca="true" t="shared" si="2" ref="C18:J18">C15+C17</f>
        <v>0</v>
      </c>
      <c r="D18" s="31">
        <f t="shared" si="2"/>
        <v>0</v>
      </c>
      <c r="E18" s="31">
        <f t="shared" si="2"/>
        <v>10367.886059999999</v>
      </c>
      <c r="F18" s="31">
        <f t="shared" si="2"/>
        <v>156407.855523948</v>
      </c>
      <c r="G18" s="31">
        <f t="shared" si="2"/>
        <v>250466.76332790274</v>
      </c>
      <c r="H18" s="31">
        <f t="shared" si="2"/>
        <v>351095.49232559867</v>
      </c>
      <c r="I18" s="31">
        <f t="shared" si="2"/>
        <v>231966</v>
      </c>
      <c r="J18" s="31">
        <f t="shared" si="2"/>
        <v>0</v>
      </c>
      <c r="K18" s="31"/>
      <c r="L18" s="32">
        <f>SUM(C18:J18)</f>
        <v>1000303.9972374494</v>
      </c>
      <c r="M18" s="25"/>
      <c r="N18" s="25"/>
      <c r="O18" s="25"/>
      <c r="P18" s="25"/>
      <c r="Q18" s="25"/>
      <c r="R18" s="25"/>
      <c r="U18" s="74"/>
      <c r="V18" s="74"/>
      <c r="W18" s="74"/>
    </row>
    <row r="19" spans="12:18" ht="14.25">
      <c r="L19" s="25"/>
      <c r="M19" s="25"/>
      <c r="N19" s="25"/>
      <c r="O19" s="25"/>
      <c r="P19" s="25"/>
      <c r="Q19" s="25"/>
      <c r="R19" s="25"/>
    </row>
    <row r="20" spans="2:20" ht="15">
      <c r="B20" s="17" t="s">
        <v>153</v>
      </c>
      <c r="L20" s="25"/>
      <c r="M20" s="25"/>
      <c r="N20" s="102"/>
      <c r="O20" s="102"/>
      <c r="P20" s="102"/>
      <c r="Q20" s="102"/>
      <c r="R20" s="102"/>
      <c r="S20" s="74"/>
      <c r="T20" s="74"/>
    </row>
    <row r="21" spans="2:20" ht="14.25">
      <c r="B21" t="s">
        <v>65</v>
      </c>
      <c r="D21" s="62"/>
      <c r="E21" s="62">
        <v>0</v>
      </c>
      <c r="F21" s="62">
        <v>0</v>
      </c>
      <c r="G21" s="62">
        <v>0</v>
      </c>
      <c r="H21" s="62">
        <v>0</v>
      </c>
      <c r="I21">
        <v>0</v>
      </c>
      <c r="J21">
        <v>0</v>
      </c>
      <c r="L21" s="144">
        <f>SUM(C21:J21)</f>
        <v>0</v>
      </c>
      <c r="M21" s="25"/>
      <c r="N21" s="102"/>
      <c r="O21" s="102"/>
      <c r="P21" s="102"/>
      <c r="Q21" s="102"/>
      <c r="R21" s="102"/>
      <c r="S21" s="74"/>
      <c r="T21" s="74"/>
    </row>
    <row r="22" spans="2:20" ht="14.25">
      <c r="B22" t="s">
        <v>13</v>
      </c>
      <c r="C22" s="58"/>
      <c r="D22" s="58"/>
      <c r="E22" s="172">
        <v>0</v>
      </c>
      <c r="F22" s="172">
        <v>0</v>
      </c>
      <c r="G22" s="172">
        <v>781.0000799999999</v>
      </c>
      <c r="H22" s="172">
        <v>9621</v>
      </c>
      <c r="I22" s="172">
        <v>17335.999920000002</v>
      </c>
      <c r="J22" s="173">
        <v>6934.00008</v>
      </c>
      <c r="K22" s="173"/>
      <c r="L22" s="174">
        <f>SUM(C22:J22)</f>
        <v>34672.00008</v>
      </c>
      <c r="M22" s="25"/>
      <c r="N22" s="102"/>
      <c r="O22" s="102"/>
      <c r="P22" s="102"/>
      <c r="Q22" s="102"/>
      <c r="R22" s="102"/>
      <c r="S22" s="74"/>
      <c r="T22" s="74"/>
    </row>
    <row r="23" spans="2:20" ht="14.25">
      <c r="B23" s="74" t="s">
        <v>93</v>
      </c>
      <c r="C23" s="58"/>
      <c r="D23" s="58"/>
      <c r="E23" s="172">
        <v>0</v>
      </c>
      <c r="F23" s="172">
        <v>0</v>
      </c>
      <c r="G23" s="172">
        <v>17.000040000000002</v>
      </c>
      <c r="H23" s="172">
        <v>35.00004</v>
      </c>
      <c r="I23" s="172">
        <v>177.99996</v>
      </c>
      <c r="J23" s="173">
        <v>1157.0000400000001</v>
      </c>
      <c r="K23" s="16"/>
      <c r="L23" s="174">
        <f>SUM(C23:J23)</f>
        <v>1387.00008</v>
      </c>
      <c r="M23" s="25"/>
      <c r="N23" s="102"/>
      <c r="O23" s="102"/>
      <c r="P23" s="102"/>
      <c r="Q23" s="102"/>
      <c r="R23" s="102"/>
      <c r="S23" s="74"/>
      <c r="T23" s="74"/>
    </row>
    <row r="24" spans="2:20" ht="14.25">
      <c r="B24" s="74" t="s">
        <v>148</v>
      </c>
      <c r="C24" s="58"/>
      <c r="D24" s="58"/>
      <c r="E24" s="172">
        <v>0</v>
      </c>
      <c r="F24" s="172">
        <v>0</v>
      </c>
      <c r="G24" s="172">
        <v>0</v>
      </c>
      <c r="H24" s="172">
        <v>883</v>
      </c>
      <c r="I24" s="172">
        <v>4089</v>
      </c>
      <c r="J24" s="173">
        <v>4213</v>
      </c>
      <c r="K24" s="16"/>
      <c r="L24" s="174">
        <f>SUM(C24:J24)</f>
        <v>9185</v>
      </c>
      <c r="M24" s="25"/>
      <c r="N24" s="102"/>
      <c r="O24" s="102"/>
      <c r="P24" s="102"/>
      <c r="Q24" s="102"/>
      <c r="R24" s="102"/>
      <c r="S24" s="74"/>
      <c r="T24" s="74"/>
    </row>
    <row r="25" spans="2:18" ht="14.25">
      <c r="B25" s="110" t="s">
        <v>59</v>
      </c>
      <c r="C25" s="111">
        <f>SUM(C21:C24)</f>
        <v>0</v>
      </c>
      <c r="D25" s="111">
        <f aca="true" t="shared" si="3" ref="D25:J25">SUM(D21:D24)</f>
        <v>0</v>
      </c>
      <c r="E25" s="111">
        <f t="shared" si="3"/>
        <v>0</v>
      </c>
      <c r="F25" s="111">
        <f t="shared" si="3"/>
        <v>0</v>
      </c>
      <c r="G25" s="111">
        <f t="shared" si="3"/>
        <v>798.0001199999999</v>
      </c>
      <c r="H25" s="111">
        <f t="shared" si="3"/>
        <v>10539.00004</v>
      </c>
      <c r="I25" s="111">
        <f t="shared" si="3"/>
        <v>21602.999880000003</v>
      </c>
      <c r="J25" s="111">
        <f t="shared" si="3"/>
        <v>12304.00012</v>
      </c>
      <c r="K25" s="111"/>
      <c r="L25" s="145">
        <f>SUM(C25:J25)</f>
        <v>45244.00016000001</v>
      </c>
      <c r="M25" s="25"/>
      <c r="N25" s="25"/>
      <c r="O25" s="25"/>
      <c r="P25" s="25"/>
      <c r="Q25" s="102"/>
      <c r="R25" s="25"/>
    </row>
    <row r="26" spans="2:18" ht="14.25"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5"/>
      <c r="N26" s="25"/>
      <c r="O26" s="25"/>
      <c r="P26" s="25"/>
      <c r="Q26" s="102"/>
      <c r="R26" s="25"/>
    </row>
    <row r="27" spans="2:18" ht="14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5" ht="15.75">
      <c r="B28" s="22" t="s">
        <v>23</v>
      </c>
      <c r="C28" s="18" t="s">
        <v>62</v>
      </c>
      <c r="E28" s="19">
        <v>0.03</v>
      </c>
    </row>
    <row r="29" spans="2:18" ht="15">
      <c r="B29" s="15" t="s">
        <v>14</v>
      </c>
      <c r="Q29" s="243" t="s">
        <v>5</v>
      </c>
      <c r="R29" s="244"/>
    </row>
    <row r="30" spans="2:18" ht="15.75">
      <c r="B30" s="119" t="s">
        <v>30</v>
      </c>
      <c r="R30" s="130" t="s">
        <v>31</v>
      </c>
    </row>
    <row r="31" spans="2:18" ht="15">
      <c r="B31" s="113" t="s">
        <v>61</v>
      </c>
      <c r="C31" s="150">
        <f>(C12*1)/((1+$E$28)^(C$9-2011))</f>
        <v>0</v>
      </c>
      <c r="D31" s="150">
        <f>(D12*1)/((1+$E$28)^(D$9-2011))</f>
        <v>0</v>
      </c>
      <c r="E31" s="150">
        <f>(E12*1)/((1+$E$28)^(E$9-2011))</f>
        <v>8483.36318220379</v>
      </c>
      <c r="F31" s="150">
        <f>(F12*1)/((1+$E$28)^(F$9-2011))</f>
        <v>123544.12401267655</v>
      </c>
      <c r="G31" s="150">
        <f>(G12*1)/((1+$E$28)^(G$9-2011))</f>
        <v>182139.84482271623</v>
      </c>
      <c r="H31" s="150">
        <f>(H12*1)/((1+$E$28)^(H$9-2011))</f>
        <v>257920.02653086506</v>
      </c>
      <c r="I31" s="150">
        <f>(I12*1)/((1+$E$28)^(I$9-2011))</f>
        <v>175871.69390356741</v>
      </c>
      <c r="J31" s="150">
        <f>(J12*1)/((1+$E$28)^(J$9-2011))</f>
        <v>0</v>
      </c>
      <c r="K31" s="150"/>
      <c r="L31" s="151">
        <f>SUM(C31:J31)</f>
        <v>747959.0524520291</v>
      </c>
      <c r="N31" s="9"/>
      <c r="R31" s="177">
        <f>L31/788</f>
        <v>949.186614786839</v>
      </c>
    </row>
    <row r="32" spans="2:18" ht="14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R32" s="25"/>
    </row>
    <row r="33" spans="2:18" ht="15">
      <c r="B33" s="21" t="s">
        <v>153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R33" s="25"/>
    </row>
    <row r="34" spans="2:18" ht="15" customHeight="1">
      <c r="B34" t="s">
        <v>65</v>
      </c>
      <c r="C34" s="63">
        <f>C21/((1+$E$28)^(C$9-2011))</f>
        <v>0</v>
      </c>
      <c r="D34" s="63">
        <f>D21/((1+$E$28)^(D$9-2011))</f>
        <v>0</v>
      </c>
      <c r="E34" s="63">
        <f>E21/((1+$E$28)^(E$9-2011))</f>
        <v>0</v>
      </c>
      <c r="F34" s="63">
        <f>F21/((1+$E$28)^(F$9-2011))</f>
        <v>0</v>
      </c>
      <c r="G34" s="63">
        <f>G21/((1+$E$28)^(G$9-2011))</f>
        <v>0</v>
      </c>
      <c r="H34" s="63">
        <f>H21/((1+$E$28)^(H$9-2011))</f>
        <v>0</v>
      </c>
      <c r="I34" s="63">
        <f>I21/((1+$E$28)^(I$9-2011))</f>
        <v>0</v>
      </c>
      <c r="J34" s="63">
        <f>J21/((1+$E$28)^(J$9-2011))</f>
        <v>0</v>
      </c>
      <c r="K34" s="63"/>
      <c r="L34" s="14">
        <f>SUM(C34:J34)</f>
        <v>0</v>
      </c>
      <c r="M34" s="9"/>
      <c r="N34" s="9"/>
      <c r="R34" s="25"/>
    </row>
    <row r="35" spans="2:18" ht="14.25">
      <c r="B35" t="s">
        <v>13</v>
      </c>
      <c r="C35" s="63">
        <f>C22/((1+$E$28)^(C$9-2011))</f>
        <v>0</v>
      </c>
      <c r="D35" s="63">
        <f>D22/((1+$E$28)^(D$9-2011))</f>
        <v>0</v>
      </c>
      <c r="E35" s="63">
        <f>E22/((1+$E$28)^(E$9-2011))</f>
        <v>0</v>
      </c>
      <c r="F35" s="63">
        <f>F22/((1+$E$28)^(F$9-2011))</f>
        <v>0</v>
      </c>
      <c r="G35" s="63">
        <f>G22/((1+$E$28)^(G$9-2011))</f>
        <v>693.9084555011168</v>
      </c>
      <c r="H35" s="63">
        <f>H22/((1+$E$28)^(H$9-2011))</f>
        <v>8299.159114560043</v>
      </c>
      <c r="I35" s="63">
        <f>I22/((1+$E$28)^(I$9-2011))</f>
        <v>14518.627006869094</v>
      </c>
      <c r="J35" s="63">
        <f>J22/((1+$E$28)^(J$9-2011))</f>
        <v>5637.976604702136</v>
      </c>
      <c r="K35" s="64"/>
      <c r="L35" s="20">
        <f>SUM(C35:J35)</f>
        <v>29149.67118163239</v>
      </c>
      <c r="M35" s="9"/>
      <c r="N35" s="9"/>
      <c r="R35" s="25"/>
    </row>
    <row r="36" spans="2:18" ht="14.25">
      <c r="B36" s="74" t="s">
        <v>93</v>
      </c>
      <c r="C36" s="63">
        <f>C23/((1+$E$28)^(C$9-2011))</f>
        <v>0</v>
      </c>
      <c r="D36" s="63">
        <f>D23/((1+$E$28)^(D$9-2011))</f>
        <v>0</v>
      </c>
      <c r="E36" s="63">
        <f>E23/((1+$E$28)^(E$9-2011))</f>
        <v>0</v>
      </c>
      <c r="F36" s="63">
        <f>F23/((1+$E$28)^(F$9-2011))</f>
        <v>0</v>
      </c>
      <c r="G36" s="63">
        <f>G23/((1+$E$28)^(G$9-2011))</f>
        <v>15.10431535404863</v>
      </c>
      <c r="H36" s="63">
        <f>H23/((1+$E$28)^(H$9-2011))</f>
        <v>30.191341957797118</v>
      </c>
      <c r="I36" s="63">
        <f>I23/((1+$E$28)^(I$9-2011))</f>
        <v>149.0721641903202</v>
      </c>
      <c r="J36" s="63">
        <f>J23/((1+$E$28)^(J$9-2011))</f>
        <v>940.7469111479209</v>
      </c>
      <c r="K36" s="64"/>
      <c r="L36" s="20">
        <f>SUM(C36:J36)</f>
        <v>1135.1147326500868</v>
      </c>
      <c r="M36" s="9"/>
      <c r="N36" s="9"/>
      <c r="R36" s="25"/>
    </row>
    <row r="37" spans="2:18" ht="14.25">
      <c r="B37" s="74" t="s">
        <v>148</v>
      </c>
      <c r="C37" s="63">
        <f>C24/((1+$E$28)^(C$9-2011))</f>
        <v>0</v>
      </c>
      <c r="D37" s="63">
        <f>D24/((1+$E$28)^(D$9-2011))</f>
        <v>0</v>
      </c>
      <c r="E37" s="63">
        <f>E24/((1+$E$28)^(E$9-2011))</f>
        <v>0</v>
      </c>
      <c r="F37" s="63">
        <f>F24/((1+$E$28)^(F$9-2011))</f>
        <v>0</v>
      </c>
      <c r="G37" s="63">
        <f>G24/((1+$E$28)^(G$9-2011))</f>
        <v>0</v>
      </c>
      <c r="H37" s="63">
        <f>H24/((1+$E$28)^(H$9-2011))</f>
        <v>761.6835566112169</v>
      </c>
      <c r="I37" s="63">
        <f>I24/((1+$E$28)^(I$9-2011))</f>
        <v>3424.4731255794627</v>
      </c>
      <c r="J37" s="63">
        <f>J24/((1+$E$28)^(J$9-2011))</f>
        <v>3425.5545372895494</v>
      </c>
      <c r="K37" s="64"/>
      <c r="L37" s="20">
        <f>SUM(C37:J37)</f>
        <v>7611.711219480229</v>
      </c>
      <c r="M37" s="9"/>
      <c r="N37" s="9"/>
      <c r="R37" s="25"/>
    </row>
    <row r="38" spans="2:18" ht="15.75" customHeight="1">
      <c r="B38" s="110" t="s">
        <v>59</v>
      </c>
      <c r="C38" s="150">
        <f>SUM(C34:C37)</f>
        <v>0</v>
      </c>
      <c r="D38" s="150">
        <f aca="true" t="shared" si="4" ref="D38:J38">SUM(D34:D37)</f>
        <v>0</v>
      </c>
      <c r="E38" s="150">
        <f t="shared" si="4"/>
        <v>0</v>
      </c>
      <c r="F38" s="150">
        <f t="shared" si="4"/>
        <v>0</v>
      </c>
      <c r="G38" s="227">
        <f t="shared" si="4"/>
        <v>709.0127708551654</v>
      </c>
      <c r="H38" s="150">
        <f t="shared" si="4"/>
        <v>9091.034013129058</v>
      </c>
      <c r="I38" s="150">
        <f t="shared" si="4"/>
        <v>18092.172296638877</v>
      </c>
      <c r="J38" s="150">
        <f t="shared" si="4"/>
        <v>10004.278053139606</v>
      </c>
      <c r="K38" s="150"/>
      <c r="L38" s="151">
        <f>SUM(L34:L37)</f>
        <v>37896.49713376271</v>
      </c>
      <c r="M38" s="9"/>
      <c r="N38" s="9"/>
      <c r="R38" s="146">
        <f>L38/788</f>
        <v>48.09200143878516</v>
      </c>
    </row>
    <row r="39" spans="2:17" ht="19.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25"/>
    </row>
    <row r="40" spans="2:18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2:18" ht="18">
      <c r="B41" s="73" t="s">
        <v>67</v>
      </c>
      <c r="Q41" s="243" t="s">
        <v>5</v>
      </c>
      <c r="R41" s="244"/>
    </row>
    <row r="42" spans="2:18" ht="15" customHeight="1">
      <c r="B42" s="115" t="s">
        <v>60</v>
      </c>
      <c r="C42" s="65">
        <f aca="true" t="shared" si="5" ref="C42:I42">C46/$L46</f>
        <v>0</v>
      </c>
      <c r="D42" s="65">
        <f t="shared" si="5"/>
        <v>0</v>
      </c>
      <c r="E42" s="65">
        <f t="shared" si="5"/>
        <v>0.004835589941972921</v>
      </c>
      <c r="F42" s="65">
        <f t="shared" si="5"/>
        <v>0.0551257253384913</v>
      </c>
      <c r="G42" s="65">
        <f t="shared" si="5"/>
        <v>0.29980657640232106</v>
      </c>
      <c r="H42" s="65">
        <f t="shared" si="5"/>
        <v>0.46034816247582205</v>
      </c>
      <c r="I42" s="65">
        <f t="shared" si="5"/>
        <v>0.17988394584139264</v>
      </c>
      <c r="J42" s="65"/>
      <c r="K42" s="65"/>
      <c r="L42" s="66">
        <f>SUM(C42:J42)</f>
        <v>1</v>
      </c>
      <c r="Q42" s="11" t="s">
        <v>69</v>
      </c>
      <c r="R42" s="71" t="s">
        <v>22</v>
      </c>
    </row>
    <row r="43" spans="2:17" ht="14.25">
      <c r="B43" s="10" t="s">
        <v>80</v>
      </c>
      <c r="Q43" s="11" t="s">
        <v>70</v>
      </c>
    </row>
    <row r="44" spans="2:14" ht="8.25" customHeight="1">
      <c r="B44" s="10" t="s">
        <v>15</v>
      </c>
      <c r="M44" s="57"/>
      <c r="N44" s="57"/>
    </row>
    <row r="45" ht="15">
      <c r="B45" s="128" t="s">
        <v>24</v>
      </c>
    </row>
    <row r="46" spans="2:19" ht="14.25">
      <c r="B46" t="s">
        <v>71</v>
      </c>
      <c r="C46" s="13">
        <v>0</v>
      </c>
      <c r="D46" s="13">
        <v>0</v>
      </c>
      <c r="E46" s="13">
        <v>5000</v>
      </c>
      <c r="F46" s="13">
        <v>57000</v>
      </c>
      <c r="G46" s="13">
        <v>310000</v>
      </c>
      <c r="H46" s="13">
        <v>476000</v>
      </c>
      <c r="I46" s="13">
        <v>186000</v>
      </c>
      <c r="J46" s="13">
        <v>0</v>
      </c>
      <c r="K46" s="13"/>
      <c r="L46" s="142">
        <f>SUM(C46:J46)</f>
        <v>1034000</v>
      </c>
      <c r="N46" s="120" t="s">
        <v>64</v>
      </c>
      <c r="S46" s="9" t="s">
        <v>83</v>
      </c>
    </row>
    <row r="47" spans="2:18" ht="14.25">
      <c r="B47" s="105" t="s">
        <v>73</v>
      </c>
      <c r="C47" s="16">
        <f>C46*0.1</f>
        <v>0</v>
      </c>
      <c r="D47" s="16">
        <f aca="true" t="shared" si="6" ref="D47:J47">D46*0.1</f>
        <v>0</v>
      </c>
      <c r="E47" s="16">
        <f t="shared" si="6"/>
        <v>500</v>
      </c>
      <c r="F47" s="16">
        <f t="shared" si="6"/>
        <v>5700</v>
      </c>
      <c r="G47" s="16">
        <f t="shared" si="6"/>
        <v>31000</v>
      </c>
      <c r="H47" s="16">
        <f t="shared" si="6"/>
        <v>47600</v>
      </c>
      <c r="I47" s="16">
        <f t="shared" si="6"/>
        <v>18600</v>
      </c>
      <c r="J47" s="16">
        <f t="shared" si="6"/>
        <v>0</v>
      </c>
      <c r="K47" s="16"/>
      <c r="L47" s="16">
        <f>SUM(C47:J47)</f>
        <v>103400</v>
      </c>
      <c r="M47" s="58"/>
      <c r="R47" s="25"/>
    </row>
    <row r="48" spans="2:17" ht="14.25">
      <c r="B48" s="133" t="s">
        <v>10</v>
      </c>
      <c r="C48" s="134">
        <f>SUM(C46:C47)</f>
        <v>0</v>
      </c>
      <c r="D48" s="134">
        <f aca="true" t="shared" si="7" ref="D48:L48">SUM(D46:D47)</f>
        <v>0</v>
      </c>
      <c r="E48" s="134">
        <f t="shared" si="7"/>
        <v>5500</v>
      </c>
      <c r="F48" s="134">
        <f t="shared" si="7"/>
        <v>62700</v>
      </c>
      <c r="G48" s="134">
        <f t="shared" si="7"/>
        <v>341000</v>
      </c>
      <c r="H48" s="134">
        <f t="shared" si="7"/>
        <v>523600</v>
      </c>
      <c r="I48" s="134">
        <f t="shared" si="7"/>
        <v>204600</v>
      </c>
      <c r="J48" s="135">
        <f t="shared" si="7"/>
        <v>0</v>
      </c>
      <c r="K48" s="135"/>
      <c r="L48" s="178">
        <f t="shared" si="7"/>
        <v>1137400</v>
      </c>
      <c r="M48" s="58"/>
      <c r="N48" s="117" t="s">
        <v>63</v>
      </c>
      <c r="Q48" s="24">
        <f>L48/918</f>
        <v>1238.9978213507625</v>
      </c>
    </row>
    <row r="49" spans="2:18" ht="14.25">
      <c r="B49" s="106" t="s">
        <v>76</v>
      </c>
      <c r="C49" s="147">
        <f aca="true" t="shared" si="8" ref="C49:I49">C48*0.085</f>
        <v>0</v>
      </c>
      <c r="D49" s="147">
        <f t="shared" si="8"/>
        <v>0</v>
      </c>
      <c r="E49" s="147">
        <f t="shared" si="8"/>
        <v>467.50000000000006</v>
      </c>
      <c r="F49" s="147">
        <f t="shared" si="8"/>
        <v>5329.5</v>
      </c>
      <c r="G49" s="147">
        <f t="shared" si="8"/>
        <v>28985.000000000004</v>
      </c>
      <c r="H49" s="147">
        <f t="shared" si="8"/>
        <v>44506</v>
      </c>
      <c r="I49" s="147">
        <f t="shared" si="8"/>
        <v>17391</v>
      </c>
      <c r="J49" s="147">
        <f>J48*0.07</f>
        <v>0</v>
      </c>
      <c r="K49" s="147"/>
      <c r="L49" s="147">
        <f>SUM(C49:J49)</f>
        <v>96679</v>
      </c>
      <c r="M49" s="25"/>
      <c r="N49" s="121">
        <f>L48+L49</f>
        <v>1234079</v>
      </c>
      <c r="Q49" s="24">
        <f>L49/918</f>
        <v>105.31481481481481</v>
      </c>
      <c r="R49" s="25"/>
    </row>
    <row r="50" spans="2:18" ht="15" thickBot="1">
      <c r="B50" s="106"/>
      <c r="C50" s="72"/>
      <c r="D50" s="72"/>
      <c r="E50" s="72"/>
      <c r="F50" s="72"/>
      <c r="G50" s="72"/>
      <c r="H50" s="72"/>
      <c r="I50" s="72"/>
      <c r="L50" s="72"/>
      <c r="M50" s="25"/>
      <c r="N50" s="129"/>
      <c r="Q50" s="24"/>
      <c r="R50" s="25"/>
    </row>
    <row r="51" spans="2:18" ht="15" thickBot="1">
      <c r="B51" s="108" t="s">
        <v>68</v>
      </c>
      <c r="C51" s="136">
        <f>C48+C49</f>
        <v>0</v>
      </c>
      <c r="D51" s="136">
        <f aca="true" t="shared" si="9" ref="D51:L51">D48+D49</f>
        <v>0</v>
      </c>
      <c r="E51" s="136">
        <f t="shared" si="9"/>
        <v>5967.5</v>
      </c>
      <c r="F51" s="136">
        <f t="shared" si="9"/>
        <v>68029.5</v>
      </c>
      <c r="G51" s="136">
        <f t="shared" si="9"/>
        <v>369985</v>
      </c>
      <c r="H51" s="136">
        <f t="shared" si="9"/>
        <v>568106</v>
      </c>
      <c r="I51" s="136">
        <f t="shared" si="9"/>
        <v>221991</v>
      </c>
      <c r="J51" s="136">
        <f t="shared" si="9"/>
        <v>0</v>
      </c>
      <c r="K51" s="136"/>
      <c r="L51" s="148">
        <f t="shared" si="9"/>
        <v>1234079</v>
      </c>
      <c r="R51" s="25"/>
    </row>
    <row r="52" spans="3:18" ht="14.25">
      <c r="C52" s="14"/>
      <c r="D52" s="14"/>
      <c r="E52" s="14"/>
      <c r="F52" s="14"/>
      <c r="G52" s="14"/>
      <c r="H52" s="14"/>
      <c r="I52" s="14"/>
      <c r="J52" s="14"/>
      <c r="K52" s="14"/>
      <c r="L52" s="14"/>
      <c r="R52" s="25"/>
    </row>
    <row r="53" spans="2:18" ht="14.25">
      <c r="B53" s="127" t="s">
        <v>16</v>
      </c>
      <c r="C53" s="123">
        <f>C48/(1+$E$28)^(C$9-2011)</f>
        <v>0</v>
      </c>
      <c r="D53" s="123">
        <f>D48/(1+$E$28)^(D$9-2011)</f>
        <v>0</v>
      </c>
      <c r="E53" s="123">
        <f>E48/(1+$E$28)^(E$9-2011)</f>
        <v>5184.277500235649</v>
      </c>
      <c r="F53" s="123">
        <f>F48/(1+$E$28)^(F$9-2011)</f>
        <v>57379.3820414431</v>
      </c>
      <c r="G53" s="123">
        <f>G48/(1+$E$28)^(G$9-2011)</f>
        <v>302974.08333924995</v>
      </c>
      <c r="H53" s="123">
        <f>H48/(1+$E$28)^(H$9-2011)</f>
        <v>451661.95950354834</v>
      </c>
      <c r="I53" s="123">
        <f>I48/(1+$E$28)^(I$9-2011)</f>
        <v>171349.2789174757</v>
      </c>
      <c r="J53" s="123">
        <f>J48/(1+$E$28)^(J$9-2011)</f>
        <v>0</v>
      </c>
      <c r="K53" s="123"/>
      <c r="L53" s="124">
        <f>SUM(C53:J53)</f>
        <v>988548.9813019527</v>
      </c>
      <c r="M53" s="9"/>
      <c r="N53" s="9"/>
      <c r="O53" s="9"/>
      <c r="P53" s="9"/>
      <c r="R53" s="176">
        <f>L53/918</f>
        <v>1076.85074215899</v>
      </c>
    </row>
    <row r="54" spans="2:18" ht="14.25">
      <c r="B54" s="127" t="s">
        <v>17</v>
      </c>
      <c r="C54" s="125">
        <f>C49/(1+$E$28)^(C$9-2011)</f>
        <v>0</v>
      </c>
      <c r="D54" s="125">
        <f>D49/(1+$E$28)^(D$9-2011)</f>
        <v>0</v>
      </c>
      <c r="E54" s="125">
        <f>E49/(1+$E$28)^(E$9-2011)</f>
        <v>440.66358752003026</v>
      </c>
      <c r="F54" s="125">
        <f>F49/(1+$E$28)^(F$9-2011)</f>
        <v>4877.247473522664</v>
      </c>
      <c r="G54" s="125">
        <f>G49/(1+$E$28)^(G$9-2011)</f>
        <v>25752.79708383625</v>
      </c>
      <c r="H54" s="125">
        <f>H49/(1+$E$28)^(H$9-2011)</f>
        <v>38391.26655780161</v>
      </c>
      <c r="I54" s="125">
        <f>I49/(1+$E$28)^(I$9-2011)</f>
        <v>14564.688707985433</v>
      </c>
      <c r="J54" s="125">
        <f>J49/(1+$E$28)^(J$9-2011)</f>
        <v>0</v>
      </c>
      <c r="K54" s="125"/>
      <c r="L54" s="126">
        <f>SUM(C54:J54)</f>
        <v>84026.66341066599</v>
      </c>
      <c r="M54" s="9"/>
      <c r="N54" s="9"/>
      <c r="O54" s="9"/>
      <c r="P54" s="9"/>
      <c r="Q54" s="9"/>
      <c r="R54" s="25"/>
    </row>
    <row r="55" spans="2:18" ht="14.25">
      <c r="B55" s="127" t="s">
        <v>18</v>
      </c>
      <c r="C55" s="20">
        <f>C53+C54</f>
        <v>0</v>
      </c>
      <c r="D55" s="20">
        <f aca="true" t="shared" si="10" ref="D55:L55">D53+D54</f>
        <v>0</v>
      </c>
      <c r="E55" s="20">
        <f t="shared" si="10"/>
        <v>5624.941087755679</v>
      </c>
      <c r="F55" s="20">
        <f t="shared" si="10"/>
        <v>62256.62951496577</v>
      </c>
      <c r="G55" s="20">
        <f t="shared" si="10"/>
        <v>328726.8804230862</v>
      </c>
      <c r="H55" s="20">
        <f t="shared" si="10"/>
        <v>490053.22606134997</v>
      </c>
      <c r="I55" s="20">
        <f t="shared" si="10"/>
        <v>185913.9676254611</v>
      </c>
      <c r="J55" s="20">
        <f t="shared" si="10"/>
        <v>0</v>
      </c>
      <c r="K55" s="20"/>
      <c r="L55" s="124">
        <f t="shared" si="10"/>
        <v>1072575.6447126188</v>
      </c>
      <c r="M55" s="9"/>
      <c r="N55" s="9"/>
      <c r="O55" s="9"/>
      <c r="P55" s="9"/>
      <c r="R55" s="146">
        <f>L55/918</f>
        <v>1168.383055242504</v>
      </c>
    </row>
    <row r="56" ht="14.25">
      <c r="R56" s="25"/>
    </row>
    <row r="57" spans="2:18" ht="14.2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2:18" ht="18">
      <c r="B58" s="73" t="s">
        <v>66</v>
      </c>
      <c r="Q58" s="243" t="s">
        <v>5</v>
      </c>
      <c r="R58" s="244"/>
    </row>
    <row r="59" spans="2:18" ht="14.25">
      <c r="B59" s="115" t="s">
        <v>60</v>
      </c>
      <c r="C59" s="65">
        <f aca="true" t="shared" si="11" ref="C59:I59">C63/$L63</f>
        <v>0</v>
      </c>
      <c r="D59" s="65">
        <f t="shared" si="11"/>
        <v>0</v>
      </c>
      <c r="E59" s="65">
        <f t="shared" si="11"/>
        <v>0.004479283314669653</v>
      </c>
      <c r="F59" s="65">
        <f t="shared" si="11"/>
        <v>0.054871220604703244</v>
      </c>
      <c r="G59" s="65">
        <f t="shared" si="11"/>
        <v>0.30011198208286677</v>
      </c>
      <c r="H59" s="65">
        <f t="shared" si="11"/>
        <v>0.46024636058230683</v>
      </c>
      <c r="I59" s="65">
        <f t="shared" si="11"/>
        <v>0.18029115341545351</v>
      </c>
      <c r="J59" s="65"/>
      <c r="K59" s="65"/>
      <c r="L59" s="66">
        <f>SUM(C59:J59)</f>
        <v>1</v>
      </c>
      <c r="Q59" s="11" t="s">
        <v>69</v>
      </c>
      <c r="R59" s="71" t="s">
        <v>22</v>
      </c>
    </row>
    <row r="60" spans="2:17" ht="14.25">
      <c r="B60" s="10" t="s">
        <v>81</v>
      </c>
      <c r="Q60" s="11" t="s">
        <v>70</v>
      </c>
    </row>
    <row r="61" spans="2:18" ht="8.25" customHeight="1">
      <c r="B61" s="10" t="s">
        <v>15</v>
      </c>
      <c r="M61" s="57"/>
      <c r="N61" s="57"/>
      <c r="R61" s="25"/>
    </row>
    <row r="62" spans="2:18" ht="15">
      <c r="B62" s="128" t="s">
        <v>24</v>
      </c>
      <c r="R62" s="25"/>
    </row>
    <row r="63" spans="2:19" ht="14.25">
      <c r="B63" t="s">
        <v>71</v>
      </c>
      <c r="C63" s="13">
        <v>0</v>
      </c>
      <c r="D63" s="13">
        <v>0</v>
      </c>
      <c r="E63" s="13">
        <v>4000</v>
      </c>
      <c r="F63" s="13">
        <v>49000</v>
      </c>
      <c r="G63" s="13">
        <v>268000</v>
      </c>
      <c r="H63" s="13">
        <v>411000</v>
      </c>
      <c r="I63" s="13">
        <v>161000</v>
      </c>
      <c r="J63" s="13">
        <v>0</v>
      </c>
      <c r="K63" s="13"/>
      <c r="L63" s="142">
        <f>SUM(C63:J63)</f>
        <v>893000</v>
      </c>
      <c r="N63" s="120" t="s">
        <v>64</v>
      </c>
      <c r="R63" s="25"/>
      <c r="S63" s="9" t="s">
        <v>83</v>
      </c>
    </row>
    <row r="64" spans="2:13" ht="14.25">
      <c r="B64" s="105" t="s">
        <v>74</v>
      </c>
      <c r="C64" s="16">
        <f aca="true" t="shared" si="12" ref="C64:H64">C63*0.2</f>
        <v>0</v>
      </c>
      <c r="D64" s="16">
        <f t="shared" si="12"/>
        <v>0</v>
      </c>
      <c r="E64" s="16">
        <f t="shared" si="12"/>
        <v>800</v>
      </c>
      <c r="F64" s="16">
        <f t="shared" si="12"/>
        <v>9800</v>
      </c>
      <c r="G64" s="16">
        <f t="shared" si="12"/>
        <v>53600</v>
      </c>
      <c r="H64" s="16">
        <f t="shared" si="12"/>
        <v>82200</v>
      </c>
      <c r="I64" s="16">
        <f>I63*0.2</f>
        <v>32200</v>
      </c>
      <c r="J64" s="16">
        <f>J63*0.1</f>
        <v>0</v>
      </c>
      <c r="K64" s="16"/>
      <c r="L64" s="16">
        <f>SUM(C64:J64)</f>
        <v>178600</v>
      </c>
      <c r="M64" s="58"/>
    </row>
    <row r="65" spans="2:17" ht="14.25">
      <c r="B65" s="133" t="s">
        <v>10</v>
      </c>
      <c r="C65" s="134">
        <f>SUM(C63:C64)</f>
        <v>0</v>
      </c>
      <c r="D65" s="134">
        <f aca="true" t="shared" si="13" ref="D65:L65">SUM(D63:D64)</f>
        <v>0</v>
      </c>
      <c r="E65" s="134">
        <f t="shared" si="13"/>
        <v>4800</v>
      </c>
      <c r="F65" s="134">
        <f t="shared" si="13"/>
        <v>58800</v>
      </c>
      <c r="G65" s="134">
        <f t="shared" si="13"/>
        <v>321600</v>
      </c>
      <c r="H65" s="134">
        <f t="shared" si="13"/>
        <v>493200</v>
      </c>
      <c r="I65" s="134">
        <f t="shared" si="13"/>
        <v>193200</v>
      </c>
      <c r="J65" s="135">
        <f t="shared" si="13"/>
        <v>0</v>
      </c>
      <c r="K65" s="135"/>
      <c r="L65" s="178">
        <f t="shared" si="13"/>
        <v>1071600</v>
      </c>
      <c r="M65" s="58"/>
      <c r="N65" s="117" t="s">
        <v>63</v>
      </c>
      <c r="Q65" s="24">
        <f>L65/802</f>
        <v>1336.1596009975062</v>
      </c>
    </row>
    <row r="66" spans="2:17" ht="14.25">
      <c r="B66" s="106" t="s">
        <v>76</v>
      </c>
      <c r="C66" s="147">
        <f aca="true" t="shared" si="14" ref="C66:I66">C65*0.085</f>
        <v>0</v>
      </c>
      <c r="D66" s="147">
        <f t="shared" si="14"/>
        <v>0</v>
      </c>
      <c r="E66" s="147">
        <f t="shared" si="14"/>
        <v>408.00000000000006</v>
      </c>
      <c r="F66" s="147">
        <f t="shared" si="14"/>
        <v>4998</v>
      </c>
      <c r="G66" s="147">
        <f t="shared" si="14"/>
        <v>27336.000000000004</v>
      </c>
      <c r="H66" s="147">
        <f t="shared" si="14"/>
        <v>41922</v>
      </c>
      <c r="I66" s="147">
        <f t="shared" si="14"/>
        <v>16422</v>
      </c>
      <c r="J66" s="72">
        <f>J65*0.07</f>
        <v>0</v>
      </c>
      <c r="K66" s="72"/>
      <c r="L66" s="147">
        <f>SUM(C66:J66)</f>
        <v>91086</v>
      </c>
      <c r="M66" s="25"/>
      <c r="N66" s="122">
        <f>L65+L66</f>
        <v>1162686</v>
      </c>
      <c r="Q66" s="24">
        <f>L66/802</f>
        <v>113.57356608478803</v>
      </c>
    </row>
    <row r="67" spans="2:14" ht="15" thickBot="1">
      <c r="B67" s="25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25"/>
      <c r="N67" s="25"/>
    </row>
    <row r="68" spans="2:14" ht="15" thickBot="1">
      <c r="B68" s="108" t="s">
        <v>68</v>
      </c>
      <c r="C68" s="136">
        <f>C65+C66</f>
        <v>0</v>
      </c>
      <c r="D68" s="136">
        <f aca="true" t="shared" si="15" ref="D68:L68">D65+D66</f>
        <v>0</v>
      </c>
      <c r="E68" s="136">
        <f t="shared" si="15"/>
        <v>5208</v>
      </c>
      <c r="F68" s="136">
        <f t="shared" si="15"/>
        <v>63798</v>
      </c>
      <c r="G68" s="136">
        <f t="shared" si="15"/>
        <v>348936</v>
      </c>
      <c r="H68" s="136">
        <f t="shared" si="15"/>
        <v>535122</v>
      </c>
      <c r="I68" s="136">
        <f t="shared" si="15"/>
        <v>209622</v>
      </c>
      <c r="J68" s="136">
        <f t="shared" si="15"/>
        <v>0</v>
      </c>
      <c r="K68" s="136"/>
      <c r="L68" s="148">
        <f t="shared" si="15"/>
        <v>1162686</v>
      </c>
      <c r="M68" s="25"/>
      <c r="N68" s="25"/>
    </row>
    <row r="69" spans="2:14" ht="14.25">
      <c r="B69" s="25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25"/>
      <c r="N69" s="25"/>
    </row>
    <row r="70" spans="2:18" ht="14.25">
      <c r="B70" s="127" t="s">
        <v>16</v>
      </c>
      <c r="C70" s="123">
        <f>C65/(1+$E$28)^(C$9-2011)</f>
        <v>0</v>
      </c>
      <c r="D70" s="123">
        <f>D65/(1+$E$28)^(D$9-2011)</f>
        <v>0</v>
      </c>
      <c r="E70" s="123">
        <f>E65/(1+$E$28)^(E$9-2011)</f>
        <v>4524.460363842021</v>
      </c>
      <c r="F70" s="123">
        <f>F65/(1+$E$28)^(F$9-2011)</f>
        <v>53810.32956996578</v>
      </c>
      <c r="G70" s="123">
        <f>G65/(1+$E$28)^(G$9-2011)</f>
        <v>285737.43460968556</v>
      </c>
      <c r="H70" s="123">
        <f>H65/(1+$E$28)^(H$9-2011)</f>
        <v>425438.65245826973</v>
      </c>
      <c r="I70" s="123">
        <f>I65/(1+$E$28)^(I$9-2011)</f>
        <v>161801.95839128204</v>
      </c>
      <c r="J70" s="123">
        <f>J65/(1+$E$28)^(J$9-2011)</f>
        <v>0</v>
      </c>
      <c r="K70" s="123"/>
      <c r="L70" s="124">
        <f>SUM(C70:J70)</f>
        <v>931312.8353930451</v>
      </c>
      <c r="R70" s="176">
        <f>L70/802</f>
        <v>1161.2379493678866</v>
      </c>
    </row>
    <row r="71" spans="2:18" ht="14.25">
      <c r="B71" s="127" t="s">
        <v>17</v>
      </c>
      <c r="C71" s="125">
        <f>C66/(1+$E$28)^(C$9-2011)</f>
        <v>0</v>
      </c>
      <c r="D71" s="125">
        <f>D66/(1+$E$28)^(D$9-2011)</f>
        <v>0</v>
      </c>
      <c r="E71" s="125">
        <f>E66/(1+$E$28)^(E$9-2011)</f>
        <v>384.57913092657185</v>
      </c>
      <c r="F71" s="125">
        <f>F66/(1+$E$28)^(F$9-2011)</f>
        <v>4573.878013447092</v>
      </c>
      <c r="G71" s="125">
        <f>G66/(1+$E$28)^(G$9-2011)</f>
        <v>24287.681941823277</v>
      </c>
      <c r="H71" s="125">
        <f>H66/(1+$E$28)^(H$9-2011)</f>
        <v>36162.28545895293</v>
      </c>
      <c r="I71" s="125">
        <f>I66/(1+$E$28)^(I$9-2011)</f>
        <v>13753.166463258973</v>
      </c>
      <c r="J71" s="125">
        <f>J66/(1+$E$28)^(J$9-2011)</f>
        <v>0</v>
      </c>
      <c r="K71" s="125"/>
      <c r="L71" s="126">
        <f>SUM(C71:J71)</f>
        <v>79161.59100840884</v>
      </c>
      <c r="R71" s="149"/>
    </row>
    <row r="72" spans="2:18" ht="14.25">
      <c r="B72" s="127" t="s">
        <v>18</v>
      </c>
      <c r="C72" s="20">
        <f>C70+C71</f>
        <v>0</v>
      </c>
      <c r="D72" s="20">
        <f aca="true" t="shared" si="16" ref="D72:L72">D70+D71</f>
        <v>0</v>
      </c>
      <c r="E72" s="20">
        <f t="shared" si="16"/>
        <v>4909.039494768593</v>
      </c>
      <c r="F72" s="20">
        <f t="shared" si="16"/>
        <v>58384.20758341288</v>
      </c>
      <c r="G72" s="20">
        <f t="shared" si="16"/>
        <v>310025.11655150884</v>
      </c>
      <c r="H72" s="20">
        <f t="shared" si="16"/>
        <v>461600.9379172227</v>
      </c>
      <c r="I72" s="20">
        <f t="shared" si="16"/>
        <v>175555.124854541</v>
      </c>
      <c r="J72" s="20">
        <f t="shared" si="16"/>
        <v>0</v>
      </c>
      <c r="K72" s="20"/>
      <c r="L72" s="124">
        <f t="shared" si="16"/>
        <v>1010474.4264014539</v>
      </c>
      <c r="R72" s="146">
        <f>L72/802</f>
        <v>1259.943175064157</v>
      </c>
    </row>
    <row r="74" spans="2:18" ht="14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2:18" ht="18">
      <c r="B75" s="73" t="s">
        <v>77</v>
      </c>
      <c r="E75" s="207">
        <v>3514</v>
      </c>
      <c r="F75" s="207">
        <v>7879</v>
      </c>
      <c r="G75" s="207">
        <v>15285</v>
      </c>
      <c r="Q75" s="243" t="s">
        <v>5</v>
      </c>
      <c r="R75" s="244"/>
    </row>
    <row r="76" spans="2:18" ht="14.25">
      <c r="B76" s="115" t="s">
        <v>60</v>
      </c>
      <c r="C76" s="65">
        <f aca="true" t="shared" si="17" ref="C76:I76">C80/$L80</f>
        <v>0</v>
      </c>
      <c r="D76" s="65">
        <f t="shared" si="17"/>
        <v>0</v>
      </c>
      <c r="E76" s="65">
        <f>E75/SUM($E75:$G75)</f>
        <v>0.13171901941674788</v>
      </c>
      <c r="F76" s="65">
        <f>F75/SUM($E75:$G75)</f>
        <v>0.2953369817827423</v>
      </c>
      <c r="G76" s="65">
        <f>G75/SUM($E75:$G75)</f>
        <v>0.5729439988005098</v>
      </c>
      <c r="H76" s="65">
        <f t="shared" si="17"/>
        <v>0</v>
      </c>
      <c r="I76" s="65">
        <f t="shared" si="17"/>
        <v>0</v>
      </c>
      <c r="J76" s="65"/>
      <c r="K76" s="65"/>
      <c r="L76" s="66">
        <f>SUM(C76:J76)</f>
        <v>1</v>
      </c>
      <c r="Q76" s="11" t="s">
        <v>69</v>
      </c>
      <c r="R76" s="71" t="s">
        <v>22</v>
      </c>
    </row>
    <row r="77" spans="2:17" ht="14.25">
      <c r="B77" s="10" t="s">
        <v>82</v>
      </c>
      <c r="Q77" s="11" t="s">
        <v>70</v>
      </c>
    </row>
    <row r="78" spans="2:18" ht="14.25">
      <c r="B78" s="10" t="s">
        <v>15</v>
      </c>
      <c r="M78" s="57"/>
      <c r="N78" s="57"/>
      <c r="R78" s="25"/>
    </row>
    <row r="79" spans="2:18" ht="15">
      <c r="B79" s="128" t="s">
        <v>24</v>
      </c>
      <c r="R79" s="25"/>
    </row>
    <row r="80" spans="2:19" ht="14.25">
      <c r="B80" t="s">
        <v>79</v>
      </c>
      <c r="C80" s="13">
        <v>0</v>
      </c>
      <c r="D80" s="13">
        <v>0</v>
      </c>
      <c r="E80" s="13">
        <f>$L80*E76</f>
        <v>7090.303096184121</v>
      </c>
      <c r="F80" s="13">
        <f>$L80*F76</f>
        <v>15897.694392383237</v>
      </c>
      <c r="G80" s="13">
        <f>$L80*G76</f>
        <v>30841.002511432645</v>
      </c>
      <c r="H80" s="13">
        <v>0</v>
      </c>
      <c r="I80" s="13">
        <v>0</v>
      </c>
      <c r="J80" s="13">
        <v>0</v>
      </c>
      <c r="K80" s="13"/>
      <c r="L80" s="179">
        <v>53829</v>
      </c>
      <c r="N80" s="120" t="s">
        <v>64</v>
      </c>
      <c r="R80" s="25"/>
      <c r="S80" s="9" t="s">
        <v>84</v>
      </c>
    </row>
    <row r="81" spans="2:13" ht="14.25">
      <c r="B81" s="105" t="s">
        <v>78</v>
      </c>
      <c r="C81" s="16">
        <f>C80*0</f>
        <v>0</v>
      </c>
      <c r="D81" s="16">
        <f aca="true" t="shared" si="18" ref="D81:I81">D80*0</f>
        <v>0</v>
      </c>
      <c r="E81" s="16">
        <f t="shared" si="18"/>
        <v>0</v>
      </c>
      <c r="F81" s="16">
        <f t="shared" si="18"/>
        <v>0</v>
      </c>
      <c r="G81" s="16">
        <f t="shared" si="18"/>
        <v>0</v>
      </c>
      <c r="H81" s="16">
        <f t="shared" si="18"/>
        <v>0</v>
      </c>
      <c r="I81" s="16">
        <f t="shared" si="18"/>
        <v>0</v>
      </c>
      <c r="J81" s="16">
        <f>J80*0.1</f>
        <v>0</v>
      </c>
      <c r="K81" s="16"/>
      <c r="L81" s="16">
        <f>SUM(C81:J81)</f>
        <v>0</v>
      </c>
      <c r="M81" s="58"/>
    </row>
    <row r="82" spans="2:17" ht="14.25">
      <c r="B82" s="133" t="s">
        <v>10</v>
      </c>
      <c r="C82" s="134">
        <f aca="true" t="shared" si="19" ref="C82:J82">SUM(C80:C81)</f>
        <v>0</v>
      </c>
      <c r="D82" s="134">
        <f t="shared" si="19"/>
        <v>0</v>
      </c>
      <c r="E82" s="134">
        <f t="shared" si="19"/>
        <v>7090.303096184121</v>
      </c>
      <c r="F82" s="134">
        <f t="shared" si="19"/>
        <v>15897.694392383237</v>
      </c>
      <c r="G82" s="134">
        <f t="shared" si="19"/>
        <v>30841.002511432645</v>
      </c>
      <c r="H82" s="134">
        <f t="shared" si="19"/>
        <v>0</v>
      </c>
      <c r="I82" s="134">
        <f t="shared" si="19"/>
        <v>0</v>
      </c>
      <c r="J82" s="135">
        <f t="shared" si="19"/>
        <v>0</v>
      </c>
      <c r="K82" s="135"/>
      <c r="L82" s="122">
        <f>SUM(L80:L81)</f>
        <v>53829</v>
      </c>
      <c r="M82" s="58"/>
      <c r="N82" s="117" t="s">
        <v>63</v>
      </c>
      <c r="Q82" s="24">
        <f>L82/(268)</f>
        <v>200.8544776119403</v>
      </c>
    </row>
    <row r="83" spans="2:17" ht="14.25">
      <c r="B83" s="106" t="s">
        <v>134</v>
      </c>
      <c r="C83" s="147">
        <f aca="true" t="shared" si="20" ref="C83:J83">C82*0.1046</f>
        <v>0</v>
      </c>
      <c r="D83" s="147">
        <f t="shared" si="20"/>
        <v>0</v>
      </c>
      <c r="E83" s="147">
        <v>0</v>
      </c>
      <c r="F83" s="147">
        <v>0</v>
      </c>
      <c r="G83" s="147">
        <v>0</v>
      </c>
      <c r="H83" s="147">
        <f t="shared" si="20"/>
        <v>0</v>
      </c>
      <c r="I83" s="147">
        <f t="shared" si="20"/>
        <v>0</v>
      </c>
      <c r="J83" s="147">
        <f t="shared" si="20"/>
        <v>0</v>
      </c>
      <c r="K83" s="147"/>
      <c r="L83" s="147">
        <f>SUM(C83:J83)</f>
        <v>0</v>
      </c>
      <c r="M83" s="25"/>
      <c r="N83" s="122">
        <f>L82+L83</f>
        <v>53829</v>
      </c>
      <c r="Q83" s="24">
        <f>L83/(268)</f>
        <v>0</v>
      </c>
    </row>
    <row r="84" spans="2:14" ht="15" thickBot="1">
      <c r="B84" s="206" t="s">
        <v>135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25"/>
      <c r="N84" s="25"/>
    </row>
    <row r="85" spans="2:14" ht="15" thickBot="1">
      <c r="B85" s="108" t="s">
        <v>68</v>
      </c>
      <c r="C85" s="136">
        <f>C82+C83</f>
        <v>0</v>
      </c>
      <c r="D85" s="136">
        <f aca="true" t="shared" si="21" ref="D85:L85">D82+D83</f>
        <v>0</v>
      </c>
      <c r="E85" s="136">
        <f t="shared" si="21"/>
        <v>7090.303096184121</v>
      </c>
      <c r="F85" s="136">
        <f t="shared" si="21"/>
        <v>15897.694392383237</v>
      </c>
      <c r="G85" s="136">
        <f t="shared" si="21"/>
        <v>30841.002511432645</v>
      </c>
      <c r="H85" s="136">
        <f t="shared" si="21"/>
        <v>0</v>
      </c>
      <c r="I85" s="136">
        <f t="shared" si="21"/>
        <v>0</v>
      </c>
      <c r="J85" s="136">
        <f t="shared" si="21"/>
        <v>0</v>
      </c>
      <c r="K85" s="136"/>
      <c r="L85" s="148">
        <f t="shared" si="21"/>
        <v>53829</v>
      </c>
      <c r="M85" s="25"/>
      <c r="N85" s="25"/>
    </row>
    <row r="86" spans="2:14" ht="14.25">
      <c r="B86" s="25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25"/>
      <c r="N86" s="25"/>
    </row>
    <row r="87" spans="2:14" ht="15">
      <c r="B87" s="21" t="s">
        <v>154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25"/>
      <c r="N87" s="25"/>
    </row>
    <row r="88" spans="2:14" ht="14.25">
      <c r="B88" s="160" t="s">
        <v>90</v>
      </c>
      <c r="C88" s="72">
        <v>0</v>
      </c>
      <c r="D88" s="72">
        <v>0</v>
      </c>
      <c r="E88" s="72">
        <v>0</v>
      </c>
      <c r="F88" s="72">
        <v>71.292</v>
      </c>
      <c r="G88" s="72">
        <v>159.882</v>
      </c>
      <c r="H88" s="72">
        <v>199.659</v>
      </c>
      <c r="I88" s="72">
        <v>356</v>
      </c>
      <c r="J88" s="72">
        <v>2312</v>
      </c>
      <c r="K88" s="72"/>
      <c r="L88" s="116">
        <f>SUM(C88:J88)</f>
        <v>3098.833</v>
      </c>
      <c r="M88" s="25"/>
      <c r="N88" s="25"/>
    </row>
    <row r="89" spans="2:18" ht="14.25">
      <c r="B89" s="23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23"/>
      <c r="N89" s="23"/>
      <c r="O89" s="23"/>
      <c r="P89" s="23"/>
      <c r="Q89" s="23"/>
      <c r="R89" s="23"/>
    </row>
    <row r="90" spans="2:20" ht="15">
      <c r="B90" s="22" t="s">
        <v>23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5"/>
      <c r="T90" s="25"/>
    </row>
    <row r="91" spans="2:14" ht="14.25">
      <c r="B91" s="25" t="s">
        <v>89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25"/>
      <c r="N91" s="25"/>
    </row>
    <row r="92" spans="2:18" ht="14.25">
      <c r="B92" s="127" t="s">
        <v>16</v>
      </c>
      <c r="C92" s="123">
        <f>C82/(1+$E$28)^(C$9-2011)</f>
        <v>0</v>
      </c>
      <c r="D92" s="123">
        <f>D82/(1+$E$28)^(D$9-2011)</f>
        <v>0</v>
      </c>
      <c r="E92" s="123">
        <f>E82/(1+$E$28)^(E$9-2011)</f>
        <v>6683.290692981545</v>
      </c>
      <c r="F92" s="123">
        <f>F82/(1+$E$28)^(F$9-2011)</f>
        <v>14548.642426135015</v>
      </c>
      <c r="G92" s="123">
        <f>G82/(1+$E$28)^(G$9-2011)</f>
        <v>27401.83127614314</v>
      </c>
      <c r="H92" s="123">
        <f>H82/(1+$E$28)^(H$9-2011)</f>
        <v>0</v>
      </c>
      <c r="I92" s="123">
        <f>I82/(1+$E$28)^(I$9-2011)</f>
        <v>0</v>
      </c>
      <c r="J92" s="123">
        <f>J82/(1+$E$28)^(J$9-2011)</f>
        <v>0</v>
      </c>
      <c r="K92" s="123"/>
      <c r="L92" s="124">
        <f>SUM(C92:J92)</f>
        <v>48633.7643952597</v>
      </c>
      <c r="R92" s="176">
        <f>L92/(268)</f>
        <v>181.46927013156605</v>
      </c>
    </row>
    <row r="93" spans="2:18" ht="14.25">
      <c r="B93" s="127" t="s">
        <v>17</v>
      </c>
      <c r="C93" s="125">
        <f>C83/(1+$E$28)^(C$9-2011)</f>
        <v>0</v>
      </c>
      <c r="D93" s="125">
        <f>D83/(1+$E$28)^(D$9-2011)</f>
        <v>0</v>
      </c>
      <c r="E93" s="125">
        <f>E83/(1+$E$28)^(E$9-2011)</f>
        <v>0</v>
      </c>
      <c r="F93" s="125">
        <f>F83/(1+$E$28)^(F$9-2011)</f>
        <v>0</v>
      </c>
      <c r="G93" s="125">
        <f>G83/(1+$E$28)^(G$9-2011)</f>
        <v>0</v>
      </c>
      <c r="H93" s="125">
        <f>H83/(1+$E$28)^(H$9-2011)</f>
        <v>0</v>
      </c>
      <c r="I93" s="125">
        <f>I83/(1+$E$28)^(I$9-2011)</f>
        <v>0</v>
      </c>
      <c r="J93" s="125">
        <f>J83/(1+$E$28)^(J$9-2011)</f>
        <v>0</v>
      </c>
      <c r="K93" s="125"/>
      <c r="L93" s="126">
        <f>SUM(C93:J93)</f>
        <v>0</v>
      </c>
      <c r="R93" s="149"/>
    </row>
    <row r="94" spans="2:18" ht="14.25">
      <c r="B94" s="127" t="s">
        <v>18</v>
      </c>
      <c r="C94" s="20">
        <f>C92+C93</f>
        <v>0</v>
      </c>
      <c r="D94" s="20">
        <f aca="true" t="shared" si="22" ref="D94:L94">D92+D93</f>
        <v>0</v>
      </c>
      <c r="E94" s="20">
        <f t="shared" si="22"/>
        <v>6683.290692981545</v>
      </c>
      <c r="F94" s="20">
        <f t="shared" si="22"/>
        <v>14548.642426135015</v>
      </c>
      <c r="G94" s="20">
        <f t="shared" si="22"/>
        <v>27401.83127614314</v>
      </c>
      <c r="H94" s="20">
        <f t="shared" si="22"/>
        <v>0</v>
      </c>
      <c r="I94" s="20">
        <f t="shared" si="22"/>
        <v>0</v>
      </c>
      <c r="J94" s="20">
        <f t="shared" si="22"/>
        <v>0</v>
      </c>
      <c r="K94" s="20"/>
      <c r="L94" s="124">
        <f t="shared" si="22"/>
        <v>48633.7643952597</v>
      </c>
      <c r="R94" s="146">
        <f>L94/(268)</f>
        <v>181.46927013156605</v>
      </c>
    </row>
    <row r="95" spans="2:18" ht="14.25">
      <c r="B95" s="127"/>
      <c r="C95" s="20"/>
      <c r="D95" s="20"/>
      <c r="E95" s="20"/>
      <c r="F95" s="20"/>
      <c r="G95" s="20"/>
      <c r="H95" s="20"/>
      <c r="I95" s="20"/>
      <c r="J95" s="20"/>
      <c r="K95" s="20"/>
      <c r="L95" s="124"/>
      <c r="R95" s="161"/>
    </row>
    <row r="96" spans="2:18" ht="14.25">
      <c r="B96" s="160" t="s">
        <v>90</v>
      </c>
      <c r="C96" s="123">
        <f>C88/(1+$E$28)^(C$9-2011)</f>
        <v>0</v>
      </c>
      <c r="D96" s="123">
        <f>D88/(1+$E$28)^(D$9-2011)</f>
        <v>0</v>
      </c>
      <c r="E96" s="123">
        <f>E88/(1+$E$28)^(E$9-2011)</f>
        <v>0</v>
      </c>
      <c r="F96" s="123">
        <f>F88/(1+$E$28)^(F$9-2011)</f>
        <v>65.24227917860546</v>
      </c>
      <c r="G96" s="123">
        <f>G88/(1+$E$28)^(G$9-2011)</f>
        <v>142.05308619485618</v>
      </c>
      <c r="H96" s="123">
        <f>H88/(1+$E$28)^(H$9-2011)</f>
        <v>172.22760728135782</v>
      </c>
      <c r="I96" s="123">
        <f>I88/(1+$E$28)^(I$9-2011)</f>
        <v>298.14439537938097</v>
      </c>
      <c r="J96" s="123">
        <f>J88/(1+$E$28)^(J$9-2011)</f>
        <v>1879.8675742258338</v>
      </c>
      <c r="K96" s="123"/>
      <c r="L96" s="123">
        <f>SUM(C96:J96)</f>
        <v>2557.5349422600343</v>
      </c>
      <c r="R96" s="146">
        <f>L96/(268)</f>
        <v>9.543040829328486</v>
      </c>
    </row>
    <row r="98" spans="2:20" ht="14.2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spans="2:20" ht="18">
      <c r="B99" s="73" t="s">
        <v>85</v>
      </c>
      <c r="S99" s="243" t="s">
        <v>5</v>
      </c>
      <c r="T99" s="244"/>
    </row>
    <row r="100" spans="2:20" ht="14.25">
      <c r="B100" s="115"/>
      <c r="S100" s="11" t="s">
        <v>69</v>
      </c>
      <c r="T100" s="71" t="s">
        <v>22</v>
      </c>
    </row>
    <row r="101" spans="2:18" ht="15">
      <c r="B101" s="128" t="s">
        <v>24</v>
      </c>
      <c r="C101" s="12">
        <v>2011</v>
      </c>
      <c r="D101" s="12">
        <v>2012</v>
      </c>
      <c r="E101" s="12">
        <v>2013</v>
      </c>
      <c r="F101" s="12">
        <v>2014</v>
      </c>
      <c r="G101" s="12">
        <v>2015</v>
      </c>
      <c r="H101" s="12">
        <v>2016</v>
      </c>
      <c r="I101" s="12">
        <v>2017</v>
      </c>
      <c r="J101" s="12">
        <v>2018</v>
      </c>
      <c r="K101" s="12">
        <v>2019</v>
      </c>
      <c r="L101" s="12">
        <v>2020</v>
      </c>
      <c r="M101" s="12">
        <v>2021</v>
      </c>
      <c r="Q101" s="11" t="s">
        <v>4</v>
      </c>
      <c r="R101" s="25"/>
    </row>
    <row r="102" spans="2:18" ht="14.25">
      <c r="B102" t="s">
        <v>88</v>
      </c>
      <c r="E102" s="154">
        <f>535911/0.5</f>
        <v>1071822</v>
      </c>
      <c r="R102" s="25"/>
    </row>
    <row r="103" ht="14.25">
      <c r="R103" s="25"/>
    </row>
    <row r="104" spans="2:19" ht="14.25">
      <c r="B104" s="153" t="s">
        <v>86</v>
      </c>
      <c r="E104" s="154">
        <f>E102*0.2</f>
        <v>214364.40000000002</v>
      </c>
      <c r="N104" s="120" t="s">
        <v>64</v>
      </c>
      <c r="Q104" s="175">
        <f>SUM(E104:M104)</f>
        <v>214364.40000000002</v>
      </c>
      <c r="R104" s="25"/>
      <c r="S104" s="156">
        <f>Q104/(1560*0.2)</f>
        <v>687.0653846153847</v>
      </c>
    </row>
    <row r="105" spans="2:19" ht="14.25">
      <c r="B105" s="153" t="s">
        <v>87</v>
      </c>
      <c r="E105" s="154">
        <f>E102*0.5</f>
        <v>535911</v>
      </c>
      <c r="M105" s="58"/>
      <c r="Q105" s="175">
        <f>SUM(E105:M105)</f>
        <v>535911</v>
      </c>
      <c r="S105" s="156">
        <f>Q105/(1560*0.5)</f>
        <v>687.0653846153846</v>
      </c>
    </row>
    <row r="106" spans="2:17" ht="14.25">
      <c r="B106" s="102"/>
      <c r="C106" s="104"/>
      <c r="D106" s="104"/>
      <c r="E106" s="104"/>
      <c r="F106" s="104"/>
      <c r="G106" s="104"/>
      <c r="H106" s="104"/>
      <c r="I106" s="104"/>
      <c r="J106" s="104"/>
      <c r="K106" s="104"/>
      <c r="L106" s="103"/>
      <c r="M106" s="58"/>
      <c r="N106" s="117"/>
      <c r="Q106" s="24"/>
    </row>
    <row r="107" spans="2:17" ht="15">
      <c r="B107" s="21" t="s">
        <v>152</v>
      </c>
      <c r="M107" s="58"/>
      <c r="N107" s="117"/>
      <c r="Q107" s="24"/>
    </row>
    <row r="108" spans="2:19" ht="14.25">
      <c r="B108" s="163" t="s">
        <v>91</v>
      </c>
      <c r="F108" s="155">
        <v>44165.748530000004</v>
      </c>
      <c r="G108" s="155">
        <v>14268.22829</v>
      </c>
      <c r="H108" s="155">
        <v>10679.91187</v>
      </c>
      <c r="I108" s="155">
        <v>36222.444390000004</v>
      </c>
      <c r="J108" s="155">
        <v>43588.07148</v>
      </c>
      <c r="K108" s="155">
        <v>25653.08742</v>
      </c>
      <c r="L108" s="158">
        <v>4445.74281</v>
      </c>
      <c r="M108" s="155">
        <v>4240.57411</v>
      </c>
      <c r="N108" s="117"/>
      <c r="Q108" s="142">
        <f>SUM(E108:M108)</f>
        <v>183263.80889999997</v>
      </c>
      <c r="S108" s="156">
        <f>Q108/(1560*0.5)</f>
        <v>234.9536011538461</v>
      </c>
    </row>
    <row r="109" spans="2:17" ht="15">
      <c r="B109" s="21"/>
      <c r="M109" s="58"/>
      <c r="N109" s="117"/>
      <c r="Q109" s="24"/>
    </row>
    <row r="110" spans="2:19" ht="14.25">
      <c r="B110" s="153" t="s">
        <v>86</v>
      </c>
      <c r="F110" s="164">
        <f aca="true" t="shared" si="23" ref="F110:K110">F108*0.2</f>
        <v>8833.149706000002</v>
      </c>
      <c r="G110" s="164">
        <f t="shared" si="23"/>
        <v>2853.645658</v>
      </c>
      <c r="H110" s="164">
        <f t="shared" si="23"/>
        <v>2135.982374</v>
      </c>
      <c r="I110" s="164">
        <f t="shared" si="23"/>
        <v>7244.488878000001</v>
      </c>
      <c r="J110" s="164">
        <f t="shared" si="23"/>
        <v>8717.614296</v>
      </c>
      <c r="K110" s="164">
        <f t="shared" si="23"/>
        <v>5130.617484</v>
      </c>
      <c r="L110" s="164">
        <f aca="true" t="shared" si="24" ref="L110:Q110">L108*0.2</f>
        <v>889.148562</v>
      </c>
      <c r="M110" s="164">
        <f t="shared" si="24"/>
        <v>848.114822</v>
      </c>
      <c r="N110" s="164">
        <f t="shared" si="24"/>
        <v>0</v>
      </c>
      <c r="O110" s="164">
        <f t="shared" si="24"/>
        <v>0</v>
      </c>
      <c r="P110" s="164">
        <f t="shared" si="24"/>
        <v>0</v>
      </c>
      <c r="Q110" s="154">
        <f t="shared" si="24"/>
        <v>36652.76177999999</v>
      </c>
      <c r="S110" s="156">
        <f>Q110/(1560*0.2)</f>
        <v>117.47680057692305</v>
      </c>
    </row>
    <row r="111" spans="2:19" ht="14.25">
      <c r="B111" s="153" t="s">
        <v>87</v>
      </c>
      <c r="F111" s="164">
        <f aca="true" t="shared" si="25" ref="F111:K111">F108*0.5</f>
        <v>22082.874265000002</v>
      </c>
      <c r="G111" s="164">
        <f t="shared" si="25"/>
        <v>7134.114145</v>
      </c>
      <c r="H111" s="164">
        <f t="shared" si="25"/>
        <v>5339.955935</v>
      </c>
      <c r="I111" s="164">
        <f t="shared" si="25"/>
        <v>18111.222195000002</v>
      </c>
      <c r="J111" s="164">
        <f t="shared" si="25"/>
        <v>21794.03574</v>
      </c>
      <c r="K111" s="164">
        <f t="shared" si="25"/>
        <v>12826.54371</v>
      </c>
      <c r="L111" s="164">
        <f aca="true" t="shared" si="26" ref="L111:Q111">L108*0.5</f>
        <v>2222.871405</v>
      </c>
      <c r="M111" s="164">
        <f t="shared" si="26"/>
        <v>2120.287055</v>
      </c>
      <c r="N111" s="164">
        <f t="shared" si="26"/>
        <v>0</v>
      </c>
      <c r="O111" s="164">
        <f t="shared" si="26"/>
        <v>0</v>
      </c>
      <c r="P111" s="164">
        <f t="shared" si="26"/>
        <v>0</v>
      </c>
      <c r="Q111" s="154">
        <f t="shared" si="26"/>
        <v>91631.90444999999</v>
      </c>
      <c r="S111" s="156">
        <f>Q111/(1560*0.5)</f>
        <v>117.47680057692305</v>
      </c>
    </row>
    <row r="112" spans="2:20" ht="14.25">
      <c r="B112" s="165"/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  <c r="M112" s="168"/>
      <c r="N112" s="169"/>
      <c r="O112" s="23"/>
      <c r="P112" s="23"/>
      <c r="Q112" s="170"/>
      <c r="R112" s="23"/>
      <c r="S112" s="23"/>
      <c r="T112" s="23"/>
    </row>
    <row r="113" spans="2:14" ht="15">
      <c r="B113" s="22" t="s">
        <v>23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25"/>
      <c r="N113" s="25"/>
    </row>
    <row r="114" spans="2:14" ht="14.25">
      <c r="B114" t="s">
        <v>92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25"/>
      <c r="N114" s="25"/>
    </row>
    <row r="115" spans="2:20" ht="14.25">
      <c r="B115" s="157" t="s">
        <v>86</v>
      </c>
      <c r="C115" s="72"/>
      <c r="D115" s="72"/>
      <c r="E115" s="123">
        <f>E104/(1+$E$28)^(E$9-2011)</f>
        <v>202059.0065039118</v>
      </c>
      <c r="F115" s="72"/>
      <c r="G115" s="72"/>
      <c r="H115" s="72"/>
      <c r="I115" s="72"/>
      <c r="J115" s="72"/>
      <c r="K115" s="72"/>
      <c r="Q115" s="159">
        <f>SUM(E115:J115)</f>
        <v>202059.0065039118</v>
      </c>
      <c r="T115" s="146">
        <f>Q115/(1560*0.2)</f>
        <v>647.6250208458712</v>
      </c>
    </row>
    <row r="116" spans="2:20" ht="14.25">
      <c r="B116" s="157" t="s">
        <v>87</v>
      </c>
      <c r="C116" s="72"/>
      <c r="D116" s="72"/>
      <c r="E116" s="123">
        <f>E105/(1+$E$28)^(E$9-2011)</f>
        <v>505147.51625977946</v>
      </c>
      <c r="F116" s="72"/>
      <c r="G116" s="72"/>
      <c r="H116" s="72"/>
      <c r="I116" s="72"/>
      <c r="J116" s="72"/>
      <c r="K116" s="72"/>
      <c r="Q116" s="159">
        <f>SUM(E116:J116)</f>
        <v>505147.51625977946</v>
      </c>
      <c r="T116" s="146">
        <f>Q116/(1560*0.5)</f>
        <v>647.6250208458711</v>
      </c>
    </row>
    <row r="117" spans="2:12" ht="14.25">
      <c r="B117" s="171" t="s">
        <v>160</v>
      </c>
      <c r="F117" s="72"/>
      <c r="G117" s="72"/>
      <c r="H117" s="72"/>
      <c r="I117" s="72"/>
      <c r="J117" s="72"/>
      <c r="K117" s="72"/>
      <c r="L117" s="72"/>
    </row>
    <row r="118" spans="2:20" ht="14.25">
      <c r="B118" s="157" t="s">
        <v>86</v>
      </c>
      <c r="F118" s="123">
        <f>F110/(1+$E$28)^(F$101-2011)</f>
        <v>8083.583279263716</v>
      </c>
      <c r="G118" s="123">
        <f>G110/(1+$E$28)^(G$101-2011)</f>
        <v>2535.427206473844</v>
      </c>
      <c r="H118" s="123">
        <f>H110/(1+$E$28)^(H$101-2011)</f>
        <v>1842.517159102141</v>
      </c>
      <c r="I118" s="123">
        <f>I110/(1+$E$28)^(I$101-2011)</f>
        <v>6067.145383044833</v>
      </c>
      <c r="J118" s="123">
        <f>J110/(1+$E$28)^(J$101-2011)</f>
        <v>7088.218183243067</v>
      </c>
      <c r="K118" s="123">
        <f>K110/(1+$E$28)^(K$101-2011)</f>
        <v>4050.1568196021317</v>
      </c>
      <c r="L118" s="123">
        <f>L110/(1+$E$28)^(L$101-2011)</f>
        <v>681.4583354560748</v>
      </c>
      <c r="M118" s="123">
        <f>M110/(1+$E$28)^(M$101-2011)</f>
        <v>631.0770781839192</v>
      </c>
      <c r="Q118" s="235">
        <f>SUM(F118:M118)</f>
        <v>30979.583444369728</v>
      </c>
      <c r="T118" s="146">
        <f>Q118/(1560*0.2)</f>
        <v>99.2935366806722</v>
      </c>
    </row>
    <row r="119" spans="2:20" ht="14.25">
      <c r="B119" s="157" t="s">
        <v>87</v>
      </c>
      <c r="F119" s="123">
        <f>F111/(1+$E$28)^(F$101-2011)</f>
        <v>20208.958198159286</v>
      </c>
      <c r="G119" s="123">
        <f>G111/(1+$E$28)^(G$101-2011)</f>
        <v>6338.568016184609</v>
      </c>
      <c r="H119" s="123">
        <f>H111/(1+$E$28)^(H$101-2011)</f>
        <v>4606.292897755352</v>
      </c>
      <c r="I119" s="123">
        <f>I111/(1+$E$28)^(I$101-2011)</f>
        <v>15167.86345761208</v>
      </c>
      <c r="J119" s="123">
        <f>J111/(1+$E$28)^(J$101-2011)</f>
        <v>17720.545458107666</v>
      </c>
      <c r="K119" s="123">
        <f>K111/(1+$E$28)^(K$101-2011)</f>
        <v>10125.39204900533</v>
      </c>
      <c r="L119" s="123">
        <f>L111/(1+$E$28)^(L$101-2011)</f>
        <v>1703.6458386401869</v>
      </c>
      <c r="M119" s="123">
        <f>M111/(1+$E$28)^(M$101-2011)</f>
        <v>1577.692695459798</v>
      </c>
      <c r="Q119" s="235">
        <f>SUM(F119:M119)</f>
        <v>77448.95861092432</v>
      </c>
      <c r="T119" s="146">
        <f>Q119/(1560*0.5)</f>
        <v>99.2935366806722</v>
      </c>
    </row>
    <row r="121" spans="2:20" ht="14.2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</row>
    <row r="123" spans="2:11" ht="15.75">
      <c r="B123" s="226" t="s">
        <v>146</v>
      </c>
      <c r="K123" s="18"/>
    </row>
    <row r="124" spans="2:11" ht="14.25">
      <c r="B124" s="210" t="s">
        <v>147</v>
      </c>
      <c r="K124" s="18"/>
    </row>
    <row r="125" spans="2:12" ht="14.25">
      <c r="B125" s="9" t="s">
        <v>141</v>
      </c>
      <c r="C125" s="12">
        <v>2011</v>
      </c>
      <c r="D125" s="12">
        <v>2012</v>
      </c>
      <c r="E125" s="12">
        <v>2013</v>
      </c>
      <c r="F125" s="12">
        <v>2014</v>
      </c>
      <c r="G125" s="12">
        <v>2015</v>
      </c>
      <c r="H125" s="12">
        <v>2016</v>
      </c>
      <c r="I125" s="12">
        <v>2017</v>
      </c>
      <c r="J125" s="12">
        <v>2018</v>
      </c>
      <c r="K125" s="12">
        <v>2019</v>
      </c>
      <c r="L125" s="11" t="s">
        <v>4</v>
      </c>
    </row>
    <row r="126" spans="2:13" ht="15">
      <c r="B126" s="219" t="s">
        <v>145</v>
      </c>
      <c r="C126" s="74"/>
      <c r="D126" s="74"/>
      <c r="E126" s="74"/>
      <c r="F126" s="74"/>
      <c r="G126" s="74"/>
      <c r="H126" s="74"/>
      <c r="I126" s="74"/>
      <c r="J126" s="74"/>
      <c r="K126" s="213"/>
      <c r="L126" s="74"/>
      <c r="M126" s="220" t="s">
        <v>100</v>
      </c>
    </row>
    <row r="127" spans="2:17" ht="14.25">
      <c r="B127" s="230" t="s">
        <v>156</v>
      </c>
      <c r="C127" s="211">
        <f>$M127*740*C130</f>
        <v>0</v>
      </c>
      <c r="D127" s="211">
        <f aca="true" t="shared" si="27" ref="D127:I127">$M127*740*D130</f>
        <v>0</v>
      </c>
      <c r="E127" s="211">
        <f t="shared" si="27"/>
        <v>4118.1</v>
      </c>
      <c r="F127" s="211">
        <f t="shared" si="27"/>
        <v>45299.1</v>
      </c>
      <c r="G127" s="211">
        <f t="shared" si="27"/>
        <v>247086</v>
      </c>
      <c r="H127" s="211">
        <f t="shared" si="27"/>
        <v>378865.2</v>
      </c>
      <c r="I127" s="211">
        <f t="shared" si="27"/>
        <v>148251.6</v>
      </c>
      <c r="J127" s="212"/>
      <c r="K127" s="212"/>
      <c r="L127" s="221">
        <f>SUM(C127:I127)</f>
        <v>823620</v>
      </c>
      <c r="M127" s="225">
        <v>1113</v>
      </c>
      <c r="Q127" s="9" t="s">
        <v>144</v>
      </c>
    </row>
    <row r="128" spans="2:13" ht="14.25">
      <c r="B128" s="231" t="s">
        <v>158</v>
      </c>
      <c r="C128" s="232">
        <v>0</v>
      </c>
      <c r="D128" s="233" t="e">
        <f aca="true" t="shared" si="28" ref="D128:I128">((D129/D127)^(1/(D$9-2011))-1)</f>
        <v>#DIV/0!</v>
      </c>
      <c r="E128" s="233">
        <f t="shared" si="28"/>
        <v>0.02499999999999991</v>
      </c>
      <c r="F128" s="233">
        <f t="shared" si="28"/>
        <v>0.02499999999999991</v>
      </c>
      <c r="G128" s="233">
        <f t="shared" si="28"/>
        <v>0.02499999999999991</v>
      </c>
      <c r="H128" s="233">
        <f t="shared" si="28"/>
        <v>0.02499999999999991</v>
      </c>
      <c r="I128" s="233">
        <f t="shared" si="28"/>
        <v>0.02499999999999991</v>
      </c>
      <c r="J128" s="228"/>
      <c r="K128" s="213"/>
      <c r="L128" s="214">
        <f>L129/L127-1</f>
        <v>0.12481856977050754</v>
      </c>
      <c r="M128" s="74"/>
    </row>
    <row r="129" spans="2:13" ht="14.25">
      <c r="B129" s="230" t="s">
        <v>157</v>
      </c>
      <c r="C129" s="215">
        <f aca="true" t="shared" si="29" ref="C129:I129">C127*(1+$K130)^(C$9-2011)</f>
        <v>0</v>
      </c>
      <c r="D129" s="215">
        <f t="shared" si="29"/>
        <v>0</v>
      </c>
      <c r="E129" s="215">
        <f t="shared" si="29"/>
        <v>4326.5788125</v>
      </c>
      <c r="F129" s="215">
        <f t="shared" si="29"/>
        <v>48782.17611093749</v>
      </c>
      <c r="G129" s="215">
        <f t="shared" si="29"/>
        <v>272736.7118929687</v>
      </c>
      <c r="H129" s="215">
        <f t="shared" si="29"/>
        <v>428651.1988584491</v>
      </c>
      <c r="I129" s="215">
        <f t="shared" si="29"/>
        <v>171926.40475953012</v>
      </c>
      <c r="J129" s="215"/>
      <c r="K129" s="231" t="s">
        <v>142</v>
      </c>
      <c r="L129" s="164">
        <f>SUM(C129:J129)</f>
        <v>926423.0704343853</v>
      </c>
      <c r="M129" s="222">
        <f>L129/740</f>
        <v>1251.9230681545748</v>
      </c>
    </row>
    <row r="130" spans="2:13" ht="14.25">
      <c r="B130" s="223" t="s">
        <v>143</v>
      </c>
      <c r="C130" s="216">
        <v>0</v>
      </c>
      <c r="D130" s="216">
        <v>0</v>
      </c>
      <c r="E130" s="216">
        <v>0.005</v>
      </c>
      <c r="F130" s="216">
        <v>0.055</v>
      </c>
      <c r="G130" s="216">
        <v>0.3</v>
      </c>
      <c r="H130" s="216">
        <v>0.46</v>
      </c>
      <c r="I130" s="224">
        <v>0.18</v>
      </c>
      <c r="J130" s="217"/>
      <c r="K130" s="234">
        <v>0.025</v>
      </c>
      <c r="L130" s="218"/>
      <c r="M130" s="74"/>
    </row>
    <row r="132" ht="14.25">
      <c r="B132" t="s">
        <v>155</v>
      </c>
    </row>
  </sheetData>
  <sheetProtection/>
  <mergeCells count="7">
    <mergeCell ref="S99:T99"/>
    <mergeCell ref="C90:R90"/>
    <mergeCell ref="Q8:R8"/>
    <mergeCell ref="Q29:R29"/>
    <mergeCell ref="Q41:R41"/>
    <mergeCell ref="Q58:R58"/>
    <mergeCell ref="Q75:R75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Scott- Resource Planning Weaver</dc:creator>
  <cp:keywords/>
  <dc:description/>
  <cp:lastModifiedBy>Scott- Resource Planning Weaver</cp:lastModifiedBy>
  <cp:lastPrinted>2012-11-09T21:07:16Z</cp:lastPrinted>
  <dcterms:created xsi:type="dcterms:W3CDTF">2011-04-22T18:35:23Z</dcterms:created>
  <dcterms:modified xsi:type="dcterms:W3CDTF">2013-02-13T13:52:52Z</dcterms:modified>
  <cp:category/>
  <cp:version/>
  <cp:contentType/>
  <cp:contentStatus/>
</cp:coreProperties>
</file>