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drawings/drawing3.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drawings/drawing4.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drawings/drawing5.xml" ContentType="application/vnd.openxmlformats-officedocument.drawing+xml"/>
  <Override PartName="/xl/worksheets/sheet14.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8675" windowHeight="12300" tabRatio="828" activeTab="0"/>
  </bookViews>
  <sheets>
    <sheet name="CapCostCompTable" sheetId="1" r:id="rId1"/>
    <sheet name="Abbrev Summary" sheetId="2" r:id="rId2"/>
    <sheet name="AnnualCosts07" sheetId="3" r:id="rId3"/>
    <sheet name="AnnualCosts08&amp;09" sheetId="4" r:id="rId4"/>
    <sheet name="AnnualCosts2010" sheetId="5" r:id="rId5"/>
    <sheet name="SteelHistory" sheetId="6" r:id="rId6"/>
    <sheet name="Base Costs" sheetId="7" r:id="rId7"/>
    <sheet name="EIA_CapitalCosts" sheetId="8" r:id="rId8"/>
    <sheet name="WoodMac_CapitalCosts" sheetId="9" r:id="rId9"/>
    <sheet name="CERA_CapitalCosts" sheetId="10" r:id="rId10"/>
    <sheet name="GlobalInsight_CapitalCosts" sheetId="11" r:id="rId11"/>
    <sheet name="Capital Cost Comparison" sheetId="12" r:id="rId12"/>
    <sheet name="$-kW Basis" sheetId="13" r:id="rId13"/>
    <sheet name="$-kW Graphs" sheetId="14" r:id="rId14"/>
  </sheets>
  <definedNames>
    <definedName name="_xlnm.Print_Area" localSheetId="1">'Abbrev Summary'!$B$2:$L$28</definedName>
    <definedName name="_xlnm.Print_Area" localSheetId="2">'AnnualCosts07'!$B$6:$Q$28</definedName>
  </definedNames>
  <calcPr fullCalcOnLoad="1"/>
</workbook>
</file>

<file path=xl/comments10.xml><?xml version="1.0" encoding="utf-8"?>
<comments xmlns="http://schemas.openxmlformats.org/spreadsheetml/2006/main">
  <authors>
    <author>AEP</author>
  </authors>
  <commentList>
    <comment ref="M19" authorId="0">
      <text>
        <r>
          <rPr>
            <b/>
            <sz val="8"/>
            <rFont val="Tahoma"/>
            <family val="2"/>
          </rPr>
          <t>AEP:</t>
        </r>
        <r>
          <rPr>
            <sz val="8"/>
            <rFont val="Tahoma"/>
            <family val="2"/>
          </rPr>
          <t xml:space="preserve">
PV = photovoltaic (utility scale)</t>
        </r>
      </text>
    </comment>
    <comment ref="N19" authorId="0">
      <text>
        <r>
          <rPr>
            <b/>
            <sz val="8"/>
            <rFont val="Tahoma"/>
            <family val="2"/>
          </rPr>
          <t>AEP:</t>
        </r>
        <r>
          <rPr>
            <sz val="8"/>
            <rFont val="Tahoma"/>
            <family val="2"/>
          </rPr>
          <t xml:space="preserve">
Con = concentrating (without storage)</t>
        </r>
      </text>
    </comment>
    <comment ref="M49" authorId="0">
      <text>
        <r>
          <rPr>
            <b/>
            <sz val="8"/>
            <rFont val="Tahoma"/>
            <family val="2"/>
          </rPr>
          <t>AEP:</t>
        </r>
        <r>
          <rPr>
            <sz val="8"/>
            <rFont val="Tahoma"/>
            <family val="2"/>
          </rPr>
          <t xml:space="preserve">
PV = photovoltaic (utility scale)</t>
        </r>
      </text>
    </comment>
    <comment ref="M79" authorId="0">
      <text>
        <r>
          <rPr>
            <b/>
            <sz val="8"/>
            <rFont val="Tahoma"/>
            <family val="2"/>
          </rPr>
          <t>AEP:</t>
        </r>
        <r>
          <rPr>
            <sz val="8"/>
            <rFont val="Tahoma"/>
            <family val="2"/>
          </rPr>
          <t xml:space="preserve">
PV = photovoltaic (utility scale)</t>
        </r>
      </text>
    </comment>
  </commentList>
</comments>
</file>

<file path=xl/comments12.xml><?xml version="1.0" encoding="utf-8"?>
<comments xmlns="http://schemas.openxmlformats.org/spreadsheetml/2006/main">
  <authors>
    <author>AEP</author>
  </authors>
  <commentList>
    <comment ref="C10" authorId="0">
      <text>
        <r>
          <rPr>
            <b/>
            <sz val="8"/>
            <rFont val="Tahoma"/>
            <family val="2"/>
          </rPr>
          <t>AEP:</t>
        </r>
        <r>
          <rPr>
            <sz val="8"/>
            <rFont val="Tahoma"/>
            <family val="2"/>
          </rPr>
          <t xml:space="preserve">
Average of CSP &amp; PV</t>
        </r>
      </text>
    </comment>
    <comment ref="I10" authorId="0">
      <text>
        <r>
          <rPr>
            <b/>
            <sz val="8"/>
            <rFont val="Tahoma"/>
            <family val="2"/>
          </rPr>
          <t>AEP:</t>
        </r>
        <r>
          <rPr>
            <sz val="8"/>
            <rFont val="Tahoma"/>
            <family val="2"/>
          </rPr>
          <t xml:space="preserve">
Average of CSP &amp; PV</t>
        </r>
      </text>
    </comment>
    <comment ref="J10" authorId="0">
      <text>
        <r>
          <rPr>
            <b/>
            <sz val="8"/>
            <rFont val="Tahoma"/>
            <family val="2"/>
          </rPr>
          <t>AEP:</t>
        </r>
        <r>
          <rPr>
            <sz val="8"/>
            <rFont val="Tahoma"/>
            <family val="2"/>
          </rPr>
          <t xml:space="preserve">
Average of CSP &amp; PV</t>
        </r>
      </text>
    </comment>
    <comment ref="K10" authorId="0">
      <text>
        <r>
          <rPr>
            <b/>
            <sz val="8"/>
            <rFont val="Tahoma"/>
            <family val="2"/>
          </rPr>
          <t>AEP:</t>
        </r>
        <r>
          <rPr>
            <sz val="8"/>
            <rFont val="Tahoma"/>
            <family val="2"/>
          </rPr>
          <t xml:space="preserve">
Average of CSP &amp; PV</t>
        </r>
      </text>
    </comment>
  </commentList>
</comments>
</file>

<file path=xl/comments4.xml><?xml version="1.0" encoding="utf-8"?>
<comments xmlns="http://schemas.openxmlformats.org/spreadsheetml/2006/main">
  <authors>
    <author>AEP</author>
  </authors>
  <commentList>
    <comment ref="K12" authorId="0">
      <text>
        <r>
          <rPr>
            <b/>
            <sz val="8"/>
            <rFont val="Tahoma"/>
            <family val="2"/>
          </rPr>
          <t>AEP:</t>
        </r>
        <r>
          <rPr>
            <sz val="8"/>
            <rFont val="Tahoma"/>
            <family val="2"/>
          </rPr>
          <t xml:space="preserve">
2007 Costs</t>
        </r>
      </text>
    </comment>
    <comment ref="N12" authorId="0">
      <text>
        <r>
          <rPr>
            <b/>
            <sz val="8"/>
            <rFont val="Tahoma"/>
            <family val="2"/>
          </rPr>
          <t>AEP:</t>
        </r>
        <r>
          <rPr>
            <sz val="8"/>
            <rFont val="Tahoma"/>
            <family val="2"/>
          </rPr>
          <t xml:space="preserve">
Data taken from IRP CTs tab</t>
        </r>
      </text>
    </comment>
    <comment ref="B17" authorId="0">
      <text>
        <r>
          <rPr>
            <b/>
            <sz val="8"/>
            <rFont val="Tahoma"/>
            <family val="2"/>
          </rPr>
          <t>AEP:</t>
        </r>
        <r>
          <rPr>
            <sz val="8"/>
            <rFont val="Tahoma"/>
            <family val="2"/>
          </rPr>
          <t xml:space="preserve">
Individual tabs</t>
        </r>
      </text>
    </comment>
  </commentList>
</comments>
</file>

<file path=xl/comments5.xml><?xml version="1.0" encoding="utf-8"?>
<comments xmlns="http://schemas.openxmlformats.org/spreadsheetml/2006/main">
  <authors>
    <author>AEP</author>
  </authors>
  <commentList>
    <comment ref="C13" authorId="0">
      <text>
        <r>
          <rPr>
            <b/>
            <sz val="8"/>
            <rFont val="Tahoma"/>
            <family val="2"/>
          </rPr>
          <t>AEP:</t>
        </r>
        <r>
          <rPr>
            <sz val="8"/>
            <rFont val="Tahoma"/>
            <family val="2"/>
          </rPr>
          <t xml:space="preserve">
Estimated 7 yrs COD:  $342/kW  total</t>
        </r>
      </text>
    </comment>
    <comment ref="D13" authorId="0">
      <text>
        <r>
          <rPr>
            <b/>
            <sz val="8"/>
            <rFont val="Tahoma"/>
            <family val="2"/>
          </rPr>
          <t>AEP:</t>
        </r>
        <r>
          <rPr>
            <sz val="8"/>
            <rFont val="Tahoma"/>
            <family val="2"/>
          </rPr>
          <t xml:space="preserve">
Estimated 13 yrs COD:  $1000/kW total </t>
        </r>
      </text>
    </comment>
    <comment ref="E13" authorId="0">
      <text>
        <r>
          <rPr>
            <b/>
            <sz val="8"/>
            <rFont val="Tahoma"/>
            <family val="2"/>
          </rPr>
          <t>AEP:</t>
        </r>
        <r>
          <rPr>
            <sz val="8"/>
            <rFont val="Tahoma"/>
            <family val="2"/>
          </rPr>
          <t xml:space="preserve">
Estimated 7 yrs COD:  $290/kW total</t>
        </r>
      </text>
    </comment>
    <comment ref="F13" authorId="0">
      <text>
        <r>
          <rPr>
            <b/>
            <sz val="8"/>
            <rFont val="Tahoma"/>
            <family val="2"/>
          </rPr>
          <t>AEP:</t>
        </r>
        <r>
          <rPr>
            <sz val="8"/>
            <rFont val="Tahoma"/>
            <family val="2"/>
          </rPr>
          <t xml:space="preserve">
Estimated 13 yrs COD:  $945/kW total</t>
        </r>
      </text>
    </comment>
    <comment ref="G13" authorId="0">
      <text>
        <r>
          <rPr>
            <b/>
            <sz val="8"/>
            <rFont val="Tahoma"/>
            <family val="2"/>
          </rPr>
          <t>AEP:</t>
        </r>
        <r>
          <rPr>
            <sz val="8"/>
            <rFont val="Tahoma"/>
            <family val="2"/>
          </rPr>
          <t xml:space="preserve">
Estimated 7 yrs COD:  $395/kW total</t>
        </r>
      </text>
    </comment>
    <comment ref="H13" authorId="0">
      <text>
        <r>
          <rPr>
            <b/>
            <sz val="8"/>
            <rFont val="Tahoma"/>
            <family val="2"/>
          </rPr>
          <t>AEP:</t>
        </r>
        <r>
          <rPr>
            <sz val="8"/>
            <rFont val="Tahoma"/>
            <family val="2"/>
          </rPr>
          <t xml:space="preserve">
Estimated 13 yrs COD:  $1080/kW total</t>
        </r>
      </text>
    </comment>
    <comment ref="I13" authorId="0">
      <text>
        <r>
          <rPr>
            <b/>
            <sz val="8"/>
            <rFont val="Tahoma"/>
            <family val="2"/>
          </rPr>
          <t>AEP:</t>
        </r>
        <r>
          <rPr>
            <sz val="8"/>
            <rFont val="Tahoma"/>
            <family val="2"/>
          </rPr>
          <t xml:space="preserve">
Estimated 7 yrs COD:  $404/kW total</t>
        </r>
      </text>
    </comment>
    <comment ref="J13" authorId="0">
      <text>
        <r>
          <rPr>
            <b/>
            <sz val="8"/>
            <rFont val="Tahoma"/>
            <family val="2"/>
          </rPr>
          <t>AEP:</t>
        </r>
        <r>
          <rPr>
            <sz val="8"/>
            <rFont val="Tahoma"/>
            <family val="2"/>
          </rPr>
          <t xml:space="preserve">
Estimated 13 yrs COD:  $1080/kW total</t>
        </r>
      </text>
    </comment>
    <comment ref="R18" authorId="0">
      <text>
        <r>
          <rPr>
            <b/>
            <sz val="8"/>
            <rFont val="Tahoma"/>
            <family val="2"/>
          </rPr>
          <t>AEP:</t>
        </r>
        <r>
          <rPr>
            <sz val="8"/>
            <rFont val="Tahoma"/>
            <family val="2"/>
          </rPr>
          <t xml:space="preserve">
Estimated:  AEP Renewables</t>
        </r>
      </text>
    </comment>
    <comment ref="S18" authorId="0">
      <text>
        <r>
          <rPr>
            <b/>
            <sz val="8"/>
            <rFont val="Tahoma"/>
            <family val="2"/>
          </rPr>
          <t>AEP:</t>
        </r>
        <r>
          <rPr>
            <sz val="8"/>
            <rFont val="Tahoma"/>
            <family val="2"/>
          </rPr>
          <t xml:space="preserve">
Estimated:  AEP Renewables</t>
        </r>
      </text>
    </comment>
    <comment ref="T18" authorId="0">
      <text>
        <r>
          <rPr>
            <b/>
            <sz val="8"/>
            <rFont val="Tahoma"/>
            <family val="2"/>
          </rPr>
          <t>AEP:</t>
        </r>
        <r>
          <rPr>
            <sz val="8"/>
            <rFont val="Tahoma"/>
            <family val="2"/>
          </rPr>
          <t xml:space="preserve">
Estimated:  AEP Renewables</t>
        </r>
      </text>
    </comment>
    <comment ref="U18" authorId="0">
      <text>
        <r>
          <rPr>
            <b/>
            <sz val="8"/>
            <rFont val="Tahoma"/>
            <family val="2"/>
          </rPr>
          <t>AEP:</t>
        </r>
        <r>
          <rPr>
            <sz val="8"/>
            <rFont val="Tahoma"/>
            <family val="2"/>
          </rPr>
          <t xml:space="preserve">
Estimated:  AEP Renewables</t>
        </r>
      </text>
    </comment>
    <comment ref="N13" authorId="0">
      <text>
        <r>
          <rPr>
            <b/>
            <sz val="8"/>
            <rFont val="Tahoma"/>
            <family val="2"/>
          </rPr>
          <t>AEP:</t>
        </r>
        <r>
          <rPr>
            <sz val="8"/>
            <rFont val="Tahoma"/>
            <family val="2"/>
          </rPr>
          <t xml:space="preserve">
Average of 2 50MW units listed on new IRP.  Basic 100MW unit has been removed.</t>
        </r>
      </text>
    </comment>
  </commentList>
</comments>
</file>

<file path=xl/comments7.xml><?xml version="1.0" encoding="utf-8"?>
<comments xmlns="http://schemas.openxmlformats.org/spreadsheetml/2006/main">
  <authors>
    <author>AEP</author>
  </authors>
  <commentList>
    <comment ref="F1" authorId="0">
      <text>
        <r>
          <rPr>
            <b/>
            <sz val="8"/>
            <rFont val="Tahoma"/>
            <family val="2"/>
          </rPr>
          <t>AEP:</t>
        </r>
        <r>
          <rPr>
            <sz val="8"/>
            <rFont val="Tahoma"/>
            <family val="2"/>
          </rPr>
          <t xml:space="preserve">
New 2010 costs</t>
        </r>
      </text>
    </comment>
    <comment ref="D1" authorId="0">
      <text>
        <r>
          <rPr>
            <b/>
            <sz val="8"/>
            <rFont val="Tahoma"/>
            <family val="2"/>
          </rPr>
          <t>AEP:</t>
        </r>
        <r>
          <rPr>
            <sz val="8"/>
            <rFont val="Tahoma"/>
            <family val="2"/>
          </rPr>
          <t xml:space="preserve">
** New 2010 Costs</t>
        </r>
      </text>
    </comment>
    <comment ref="O32" authorId="0">
      <text>
        <r>
          <rPr>
            <b/>
            <sz val="8"/>
            <rFont val="Tahoma"/>
            <family val="2"/>
          </rPr>
          <t>AEP:</t>
        </r>
        <r>
          <rPr>
            <sz val="8"/>
            <rFont val="Tahoma"/>
            <family val="2"/>
          </rPr>
          <t xml:space="preserve">
* Labor wage growth under 2% for 2009 and 2010</t>
        </r>
      </text>
    </comment>
  </commentList>
</comments>
</file>

<file path=xl/sharedStrings.xml><?xml version="1.0" encoding="utf-8"?>
<sst xmlns="http://schemas.openxmlformats.org/spreadsheetml/2006/main" count="792" uniqueCount="358">
  <si>
    <t>Unit</t>
  </si>
  <si>
    <t>CT 100</t>
  </si>
  <si>
    <t>CT 200</t>
  </si>
  <si>
    <t>CC 300</t>
  </si>
  <si>
    <t>CC 500</t>
  </si>
  <si>
    <t>Pulv Coal East</t>
  </si>
  <si>
    <t>Pulv Coal West</t>
  </si>
  <si>
    <t>IGCC Coal East</t>
  </si>
  <si>
    <t>IGCC Coal West</t>
  </si>
  <si>
    <t>Capital Cost ($/kW-yr)</t>
  </si>
  <si>
    <t>Capital Cost ($/MW-wk)</t>
  </si>
  <si>
    <t>FOM ($/kW-yr)</t>
  </si>
  <si>
    <t>FOM ($/MW-wk)</t>
  </si>
  <si>
    <t>Nuclear</t>
  </si>
  <si>
    <t>IGCC CCS East</t>
  </si>
  <si>
    <t>IGCC CCS West</t>
  </si>
  <si>
    <t>Type</t>
  </si>
  <si>
    <t>Wind</t>
  </si>
  <si>
    <t>Solar</t>
  </si>
  <si>
    <t>PulvWest</t>
  </si>
  <si>
    <t>PulvEast</t>
  </si>
  <si>
    <t>IGCCWest</t>
  </si>
  <si>
    <t>IGCCEast</t>
  </si>
  <si>
    <t>IGCCCCSEast</t>
  </si>
  <si>
    <t>IGCCCCSWest</t>
  </si>
  <si>
    <t>CT100</t>
  </si>
  <si>
    <t>CT200</t>
  </si>
  <si>
    <t>CC300</t>
  </si>
  <si>
    <t>CC500</t>
  </si>
  <si>
    <t>Total Cost ($/MW-wk)</t>
  </si>
  <si>
    <t>Refuse</t>
  </si>
  <si>
    <t>Geothermal</t>
  </si>
  <si>
    <t>CCHS</t>
  </si>
  <si>
    <t>CC Hsystem</t>
  </si>
  <si>
    <t>Capital Component</t>
  </si>
  <si>
    <t>PC East</t>
  </si>
  <si>
    <t>PC West</t>
  </si>
  <si>
    <t>IGCC East</t>
  </si>
  <si>
    <t>IGCC West</t>
  </si>
  <si>
    <t>Biomass</t>
  </si>
  <si>
    <t>CC400-Hsystem</t>
  </si>
  <si>
    <t>CTAero</t>
  </si>
  <si>
    <t>CT AeroDeriv</t>
  </si>
  <si>
    <t>Multiplier</t>
  </si>
  <si>
    <t>AEP System</t>
  </si>
  <si>
    <t>Annual Costs of New Capacity</t>
  </si>
  <si>
    <t>For Use in Aurora Model</t>
  </si>
  <si>
    <t>Solid Fuel</t>
  </si>
  <si>
    <t>Natural Gas</t>
  </si>
  <si>
    <t>Pulverized Coal (Supercritical, 600MW nominal)</t>
  </si>
  <si>
    <t>IGCC</t>
  </si>
  <si>
    <t>NGCC</t>
  </si>
  <si>
    <t>CT</t>
  </si>
  <si>
    <t>"1700"</t>
  </si>
  <si>
    <t>East (Bit)</t>
  </si>
  <si>
    <t>West (PRB)</t>
  </si>
  <si>
    <t>"300"</t>
  </si>
  <si>
    <t>"400"</t>
  </si>
  <si>
    <t>"500"</t>
  </si>
  <si>
    <t>"100"</t>
  </si>
  <si>
    <t>"200"</t>
  </si>
  <si>
    <t>Aero</t>
  </si>
  <si>
    <t>Owning Cost</t>
  </si>
  <si>
    <t>Without CC</t>
  </si>
  <si>
    <t>With CC</t>
  </si>
  <si>
    <t>(GE 7H)</t>
  </si>
  <si>
    <t>(81MW)</t>
  </si>
  <si>
    <t>(160MW)</t>
  </si>
  <si>
    <t>(200MW)</t>
  </si>
  <si>
    <t>Dancison Overnight, 2007 $/kW</t>
  </si>
  <si>
    <t>As capitalized, 2007 $/kW</t>
  </si>
  <si>
    <t>Cost, $/MW-week (b)</t>
  </si>
  <si>
    <t>Fixed O&amp;M</t>
  </si>
  <si>
    <t>Dancison, 2007 $/kW-year</t>
  </si>
  <si>
    <t>$/MW-week</t>
  </si>
  <si>
    <t>(a) Based on New Generation Technology Cost v2.0 111507.xls</t>
  </si>
  <si>
    <t>(b) Carrying Charge Rate, 40 year life:</t>
  </si>
  <si>
    <t>Overnight</t>
  </si>
  <si>
    <t>Nominal $/kW</t>
  </si>
  <si>
    <t>Real $/kW</t>
  </si>
  <si>
    <t>Pulv Coal</t>
  </si>
  <si>
    <t>CC</t>
  </si>
  <si>
    <t>Table 11</t>
  </si>
  <si>
    <t xml:space="preserve">New Capacity Characteristics and Costs </t>
  </si>
  <si>
    <t>Cost Item</t>
  </si>
  <si>
    <t>Plant Type</t>
  </si>
  <si>
    <r>
      <t>Northeast</t>
    </r>
    <r>
      <rPr>
        <u val="single"/>
        <vertAlign val="superscript"/>
        <sz val="10"/>
        <rFont val="Arial"/>
        <family val="2"/>
      </rPr>
      <t>1</t>
    </r>
  </si>
  <si>
    <t>New York City</t>
  </si>
  <si>
    <t>Mid-Atlantic</t>
  </si>
  <si>
    <t>Midwest</t>
  </si>
  <si>
    <r>
      <t>South</t>
    </r>
    <r>
      <rPr>
        <u val="single"/>
        <vertAlign val="superscript"/>
        <sz val="10"/>
        <rFont val="Arial"/>
        <family val="2"/>
      </rPr>
      <t>2</t>
    </r>
  </si>
  <si>
    <r>
      <t>West (non-CA)</t>
    </r>
    <r>
      <rPr>
        <u val="single"/>
        <vertAlign val="superscript"/>
        <sz val="10"/>
        <rFont val="Arial"/>
        <family val="2"/>
      </rPr>
      <t>3</t>
    </r>
  </si>
  <si>
    <t>California</t>
  </si>
  <si>
    <r>
      <t>Capital Costs</t>
    </r>
    <r>
      <rPr>
        <vertAlign val="superscript"/>
        <sz val="10"/>
        <rFont val="Arial"/>
        <family val="2"/>
      </rPr>
      <t xml:space="preserve"> </t>
    </r>
    <r>
      <rPr>
        <sz val="10"/>
        <rFont val="Arial"/>
        <family val="2"/>
      </rPr>
      <t xml:space="preserve">
($ per kW)</t>
    </r>
    <r>
      <rPr>
        <vertAlign val="superscript"/>
        <sz val="10"/>
        <rFont val="Arial"/>
        <family val="2"/>
      </rPr>
      <t>4</t>
    </r>
  </si>
  <si>
    <r>
      <t>Combustion Turbine</t>
    </r>
    <r>
      <rPr>
        <vertAlign val="superscript"/>
        <sz val="10"/>
        <rFont val="Arial"/>
        <family val="2"/>
      </rPr>
      <t>5,6,7,8</t>
    </r>
  </si>
  <si>
    <r>
      <t>Combined Cycle</t>
    </r>
    <r>
      <rPr>
        <vertAlign val="superscript"/>
        <sz val="10"/>
        <rFont val="Arial"/>
        <family val="2"/>
      </rPr>
      <t>9,10</t>
    </r>
  </si>
  <si>
    <r>
      <t>Nuclear</t>
    </r>
    <r>
      <rPr>
        <vertAlign val="superscript"/>
        <sz val="10"/>
        <rFont val="Arial"/>
        <family val="2"/>
      </rPr>
      <t>11</t>
    </r>
  </si>
  <si>
    <t>NA</t>
  </si>
  <si>
    <r>
      <t>Wind</t>
    </r>
    <r>
      <rPr>
        <vertAlign val="superscript"/>
        <sz val="10"/>
        <rFont val="Arial"/>
        <family val="2"/>
      </rPr>
      <t>12,13</t>
    </r>
  </si>
  <si>
    <r>
      <t>Supercritical Coal</t>
    </r>
    <r>
      <rPr>
        <vertAlign val="superscript"/>
        <sz val="10"/>
        <rFont val="Arial"/>
        <family val="2"/>
      </rPr>
      <t>14,15</t>
    </r>
  </si>
  <si>
    <t>CERA</t>
  </si>
  <si>
    <t>AEP Fundamentals</t>
  </si>
  <si>
    <t>EIA AEO 2008</t>
  </si>
  <si>
    <t>Cost in 2015 ($2008/kW)</t>
  </si>
  <si>
    <t>n/a</t>
  </si>
  <si>
    <t>Table 39. Cost and Performance Characteristics of New Central Station Electricity Generating Technologies</t>
  </si>
  <si>
    <t>Base</t>
  </si>
  <si>
    <t xml:space="preserve">Total </t>
  </si>
  <si>
    <t xml:space="preserve">Overnight </t>
  </si>
  <si>
    <t xml:space="preserve">Project </t>
  </si>
  <si>
    <t>Technological</t>
  </si>
  <si>
    <t>Variable</t>
  </si>
  <si>
    <t>Fixed</t>
  </si>
  <si>
    <t>Heatrate</t>
  </si>
  <si>
    <t>nth-of-a-kind</t>
  </si>
  <si>
    <t>Online</t>
  </si>
  <si>
    <t>Size</t>
  </si>
  <si>
    <t>Lead time</t>
  </si>
  <si>
    <t>Cost in 2007</t>
  </si>
  <si>
    <t>Contingency</t>
  </si>
  <si>
    <t>Optimism</t>
  </si>
  <si>
    <t>Cost in 20073</t>
  </si>
  <si>
    <t>O&amp;M4</t>
  </si>
  <si>
    <t>O&amp;M</t>
  </si>
  <si>
    <t>in 2007</t>
  </si>
  <si>
    <t>Technology</t>
  </si>
  <si>
    <t>Year1</t>
  </si>
  <si>
    <t>(mW)</t>
  </si>
  <si>
    <t>(years)</t>
  </si>
  <si>
    <t>(2006 $/kW)</t>
  </si>
  <si>
    <t>Factor</t>
  </si>
  <si>
    <t>Factor2</t>
  </si>
  <si>
    <t>(2006 mills/kWh)</t>
  </si>
  <si>
    <t>($2006/kW)</t>
  </si>
  <si>
    <t>(Btu/kWhr)</t>
  </si>
  <si>
    <t>Scrubbed Coal New7</t>
  </si>
  <si>
    <t>Integrated Coal-Gasification Comb Cycle (IGCC)7</t>
  </si>
  <si>
    <t>IGCC with carbon sequestration</t>
  </si>
  <si>
    <t>Conv Gas/Oil Comb Cycle</t>
  </si>
  <si>
    <t>Adv Gas/Oil Comb Cycle (CC)</t>
  </si>
  <si>
    <t>Adv CC with carbon sequestration</t>
  </si>
  <si>
    <t>Conv Comb Turbine5</t>
  </si>
  <si>
    <t>Adv Comb Turbine</t>
  </si>
  <si>
    <t>Fuel Cells</t>
  </si>
  <si>
    <t>Adv Nuclear</t>
  </si>
  <si>
    <t>Distributed Generation - Base</t>
  </si>
  <si>
    <t>Distributed Generation - Peak</t>
  </si>
  <si>
    <t>MSW - Landfill Gas</t>
  </si>
  <si>
    <t>Geothermal6,7</t>
  </si>
  <si>
    <t>Conventional Hydropower6</t>
  </si>
  <si>
    <t>Wind Offshore</t>
  </si>
  <si>
    <t>Solar Thermal7</t>
  </si>
  <si>
    <t>Photovoltaic7</t>
  </si>
  <si>
    <t>1 - Online year represents the first year that a new unit could be completed, given an order date of 2007.</t>
  </si>
  <si>
    <t>2 - The technological optimism factor is applied to the first four units of a new, unproven design, it reflects the demonstrated tendency to underestimate actual costs for a first-of-a-kind unit.</t>
  </si>
  <si>
    <t>3 - Overnight capital cost including contingency factors, excluding regional multipliers and learning effects. Interest charges are also excluded</t>
  </si>
  <si>
    <t xml:space="preserve">   These represent costs of new projects initiated in 2007.</t>
  </si>
  <si>
    <t>4 - O&amp;M = Operations and maintenance.</t>
  </si>
  <si>
    <t>5 - Combustion turbine units can be built by the model prior to 2009 if necessary to meet a given region's reserve margin.</t>
  </si>
  <si>
    <t>6 - Because geothermal and hydro cost and performance characteristics are specific for each site, the table entries represent the cost of the least expensive plant that could be built in the Northwest Power Pool region, where most of the proposed sites are located.</t>
  </si>
  <si>
    <t>7 - Capital costs are shown before investment tax credits are applied.</t>
  </si>
  <si>
    <t xml:space="preserve">Sources: The values shown in this table are developed by the Energy Information Administration, Office of Integrated Analysis and Forecasting, from analysis of reports and discussions with various sources from industry, government, and the Department of Energy Fuel Offices and National Laboratories.  They are not based on any specific technology model, but rather, are meant to represent the cost and performance of typical plants under normal operating conditions for each plant type.  Key sources reviewed are listed in the 'Notes and Sources' section at the end of the chapter.  </t>
  </si>
  <si>
    <t>EIA Inflation</t>
  </si>
  <si>
    <t xml:space="preserve"> </t>
  </si>
  <si>
    <t>Overnight Construction Cost ($/kW)</t>
  </si>
  <si>
    <t>Development Cost ($/kW)</t>
  </si>
  <si>
    <t>Interest During Construction</t>
  </si>
  <si>
    <t>Heat Rate</t>
  </si>
  <si>
    <t>Construction Years</t>
  </si>
  <si>
    <t>SC Coal (no CCS)</t>
  </si>
  <si>
    <t>SC Coal (w/ CCS)</t>
  </si>
  <si>
    <t>IGCC (no CCS)</t>
  </si>
  <si>
    <t>IGCC (w/ CCS)</t>
  </si>
  <si>
    <t>WoodMac</t>
  </si>
  <si>
    <t>Wood Mackenzie GHG Scenario</t>
  </si>
  <si>
    <t>November 2007</t>
  </si>
  <si>
    <t>Generic Plant Overnight Cost (2005 $/kW)</t>
  </si>
  <si>
    <t>ERCOT</t>
  </si>
  <si>
    <t>Florida</t>
  </si>
  <si>
    <t>PJM (SW MAAC)</t>
  </si>
  <si>
    <t>PJM (RTO)</t>
  </si>
  <si>
    <t>PJM (APS)</t>
  </si>
  <si>
    <t>Midwest ISO</t>
  </si>
  <si>
    <t>MRO US</t>
  </si>
  <si>
    <t>NEPOOL (Mass Hub)</t>
  </si>
  <si>
    <t>NEPOOL (Maine)</t>
  </si>
  <si>
    <t>NEPOOL (Southwest CT)</t>
  </si>
  <si>
    <t>New York (Zones J &amp; K)</t>
  </si>
  <si>
    <t>New York (Non-NYC Area)</t>
  </si>
  <si>
    <t>Entergy</t>
  </si>
  <si>
    <t>Southern</t>
  </si>
  <si>
    <t>TVA</t>
  </si>
  <si>
    <t>VACAR</t>
  </si>
  <si>
    <t>SPP</t>
  </si>
  <si>
    <t>Southwest</t>
  </si>
  <si>
    <t>Rocky Mountains</t>
  </si>
  <si>
    <t>Northwest</t>
  </si>
  <si>
    <t>Quebec</t>
  </si>
  <si>
    <t>Ontario</t>
  </si>
  <si>
    <t>Maritime</t>
  </si>
  <si>
    <t>MRO Canada</t>
  </si>
  <si>
    <t>NWPP Canada</t>
  </si>
  <si>
    <t>Mexico</t>
  </si>
  <si>
    <t>Labor Escalator</t>
  </si>
  <si>
    <t>Inflation Factor</t>
  </si>
  <si>
    <t>Delta</t>
  </si>
  <si>
    <t>Input Aurora</t>
  </si>
  <si>
    <t>Unit value (98$/t)</t>
  </si>
  <si>
    <t>Notes:</t>
  </si>
  <si>
    <t>Adjusted solar power escalation based on research provided by CERA Advisory Service - Concentrating Solar Power Decision Brief (Apr 08)</t>
  </si>
  <si>
    <t>Adjusted wind power escalation based on research provided by Global Insight  -  USAS Q2 08 report (wind power sourcing)</t>
  </si>
  <si>
    <t>Updated CERA Capital Costs</t>
  </si>
  <si>
    <t>CERA capital cost assumptions for 2008 NA Scenarios</t>
  </si>
  <si>
    <t>Asian Phoenix</t>
  </si>
  <si>
    <t>Real 2008 $/KW</t>
  </si>
  <si>
    <t>Year</t>
  </si>
  <si>
    <t>Gas-CC</t>
  </si>
  <si>
    <t>Gas-CT</t>
  </si>
  <si>
    <t>Coal-SCPC</t>
  </si>
  <si>
    <t>Coal-IGCC</t>
  </si>
  <si>
    <t>Coal-CFB</t>
  </si>
  <si>
    <t>Wind-Offshore</t>
  </si>
  <si>
    <t>Geo</t>
  </si>
  <si>
    <t>Bio</t>
  </si>
  <si>
    <t>Solar-PV</t>
  </si>
  <si>
    <t>Solar-Con</t>
  </si>
  <si>
    <t>Nuc</t>
  </si>
  <si>
    <t>Break Point</t>
  </si>
  <si>
    <t>Global Fissures</t>
  </si>
  <si>
    <t>Updated:  May 2008</t>
  </si>
  <si>
    <t>Gas CC</t>
  </si>
  <si>
    <t>2H - 08</t>
  </si>
  <si>
    <t xml:space="preserve">EIA </t>
  </si>
  <si>
    <t>CERA - AP</t>
  </si>
  <si>
    <t>CERA - BP</t>
  </si>
  <si>
    <t>CERA - GF</t>
  </si>
  <si>
    <t>Current Model Cost</t>
  </si>
  <si>
    <t>1H - 08</t>
  </si>
  <si>
    <t>(No Change)</t>
  </si>
  <si>
    <t>Note:  CERA &amp; Woodmac as of 10/06/08</t>
  </si>
  <si>
    <t>Spread Between Pulv Coal and other technology</t>
  </si>
  <si>
    <t>N/A</t>
  </si>
  <si>
    <t>Ratio to Pulv</t>
  </si>
  <si>
    <t>Starting Point</t>
  </si>
  <si>
    <t>$2008/kW  Cost</t>
  </si>
  <si>
    <t>Spread b/tween AEP and Consultants  ($/kW)</t>
  </si>
  <si>
    <t>$ / kW</t>
  </si>
  <si>
    <t>Global Insight Forecast Data</t>
  </si>
  <si>
    <t>* Data provided 10/8/08</t>
  </si>
  <si>
    <t xml:space="preserve">* Only wind forecasts are available at this time; </t>
  </si>
  <si>
    <t>Other power generation types TBD</t>
  </si>
  <si>
    <t>Global Insight</t>
  </si>
  <si>
    <t xml:space="preserve">          Global Insight as of 10/8/06:  only Wind available at this time</t>
  </si>
  <si>
    <t>Dancison Overnight, 2008 $/kW</t>
  </si>
  <si>
    <t>As capitalized, 2008 $/kW</t>
  </si>
  <si>
    <t>costs taken from file:  New Generation Technology Costs v2.0 111507</t>
  </si>
  <si>
    <t>Delta  (2008 - 2007)</t>
  </si>
  <si>
    <t>(2007 costs)</t>
  </si>
  <si>
    <t xml:space="preserve">Fixed O&amp;M  </t>
  </si>
  <si>
    <t>Dancison, 2008 $/kW-year   ('c)</t>
  </si>
  <si>
    <t xml:space="preserve"> ('c)  use Fixed O&amp;M from 2007</t>
  </si>
  <si>
    <t>* Current Model Revised with new AEP Gen Costs  10/31/08</t>
  </si>
  <si>
    <t>Prev Model Cost</t>
  </si>
  <si>
    <t xml:space="preserve"> (BaseCase_Rev_10)</t>
  </si>
  <si>
    <t>BB H208 Low - Infl</t>
  </si>
  <si>
    <t>BB H208 Base - Infl</t>
  </si>
  <si>
    <t>H208 Low - NPV</t>
  </si>
  <si>
    <t>H208 Base - NPV</t>
  </si>
  <si>
    <t>Q1-2009</t>
  </si>
  <si>
    <t>* Modified steel forecast = Base Rev 02  11/5/08</t>
  </si>
  <si>
    <t>* Reset Qtrly Factor to 612 = Q1 2009 fcast</t>
  </si>
  <si>
    <t>Turn to constant $</t>
  </si>
  <si>
    <t xml:space="preserve">"ALTERNATIVE" Technology Types to be Screened / Modeled </t>
  </si>
  <si>
    <t>Centralized / Concentrated Resources</t>
  </si>
  <si>
    <t>INTERMITTENT</t>
  </si>
  <si>
    <t>BASELOAD</t>
  </si>
  <si>
    <t>BATTERY</t>
  </si>
  <si>
    <t xml:space="preserve">Category  </t>
  </si>
  <si>
    <t xml:space="preserve">Solar </t>
  </si>
  <si>
    <t>(Increm) Hydro</t>
  </si>
  <si>
    <t>Sodium Sulfur</t>
  </si>
  <si>
    <t>Design-Type / Location</t>
  </si>
  <si>
    <t>East-Farm</t>
  </si>
  <si>
    <t>West-Farm</t>
  </si>
  <si>
    <t>(Concentrating)</t>
  </si>
  <si>
    <t>(Efficiency)</t>
  </si>
  <si>
    <t>Co-fire/milling</t>
  </si>
  <si>
    <t>Co-fire/cyclones</t>
  </si>
  <si>
    <t>Pulv. Injection</t>
  </si>
  <si>
    <t>Dedicated burners</t>
  </si>
  <si>
    <t>Biomass-CFB</t>
  </si>
  <si>
    <t>Cost ($/kW)</t>
  </si>
  <si>
    <t>(Avg.) HR (HHV)/(Biomass) Eff.Impact</t>
  </si>
  <si>
    <t>n/ap</t>
  </si>
  <si>
    <t>?</t>
  </si>
  <si>
    <t>(Avg.) Capacity Factor</t>
  </si>
  <si>
    <t>Approx.CO2 Offset (equiv. kton/year)</t>
  </si>
  <si>
    <t xml:space="preserve">Earliest Install </t>
  </si>
  <si>
    <t>Distributed Resources</t>
  </si>
  <si>
    <t>Solar Photovoltaic</t>
  </si>
  <si>
    <t>Landfill Gas</t>
  </si>
  <si>
    <t>Fuel Cell</t>
  </si>
  <si>
    <t>Residential</t>
  </si>
  <si>
    <t>Distributed</t>
  </si>
  <si>
    <t>Res.(Roof-top)</t>
  </si>
  <si>
    <t>Comm(Roof-top)</t>
  </si>
  <si>
    <t>Microturbine</t>
  </si>
  <si>
    <t>RR Solid Oxide</t>
  </si>
  <si>
    <t>Summer (MW)</t>
  </si>
  <si>
    <t>1.8 (kW)</t>
  </si>
  <si>
    <t>2 (kW)</t>
  </si>
  <si>
    <t>50 (kW)</t>
  </si>
  <si>
    <t>(Avg.) HR (HHV)</t>
  </si>
  <si>
    <r>
      <t>Summer (MW)</t>
    </r>
    <r>
      <rPr>
        <i/>
        <sz val="10"/>
        <rFont val="Arial"/>
        <family val="2"/>
      </rPr>
      <t xml:space="preserve"> </t>
    </r>
    <r>
      <rPr>
        <i/>
        <sz val="9"/>
        <rFont val="Arial"/>
        <family val="2"/>
      </rPr>
      <t>(Biomass=% Heat)</t>
    </r>
  </si>
  <si>
    <r>
      <t xml:space="preserve">Source: AEP-New Technology Development file matrix: </t>
    </r>
    <r>
      <rPr>
        <b/>
        <i/>
        <sz val="9"/>
        <rFont val="Arial"/>
        <family val="2"/>
      </rPr>
      <t xml:space="preserve"> "New Gen_Renewables_2008 v1.0_110507.xls"</t>
    </r>
  </si>
  <si>
    <t>Split assumed 50% non related materials market - 50% Flat roll trend</t>
  </si>
  <si>
    <t>Base Case</t>
  </si>
  <si>
    <t>Forecast 2</t>
  </si>
  <si>
    <t>Cost, $/MW-week (b)  (Overnight)</t>
  </si>
  <si>
    <t>Nominal COD</t>
  </si>
  <si>
    <t>10+</t>
  </si>
  <si>
    <t>5+</t>
  </si>
  <si>
    <t>Forecast (98$/t)</t>
  </si>
  <si>
    <t>Construction Labor Prices (2007 = 100)</t>
  </si>
  <si>
    <t>US Index</t>
  </si>
  <si>
    <t>% Change</t>
  </si>
  <si>
    <t>AEP</t>
  </si>
  <si>
    <t>2H - 08   Cost in 2015 ($2008/kW)</t>
  </si>
  <si>
    <t>**</t>
  </si>
  <si>
    <t>AEP Solar</t>
  </si>
  <si>
    <t>$/kW</t>
  </si>
  <si>
    <t>Inflation Rate:</t>
  </si>
  <si>
    <t>H208 Base (Final)</t>
  </si>
  <si>
    <t>1H09 Base Case (Ref)</t>
  </si>
  <si>
    <t>H208 Base - Constant</t>
  </si>
  <si>
    <t>(turn to constant)</t>
  </si>
  <si>
    <t>Scenario #1</t>
  </si>
  <si>
    <t>% Delta</t>
  </si>
  <si>
    <t>H109 - H208 const</t>
  </si>
  <si>
    <t>Reference</t>
  </si>
  <si>
    <t>H109 Reference - Constant</t>
  </si>
  <si>
    <t>RefCase</t>
  </si>
  <si>
    <t>Dancison Overnight, 2010 $/kW</t>
  </si>
  <si>
    <t>As capitalized, 2010 $/kW</t>
  </si>
  <si>
    <t>Pulverized Coal (UltraSupercritical, 600MW nominal)</t>
  </si>
  <si>
    <t>* Increased IGCC COD to 20 yrs:  2030</t>
  </si>
  <si>
    <t>* Increased UltraSC PulvCoal COD to 20 yrs:  2030</t>
  </si>
  <si>
    <t>"600"</t>
  </si>
  <si>
    <t>CC600</t>
  </si>
  <si>
    <t>CC 600</t>
  </si>
  <si>
    <t>** Estimate 7 yrs COD for Coal W/O CC, and 13 yrs for Coal W/ CC</t>
  </si>
  <si>
    <t>CT50</t>
  </si>
  <si>
    <t>CT 50</t>
  </si>
  <si>
    <t>** Replace CC500 with CC600</t>
  </si>
  <si>
    <t>** Replace CT100 with CT50</t>
  </si>
  <si>
    <t xml:space="preserve">Dancison, 2010 $/kW-year   </t>
  </si>
  <si>
    <t>(a) Based on New Generation Technology Cost: 2010 IRP Cost Model New Units 100120 v2.1.xls</t>
  </si>
  <si>
    <t>Inflation Rate</t>
  </si>
</sst>
</file>

<file path=xl/styles.xml><?xml version="1.0" encoding="utf-8"?>
<styleSheet xmlns="http://schemas.openxmlformats.org/spreadsheetml/2006/main">
  <numFmts count="4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0_);_(* \(#,##0.0\);_(* &quot;-&quot;??_);_(@_)"/>
    <numFmt numFmtId="166" formatCode="_(* #,##0_);_(* \(#,##0\);_(* &quot;-&quot;??_);_(@_)"/>
    <numFmt numFmtId="167" formatCode="0.00000"/>
    <numFmt numFmtId="168" formatCode="0.0000"/>
    <numFmt numFmtId="169" formatCode="0.000"/>
    <numFmt numFmtId="170" formatCode="0.0%"/>
    <numFmt numFmtId="171" formatCode="_(* #,##0.000_);_(* \(#,##0.000\);_(* &quot;-&quot;??_);_(@_)"/>
    <numFmt numFmtId="172" formatCode="0.0000%"/>
    <numFmt numFmtId="173" formatCode="_(* #,##0.000_);_(* \(#,##0.000\);_(* &quot;-&quot;???_);_(@_)"/>
    <numFmt numFmtId="174" formatCode="#,##0.0_);[Red]\(#,##0.0\)"/>
    <numFmt numFmtId="175" formatCode="#,##0.0"/>
    <numFmt numFmtId="176" formatCode="&quot;$&quot;#,##0"/>
    <numFmt numFmtId="177" formatCode="0.000000"/>
    <numFmt numFmtId="178" formatCode="_(* #,##0.0000_);_(* \(#,##0.0000\);_(* &quot;-&quot;??_);_(@_)"/>
    <numFmt numFmtId="179" formatCode="_(* #,##0.00000_);_(* \(#,##0.00000\);_(* &quot;-&quot;??_);_(@_)"/>
    <numFmt numFmtId="180" formatCode="[$-409]mmmm\ d\,\ yyyy;@"/>
    <numFmt numFmtId="181" formatCode="0_);[Red]\(0\)"/>
    <numFmt numFmtId="182" formatCode="0.000E+00"/>
    <numFmt numFmtId="183" formatCode="&quot;$&quot;#,##0.0000_);[Red]\(&quot;$&quot;#,##0.0000\)"/>
    <numFmt numFmtId="184" formatCode="&quot;$&quot;#,##0.000_);[Red]\(&quot;$&quot;#,##0.000\)"/>
    <numFmt numFmtId="185" formatCode="&quot;$&quot;#,##0.00"/>
    <numFmt numFmtId="186" formatCode="#,##0\ &quot;MWN  Nominal&quot;"/>
    <numFmt numFmtId="187" formatCode="&quot;1 X &quot;#,##0"/>
    <numFmt numFmtId="188" formatCode="#,##0.0000"/>
    <numFmt numFmtId="189" formatCode="#,##0.000000"/>
    <numFmt numFmtId="190" formatCode="#,##0.0000_);[Red]\(#,##0.0000\)"/>
    <numFmt numFmtId="191" formatCode="&quot;$&quot;#,##0.00000_);[Red]\(&quot;$&quot;#,##0.00000\)"/>
    <numFmt numFmtId="192" formatCode="##0E+0"/>
    <numFmt numFmtId="193" formatCode="0.000%"/>
    <numFmt numFmtId="194" formatCode="#,##0.000\ &quot;MWN  Nominal&quot;"/>
    <numFmt numFmtId="195" formatCode="#,##0.0000000"/>
    <numFmt numFmtId="196" formatCode="#,##0.000"/>
    <numFmt numFmtId="197" formatCode="#,##0.00000_);[Red]\(#,##0.00000\)"/>
    <numFmt numFmtId="198" formatCode="0.0%\ &quot;Biomass Heat Input&quot;"/>
    <numFmt numFmtId="199" formatCode="#,##0.0\ &quot;MW co-fired&quot;"/>
    <numFmt numFmtId="200" formatCode="&quot;Yes&quot;;&quot;Yes&quot;;&quot;No&quot;"/>
    <numFmt numFmtId="201" formatCode="&quot;True&quot;;&quot;True&quot;;&quot;False&quot;"/>
    <numFmt numFmtId="202" formatCode="&quot;On&quot;;&quot;On&quot;;&quot;Off&quot;"/>
    <numFmt numFmtId="203" formatCode="[$€-2]\ #,##0.00_);[Red]\([$€-2]\ #,##0.00\)"/>
  </numFmts>
  <fonts count="78">
    <font>
      <sz val="10"/>
      <name val="Arial"/>
      <family val="0"/>
    </font>
    <font>
      <sz val="10"/>
      <color indexed="10"/>
      <name val="Arial"/>
      <family val="2"/>
    </font>
    <font>
      <sz val="10"/>
      <color indexed="22"/>
      <name val="Arial"/>
      <family val="2"/>
    </font>
    <font>
      <b/>
      <sz val="10"/>
      <name val="Arial"/>
      <family val="2"/>
    </font>
    <font>
      <b/>
      <i/>
      <sz val="10"/>
      <color indexed="10"/>
      <name val="Arial"/>
      <family val="2"/>
    </font>
    <font>
      <b/>
      <i/>
      <sz val="10"/>
      <name val="Arial"/>
      <family val="2"/>
    </font>
    <font>
      <b/>
      <sz val="12"/>
      <name val="Arial"/>
      <family val="2"/>
    </font>
    <font>
      <u val="single"/>
      <sz val="10"/>
      <name val="Arial"/>
      <family val="2"/>
    </font>
    <font>
      <sz val="10"/>
      <color indexed="12"/>
      <name val="Arial"/>
      <family val="2"/>
    </font>
    <font>
      <sz val="10"/>
      <color indexed="8"/>
      <name val="Arial"/>
      <family val="2"/>
    </font>
    <font>
      <sz val="8"/>
      <name val="Arial"/>
      <family val="2"/>
    </font>
    <font>
      <i/>
      <sz val="10"/>
      <name val="Arial"/>
      <family val="2"/>
    </font>
    <font>
      <b/>
      <u val="single"/>
      <sz val="10"/>
      <name val="Arial"/>
      <family val="2"/>
    </font>
    <font>
      <u val="single"/>
      <vertAlign val="superscript"/>
      <sz val="10"/>
      <name val="Arial"/>
      <family val="2"/>
    </font>
    <font>
      <vertAlign val="superscript"/>
      <sz val="10"/>
      <name val="Arial"/>
      <family val="2"/>
    </font>
    <font>
      <b/>
      <sz val="14"/>
      <name val="Arial"/>
      <family val="2"/>
    </font>
    <font>
      <b/>
      <sz val="12"/>
      <color indexed="12"/>
      <name val="Arial"/>
      <family val="2"/>
    </font>
    <font>
      <b/>
      <sz val="10"/>
      <name val="Times New Roman"/>
      <family val="1"/>
    </font>
    <font>
      <sz val="10"/>
      <name val="Times New Roman"/>
      <family val="1"/>
    </font>
    <font>
      <b/>
      <sz val="10"/>
      <color indexed="12"/>
      <name val="Arial"/>
      <family val="2"/>
    </font>
    <font>
      <b/>
      <sz val="8"/>
      <name val="Arial"/>
      <family val="2"/>
    </font>
    <font>
      <b/>
      <sz val="10"/>
      <color indexed="10"/>
      <name val="Arial"/>
      <family val="2"/>
    </font>
    <font>
      <b/>
      <sz val="11"/>
      <name val="Arial"/>
      <family val="2"/>
    </font>
    <font>
      <sz val="11"/>
      <color indexed="8"/>
      <name val="Arial"/>
      <family val="2"/>
    </font>
    <font>
      <sz val="8"/>
      <name val="Tahoma"/>
      <family val="2"/>
    </font>
    <font>
      <b/>
      <sz val="8"/>
      <name val="Tahoma"/>
      <family val="2"/>
    </font>
    <font>
      <sz val="11"/>
      <name val="Arial"/>
      <family val="2"/>
    </font>
    <font>
      <b/>
      <i/>
      <sz val="11"/>
      <name val="Arial"/>
      <family val="2"/>
    </font>
    <font>
      <b/>
      <i/>
      <sz val="12"/>
      <name val="Arial"/>
      <family val="2"/>
    </font>
    <font>
      <sz val="9"/>
      <name val="Arial"/>
      <family val="2"/>
    </font>
    <font>
      <i/>
      <sz val="8"/>
      <name val="Arial"/>
      <family val="2"/>
    </font>
    <font>
      <i/>
      <sz val="9"/>
      <name val="Arial"/>
      <family val="2"/>
    </font>
    <font>
      <b/>
      <i/>
      <sz val="9"/>
      <name val="Arial"/>
      <family val="2"/>
    </font>
    <font>
      <b/>
      <u val="single"/>
      <sz val="8"/>
      <name val="Arial"/>
      <family val="2"/>
    </font>
    <font>
      <i/>
      <sz val="10"/>
      <color indexed="8"/>
      <name val="Arial"/>
      <family val="2"/>
    </font>
    <font>
      <b/>
      <sz val="10"/>
      <color indexed="8"/>
      <name val="Arial"/>
      <family val="2"/>
    </font>
    <font>
      <sz val="9.25"/>
      <color indexed="8"/>
      <name val="Arial"/>
      <family val="2"/>
    </font>
    <font>
      <sz val="8.25"/>
      <color indexed="8"/>
      <name val="Arial"/>
      <family val="2"/>
    </font>
    <font>
      <sz val="7.55"/>
      <color indexed="8"/>
      <name val="Arial"/>
      <family val="2"/>
    </font>
    <font>
      <sz val="8.5"/>
      <color indexed="8"/>
      <name val="Arial"/>
      <family val="2"/>
    </font>
    <font>
      <sz val="11.5"/>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6.75"/>
      <color indexed="8"/>
      <name val="Arial"/>
      <family val="2"/>
    </font>
    <font>
      <sz val="8.45"/>
      <color indexed="8"/>
      <name val="Arial"/>
      <family val="2"/>
    </font>
    <font>
      <sz val="6.9"/>
      <color indexed="8"/>
      <name val="Arial"/>
      <family val="2"/>
    </font>
    <font>
      <sz val="7.15"/>
      <color indexed="8"/>
      <name val="Arial"/>
      <family val="2"/>
    </font>
    <font>
      <b/>
      <sz val="12"/>
      <color indexed="8"/>
      <name val="Arial"/>
      <family val="2"/>
    </font>
    <font>
      <sz val="9.7"/>
      <color indexed="8"/>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13"/>
        <bgColor indexed="64"/>
      </patternFill>
    </fill>
    <fill>
      <patternFill patternType="solid">
        <fgColor indexed="22"/>
        <bgColor indexed="64"/>
      </patternFill>
    </fill>
    <fill>
      <patternFill patternType="solid">
        <fgColor indexed="43"/>
        <bgColor indexed="64"/>
      </patternFill>
    </fill>
    <fill>
      <patternFill patternType="solid">
        <fgColor indexed="41"/>
        <bgColor indexed="64"/>
      </patternFill>
    </fill>
    <fill>
      <patternFill patternType="solid">
        <fgColor indexed="44"/>
        <bgColor indexed="64"/>
      </patternFill>
    </fill>
    <fill>
      <patternFill patternType="solid">
        <fgColor indexed="51"/>
        <bgColor indexed="64"/>
      </patternFill>
    </fill>
    <fill>
      <patternFill patternType="solid">
        <fgColor indexed="47"/>
        <bgColor indexed="64"/>
      </patternFill>
    </fill>
  </fills>
  <borders count="8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medium"/>
      <top style="medium"/>
      <bottom>
        <color indexed="63"/>
      </bottom>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style="medium"/>
      <top style="thin"/>
      <bottom style="thin"/>
    </border>
    <border>
      <left style="medium"/>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thin"/>
      <right style="thin"/>
      <top>
        <color indexed="63"/>
      </top>
      <bottom>
        <color indexed="63"/>
      </bottom>
    </border>
    <border>
      <left style="thin"/>
      <right style="medium"/>
      <top style="thin"/>
      <bottom>
        <color indexed="63"/>
      </botto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medium"/>
      <top>
        <color indexed="63"/>
      </top>
      <bottom style="thin"/>
    </border>
    <border>
      <left style="medium"/>
      <right style="thin"/>
      <top>
        <color indexed="63"/>
      </top>
      <bottom>
        <color indexed="63"/>
      </bottom>
    </border>
    <border>
      <left style="thin"/>
      <right style="medium"/>
      <top>
        <color indexed="63"/>
      </top>
      <bottom>
        <color indexed="63"/>
      </bottom>
    </border>
    <border>
      <left style="medium"/>
      <right>
        <color indexed="63"/>
      </right>
      <top>
        <color indexed="63"/>
      </top>
      <bottom>
        <color indexed="63"/>
      </botto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color indexed="63"/>
      </left>
      <right style="thin"/>
      <top>
        <color indexed="63"/>
      </top>
      <bottom style="medium"/>
    </border>
    <border>
      <left style="thin"/>
      <right>
        <color indexed="63"/>
      </right>
      <top>
        <color indexed="63"/>
      </top>
      <bottom style="medium"/>
    </border>
    <border>
      <left style="medium"/>
      <right style="medium"/>
      <top>
        <color indexed="63"/>
      </top>
      <bottom style="medium"/>
    </border>
    <border>
      <left style="thin"/>
      <right style="thin"/>
      <top style="thin"/>
      <bottom>
        <color indexed="63"/>
      </bottom>
    </border>
    <border>
      <left style="thin"/>
      <right style="thin"/>
      <top style="thin"/>
      <bottom style="thin"/>
    </border>
    <border>
      <left>
        <color indexed="63"/>
      </left>
      <right>
        <color indexed="63"/>
      </right>
      <top style="medium"/>
      <bottom style="medium"/>
    </border>
    <border>
      <left>
        <color indexed="63"/>
      </left>
      <right style="medium"/>
      <top style="medium"/>
      <bottom style="medium"/>
    </border>
    <border>
      <left>
        <color indexed="63"/>
      </left>
      <right>
        <color indexed="63"/>
      </right>
      <top style="medium"/>
      <bottom style="dotted"/>
    </border>
    <border>
      <left>
        <color indexed="63"/>
      </left>
      <right style="medium"/>
      <top style="medium"/>
      <bottom style="dotted"/>
    </border>
    <border>
      <left>
        <color indexed="63"/>
      </left>
      <right>
        <color indexed="63"/>
      </right>
      <top style="dotted"/>
      <bottom style="dotted"/>
    </border>
    <border>
      <left>
        <color indexed="63"/>
      </left>
      <right style="medium"/>
      <top style="dotted"/>
      <bottom style="dotted"/>
    </border>
    <border>
      <left>
        <color indexed="63"/>
      </left>
      <right>
        <color indexed="63"/>
      </right>
      <top style="dotted"/>
      <bottom style="medium"/>
    </border>
    <border>
      <left style="medium"/>
      <right>
        <color indexed="63"/>
      </right>
      <top style="medium"/>
      <bottom style="medium"/>
    </border>
    <border>
      <left style="medium"/>
      <right style="medium"/>
      <top style="medium"/>
      <bottom style="medium"/>
    </border>
    <border>
      <left style="medium"/>
      <right style="medium"/>
      <top style="dotted"/>
      <bottom style="dotted"/>
    </border>
    <border>
      <left style="medium"/>
      <right style="medium"/>
      <top style="dotted"/>
      <bottom style="medium"/>
    </border>
    <border>
      <left style="medium"/>
      <right style="medium"/>
      <top style="medium"/>
      <bottom style="dotted"/>
    </border>
    <border>
      <left>
        <color indexed="63"/>
      </left>
      <right style="medium"/>
      <top style="dotted"/>
      <bottom style="medium"/>
    </border>
    <border>
      <left style="medium"/>
      <right style="medium"/>
      <top style="thin"/>
      <bottom style="medium"/>
    </border>
    <border>
      <left style="medium"/>
      <right style="thin"/>
      <top style="thin"/>
      <bottom style="thin"/>
    </border>
    <border>
      <left style="thin"/>
      <right style="medium"/>
      <top style="thin"/>
      <bottom style="thin"/>
    </border>
    <border>
      <left style="medium"/>
      <right style="medium"/>
      <top style="thin"/>
      <bottom style="thin"/>
    </border>
    <border>
      <left style="medium"/>
      <right style="medium"/>
      <top style="dotted"/>
      <bottom>
        <color indexed="63"/>
      </bottom>
    </border>
    <border>
      <left>
        <color indexed="63"/>
      </left>
      <right>
        <color indexed="63"/>
      </right>
      <top style="dotted"/>
      <bottom>
        <color indexed="63"/>
      </bottom>
    </border>
    <border>
      <left>
        <color indexed="63"/>
      </left>
      <right style="medium"/>
      <top style="dotted"/>
      <bottom>
        <color indexed="63"/>
      </bottom>
    </border>
    <border>
      <left>
        <color indexed="63"/>
      </left>
      <right style="medium"/>
      <top>
        <color indexed="63"/>
      </top>
      <bottom style="medium"/>
    </border>
    <border>
      <left>
        <color indexed="63"/>
      </left>
      <right>
        <color indexed="63"/>
      </right>
      <top>
        <color indexed="63"/>
      </top>
      <bottom style="medium"/>
    </border>
    <border>
      <left style="medium"/>
      <right>
        <color indexed="63"/>
      </right>
      <top style="dotted"/>
      <bottom style="hair"/>
    </border>
    <border>
      <left>
        <color indexed="63"/>
      </left>
      <right>
        <color indexed="63"/>
      </right>
      <top style="dotted"/>
      <bottom style="hair"/>
    </border>
    <border>
      <left style="medium"/>
      <right style="medium"/>
      <top style="dotted"/>
      <bottom style="hair"/>
    </border>
    <border>
      <left>
        <color indexed="63"/>
      </left>
      <right style="medium"/>
      <top style="dotted"/>
      <bottom style="hair"/>
    </border>
    <border>
      <left style="medium"/>
      <right>
        <color indexed="63"/>
      </right>
      <top style="hair"/>
      <bottom style="medium"/>
    </border>
    <border>
      <left style="medium"/>
      <right style="thin"/>
      <top style="thin"/>
      <bottom style="medium"/>
    </border>
    <border>
      <left>
        <color indexed="63"/>
      </left>
      <right>
        <color indexed="63"/>
      </right>
      <top style="thick"/>
      <bottom>
        <color indexed="63"/>
      </bottom>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26" borderId="0" applyNumberFormat="0" applyBorder="0" applyAlignment="0" applyProtection="0"/>
    <xf numFmtId="0" fontId="64" fillId="27" borderId="1" applyNumberFormat="0" applyAlignment="0" applyProtection="0"/>
    <xf numFmtId="0" fontId="6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6" fillId="0" borderId="0" applyNumberFormat="0" applyFill="0" applyBorder="0" applyAlignment="0" applyProtection="0"/>
    <xf numFmtId="2" fontId="0" fillId="0" borderId="0" applyFill="0" applyBorder="0" applyAlignment="0" applyProtection="0"/>
    <xf numFmtId="0" fontId="67" fillId="29" borderId="0" applyNumberFormat="0" applyBorder="0" applyAlignment="0" applyProtection="0"/>
    <xf numFmtId="0" fontId="68" fillId="0" borderId="3" applyNumberFormat="0" applyFill="0" applyAlignment="0" applyProtection="0"/>
    <xf numFmtId="0" fontId="69" fillId="0" borderId="4" applyNumberFormat="0" applyFill="0" applyAlignment="0" applyProtection="0"/>
    <xf numFmtId="0" fontId="70" fillId="0" borderId="5" applyNumberFormat="0" applyFill="0" applyAlignment="0" applyProtection="0"/>
    <xf numFmtId="0" fontId="70" fillId="0" borderId="0" applyNumberFormat="0" applyFill="0" applyBorder="0" applyAlignment="0" applyProtection="0"/>
    <xf numFmtId="0" fontId="71" fillId="30" borderId="1" applyNumberFormat="0" applyAlignment="0" applyProtection="0"/>
    <xf numFmtId="0" fontId="72" fillId="0" borderId="6" applyNumberFormat="0" applyFill="0" applyAlignment="0" applyProtection="0"/>
    <xf numFmtId="0" fontId="73" fillId="31" borderId="0" applyNumberFormat="0" applyBorder="0" applyAlignment="0" applyProtection="0"/>
    <xf numFmtId="0" fontId="26" fillId="0" borderId="0">
      <alignment/>
      <protection/>
    </xf>
    <xf numFmtId="0" fontId="0" fillId="32" borderId="7" applyNumberFormat="0" applyFont="0" applyAlignment="0" applyProtection="0"/>
    <xf numFmtId="0" fontId="74" fillId="27" borderId="8" applyNumberFormat="0" applyAlignment="0" applyProtection="0"/>
    <xf numFmtId="9" fontId="0" fillId="0" borderId="0" applyFont="0" applyFill="0" applyBorder="0" applyAlignment="0" applyProtection="0"/>
    <xf numFmtId="0" fontId="75" fillId="0" borderId="0" applyNumberFormat="0" applyFill="0" applyBorder="0" applyAlignment="0" applyProtection="0"/>
    <xf numFmtId="0" fontId="76" fillId="0" borderId="9" applyNumberFormat="0" applyFill="0" applyAlignment="0" applyProtection="0"/>
    <xf numFmtId="0" fontId="77" fillId="0" borderId="0" applyNumberFormat="0" applyFill="0" applyBorder="0" applyAlignment="0" applyProtection="0"/>
  </cellStyleXfs>
  <cellXfs count="533">
    <xf numFmtId="0" fontId="0" fillId="0" borderId="0" xfId="0" applyAlignment="1">
      <alignment/>
    </xf>
    <xf numFmtId="1" fontId="0" fillId="0" borderId="0" xfId="0" applyNumberFormat="1" applyAlignment="1">
      <alignment/>
    </xf>
    <xf numFmtId="0" fontId="0" fillId="0" borderId="10" xfId="0" applyBorder="1" applyAlignment="1">
      <alignment/>
    </xf>
    <xf numFmtId="0" fontId="0" fillId="0" borderId="0" xfId="0" applyBorder="1" applyAlignment="1">
      <alignment/>
    </xf>
    <xf numFmtId="43" fontId="0" fillId="0" borderId="0" xfId="42" applyFont="1" applyBorder="1" applyAlignment="1">
      <alignment/>
    </xf>
    <xf numFmtId="0" fontId="0" fillId="0" borderId="0" xfId="0" applyAlignment="1">
      <alignment horizontal="center"/>
    </xf>
    <xf numFmtId="0" fontId="0" fillId="0" borderId="11" xfId="0" applyBorder="1" applyAlignment="1">
      <alignment/>
    </xf>
    <xf numFmtId="0" fontId="0" fillId="0" borderId="12" xfId="0" applyBorder="1" applyAlignment="1">
      <alignment/>
    </xf>
    <xf numFmtId="43" fontId="0" fillId="0" borderId="12" xfId="42" applyFont="1" applyBorder="1" applyAlignment="1">
      <alignment/>
    </xf>
    <xf numFmtId="0" fontId="0" fillId="0" borderId="0" xfId="0" applyFill="1" applyAlignment="1">
      <alignment/>
    </xf>
    <xf numFmtId="0" fontId="2" fillId="0" borderId="0" xfId="0" applyFont="1" applyFill="1" applyAlignment="1">
      <alignment/>
    </xf>
    <xf numFmtId="9" fontId="0" fillId="0" borderId="0" xfId="0" applyNumberFormat="1" applyBorder="1" applyAlignment="1">
      <alignment/>
    </xf>
    <xf numFmtId="0" fontId="0" fillId="33" borderId="11" xfId="0" applyFill="1" applyBorder="1" applyAlignment="1">
      <alignment horizontal="center"/>
    </xf>
    <xf numFmtId="0" fontId="0" fillId="33" borderId="12" xfId="0" applyFill="1" applyBorder="1" applyAlignment="1">
      <alignment horizontal="center"/>
    </xf>
    <xf numFmtId="0" fontId="0" fillId="34" borderId="10" xfId="0" applyFill="1" applyBorder="1" applyAlignment="1">
      <alignment/>
    </xf>
    <xf numFmtId="0" fontId="0" fillId="34" borderId="0" xfId="0" applyFill="1" applyBorder="1" applyAlignment="1">
      <alignment/>
    </xf>
    <xf numFmtId="0" fontId="0" fillId="34" borderId="13" xfId="0" applyFill="1" applyBorder="1" applyAlignment="1">
      <alignment/>
    </xf>
    <xf numFmtId="0" fontId="0" fillId="34" borderId="14" xfId="0" applyFill="1" applyBorder="1" applyAlignment="1">
      <alignment/>
    </xf>
    <xf numFmtId="0" fontId="0" fillId="34" borderId="11" xfId="0" applyFill="1" applyBorder="1" applyAlignment="1">
      <alignment/>
    </xf>
    <xf numFmtId="0" fontId="0" fillId="34" borderId="12" xfId="0" applyFill="1" applyBorder="1" applyAlignment="1">
      <alignment/>
    </xf>
    <xf numFmtId="0" fontId="2" fillId="0" borderId="0" xfId="0" applyFont="1" applyAlignment="1">
      <alignment/>
    </xf>
    <xf numFmtId="43" fontId="0" fillId="0" borderId="0" xfId="0" applyNumberFormat="1" applyAlignment="1">
      <alignment horizontal="center"/>
    </xf>
    <xf numFmtId="43" fontId="0" fillId="0" borderId="0" xfId="0" applyNumberFormat="1" applyAlignment="1">
      <alignment/>
    </xf>
    <xf numFmtId="0" fontId="0" fillId="0" borderId="0" xfId="0" applyFill="1" applyBorder="1" applyAlignment="1">
      <alignment/>
    </xf>
    <xf numFmtId="0" fontId="4" fillId="33" borderId="11" xfId="0" applyFont="1" applyFill="1" applyBorder="1" applyAlignment="1">
      <alignment/>
    </xf>
    <xf numFmtId="0" fontId="0" fillId="33" borderId="12" xfId="0" applyFill="1" applyBorder="1" applyAlignment="1">
      <alignment/>
    </xf>
    <xf numFmtId="0" fontId="0" fillId="33" borderId="15" xfId="0" applyFill="1" applyBorder="1" applyAlignment="1">
      <alignment/>
    </xf>
    <xf numFmtId="0" fontId="4" fillId="33" borderId="10" xfId="0" applyFont="1" applyFill="1" applyBorder="1" applyAlignment="1">
      <alignment/>
    </xf>
    <xf numFmtId="0" fontId="5" fillId="33" borderId="0" xfId="0" applyFont="1" applyFill="1" applyBorder="1" applyAlignment="1">
      <alignment/>
    </xf>
    <xf numFmtId="0" fontId="0" fillId="33" borderId="0" xfId="0" applyFill="1" applyBorder="1" applyAlignment="1">
      <alignment/>
    </xf>
    <xf numFmtId="0" fontId="0" fillId="33" borderId="16" xfId="0" applyFill="1" applyBorder="1" applyAlignment="1">
      <alignment/>
    </xf>
    <xf numFmtId="166" fontId="0" fillId="0" borderId="10" xfId="42" applyNumberFormat="1" applyBorder="1" applyAlignment="1">
      <alignment/>
    </xf>
    <xf numFmtId="166" fontId="0" fillId="0" borderId="0" xfId="42" applyNumberFormat="1" applyBorder="1" applyAlignment="1">
      <alignment/>
    </xf>
    <xf numFmtId="166" fontId="0" fillId="0" borderId="16" xfId="42" applyNumberFormat="1" applyBorder="1" applyAlignment="1">
      <alignment/>
    </xf>
    <xf numFmtId="166" fontId="0" fillId="0" borderId="13" xfId="42" applyNumberFormat="1" applyBorder="1" applyAlignment="1">
      <alignment/>
    </xf>
    <xf numFmtId="166" fontId="0" fillId="0" borderId="14" xfId="42" applyNumberFormat="1" applyBorder="1" applyAlignment="1">
      <alignment/>
    </xf>
    <xf numFmtId="166" fontId="0" fillId="0" borderId="17" xfId="42" applyNumberFormat="1" applyBorder="1" applyAlignment="1">
      <alignment/>
    </xf>
    <xf numFmtId="0" fontId="0" fillId="33" borderId="11" xfId="0" applyFill="1" applyBorder="1" applyAlignment="1">
      <alignment/>
    </xf>
    <xf numFmtId="0" fontId="3" fillId="33" borderId="13" xfId="0" applyFont="1" applyFill="1" applyBorder="1" applyAlignment="1">
      <alignment/>
    </xf>
    <xf numFmtId="0" fontId="3" fillId="33" borderId="17" xfId="0" applyFont="1" applyFill="1" applyBorder="1" applyAlignment="1">
      <alignment/>
    </xf>
    <xf numFmtId="0" fontId="0" fillId="33" borderId="10" xfId="0" applyFill="1" applyBorder="1" applyAlignment="1">
      <alignment/>
    </xf>
    <xf numFmtId="0" fontId="3" fillId="33" borderId="10" xfId="0" applyFont="1" applyFill="1" applyBorder="1" applyAlignment="1">
      <alignment/>
    </xf>
    <xf numFmtId="0" fontId="3" fillId="33" borderId="0" xfId="0" applyFont="1" applyFill="1" applyBorder="1" applyAlignment="1">
      <alignment/>
    </xf>
    <xf numFmtId="0" fontId="3" fillId="33" borderId="16" xfId="0" applyFont="1" applyFill="1" applyBorder="1" applyAlignment="1">
      <alignment/>
    </xf>
    <xf numFmtId="166" fontId="0" fillId="0" borderId="11" xfId="42" applyNumberFormat="1" applyBorder="1" applyAlignment="1">
      <alignment/>
    </xf>
    <xf numFmtId="166" fontId="0" fillId="0" borderId="12" xfId="42" applyNumberFormat="1" applyBorder="1" applyAlignment="1">
      <alignment/>
    </xf>
    <xf numFmtId="166" fontId="0" fillId="0" borderId="15" xfId="42" applyNumberFormat="1" applyBorder="1" applyAlignment="1">
      <alignment/>
    </xf>
    <xf numFmtId="10" fontId="0" fillId="0" borderId="11" xfId="59" applyNumberFormat="1" applyBorder="1" applyAlignment="1">
      <alignment/>
    </xf>
    <xf numFmtId="171" fontId="0" fillId="0" borderId="12" xfId="42" applyNumberFormat="1" applyFont="1" applyBorder="1" applyAlignment="1">
      <alignment/>
    </xf>
    <xf numFmtId="10" fontId="0" fillId="0" borderId="10" xfId="59" applyNumberFormat="1" applyBorder="1" applyAlignment="1">
      <alignment/>
    </xf>
    <xf numFmtId="171" fontId="0" fillId="0" borderId="0" xfId="42" applyNumberFormat="1" applyFont="1" applyBorder="1" applyAlignment="1">
      <alignment/>
    </xf>
    <xf numFmtId="0" fontId="6" fillId="0" borderId="0" xfId="0" applyFont="1" applyAlignment="1">
      <alignment horizontal="centerContinuous"/>
    </xf>
    <xf numFmtId="0" fontId="0" fillId="0" borderId="18" xfId="0" applyBorder="1" applyAlignment="1">
      <alignment horizontal="centerContinuous"/>
    </xf>
    <xf numFmtId="0" fontId="0" fillId="0" borderId="19" xfId="0" applyBorder="1" applyAlignment="1">
      <alignment horizontal="centerContinuous"/>
    </xf>
    <xf numFmtId="0" fontId="0" fillId="0" borderId="20" xfId="0" applyBorder="1" applyAlignment="1">
      <alignment horizontal="centerContinuous"/>
    </xf>
    <xf numFmtId="0" fontId="0" fillId="0" borderId="21" xfId="0" applyBorder="1" applyAlignment="1">
      <alignment horizontal="center"/>
    </xf>
    <xf numFmtId="0" fontId="0" fillId="0" borderId="22" xfId="0" applyBorder="1" applyAlignment="1">
      <alignment horizontal="centerContinuous"/>
    </xf>
    <xf numFmtId="0" fontId="0" fillId="0" borderId="23" xfId="0" applyBorder="1" applyAlignment="1">
      <alignment horizontal="centerContinuous"/>
    </xf>
    <xf numFmtId="0" fontId="0" fillId="0" borderId="24" xfId="0" applyBorder="1" applyAlignment="1">
      <alignment horizontal="centerContinuous"/>
    </xf>
    <xf numFmtId="0" fontId="0" fillId="0" borderId="25" xfId="0" applyBorder="1" applyAlignment="1">
      <alignment horizontal="centerContinuous"/>
    </xf>
    <xf numFmtId="0" fontId="0" fillId="0" borderId="26" xfId="0" applyBorder="1" applyAlignment="1">
      <alignment horizontal="centerContinuous"/>
    </xf>
    <xf numFmtId="0" fontId="0" fillId="0" borderId="27" xfId="0" applyBorder="1" applyAlignment="1">
      <alignment horizontal="center"/>
    </xf>
    <xf numFmtId="0" fontId="0" fillId="0" borderId="28" xfId="0" applyBorder="1" applyAlignment="1">
      <alignment horizontal="centerContinuous"/>
    </xf>
    <xf numFmtId="0" fontId="0" fillId="0" borderId="14" xfId="0" applyBorder="1" applyAlignment="1">
      <alignment horizontal="centerContinuous"/>
    </xf>
    <xf numFmtId="0" fontId="0" fillId="0" borderId="29" xfId="0" applyBorder="1" applyAlignment="1">
      <alignment horizontal="centerContinuous"/>
    </xf>
    <xf numFmtId="0" fontId="0" fillId="0" borderId="15" xfId="0" applyBorder="1" applyAlignment="1">
      <alignment horizontal="center"/>
    </xf>
    <xf numFmtId="0" fontId="0" fillId="0" borderId="15" xfId="0" applyBorder="1" applyAlignment="1">
      <alignment horizontal="centerContinuous"/>
    </xf>
    <xf numFmtId="0" fontId="0" fillId="0" borderId="30" xfId="0" applyBorder="1" applyAlignment="1">
      <alignment horizontal="center"/>
    </xf>
    <xf numFmtId="0" fontId="0" fillId="0" borderId="10" xfId="0" applyBorder="1" applyAlignment="1">
      <alignment horizontal="center"/>
    </xf>
    <xf numFmtId="0" fontId="0" fillId="0" borderId="31" xfId="0" applyFill="1" applyBorder="1" applyAlignment="1">
      <alignment horizontal="center"/>
    </xf>
    <xf numFmtId="0" fontId="0" fillId="0" borderId="27" xfId="0" applyBorder="1" applyAlignment="1">
      <alignment/>
    </xf>
    <xf numFmtId="0" fontId="0" fillId="0" borderId="32" xfId="0" applyBorder="1" applyAlignment="1">
      <alignment horizontal="center"/>
    </xf>
    <xf numFmtId="0" fontId="0" fillId="0" borderId="33" xfId="0" applyBorder="1" applyAlignment="1">
      <alignment horizontal="center"/>
    </xf>
    <xf numFmtId="0" fontId="0" fillId="0" borderId="34" xfId="0" applyBorder="1" applyAlignment="1">
      <alignment horizontal="center"/>
    </xf>
    <xf numFmtId="0" fontId="0" fillId="0" borderId="17" xfId="0" applyBorder="1" applyAlignment="1">
      <alignment/>
    </xf>
    <xf numFmtId="0" fontId="0" fillId="0" borderId="17" xfId="0" applyBorder="1" applyAlignment="1">
      <alignment horizontal="center"/>
    </xf>
    <xf numFmtId="0" fontId="0" fillId="0" borderId="33" xfId="0" applyBorder="1" applyAlignment="1">
      <alignment/>
    </xf>
    <xf numFmtId="0" fontId="0" fillId="0" borderId="13" xfId="0" applyBorder="1" applyAlignment="1">
      <alignment horizontal="center"/>
    </xf>
    <xf numFmtId="0" fontId="0" fillId="0" borderId="34" xfId="0" applyFill="1" applyBorder="1" applyAlignment="1">
      <alignment horizontal="center"/>
    </xf>
    <xf numFmtId="0" fontId="0" fillId="0" borderId="35" xfId="0" applyBorder="1" applyAlignment="1">
      <alignment/>
    </xf>
    <xf numFmtId="0" fontId="0" fillId="0" borderId="0" xfId="0" applyBorder="1" applyAlignment="1">
      <alignment/>
    </xf>
    <xf numFmtId="0" fontId="0" fillId="0" borderId="36" xfId="0" applyBorder="1" applyAlignment="1">
      <alignment/>
    </xf>
    <xf numFmtId="0" fontId="0" fillId="0" borderId="30" xfId="0" applyBorder="1" applyAlignment="1">
      <alignment/>
    </xf>
    <xf numFmtId="0" fontId="0" fillId="0" borderId="37" xfId="0" applyBorder="1" applyAlignment="1">
      <alignment/>
    </xf>
    <xf numFmtId="0" fontId="0" fillId="0" borderId="16" xfId="0" applyBorder="1" applyAlignment="1">
      <alignment/>
    </xf>
    <xf numFmtId="0" fontId="0" fillId="0" borderId="0" xfId="0" applyBorder="1" applyAlignment="1">
      <alignment horizontal="left" indent="2"/>
    </xf>
    <xf numFmtId="3" fontId="0" fillId="0" borderId="36" xfId="0" applyNumberFormat="1" applyBorder="1" applyAlignment="1">
      <alignment horizontal="center"/>
    </xf>
    <xf numFmtId="3" fontId="0" fillId="0" borderId="30" xfId="0" applyNumberFormat="1" applyBorder="1" applyAlignment="1">
      <alignment horizontal="center"/>
    </xf>
    <xf numFmtId="3" fontId="0" fillId="0" borderId="37" xfId="0" applyNumberFormat="1" applyBorder="1" applyAlignment="1">
      <alignment horizontal="center"/>
    </xf>
    <xf numFmtId="3" fontId="0" fillId="0" borderId="16" xfId="0" applyNumberFormat="1" applyBorder="1" applyAlignment="1">
      <alignment horizontal="center"/>
    </xf>
    <xf numFmtId="3" fontId="0" fillId="0" borderId="10" xfId="0" applyNumberFormat="1" applyBorder="1" applyAlignment="1">
      <alignment horizontal="center"/>
    </xf>
    <xf numFmtId="3" fontId="0" fillId="0" borderId="27" xfId="0" applyNumberFormat="1" applyBorder="1" applyAlignment="1">
      <alignment horizontal="center"/>
    </xf>
    <xf numFmtId="3" fontId="0" fillId="0" borderId="38" xfId="0" applyNumberFormat="1" applyBorder="1" applyAlignment="1">
      <alignment horizontal="center"/>
    </xf>
    <xf numFmtId="0" fontId="0" fillId="0" borderId="0" xfId="0" applyBorder="1" applyAlignment="1">
      <alignment horizontal="left" indent="1"/>
    </xf>
    <xf numFmtId="0" fontId="7" fillId="0" borderId="0" xfId="0" applyFont="1" applyAlignment="1">
      <alignment/>
    </xf>
    <xf numFmtId="0" fontId="0" fillId="0" borderId="0" xfId="0" applyFont="1" applyAlignment="1">
      <alignment horizontal="left" indent="2"/>
    </xf>
    <xf numFmtId="164" fontId="0" fillId="0" borderId="30" xfId="0" applyNumberFormat="1" applyBorder="1" applyAlignment="1">
      <alignment horizontal="center"/>
    </xf>
    <xf numFmtId="164" fontId="0" fillId="0" borderId="16" xfId="0" applyNumberFormat="1" applyBorder="1" applyAlignment="1">
      <alignment horizontal="center"/>
    </xf>
    <xf numFmtId="164" fontId="0" fillId="0" borderId="10" xfId="0" applyNumberFormat="1" applyBorder="1" applyAlignment="1">
      <alignment horizontal="center"/>
    </xf>
    <xf numFmtId="164" fontId="0" fillId="0" borderId="27" xfId="0" applyNumberFormat="1" applyBorder="1" applyAlignment="1">
      <alignment horizontal="center"/>
    </xf>
    <xf numFmtId="0" fontId="0" fillId="0" borderId="0" xfId="0" applyAlignment="1">
      <alignment horizontal="left" indent="2"/>
    </xf>
    <xf numFmtId="1" fontId="0" fillId="0" borderId="36" xfId="0" applyNumberFormat="1" applyBorder="1" applyAlignment="1">
      <alignment horizontal="center"/>
    </xf>
    <xf numFmtId="1" fontId="0" fillId="0" borderId="30" xfId="0" applyNumberFormat="1" applyBorder="1" applyAlignment="1">
      <alignment horizontal="center"/>
    </xf>
    <xf numFmtId="1" fontId="0" fillId="0" borderId="37" xfId="0" applyNumberFormat="1" applyBorder="1" applyAlignment="1">
      <alignment horizontal="center"/>
    </xf>
    <xf numFmtId="1" fontId="0" fillId="0" borderId="16" xfId="0" applyNumberFormat="1" applyBorder="1" applyAlignment="1">
      <alignment horizontal="center"/>
    </xf>
    <xf numFmtId="1" fontId="0" fillId="0" borderId="10" xfId="0" applyNumberFormat="1" applyBorder="1" applyAlignment="1">
      <alignment horizontal="center"/>
    </xf>
    <xf numFmtId="1" fontId="0" fillId="0" borderId="27" xfId="0" applyNumberFormat="1" applyBorder="1" applyAlignment="1">
      <alignment horizontal="center"/>
    </xf>
    <xf numFmtId="0" fontId="0" fillId="0" borderId="39" xfId="0" applyBorder="1" applyAlignment="1">
      <alignment horizontal="center"/>
    </xf>
    <xf numFmtId="0" fontId="0" fillId="0" borderId="40" xfId="0" applyBorder="1" applyAlignment="1">
      <alignment horizontal="center"/>
    </xf>
    <xf numFmtId="0" fontId="0" fillId="0" borderId="41" xfId="0" applyBorder="1" applyAlignment="1">
      <alignment horizontal="center"/>
    </xf>
    <xf numFmtId="0" fontId="0" fillId="0" borderId="42" xfId="0" applyBorder="1" applyAlignment="1">
      <alignment horizontal="center"/>
    </xf>
    <xf numFmtId="0" fontId="0" fillId="0" borderId="43" xfId="0" applyBorder="1" applyAlignment="1">
      <alignment horizontal="center"/>
    </xf>
    <xf numFmtId="0" fontId="0" fillId="0" borderId="44" xfId="0" applyBorder="1" applyAlignment="1">
      <alignment horizontal="center"/>
    </xf>
    <xf numFmtId="10" fontId="0" fillId="0" borderId="0" xfId="0" applyNumberFormat="1" applyAlignment="1">
      <alignment/>
    </xf>
    <xf numFmtId="2" fontId="0" fillId="0" borderId="0" xfId="0" applyNumberFormat="1" applyAlignment="1">
      <alignment/>
    </xf>
    <xf numFmtId="166" fontId="1" fillId="0" borderId="12" xfId="42" applyNumberFormat="1" applyFont="1" applyBorder="1" applyAlignment="1">
      <alignment/>
    </xf>
    <xf numFmtId="166" fontId="1" fillId="0" borderId="0" xfId="42" applyNumberFormat="1" applyFont="1" applyBorder="1" applyAlignment="1">
      <alignment/>
    </xf>
    <xf numFmtId="0" fontId="0" fillId="35" borderId="21" xfId="0" applyFill="1" applyBorder="1" applyAlignment="1">
      <alignment horizontal="center"/>
    </xf>
    <xf numFmtId="0" fontId="0" fillId="35" borderId="27" xfId="0" applyFill="1" applyBorder="1" applyAlignment="1">
      <alignment horizontal="center"/>
    </xf>
    <xf numFmtId="0" fontId="0" fillId="35" borderId="27" xfId="0" applyFill="1" applyBorder="1" applyAlignment="1">
      <alignment/>
    </xf>
    <xf numFmtId="0" fontId="0" fillId="35" borderId="35" xfId="0" applyFill="1" applyBorder="1" applyAlignment="1">
      <alignment/>
    </xf>
    <xf numFmtId="3" fontId="0" fillId="35" borderId="27" xfId="0" applyNumberFormat="1" applyFill="1" applyBorder="1" applyAlignment="1">
      <alignment horizontal="center"/>
    </xf>
    <xf numFmtId="164" fontId="0" fillId="35" borderId="27" xfId="0" applyNumberFormat="1" applyFill="1" applyBorder="1" applyAlignment="1">
      <alignment horizontal="center"/>
    </xf>
    <xf numFmtId="1" fontId="0" fillId="35" borderId="27" xfId="0" applyNumberFormat="1" applyFill="1" applyBorder="1" applyAlignment="1">
      <alignment horizontal="center"/>
    </xf>
    <xf numFmtId="0" fontId="0" fillId="35" borderId="44" xfId="0" applyFill="1" applyBorder="1" applyAlignment="1">
      <alignment horizontal="center"/>
    </xf>
    <xf numFmtId="1" fontId="0" fillId="0" borderId="0" xfId="0" applyNumberFormat="1" applyBorder="1" applyAlignment="1">
      <alignment/>
    </xf>
    <xf numFmtId="2" fontId="0" fillId="0" borderId="0" xfId="0" applyNumberFormat="1" applyBorder="1" applyAlignment="1">
      <alignment/>
    </xf>
    <xf numFmtId="166" fontId="0" fillId="0" borderId="0" xfId="0" applyNumberFormat="1" applyBorder="1" applyAlignment="1">
      <alignment/>
    </xf>
    <xf numFmtId="9" fontId="0" fillId="35" borderId="0" xfId="0" applyNumberFormat="1" applyFill="1" applyBorder="1" applyAlignment="1">
      <alignment/>
    </xf>
    <xf numFmtId="0" fontId="0" fillId="35" borderId="0" xfId="0" applyFill="1" applyAlignment="1">
      <alignment/>
    </xf>
    <xf numFmtId="0" fontId="3" fillId="33" borderId="45" xfId="0" applyFont="1" applyFill="1" applyBorder="1" applyAlignment="1">
      <alignment horizontal="center"/>
    </xf>
    <xf numFmtId="166" fontId="8" fillId="0" borderId="12" xfId="42" applyNumberFormat="1" applyFont="1" applyBorder="1" applyAlignment="1">
      <alignment/>
    </xf>
    <xf numFmtId="166" fontId="8" fillId="0" borderId="0" xfId="42" applyNumberFormat="1" applyFont="1" applyBorder="1" applyAlignment="1">
      <alignment/>
    </xf>
    <xf numFmtId="166" fontId="8" fillId="34" borderId="12" xfId="42" applyNumberFormat="1" applyFont="1" applyFill="1" applyBorder="1" applyAlignment="1">
      <alignment/>
    </xf>
    <xf numFmtId="166" fontId="8" fillId="34" borderId="0" xfId="42" applyNumberFormat="1" applyFont="1" applyFill="1" applyBorder="1" applyAlignment="1">
      <alignment/>
    </xf>
    <xf numFmtId="166" fontId="8" fillId="34" borderId="14" xfId="42" applyNumberFormat="1" applyFont="1" applyFill="1" applyBorder="1" applyAlignment="1">
      <alignment/>
    </xf>
    <xf numFmtId="0" fontId="2" fillId="0" borderId="46" xfId="0" applyFont="1" applyFill="1" applyBorder="1" applyAlignment="1">
      <alignment horizontal="center"/>
    </xf>
    <xf numFmtId="9" fontId="2" fillId="0" borderId="45" xfId="59" applyFont="1" applyFill="1" applyBorder="1" applyAlignment="1">
      <alignment/>
    </xf>
    <xf numFmtId="9" fontId="2" fillId="0" borderId="30" xfId="59" applyFont="1" applyFill="1" applyBorder="1" applyAlignment="1">
      <alignment/>
    </xf>
    <xf numFmtId="0" fontId="0" fillId="36" borderId="0" xfId="0" applyFont="1" applyFill="1" applyBorder="1" applyAlignment="1">
      <alignment/>
    </xf>
    <xf numFmtId="1" fontId="0" fillId="36" borderId="0" xfId="0" applyNumberFormat="1" applyFont="1" applyFill="1" applyBorder="1" applyAlignment="1">
      <alignment/>
    </xf>
    <xf numFmtId="0" fontId="0" fillId="36" borderId="11" xfId="0" applyFont="1" applyFill="1" applyBorder="1" applyAlignment="1">
      <alignment/>
    </xf>
    <xf numFmtId="1" fontId="0" fillId="36" borderId="12" xfId="0" applyNumberFormat="1" applyFont="1" applyFill="1" applyBorder="1" applyAlignment="1">
      <alignment/>
    </xf>
    <xf numFmtId="169" fontId="0" fillId="36" borderId="15" xfId="0" applyNumberFormat="1" applyFont="1" applyFill="1" applyBorder="1" applyAlignment="1">
      <alignment/>
    </xf>
    <xf numFmtId="0" fontId="0" fillId="36" borderId="10" xfId="0" applyFont="1" applyFill="1" applyBorder="1" applyAlignment="1">
      <alignment/>
    </xf>
    <xf numFmtId="169" fontId="0" fillId="36" borderId="16" xfId="0" applyNumberFormat="1" applyFont="1" applyFill="1" applyBorder="1" applyAlignment="1">
      <alignment/>
    </xf>
    <xf numFmtId="0" fontId="0" fillId="36" borderId="13" xfId="0" applyFont="1" applyFill="1" applyBorder="1" applyAlignment="1">
      <alignment/>
    </xf>
    <xf numFmtId="0" fontId="0" fillId="36" borderId="14" xfId="0" applyFont="1" applyFill="1" applyBorder="1" applyAlignment="1">
      <alignment/>
    </xf>
    <xf numFmtId="169" fontId="0" fillId="36" borderId="17" xfId="0" applyNumberFormat="1" applyFont="1" applyFill="1" applyBorder="1" applyAlignment="1">
      <alignment/>
    </xf>
    <xf numFmtId="0" fontId="0" fillId="0" borderId="10" xfId="0" applyFill="1" applyBorder="1" applyAlignment="1">
      <alignment/>
    </xf>
    <xf numFmtId="43" fontId="0" fillId="0" borderId="0" xfId="42" applyFont="1" applyFill="1" applyBorder="1" applyAlignment="1">
      <alignment/>
    </xf>
    <xf numFmtId="166" fontId="8" fillId="0" borderId="0" xfId="42" applyNumberFormat="1" applyFont="1" applyFill="1" applyBorder="1" applyAlignment="1">
      <alignment/>
    </xf>
    <xf numFmtId="166" fontId="1" fillId="0" borderId="0" xfId="42" applyNumberFormat="1" applyFont="1" applyFill="1" applyBorder="1" applyAlignment="1">
      <alignment/>
    </xf>
    <xf numFmtId="166" fontId="3" fillId="0" borderId="45" xfId="42" applyNumberFormat="1" applyFont="1" applyBorder="1" applyAlignment="1">
      <alignment horizontal="center"/>
    </xf>
    <xf numFmtId="166" fontId="3" fillId="0" borderId="30" xfId="42" applyNumberFormat="1" applyFont="1" applyBorder="1" applyAlignment="1">
      <alignment horizontal="center"/>
    </xf>
    <xf numFmtId="166" fontId="3" fillId="0" borderId="30" xfId="42" applyNumberFormat="1" applyFont="1" applyFill="1" applyBorder="1" applyAlignment="1">
      <alignment horizontal="center"/>
    </xf>
    <xf numFmtId="43" fontId="0" fillId="33" borderId="0" xfId="0" applyNumberFormat="1" applyFill="1" applyAlignment="1">
      <alignment/>
    </xf>
    <xf numFmtId="0" fontId="0" fillId="33" borderId="0" xfId="0" applyFill="1" applyAlignment="1">
      <alignment/>
    </xf>
    <xf numFmtId="169" fontId="0" fillId="33" borderId="16" xfId="0" applyNumberFormat="1" applyFont="1" applyFill="1" applyBorder="1" applyAlignment="1">
      <alignment/>
    </xf>
    <xf numFmtId="0" fontId="8" fillId="0" borderId="0" xfId="0" applyFont="1" applyAlignment="1">
      <alignment/>
    </xf>
    <xf numFmtId="3" fontId="1" fillId="34" borderId="27" xfId="0" applyNumberFormat="1" applyFont="1" applyFill="1" applyBorder="1" applyAlignment="1">
      <alignment horizontal="center"/>
    </xf>
    <xf numFmtId="0" fontId="11" fillId="0" borderId="0" xfId="0" applyFont="1" applyAlignment="1">
      <alignment/>
    </xf>
    <xf numFmtId="0" fontId="0" fillId="0" borderId="0" xfId="0" applyFont="1" applyFill="1" applyBorder="1" applyAlignment="1">
      <alignment/>
    </xf>
    <xf numFmtId="0" fontId="0" fillId="0" borderId="0" xfId="0" applyFont="1" applyFill="1" applyBorder="1" applyAlignment="1">
      <alignment horizontal="left" indent="2"/>
    </xf>
    <xf numFmtId="0" fontId="0" fillId="0" borderId="0" xfId="0" applyFont="1" applyFill="1" applyBorder="1" applyAlignment="1">
      <alignment/>
    </xf>
    <xf numFmtId="0" fontId="12" fillId="0" borderId="0" xfId="0" applyFont="1" applyFill="1" applyBorder="1" applyAlignment="1">
      <alignment horizontal="center"/>
    </xf>
    <xf numFmtId="0" fontId="7" fillId="0" borderId="0" xfId="0" applyFont="1" applyFill="1" applyBorder="1" applyAlignment="1">
      <alignment horizontal="center"/>
    </xf>
    <xf numFmtId="0" fontId="7" fillId="0" borderId="0" xfId="0" applyFont="1" applyFill="1" applyBorder="1" applyAlignment="1">
      <alignment horizontal="left" indent="2"/>
    </xf>
    <xf numFmtId="0" fontId="7" fillId="0" borderId="0" xfId="0" applyFont="1" applyFill="1" applyBorder="1" applyAlignment="1">
      <alignment horizontal="center" wrapText="1"/>
    </xf>
    <xf numFmtId="3" fontId="0" fillId="0" borderId="0" xfId="0" applyNumberFormat="1" applyFont="1" applyFill="1" applyBorder="1" applyAlignment="1">
      <alignment horizontal="right" indent="3"/>
    </xf>
    <xf numFmtId="0" fontId="0" fillId="0" borderId="14" xfId="0" applyFont="1" applyFill="1" applyBorder="1" applyAlignment="1">
      <alignment horizontal="left" indent="2"/>
    </xf>
    <xf numFmtId="0" fontId="0" fillId="0" borderId="14" xfId="0" applyFont="1" applyFill="1" applyBorder="1" applyAlignment="1">
      <alignment horizontal="right" indent="3"/>
    </xf>
    <xf numFmtId="3" fontId="0" fillId="0" borderId="14" xfId="0" applyNumberFormat="1" applyFont="1" applyFill="1" applyBorder="1" applyAlignment="1">
      <alignment horizontal="right" indent="3"/>
    </xf>
    <xf numFmtId="178" fontId="0" fillId="0" borderId="0" xfId="0" applyNumberFormat="1" applyAlignment="1">
      <alignment/>
    </xf>
    <xf numFmtId="0" fontId="0" fillId="36" borderId="47" xfId="0" applyFill="1" applyBorder="1" applyAlignment="1">
      <alignment horizontal="center"/>
    </xf>
    <xf numFmtId="0" fontId="0" fillId="36" borderId="48" xfId="0" applyFill="1" applyBorder="1" applyAlignment="1">
      <alignment horizontal="center"/>
    </xf>
    <xf numFmtId="166" fontId="0" fillId="0" borderId="49" xfId="42" applyNumberFormat="1" applyFont="1" applyBorder="1" applyAlignment="1">
      <alignment/>
    </xf>
    <xf numFmtId="166" fontId="0" fillId="0" borderId="50" xfId="42" applyNumberFormat="1" applyFont="1" applyBorder="1" applyAlignment="1">
      <alignment/>
    </xf>
    <xf numFmtId="166" fontId="0" fillId="0" borderId="51" xfId="42" applyNumberFormat="1" applyFont="1" applyBorder="1" applyAlignment="1">
      <alignment/>
    </xf>
    <xf numFmtId="166" fontId="0" fillId="0" borderId="52" xfId="42" applyNumberFormat="1" applyFont="1" applyBorder="1" applyAlignment="1">
      <alignment horizontal="center"/>
    </xf>
    <xf numFmtId="166" fontId="0" fillId="0" borderId="52" xfId="42" applyNumberFormat="1" applyFont="1" applyBorder="1" applyAlignment="1">
      <alignment/>
    </xf>
    <xf numFmtId="166" fontId="0" fillId="0" borderId="53" xfId="42" applyNumberFormat="1" applyFont="1" applyBorder="1" applyAlignment="1">
      <alignment/>
    </xf>
    <xf numFmtId="170" fontId="0" fillId="0" borderId="0" xfId="59" applyNumberFormat="1" applyFont="1" applyAlignment="1">
      <alignment horizontal="center"/>
    </xf>
    <xf numFmtId="9" fontId="0" fillId="35" borderId="0" xfId="0" applyNumberFormat="1" applyFill="1" applyAlignment="1">
      <alignment/>
    </xf>
    <xf numFmtId="0" fontId="15" fillId="35" borderId="0" xfId="0" applyFont="1" applyFill="1" applyAlignment="1">
      <alignment/>
    </xf>
    <xf numFmtId="180" fontId="0" fillId="35" borderId="0" xfId="0" applyNumberFormat="1" applyFont="1" applyFill="1" applyAlignment="1" quotePrefix="1">
      <alignment horizontal="left"/>
    </xf>
    <xf numFmtId="0" fontId="16" fillId="35" borderId="0" xfId="0" applyFont="1" applyFill="1" applyAlignment="1">
      <alignment/>
    </xf>
    <xf numFmtId="0" fontId="3" fillId="35" borderId="0" xfId="0" applyFont="1" applyFill="1" applyBorder="1" applyAlignment="1">
      <alignment/>
    </xf>
    <xf numFmtId="0" fontId="3" fillId="35" borderId="14" xfId="0" applyFont="1" applyFill="1" applyBorder="1" applyAlignment="1">
      <alignment horizontal="left" indent="2"/>
    </xf>
    <xf numFmtId="181" fontId="3" fillId="35" borderId="14" xfId="0" applyNumberFormat="1" applyFont="1" applyFill="1" applyBorder="1" applyAlignment="1">
      <alignment horizontal="center"/>
    </xf>
    <xf numFmtId="181" fontId="0" fillId="35" borderId="0" xfId="0" applyNumberFormat="1" applyFill="1" applyAlignment="1">
      <alignment horizontal="right"/>
    </xf>
    <xf numFmtId="181" fontId="0" fillId="35" borderId="0" xfId="0" applyNumberFormat="1" applyFill="1" applyAlignment="1">
      <alignment horizontal="center"/>
    </xf>
    <xf numFmtId="1" fontId="0" fillId="0" borderId="0" xfId="0" applyNumberFormat="1" applyFont="1" applyFill="1" applyBorder="1" applyAlignment="1">
      <alignment/>
    </xf>
    <xf numFmtId="1" fontId="0" fillId="36" borderId="0" xfId="0" applyNumberFormat="1" applyFont="1" applyFill="1" applyBorder="1" applyAlignment="1">
      <alignment/>
    </xf>
    <xf numFmtId="0" fontId="0" fillId="36" borderId="11" xfId="0" applyFill="1" applyBorder="1" applyAlignment="1">
      <alignment horizontal="right"/>
    </xf>
    <xf numFmtId="0" fontId="0" fillId="36" borderId="12" xfId="0" applyFill="1" applyBorder="1" applyAlignment="1">
      <alignment horizontal="center"/>
    </xf>
    <xf numFmtId="0" fontId="0" fillId="36" borderId="10" xfId="0" applyFill="1" applyBorder="1" applyAlignment="1">
      <alignment horizontal="right"/>
    </xf>
    <xf numFmtId="0" fontId="0" fillId="36" borderId="0" xfId="0" applyFill="1" applyBorder="1" applyAlignment="1">
      <alignment horizontal="center"/>
    </xf>
    <xf numFmtId="0" fontId="0" fillId="36" borderId="0" xfId="0" applyFill="1" applyBorder="1" applyAlignment="1">
      <alignment/>
    </xf>
    <xf numFmtId="0" fontId="0" fillId="36" borderId="14" xfId="0" applyFill="1" applyBorder="1" applyAlignment="1">
      <alignment/>
    </xf>
    <xf numFmtId="182" fontId="17" fillId="0" borderId="46" xfId="0" applyNumberFormat="1" applyFont="1" applyFill="1" applyBorder="1" applyAlignment="1">
      <alignment horizontal="center" wrapText="1"/>
    </xf>
    <xf numFmtId="2" fontId="18" fillId="0" borderId="33" xfId="0" applyNumberFormat="1" applyFont="1" applyFill="1" applyBorder="1" applyAlignment="1">
      <alignment/>
    </xf>
    <xf numFmtId="2" fontId="18" fillId="0" borderId="46" xfId="0" applyNumberFormat="1" applyFont="1" applyFill="1" applyBorder="1" applyAlignment="1">
      <alignment/>
    </xf>
    <xf numFmtId="4" fontId="18" fillId="0" borderId="46" xfId="0" applyNumberFormat="1" applyFont="1" applyFill="1" applyBorder="1" applyAlignment="1">
      <alignment/>
    </xf>
    <xf numFmtId="0" fontId="18" fillId="0" borderId="46" xfId="0" applyFont="1" applyFill="1" applyBorder="1" applyAlignment="1">
      <alignment horizontal="center"/>
    </xf>
    <xf numFmtId="2" fontId="18" fillId="34" borderId="30" xfId="0" applyNumberFormat="1" applyFont="1" applyFill="1" applyBorder="1" applyAlignment="1">
      <alignment/>
    </xf>
    <xf numFmtId="0" fontId="0" fillId="0" borderId="0" xfId="0" applyAlignment="1">
      <alignment horizontal="left" readingOrder="1"/>
    </xf>
    <xf numFmtId="182" fontId="17" fillId="0" borderId="0" xfId="0" applyNumberFormat="1" applyFont="1" applyFill="1" applyBorder="1" applyAlignment="1">
      <alignment horizontal="center" wrapText="1"/>
    </xf>
    <xf numFmtId="2" fontId="18" fillId="0" borderId="0" xfId="0" applyNumberFormat="1" applyFont="1" applyFill="1" applyBorder="1" applyAlignment="1">
      <alignment/>
    </xf>
    <xf numFmtId="4" fontId="18" fillId="0" borderId="0" xfId="0" applyNumberFormat="1" applyFont="1" applyFill="1" applyBorder="1" applyAlignment="1">
      <alignment/>
    </xf>
    <xf numFmtId="2" fontId="18" fillId="34" borderId="0" xfId="0" applyNumberFormat="1" applyFont="1" applyFill="1" applyBorder="1" applyAlignment="1">
      <alignment/>
    </xf>
    <xf numFmtId="0" fontId="12" fillId="0" borderId="0" xfId="0" applyFont="1" applyAlignment="1">
      <alignment/>
    </xf>
    <xf numFmtId="14" fontId="0" fillId="0" borderId="0" xfId="0" applyNumberFormat="1" applyAlignment="1">
      <alignment horizontal="center"/>
    </xf>
    <xf numFmtId="0" fontId="3" fillId="0" borderId="0" xfId="0" applyFont="1" applyAlignment="1">
      <alignment horizontal="center"/>
    </xf>
    <xf numFmtId="0" fontId="19" fillId="0" borderId="0" xfId="0" applyFont="1" applyAlignment="1">
      <alignment/>
    </xf>
    <xf numFmtId="3" fontId="19" fillId="0" borderId="0" xfId="0" applyNumberFormat="1" applyFont="1" applyAlignment="1">
      <alignment/>
    </xf>
    <xf numFmtId="3" fontId="0" fillId="0" borderId="0" xfId="0" applyNumberFormat="1" applyAlignment="1">
      <alignment/>
    </xf>
    <xf numFmtId="0" fontId="12" fillId="0" borderId="0" xfId="0" applyFont="1" applyAlignment="1">
      <alignment horizontal="center"/>
    </xf>
    <xf numFmtId="9" fontId="0" fillId="0" borderId="0" xfId="0" applyNumberFormat="1" applyFill="1" applyAlignment="1">
      <alignment/>
    </xf>
    <xf numFmtId="0" fontId="3" fillId="37" borderId="0" xfId="0" applyFont="1" applyFill="1" applyAlignment="1">
      <alignment/>
    </xf>
    <xf numFmtId="0" fontId="0" fillId="37" borderId="0" xfId="0" applyFill="1" applyAlignment="1">
      <alignment/>
    </xf>
    <xf numFmtId="9" fontId="0" fillId="37" borderId="0" xfId="0" applyNumberFormat="1" applyFill="1" applyAlignment="1">
      <alignment/>
    </xf>
    <xf numFmtId="0" fontId="0" fillId="37" borderId="0" xfId="0" applyFill="1" applyAlignment="1">
      <alignment horizontal="right"/>
    </xf>
    <xf numFmtId="0" fontId="0" fillId="36" borderId="54" xfId="0" applyFill="1" applyBorder="1" applyAlignment="1">
      <alignment horizontal="center"/>
    </xf>
    <xf numFmtId="0" fontId="0" fillId="36" borderId="55" xfId="0" applyFill="1" applyBorder="1" applyAlignment="1">
      <alignment horizontal="center"/>
    </xf>
    <xf numFmtId="166" fontId="0" fillId="0" borderId="21" xfId="42" applyNumberFormat="1" applyFont="1" applyBorder="1" applyAlignment="1">
      <alignment/>
    </xf>
    <xf numFmtId="166" fontId="0" fillId="0" borderId="56" xfId="42" applyNumberFormat="1" applyFont="1" applyBorder="1" applyAlignment="1">
      <alignment/>
    </xf>
    <xf numFmtId="166" fontId="0" fillId="0" borderId="51" xfId="42" applyNumberFormat="1" applyFont="1" applyBorder="1" applyAlignment="1">
      <alignment horizontal="center"/>
    </xf>
    <xf numFmtId="166" fontId="0" fillId="0" borderId="52" xfId="42" applyNumberFormat="1" applyFont="1" applyBorder="1" applyAlignment="1">
      <alignment horizontal="right"/>
    </xf>
    <xf numFmtId="166" fontId="0" fillId="0" borderId="57" xfId="42" applyNumberFormat="1" applyFont="1" applyBorder="1" applyAlignment="1">
      <alignment/>
    </xf>
    <xf numFmtId="166" fontId="0" fillId="0" borderId="44" xfId="42" applyNumberFormat="1" applyFont="1" applyBorder="1" applyAlignment="1">
      <alignment/>
    </xf>
    <xf numFmtId="0" fontId="20" fillId="37" borderId="55" xfId="0" applyFont="1" applyFill="1" applyBorder="1" applyAlignment="1">
      <alignment horizontal="center"/>
    </xf>
    <xf numFmtId="0" fontId="0" fillId="36" borderId="55" xfId="0" applyFill="1" applyBorder="1" applyAlignment="1">
      <alignment/>
    </xf>
    <xf numFmtId="0" fontId="0" fillId="0" borderId="58" xfId="0" applyBorder="1" applyAlignment="1">
      <alignment/>
    </xf>
    <xf numFmtId="0" fontId="0" fillId="0" borderId="56" xfId="0" applyBorder="1" applyAlignment="1">
      <alignment/>
    </xf>
    <xf numFmtId="0" fontId="0" fillId="0" borderId="57" xfId="0" applyBorder="1" applyAlignment="1">
      <alignment/>
    </xf>
    <xf numFmtId="0" fontId="10" fillId="0" borderId="0" xfId="0" applyFont="1" applyAlignment="1">
      <alignment/>
    </xf>
    <xf numFmtId="0" fontId="10" fillId="0" borderId="0" xfId="0" applyFont="1" applyAlignment="1">
      <alignment horizontal="center"/>
    </xf>
    <xf numFmtId="166" fontId="0" fillId="0" borderId="49" xfId="42" applyNumberFormat="1" applyBorder="1" applyAlignment="1">
      <alignment/>
    </xf>
    <xf numFmtId="166" fontId="0" fillId="0" borderId="50" xfId="42" applyNumberFormat="1" applyBorder="1" applyAlignment="1">
      <alignment/>
    </xf>
    <xf numFmtId="166" fontId="0" fillId="0" borderId="21" xfId="42" applyNumberFormat="1" applyBorder="1" applyAlignment="1">
      <alignment/>
    </xf>
    <xf numFmtId="166" fontId="0" fillId="0" borderId="51" xfId="42" applyNumberFormat="1" applyBorder="1" applyAlignment="1">
      <alignment/>
    </xf>
    <xf numFmtId="166" fontId="0" fillId="0" borderId="56" xfId="42" applyNumberFormat="1" applyBorder="1" applyAlignment="1">
      <alignment/>
    </xf>
    <xf numFmtId="166" fontId="0" fillId="0" borderId="51" xfId="42" applyNumberFormat="1" applyBorder="1" applyAlignment="1">
      <alignment horizontal="center"/>
    </xf>
    <xf numFmtId="166" fontId="0" fillId="0" borderId="52" xfId="42" applyNumberFormat="1" applyBorder="1" applyAlignment="1">
      <alignment horizontal="right"/>
    </xf>
    <xf numFmtId="166" fontId="0" fillId="0" borderId="52" xfId="42" applyNumberFormat="1" applyBorder="1" applyAlignment="1">
      <alignment/>
    </xf>
    <xf numFmtId="166" fontId="0" fillId="0" borderId="53" xfId="42" applyNumberFormat="1" applyBorder="1" applyAlignment="1">
      <alignment/>
    </xf>
    <xf numFmtId="166" fontId="0" fillId="0" borderId="59" xfId="42" applyNumberFormat="1" applyBorder="1" applyAlignment="1">
      <alignment/>
    </xf>
    <xf numFmtId="166" fontId="0" fillId="0" borderId="44" xfId="42" applyNumberFormat="1" applyBorder="1" applyAlignment="1">
      <alignment/>
    </xf>
    <xf numFmtId="170" fontId="0" fillId="0" borderId="0" xfId="59" applyNumberFormat="1" applyAlignment="1">
      <alignment horizontal="center"/>
    </xf>
    <xf numFmtId="166" fontId="0" fillId="0" borderId="0" xfId="0" applyNumberFormat="1" applyAlignment="1">
      <alignment/>
    </xf>
    <xf numFmtId="9" fontId="0" fillId="0" borderId="0" xfId="59" applyFont="1" applyAlignment="1">
      <alignment/>
    </xf>
    <xf numFmtId="166" fontId="0" fillId="0" borderId="0" xfId="0" applyNumberFormat="1" applyAlignment="1">
      <alignment horizontal="center"/>
    </xf>
    <xf numFmtId="0" fontId="6" fillId="0" borderId="0" xfId="0" applyFont="1" applyAlignment="1">
      <alignment/>
    </xf>
    <xf numFmtId="0" fontId="20" fillId="37" borderId="60" xfId="0" applyFont="1" applyFill="1" applyBorder="1" applyAlignment="1">
      <alignment horizontal="center"/>
    </xf>
    <xf numFmtId="0" fontId="7" fillId="0" borderId="0" xfId="0" applyFont="1" applyAlignment="1">
      <alignment horizontal="center"/>
    </xf>
    <xf numFmtId="1" fontId="3" fillId="0" borderId="0" xfId="0" applyNumberFormat="1" applyFont="1" applyFill="1" applyBorder="1" applyAlignment="1">
      <alignment/>
    </xf>
    <xf numFmtId="0" fontId="3" fillId="0" borderId="0" xfId="0" applyFont="1" applyFill="1" applyBorder="1" applyAlignment="1">
      <alignment/>
    </xf>
    <xf numFmtId="0" fontId="0" fillId="0" borderId="0" xfId="0" applyFont="1" applyFill="1" applyBorder="1" applyAlignment="1">
      <alignment/>
    </xf>
    <xf numFmtId="0" fontId="0" fillId="36" borderId="0" xfId="0" applyFill="1" applyAlignment="1">
      <alignment/>
    </xf>
    <xf numFmtId="3" fontId="21" fillId="38" borderId="27" xfId="0" applyNumberFormat="1" applyFont="1" applyFill="1" applyBorder="1" applyAlignment="1">
      <alignment horizontal="center"/>
    </xf>
    <xf numFmtId="3" fontId="0" fillId="38" borderId="27" xfId="0" applyNumberFormat="1" applyFill="1" applyBorder="1" applyAlignment="1">
      <alignment horizontal="center"/>
    </xf>
    <xf numFmtId="3" fontId="0" fillId="0" borderId="30" xfId="0" applyNumberFormat="1" applyFill="1" applyBorder="1" applyAlignment="1">
      <alignment horizontal="center"/>
    </xf>
    <xf numFmtId="3" fontId="0" fillId="0" borderId="16" xfId="0" applyNumberFormat="1" applyFill="1" applyBorder="1" applyAlignment="1">
      <alignment horizontal="center"/>
    </xf>
    <xf numFmtId="0" fontId="0" fillId="0" borderId="30" xfId="0" applyFill="1" applyBorder="1" applyAlignment="1">
      <alignment/>
    </xf>
    <xf numFmtId="1" fontId="0" fillId="0" borderId="30" xfId="0" applyNumberFormat="1" applyFill="1" applyBorder="1" applyAlignment="1">
      <alignment horizontal="center"/>
    </xf>
    <xf numFmtId="0" fontId="0" fillId="0" borderId="37" xfId="0" applyFill="1" applyBorder="1" applyAlignment="1">
      <alignment/>
    </xf>
    <xf numFmtId="1" fontId="0" fillId="0" borderId="37" xfId="0" applyNumberFormat="1" applyFill="1" applyBorder="1" applyAlignment="1">
      <alignment horizontal="center"/>
    </xf>
    <xf numFmtId="6" fontId="23" fillId="36" borderId="61" xfId="0" applyNumberFormat="1" applyFont="1" applyFill="1" applyBorder="1" applyAlignment="1">
      <alignment horizontal="center" vertical="center"/>
    </xf>
    <xf numFmtId="6" fontId="23" fillId="34" borderId="61" xfId="0" applyNumberFormat="1" applyFont="1" applyFill="1" applyBorder="1" applyAlignment="1">
      <alignment horizontal="center" vertical="center"/>
    </xf>
    <xf numFmtId="6" fontId="23" fillId="36" borderId="62" xfId="0" applyNumberFormat="1" applyFont="1" applyFill="1" applyBorder="1" applyAlignment="1">
      <alignment horizontal="center" vertical="center"/>
    </xf>
    <xf numFmtId="6" fontId="23" fillId="34" borderId="62" xfId="0" applyNumberFormat="1" applyFont="1" applyFill="1" applyBorder="1" applyAlignment="1">
      <alignment horizontal="center" vertical="center"/>
    </xf>
    <xf numFmtId="10" fontId="0" fillId="39" borderId="46" xfId="0" applyNumberFormat="1" applyFill="1" applyBorder="1" applyAlignment="1">
      <alignment/>
    </xf>
    <xf numFmtId="6" fontId="23" fillId="40" borderId="61" xfId="0" applyNumberFormat="1" applyFont="1" applyFill="1" applyBorder="1" applyAlignment="1">
      <alignment horizontal="center" vertical="center"/>
    </xf>
    <xf numFmtId="6" fontId="23" fillId="40" borderId="62" xfId="0" applyNumberFormat="1" applyFont="1" applyFill="1" applyBorder="1" applyAlignment="1">
      <alignment horizontal="center" vertical="center"/>
    </xf>
    <xf numFmtId="176" fontId="23" fillId="37" borderId="63" xfId="0" applyNumberFormat="1" applyFont="1" applyFill="1" applyBorder="1" applyAlignment="1">
      <alignment horizontal="center" vertical="center"/>
    </xf>
    <xf numFmtId="176" fontId="23" fillId="34" borderId="63" xfId="0" applyNumberFormat="1" applyFont="1" applyFill="1" applyBorder="1" applyAlignment="1">
      <alignment horizontal="center" vertical="center"/>
    </xf>
    <xf numFmtId="3" fontId="0" fillId="0" borderId="27" xfId="0" applyNumberFormat="1" applyFill="1" applyBorder="1" applyAlignment="1">
      <alignment horizontal="center"/>
    </xf>
    <xf numFmtId="0" fontId="0" fillId="0" borderId="27" xfId="0" applyFill="1" applyBorder="1" applyAlignment="1">
      <alignment/>
    </xf>
    <xf numFmtId="1" fontId="0" fillId="0" borderId="27" xfId="0" applyNumberFormat="1" applyFill="1" applyBorder="1" applyAlignment="1">
      <alignment horizontal="center"/>
    </xf>
    <xf numFmtId="6" fontId="23" fillId="36" borderId="25" xfId="0" applyNumberFormat="1" applyFont="1" applyFill="1" applyBorder="1" applyAlignment="1">
      <alignment horizontal="center" vertical="center"/>
    </xf>
    <xf numFmtId="6" fontId="23" fillId="34" borderId="25" xfId="0" applyNumberFormat="1" applyFont="1" applyFill="1" applyBorder="1" applyAlignment="1">
      <alignment horizontal="center" vertical="center"/>
    </xf>
    <xf numFmtId="3" fontId="0" fillId="0" borderId="38" xfId="0" applyNumberFormat="1" applyFill="1" applyBorder="1" applyAlignment="1">
      <alignment horizontal="center"/>
    </xf>
    <xf numFmtId="0" fontId="0" fillId="0" borderId="36" xfId="0" applyFill="1" applyBorder="1" applyAlignment="1">
      <alignment/>
    </xf>
    <xf numFmtId="1" fontId="0" fillId="0" borderId="36" xfId="0" applyNumberFormat="1" applyFill="1" applyBorder="1" applyAlignment="1">
      <alignment horizontal="center"/>
    </xf>
    <xf numFmtId="3" fontId="0" fillId="36" borderId="30" xfId="0" applyNumberFormat="1" applyFill="1" applyBorder="1" applyAlignment="1">
      <alignment horizontal="center"/>
    </xf>
    <xf numFmtId="3" fontId="0" fillId="36" borderId="36" xfId="0" applyNumberFormat="1" applyFill="1" applyBorder="1" applyAlignment="1">
      <alignment horizontal="center"/>
    </xf>
    <xf numFmtId="3" fontId="0" fillId="36" borderId="37" xfId="0" applyNumberFormat="1" applyFill="1" applyBorder="1" applyAlignment="1">
      <alignment horizontal="center"/>
    </xf>
    <xf numFmtId="3" fontId="0" fillId="36" borderId="10" xfId="0" applyNumberFormat="1" applyFill="1" applyBorder="1" applyAlignment="1">
      <alignment horizontal="center"/>
    </xf>
    <xf numFmtId="3" fontId="0" fillId="36" borderId="27" xfId="0" applyNumberFormat="1" applyFill="1" applyBorder="1" applyAlignment="1">
      <alignment horizontal="center"/>
    </xf>
    <xf numFmtId="3" fontId="0" fillId="36" borderId="16" xfId="0" applyNumberFormat="1" applyFill="1" applyBorder="1" applyAlignment="1">
      <alignment horizontal="center"/>
    </xf>
    <xf numFmtId="0" fontId="0" fillId="0" borderId="0" xfId="0" applyBorder="1" applyAlignment="1">
      <alignment horizontal="left"/>
    </xf>
    <xf numFmtId="0" fontId="0" fillId="0" borderId="0" xfId="0" applyFill="1" applyBorder="1" applyAlignment="1">
      <alignment horizontal="left" indent="2"/>
    </xf>
    <xf numFmtId="6" fontId="0" fillId="0" borderId="0" xfId="0" applyNumberFormat="1" applyAlignment="1">
      <alignment/>
    </xf>
    <xf numFmtId="6" fontId="22" fillId="34" borderId="61" xfId="0" applyNumberFormat="1" applyFont="1" applyFill="1" applyBorder="1" applyAlignment="1">
      <alignment horizontal="center" vertical="center"/>
    </xf>
    <xf numFmtId="6" fontId="22" fillId="34" borderId="46" xfId="0" applyNumberFormat="1" applyFont="1" applyFill="1" applyBorder="1" applyAlignment="1">
      <alignment horizontal="center" vertical="center"/>
    </xf>
    <xf numFmtId="6" fontId="23" fillId="34" borderId="46" xfId="0" applyNumberFormat="1" applyFont="1" applyFill="1" applyBorder="1" applyAlignment="1">
      <alignment horizontal="center" vertical="center"/>
    </xf>
    <xf numFmtId="3" fontId="0" fillId="0" borderId="63" xfId="0" applyNumberFormat="1" applyFill="1" applyBorder="1" applyAlignment="1">
      <alignment horizontal="center"/>
    </xf>
    <xf numFmtId="3" fontId="0" fillId="0" borderId="36" xfId="0" applyNumberFormat="1" applyFill="1" applyBorder="1" applyAlignment="1">
      <alignment horizontal="center"/>
    </xf>
    <xf numFmtId="164" fontId="0" fillId="36" borderId="36" xfId="0" applyNumberFormat="1" applyFill="1" applyBorder="1" applyAlignment="1">
      <alignment horizontal="center"/>
    </xf>
    <xf numFmtId="164" fontId="0" fillId="36" borderId="30" xfId="0" applyNumberFormat="1" applyFill="1" applyBorder="1" applyAlignment="1">
      <alignment horizontal="center"/>
    </xf>
    <xf numFmtId="3" fontId="21" fillId="37" borderId="27" xfId="0" applyNumberFormat="1" applyFont="1" applyFill="1" applyBorder="1" applyAlignment="1">
      <alignment horizontal="center"/>
    </xf>
    <xf numFmtId="3" fontId="0" fillId="37" borderId="27" xfId="0" applyNumberFormat="1" applyFill="1" applyBorder="1" applyAlignment="1">
      <alignment horizontal="center"/>
    </xf>
    <xf numFmtId="0" fontId="0" fillId="37" borderId="27" xfId="0" applyFill="1" applyBorder="1" applyAlignment="1">
      <alignment/>
    </xf>
    <xf numFmtId="164" fontId="0" fillId="37" borderId="27" xfId="0" applyNumberFormat="1" applyFill="1" applyBorder="1" applyAlignment="1">
      <alignment horizontal="center"/>
    </xf>
    <xf numFmtId="0" fontId="0" fillId="0" borderId="16" xfId="0" applyFill="1" applyBorder="1" applyAlignment="1">
      <alignment/>
    </xf>
    <xf numFmtId="1" fontId="0" fillId="0" borderId="16" xfId="0" applyNumberFormat="1" applyFill="1" applyBorder="1" applyAlignment="1">
      <alignment horizontal="center"/>
    </xf>
    <xf numFmtId="1" fontId="0" fillId="0" borderId="10" xfId="0" applyNumberFormat="1" applyFill="1" applyBorder="1" applyAlignment="1">
      <alignment horizontal="center"/>
    </xf>
    <xf numFmtId="164" fontId="0" fillId="36" borderId="37" xfId="0" applyNumberFormat="1" applyFill="1" applyBorder="1" applyAlignment="1">
      <alignment horizontal="center"/>
    </xf>
    <xf numFmtId="0" fontId="0" fillId="33" borderId="23" xfId="0" applyFill="1" applyBorder="1" applyAlignment="1">
      <alignment horizontal="center"/>
    </xf>
    <xf numFmtId="3" fontId="3" fillId="0" borderId="0" xfId="0" applyNumberFormat="1" applyFont="1" applyAlignment="1">
      <alignment/>
    </xf>
    <xf numFmtId="3" fontId="3" fillId="34" borderId="12" xfId="0" applyNumberFormat="1" applyFont="1" applyFill="1" applyBorder="1" applyAlignment="1">
      <alignment/>
    </xf>
    <xf numFmtId="3" fontId="3" fillId="34" borderId="0" xfId="0" applyNumberFormat="1" applyFont="1" applyFill="1" applyBorder="1" applyAlignment="1">
      <alignment/>
    </xf>
    <xf numFmtId="3" fontId="3" fillId="34" borderId="14" xfId="0" applyNumberFormat="1" applyFont="1" applyFill="1" applyBorder="1" applyAlignment="1">
      <alignment/>
    </xf>
    <xf numFmtId="41" fontId="0" fillId="0" borderId="0" xfId="0" applyNumberFormat="1" applyAlignment="1">
      <alignment/>
    </xf>
    <xf numFmtId="166" fontId="0" fillId="0" borderId="10" xfId="42" applyNumberFormat="1" applyFill="1" applyBorder="1" applyAlignment="1">
      <alignment/>
    </xf>
    <xf numFmtId="166" fontId="3" fillId="0" borderId="12" xfId="42" applyNumberFormat="1" applyFont="1" applyBorder="1" applyAlignment="1">
      <alignment/>
    </xf>
    <xf numFmtId="166" fontId="3" fillId="0" borderId="0" xfId="42" applyNumberFormat="1" applyFont="1" applyBorder="1" applyAlignment="1">
      <alignment/>
    </xf>
    <xf numFmtId="166" fontId="3" fillId="0" borderId="0" xfId="42" applyNumberFormat="1" applyFont="1" applyFill="1" applyBorder="1" applyAlignment="1">
      <alignment/>
    </xf>
    <xf numFmtId="0" fontId="20" fillId="33" borderId="47" xfId="0" applyFont="1" applyFill="1" applyBorder="1" applyAlignment="1">
      <alignment horizontal="center"/>
    </xf>
    <xf numFmtId="0" fontId="0" fillId="0" borderId="0" xfId="0" applyFont="1" applyFill="1" applyBorder="1" applyAlignment="1">
      <alignment horizontal="center"/>
    </xf>
    <xf numFmtId="1" fontId="0" fillId="0" borderId="0" xfId="0" applyNumberFormat="1" applyFont="1" applyFill="1" applyBorder="1" applyAlignment="1">
      <alignment horizontal="center"/>
    </xf>
    <xf numFmtId="0" fontId="3" fillId="0" borderId="0" xfId="0" applyFont="1" applyFill="1" applyBorder="1" applyAlignment="1">
      <alignment horizontal="center"/>
    </xf>
    <xf numFmtId="1" fontId="0" fillId="0" borderId="0" xfId="0" applyNumberFormat="1" applyFont="1" applyFill="1" applyBorder="1" applyAlignment="1">
      <alignment horizontal="center"/>
    </xf>
    <xf numFmtId="0" fontId="0" fillId="0" borderId="0" xfId="0" applyFont="1" applyFill="1" applyBorder="1" applyAlignment="1">
      <alignment horizontal="center"/>
    </xf>
    <xf numFmtId="0" fontId="20" fillId="0" borderId="0" xfId="0" applyFont="1" applyAlignment="1">
      <alignment/>
    </xf>
    <xf numFmtId="0" fontId="3" fillId="0" borderId="0" xfId="0" applyFont="1" applyAlignment="1">
      <alignment/>
    </xf>
    <xf numFmtId="1" fontId="3" fillId="0" borderId="0" xfId="0" applyNumberFormat="1" applyFont="1" applyFill="1" applyBorder="1" applyAlignment="1">
      <alignment horizontal="center"/>
    </xf>
    <xf numFmtId="43" fontId="3" fillId="0" borderId="0" xfId="0" applyNumberFormat="1" applyFont="1" applyAlignment="1">
      <alignment horizontal="center"/>
    </xf>
    <xf numFmtId="0" fontId="3" fillId="33" borderId="12" xfId="0" applyFont="1" applyFill="1" applyBorder="1" applyAlignment="1">
      <alignment horizontal="center"/>
    </xf>
    <xf numFmtId="1" fontId="3" fillId="33" borderId="23" xfId="0" applyNumberFormat="1" applyFont="1" applyFill="1" applyBorder="1" applyAlignment="1">
      <alignment/>
    </xf>
    <xf numFmtId="169" fontId="0" fillId="0" borderId="0" xfId="0" applyNumberFormat="1" applyAlignment="1">
      <alignment/>
    </xf>
    <xf numFmtId="171" fontId="0" fillId="0" borderId="10" xfId="42" applyNumberFormat="1" applyBorder="1" applyAlignment="1">
      <alignment/>
    </xf>
    <xf numFmtId="3" fontId="1" fillId="34" borderId="36" xfId="0" applyNumberFormat="1" applyFont="1" applyFill="1" applyBorder="1" applyAlignment="1">
      <alignment horizontal="center"/>
    </xf>
    <xf numFmtId="0" fontId="27" fillId="0" borderId="0" xfId="56" applyFont="1" applyBorder="1" applyAlignment="1">
      <alignment horizontal="center"/>
      <protection/>
    </xf>
    <xf numFmtId="0" fontId="26" fillId="0" borderId="0" xfId="56">
      <alignment/>
      <protection/>
    </xf>
    <xf numFmtId="0" fontId="27" fillId="0" borderId="46" xfId="56" applyFont="1" applyBorder="1" applyAlignment="1">
      <alignment horizontal="center"/>
      <protection/>
    </xf>
    <xf numFmtId="0" fontId="0" fillId="0" borderId="0" xfId="56" applyFont="1">
      <alignment/>
      <protection/>
    </xf>
    <xf numFmtId="0" fontId="0" fillId="0" borderId="0" xfId="56" applyFont="1" applyBorder="1" applyAlignment="1">
      <alignment horizontal="left"/>
      <protection/>
    </xf>
    <xf numFmtId="0" fontId="0" fillId="0" borderId="46" xfId="56" applyFont="1" applyBorder="1" applyAlignment="1">
      <alignment horizontal="center"/>
      <protection/>
    </xf>
    <xf numFmtId="0" fontId="0" fillId="0" borderId="46" xfId="56" applyFont="1" applyBorder="1" applyAlignment="1">
      <alignment horizontal="center" wrapText="1"/>
      <protection/>
    </xf>
    <xf numFmtId="0" fontId="0" fillId="0" borderId="46" xfId="56" applyFont="1" applyBorder="1" applyAlignment="1">
      <alignment horizontal="left"/>
      <protection/>
    </xf>
    <xf numFmtId="0" fontId="5" fillId="0" borderId="0" xfId="56" applyFont="1" applyBorder="1" applyAlignment="1">
      <alignment horizontal="center"/>
      <protection/>
    </xf>
    <xf numFmtId="0" fontId="0" fillId="0" borderId="0" xfId="56" applyFont="1" applyBorder="1" applyAlignment="1">
      <alignment horizontal="center"/>
      <protection/>
    </xf>
    <xf numFmtId="0" fontId="0" fillId="0" borderId="0" xfId="56" applyFont="1" applyBorder="1" applyAlignment="1">
      <alignment horizontal="center"/>
      <protection/>
    </xf>
    <xf numFmtId="0" fontId="0" fillId="0" borderId="0" xfId="56" applyFont="1" applyBorder="1" applyAlignment="1">
      <alignment horizontal="center" wrapText="1"/>
      <protection/>
    </xf>
    <xf numFmtId="0" fontId="0" fillId="0" borderId="0" xfId="56" applyFont="1" applyAlignment="1">
      <alignment horizontal="left"/>
      <protection/>
    </xf>
    <xf numFmtId="0" fontId="29" fillId="0" borderId="0" xfId="56" applyFont="1" applyBorder="1" applyAlignment="1">
      <alignment horizontal="left" textRotation="45"/>
      <protection/>
    </xf>
    <xf numFmtId="0" fontId="29" fillId="0" borderId="0" xfId="56" applyFont="1" applyAlignment="1">
      <alignment horizontal="left" textRotation="45"/>
      <protection/>
    </xf>
    <xf numFmtId="0" fontId="30" fillId="0" borderId="0" xfId="56" applyFont="1" applyAlignment="1">
      <alignment horizontal="left" textRotation="45"/>
      <protection/>
    </xf>
    <xf numFmtId="0" fontId="10" fillId="0" borderId="0" xfId="56" applyFont="1" applyAlignment="1">
      <alignment horizontal="left" textRotation="45"/>
      <protection/>
    </xf>
    <xf numFmtId="0" fontId="26" fillId="0" borderId="0" xfId="56" applyAlignment="1">
      <alignment horizontal="left" textRotation="45"/>
      <protection/>
    </xf>
    <xf numFmtId="0" fontId="0" fillId="0" borderId="0" xfId="56" applyFont="1" applyAlignment="1">
      <alignment horizontal="center"/>
      <protection/>
    </xf>
    <xf numFmtId="0" fontId="0" fillId="0" borderId="0" xfId="56" applyFont="1" applyAlignment="1">
      <alignment horizontal="center"/>
      <protection/>
    </xf>
    <xf numFmtId="170" fontId="11" fillId="0" borderId="0" xfId="59" applyNumberFormat="1" applyFont="1" applyAlignment="1">
      <alignment horizontal="center"/>
    </xf>
    <xf numFmtId="9" fontId="11" fillId="0" borderId="0" xfId="59" applyFont="1" applyAlignment="1">
      <alignment horizontal="center"/>
    </xf>
    <xf numFmtId="9" fontId="11" fillId="0" borderId="0" xfId="59" applyFont="1" applyBorder="1" applyAlignment="1">
      <alignment horizontal="center"/>
    </xf>
    <xf numFmtId="164" fontId="0" fillId="0" borderId="0" xfId="56" applyNumberFormat="1" applyFont="1" applyAlignment="1">
      <alignment horizontal="center"/>
      <protection/>
    </xf>
    <xf numFmtId="3" fontId="0" fillId="0" borderId="0" xfId="42" applyNumberFormat="1" applyFont="1" applyAlignment="1">
      <alignment horizontal="center"/>
    </xf>
    <xf numFmtId="3" fontId="0" fillId="0" borderId="0" xfId="56" applyNumberFormat="1" applyFont="1" applyBorder="1" applyAlignment="1">
      <alignment horizontal="center"/>
      <protection/>
    </xf>
    <xf numFmtId="3" fontId="0" fillId="0" borderId="0" xfId="56" applyNumberFormat="1" applyFont="1" applyAlignment="1">
      <alignment horizontal="center"/>
      <protection/>
    </xf>
    <xf numFmtId="0" fontId="29" fillId="0" borderId="0" xfId="56" applyFont="1">
      <alignment/>
      <protection/>
    </xf>
    <xf numFmtId="9" fontId="0" fillId="0" borderId="0" xfId="59" applyFont="1" applyAlignment="1">
      <alignment horizontal="center"/>
    </xf>
    <xf numFmtId="170" fontId="0" fillId="0" borderId="0" xfId="59" applyNumberFormat="1" applyFont="1" applyAlignment="1">
      <alignment horizontal="center"/>
    </xf>
    <xf numFmtId="4" fontId="0" fillId="0" borderId="0" xfId="42" applyNumberFormat="1" applyFont="1" applyAlignment="1">
      <alignment horizontal="center"/>
    </xf>
    <xf numFmtId="0" fontId="11" fillId="0" borderId="0" xfId="56" applyFont="1">
      <alignment/>
      <protection/>
    </xf>
    <xf numFmtId="0" fontId="11" fillId="0" borderId="0" xfId="56" applyFont="1" applyAlignment="1">
      <alignment horizontal="center"/>
      <protection/>
    </xf>
    <xf numFmtId="0" fontId="0" fillId="0" borderId="0" xfId="56" applyFont="1">
      <alignment/>
      <protection/>
    </xf>
    <xf numFmtId="0" fontId="0" fillId="0" borderId="46" xfId="56" applyFont="1" applyBorder="1" applyAlignment="1">
      <alignment horizontal="center"/>
      <protection/>
    </xf>
    <xf numFmtId="0" fontId="0" fillId="0" borderId="0" xfId="56" applyFont="1" applyBorder="1">
      <alignment/>
      <protection/>
    </xf>
    <xf numFmtId="0" fontId="10" fillId="0" borderId="0" xfId="56" applyFont="1" applyAlignment="1">
      <alignment horizontal="left" textRotation="45"/>
      <protection/>
    </xf>
    <xf numFmtId="0" fontId="10" fillId="0" borderId="0" xfId="56" applyFont="1" applyBorder="1" applyAlignment="1">
      <alignment horizontal="left" textRotation="45"/>
      <protection/>
    </xf>
    <xf numFmtId="164" fontId="0" fillId="0" borderId="0" xfId="56" applyNumberFormat="1" applyFont="1" applyAlignment="1">
      <alignment horizontal="center"/>
      <protection/>
    </xf>
    <xf numFmtId="3" fontId="0" fillId="0" borderId="0" xfId="42" applyNumberFormat="1" applyFont="1" applyAlignment="1">
      <alignment horizontal="center"/>
    </xf>
    <xf numFmtId="9" fontId="0" fillId="0" borderId="0" xfId="59" applyNumberFormat="1" applyFont="1" applyAlignment="1">
      <alignment horizontal="center"/>
    </xf>
    <xf numFmtId="175" fontId="0" fillId="0" borderId="0" xfId="42" applyNumberFormat="1" applyFont="1" applyAlignment="1">
      <alignment horizontal="center"/>
    </xf>
    <xf numFmtId="0" fontId="31" fillId="0" borderId="0" xfId="56" applyFont="1" applyAlignment="1">
      <alignment/>
      <protection/>
    </xf>
    <xf numFmtId="0" fontId="0" fillId="34" borderId="0" xfId="0" applyFill="1" applyAlignment="1">
      <alignment/>
    </xf>
    <xf numFmtId="9" fontId="0" fillId="34" borderId="0" xfId="0" applyNumberFormat="1" applyFill="1" applyBorder="1" applyAlignment="1">
      <alignment/>
    </xf>
    <xf numFmtId="0" fontId="0" fillId="33" borderId="0" xfId="0" applyFill="1" applyBorder="1" applyAlignment="1">
      <alignment horizontal="left" indent="2"/>
    </xf>
    <xf numFmtId="3" fontId="0" fillId="33" borderId="38" xfId="0" applyNumberFormat="1" applyFill="1" applyBorder="1" applyAlignment="1">
      <alignment horizontal="center"/>
    </xf>
    <xf numFmtId="1" fontId="23" fillId="34" borderId="61" xfId="0" applyNumberFormat="1" applyFont="1" applyFill="1" applyBorder="1" applyAlignment="1">
      <alignment horizontal="center" vertical="center"/>
    </xf>
    <xf numFmtId="0" fontId="22" fillId="34" borderId="22" xfId="0" applyFont="1" applyFill="1" applyBorder="1" applyAlignment="1">
      <alignment horizontal="center"/>
    </xf>
    <xf numFmtId="1" fontId="23" fillId="34" borderId="62" xfId="0" applyNumberFormat="1" applyFont="1" applyFill="1" applyBorder="1" applyAlignment="1">
      <alignment horizontal="center" vertical="center"/>
    </xf>
    <xf numFmtId="1" fontId="23" fillId="34" borderId="24" xfId="0" applyNumberFormat="1" applyFont="1" applyFill="1" applyBorder="1" applyAlignment="1">
      <alignment horizontal="center" vertical="center"/>
    </xf>
    <xf numFmtId="1" fontId="23" fillId="34" borderId="46" xfId="0" applyNumberFormat="1" applyFont="1" applyFill="1" applyBorder="1" applyAlignment="1">
      <alignment horizontal="center" vertical="center"/>
    </xf>
    <xf numFmtId="1" fontId="23" fillId="34" borderId="63" xfId="0" applyNumberFormat="1" applyFont="1" applyFill="1" applyBorder="1" applyAlignment="1">
      <alignment horizontal="center" vertical="center"/>
    </xf>
    <xf numFmtId="0" fontId="3" fillId="0" borderId="0" xfId="0" applyFont="1" applyFill="1" applyAlignment="1">
      <alignment/>
    </xf>
    <xf numFmtId="164" fontId="0" fillId="0" borderId="0" xfId="0" applyNumberFormat="1" applyFill="1" applyAlignment="1">
      <alignment/>
    </xf>
    <xf numFmtId="164" fontId="0" fillId="0" borderId="0" xfId="0" applyNumberFormat="1" applyFont="1" applyFill="1" applyAlignment="1">
      <alignment/>
    </xf>
    <xf numFmtId="0" fontId="20" fillId="0" borderId="0" xfId="0" applyFont="1" applyFill="1" applyAlignment="1">
      <alignment/>
    </xf>
    <xf numFmtId="0" fontId="20" fillId="0" borderId="0" xfId="0" applyFont="1" applyAlignment="1">
      <alignment horizontal="center"/>
    </xf>
    <xf numFmtId="164" fontId="0" fillId="0" borderId="0" xfId="0" applyNumberFormat="1" applyAlignment="1">
      <alignment/>
    </xf>
    <xf numFmtId="170" fontId="0" fillId="0" borderId="0" xfId="0" applyNumberFormat="1" applyAlignment="1">
      <alignment/>
    </xf>
    <xf numFmtId="0" fontId="0" fillId="0" borderId="64" xfId="0" applyBorder="1" applyAlignment="1">
      <alignment/>
    </xf>
    <xf numFmtId="166" fontId="0" fillId="0" borderId="65" xfId="42" applyNumberFormat="1" applyFont="1" applyBorder="1" applyAlignment="1">
      <alignment/>
    </xf>
    <xf numFmtId="166" fontId="0" fillId="0" borderId="66" xfId="42" applyNumberFormat="1" applyFont="1" applyBorder="1" applyAlignment="1">
      <alignment/>
    </xf>
    <xf numFmtId="0" fontId="3" fillId="40" borderId="33" xfId="0" applyFont="1" applyFill="1" applyBorder="1" applyAlignment="1">
      <alignment horizontal="center"/>
    </xf>
    <xf numFmtId="0" fontId="0" fillId="0" borderId="53" xfId="0" applyBorder="1" applyAlignment="1">
      <alignment/>
    </xf>
    <xf numFmtId="0" fontId="0" fillId="0" borderId="59" xfId="0" applyBorder="1" applyAlignment="1">
      <alignment/>
    </xf>
    <xf numFmtId="0" fontId="0" fillId="35" borderId="47" xfId="0" applyFill="1" applyBorder="1" applyAlignment="1">
      <alignment horizontal="center"/>
    </xf>
    <xf numFmtId="0" fontId="0" fillId="35" borderId="48" xfId="0" applyFill="1" applyBorder="1" applyAlignment="1">
      <alignment horizontal="center"/>
    </xf>
    <xf numFmtId="0" fontId="0" fillId="0" borderId="67" xfId="0" applyBorder="1" applyAlignment="1">
      <alignment/>
    </xf>
    <xf numFmtId="0" fontId="0" fillId="0" borderId="53" xfId="0" applyBorder="1" applyAlignment="1">
      <alignment horizontal="right"/>
    </xf>
    <xf numFmtId="0" fontId="0" fillId="0" borderId="44" xfId="0" applyBorder="1" applyAlignment="1">
      <alignment/>
    </xf>
    <xf numFmtId="166" fontId="0" fillId="0" borderId="57" xfId="42" applyNumberFormat="1" applyBorder="1" applyAlignment="1">
      <alignment/>
    </xf>
    <xf numFmtId="3" fontId="0" fillId="0" borderId="68" xfId="0" applyNumberFormat="1" applyBorder="1" applyAlignment="1">
      <alignment/>
    </xf>
    <xf numFmtId="3" fontId="0" fillId="0" borderId="59" xfId="0" applyNumberFormat="1" applyBorder="1" applyAlignment="1">
      <alignment/>
    </xf>
    <xf numFmtId="2" fontId="0" fillId="0" borderId="0" xfId="59" applyNumberFormat="1" applyAlignment="1">
      <alignment horizontal="center"/>
    </xf>
    <xf numFmtId="166" fontId="0" fillId="0" borderId="67" xfId="42" applyNumberFormat="1" applyFont="1" applyBorder="1" applyAlignment="1">
      <alignment/>
    </xf>
    <xf numFmtId="166" fontId="0" fillId="0" borderId="68" xfId="42" applyNumberFormat="1" applyBorder="1" applyAlignment="1">
      <alignment/>
    </xf>
    <xf numFmtId="166" fontId="0" fillId="0" borderId="69" xfId="42" applyNumberFormat="1" applyBorder="1" applyAlignment="1">
      <alignment/>
    </xf>
    <xf numFmtId="166" fontId="0" fillId="0" borderId="70" xfId="42" applyNumberFormat="1" applyBorder="1" applyAlignment="1">
      <alignment/>
    </xf>
    <xf numFmtId="166" fontId="0" fillId="0" borderId="71" xfId="42" applyNumberFormat="1" applyBorder="1" applyAlignment="1">
      <alignment/>
    </xf>
    <xf numFmtId="166" fontId="0" fillId="0" borderId="72" xfId="42" applyNumberFormat="1" applyBorder="1" applyAlignment="1">
      <alignment/>
    </xf>
    <xf numFmtId="166" fontId="0" fillId="0" borderId="71" xfId="42" applyNumberFormat="1" applyFont="1" applyBorder="1" applyAlignment="1">
      <alignment/>
    </xf>
    <xf numFmtId="0" fontId="0" fillId="0" borderId="73" xfId="0" applyBorder="1" applyAlignment="1">
      <alignment/>
    </xf>
    <xf numFmtId="1" fontId="0" fillId="34" borderId="0" xfId="0" applyNumberFormat="1" applyFill="1" applyAlignment="1">
      <alignment/>
    </xf>
    <xf numFmtId="0" fontId="33" fillId="0" borderId="0" xfId="0" applyFont="1" applyAlignment="1">
      <alignment horizontal="center"/>
    </xf>
    <xf numFmtId="0" fontId="3" fillId="38" borderId="0" xfId="0" applyFont="1" applyFill="1" applyAlignment="1">
      <alignment/>
    </xf>
    <xf numFmtId="1" fontId="0" fillId="0" borderId="0" xfId="0" applyNumberFormat="1" applyFill="1" applyAlignment="1">
      <alignment/>
    </xf>
    <xf numFmtId="1" fontId="0" fillId="0" borderId="0" xfId="0" applyNumberFormat="1" applyFont="1" applyFill="1" applyBorder="1" applyAlignment="1">
      <alignment horizontal="right"/>
    </xf>
    <xf numFmtId="1" fontId="19" fillId="0" borderId="0" xfId="0" applyNumberFormat="1" applyFont="1" applyFill="1" applyBorder="1" applyAlignment="1">
      <alignment horizontal="center"/>
    </xf>
    <xf numFmtId="0" fontId="33" fillId="0" borderId="0" xfId="0" applyFont="1" applyAlignment="1">
      <alignment horizontal="center" wrapText="1"/>
    </xf>
    <xf numFmtId="1" fontId="3" fillId="0" borderId="0" xfId="0" applyNumberFormat="1" applyFont="1" applyFill="1" applyBorder="1" applyAlignment="1">
      <alignment horizontal="right"/>
    </xf>
    <xf numFmtId="0" fontId="29" fillId="0" borderId="22" xfId="0" applyFont="1" applyBorder="1" applyAlignment="1">
      <alignment horizontal="centerContinuous"/>
    </xf>
    <xf numFmtId="0" fontId="29" fillId="0" borderId="28" xfId="0" applyFont="1" applyBorder="1" applyAlignment="1">
      <alignment horizontal="centerContinuous"/>
    </xf>
    <xf numFmtId="0" fontId="29" fillId="0" borderId="24" xfId="0" applyFont="1" applyBorder="1" applyAlignment="1">
      <alignment horizontal="centerContinuous"/>
    </xf>
    <xf numFmtId="0" fontId="29" fillId="0" borderId="14" xfId="0" applyFont="1" applyBorder="1" applyAlignment="1">
      <alignment horizontal="centerContinuous"/>
    </xf>
    <xf numFmtId="0" fontId="29" fillId="0" borderId="32" xfId="0" applyFont="1" applyBorder="1" applyAlignment="1">
      <alignment horizontal="center"/>
    </xf>
    <xf numFmtId="0" fontId="29" fillId="0" borderId="33" xfId="0" applyFont="1" applyBorder="1" applyAlignment="1">
      <alignment horizontal="center"/>
    </xf>
    <xf numFmtId="0" fontId="29" fillId="0" borderId="25" xfId="0" applyFont="1" applyBorder="1" applyAlignment="1">
      <alignment horizontal="centerContinuous"/>
    </xf>
    <xf numFmtId="0" fontId="29" fillId="0" borderId="29" xfId="0" applyFont="1" applyBorder="1" applyAlignment="1">
      <alignment horizontal="centerContinuous"/>
    </xf>
    <xf numFmtId="0" fontId="29" fillId="0" borderId="34" xfId="0" applyFont="1" applyBorder="1" applyAlignment="1">
      <alignment horizontal="center"/>
    </xf>
    <xf numFmtId="176" fontId="3" fillId="0" borderId="74" xfId="0" applyNumberFormat="1" applyFont="1" applyFill="1" applyBorder="1" applyAlignment="1">
      <alignment horizontal="center"/>
    </xf>
    <xf numFmtId="6" fontId="34" fillId="0" borderId="61" xfId="0" applyNumberFormat="1" applyFont="1" applyFill="1" applyBorder="1" applyAlignment="1">
      <alignment horizontal="center" vertical="center"/>
    </xf>
    <xf numFmtId="6" fontId="34" fillId="0" borderId="62" xfId="0" applyNumberFormat="1" applyFont="1" applyFill="1" applyBorder="1" applyAlignment="1">
      <alignment horizontal="center" vertical="center"/>
    </xf>
    <xf numFmtId="6" fontId="34" fillId="0" borderId="25" xfId="0" applyNumberFormat="1" applyFont="1" applyFill="1" applyBorder="1" applyAlignment="1">
      <alignment horizontal="center" vertical="center"/>
    </xf>
    <xf numFmtId="6" fontId="35" fillId="0" borderId="61" xfId="0" applyNumberFormat="1" applyFont="1" applyFill="1" applyBorder="1" applyAlignment="1">
      <alignment horizontal="center" vertical="center"/>
    </xf>
    <xf numFmtId="6" fontId="35" fillId="0" borderId="62" xfId="0" applyNumberFormat="1" applyFont="1" applyFill="1" applyBorder="1" applyAlignment="1">
      <alignment horizontal="center" vertical="center"/>
    </xf>
    <xf numFmtId="6" fontId="34" fillId="0" borderId="61" xfId="0" applyNumberFormat="1" applyFont="1" applyFill="1" applyBorder="1" applyAlignment="1">
      <alignment horizontal="center" vertical="center"/>
    </xf>
    <xf numFmtId="6" fontId="34" fillId="0" borderId="46" xfId="0" applyNumberFormat="1" applyFont="1" applyFill="1" applyBorder="1" applyAlignment="1">
      <alignment horizontal="center" vertical="center"/>
    </xf>
    <xf numFmtId="6" fontId="35" fillId="0" borderId="46" xfId="0" applyNumberFormat="1" applyFont="1" applyFill="1" applyBorder="1" applyAlignment="1">
      <alignment horizontal="center" vertical="center"/>
    </xf>
    <xf numFmtId="1" fontId="34" fillId="0" borderId="27" xfId="0" applyNumberFormat="1" applyFont="1" applyFill="1" applyBorder="1" applyAlignment="1" applyProtection="1">
      <alignment horizontal="center"/>
      <protection locked="0"/>
    </xf>
    <xf numFmtId="176" fontId="3" fillId="0" borderId="74" xfId="0" applyNumberFormat="1" applyFont="1" applyFill="1" applyBorder="1" applyAlignment="1">
      <alignment horizontal="center"/>
    </xf>
    <xf numFmtId="6" fontId="34" fillId="0" borderId="24" xfId="0" applyNumberFormat="1" applyFont="1" applyFill="1" applyBorder="1" applyAlignment="1">
      <alignment horizontal="center" vertical="center"/>
    </xf>
    <xf numFmtId="176" fontId="34" fillId="0" borderId="63" xfId="0" applyNumberFormat="1" applyFont="1" applyFill="1" applyBorder="1" applyAlignment="1">
      <alignment horizontal="center" vertical="center"/>
    </xf>
    <xf numFmtId="176" fontId="35" fillId="0" borderId="63" xfId="0" applyNumberFormat="1" applyFont="1" applyFill="1" applyBorder="1" applyAlignment="1">
      <alignment horizontal="center" vertical="center"/>
    </xf>
    <xf numFmtId="164" fontId="3" fillId="0" borderId="36" xfId="0" applyNumberFormat="1" applyFont="1" applyFill="1" applyBorder="1" applyAlignment="1">
      <alignment horizontal="center"/>
    </xf>
    <xf numFmtId="164" fontId="3" fillId="0" borderId="30" xfId="0" applyNumberFormat="1" applyFont="1" applyFill="1" applyBorder="1" applyAlignment="1">
      <alignment horizontal="center"/>
    </xf>
    <xf numFmtId="8" fontId="3" fillId="0" borderId="38" xfId="0" applyNumberFormat="1" applyFont="1" applyBorder="1" applyAlignment="1">
      <alignment horizontal="center"/>
    </xf>
    <xf numFmtId="8" fontId="3" fillId="0" borderId="0" xfId="0" applyNumberFormat="1" applyFont="1" applyBorder="1" applyAlignment="1">
      <alignment horizontal="center"/>
    </xf>
    <xf numFmtId="164" fontId="3" fillId="0" borderId="37" xfId="0" applyNumberFormat="1" applyFont="1" applyFill="1" applyBorder="1" applyAlignment="1">
      <alignment horizontal="center"/>
    </xf>
    <xf numFmtId="164" fontId="3" fillId="0" borderId="16" xfId="0" applyNumberFormat="1" applyFont="1" applyFill="1" applyBorder="1" applyAlignment="1">
      <alignment horizontal="center"/>
    </xf>
    <xf numFmtId="164" fontId="3" fillId="0" borderId="10" xfId="0" applyNumberFormat="1" applyFont="1" applyFill="1" applyBorder="1" applyAlignment="1">
      <alignment horizontal="center"/>
    </xf>
    <xf numFmtId="164" fontId="3" fillId="0" borderId="27" xfId="0" applyNumberFormat="1" applyFont="1" applyFill="1" applyBorder="1" applyAlignment="1">
      <alignment horizontal="center"/>
    </xf>
    <xf numFmtId="8" fontId="3" fillId="0" borderId="38" xfId="0" applyNumberFormat="1" applyFont="1" applyFill="1" applyBorder="1" applyAlignment="1">
      <alignment horizontal="center"/>
    </xf>
    <xf numFmtId="8" fontId="3" fillId="0" borderId="0" xfId="0" applyNumberFormat="1" applyFont="1" applyFill="1" applyBorder="1" applyAlignment="1">
      <alignment horizontal="center"/>
    </xf>
    <xf numFmtId="0" fontId="0" fillId="0" borderId="0" xfId="0" applyFill="1" applyAlignment="1">
      <alignment horizontal="center"/>
    </xf>
    <xf numFmtId="175" fontId="3" fillId="0" borderId="36" xfId="0" applyNumberFormat="1" applyFont="1" applyFill="1" applyBorder="1" applyAlignment="1">
      <alignment horizontal="center"/>
    </xf>
    <xf numFmtId="3" fontId="0" fillId="0" borderId="31" xfId="0" applyNumberFormat="1" applyFill="1" applyBorder="1" applyAlignment="1">
      <alignment horizontal="center"/>
    </xf>
    <xf numFmtId="0" fontId="0" fillId="0" borderId="21" xfId="0" applyFill="1" applyBorder="1" applyAlignment="1">
      <alignment horizontal="center"/>
    </xf>
    <xf numFmtId="0" fontId="0" fillId="0" borderId="27" xfId="0" applyFill="1" applyBorder="1" applyAlignment="1">
      <alignment horizontal="center"/>
    </xf>
    <xf numFmtId="0" fontId="0" fillId="0" borderId="35" xfId="0" applyFill="1" applyBorder="1" applyAlignment="1">
      <alignment/>
    </xf>
    <xf numFmtId="176" fontId="3" fillId="0" borderId="63" xfId="0" applyNumberFormat="1" applyFont="1" applyFill="1" applyBorder="1" applyAlignment="1">
      <alignment horizontal="center"/>
    </xf>
    <xf numFmtId="0" fontId="0" fillId="0" borderId="44" xfId="0" applyFill="1" applyBorder="1" applyAlignment="1">
      <alignment horizontal="center"/>
    </xf>
    <xf numFmtId="176" fontId="3" fillId="37" borderId="27" xfId="0" applyNumberFormat="1" applyFont="1" applyFill="1" applyBorder="1" applyAlignment="1">
      <alignment horizontal="center"/>
    </xf>
    <xf numFmtId="176" fontId="11" fillId="35" borderId="27" xfId="0" applyNumberFormat="1" applyFont="1" applyFill="1" applyBorder="1" applyAlignment="1">
      <alignment horizontal="center"/>
    </xf>
    <xf numFmtId="176" fontId="11" fillId="0" borderId="63" xfId="0" applyNumberFormat="1" applyFont="1" applyFill="1" applyBorder="1" applyAlignment="1">
      <alignment horizontal="center"/>
    </xf>
    <xf numFmtId="176" fontId="3" fillId="0" borderId="27" xfId="0" applyNumberFormat="1" applyFont="1" applyFill="1" applyBorder="1" applyAlignment="1">
      <alignment horizontal="center"/>
    </xf>
    <xf numFmtId="176" fontId="11" fillId="0" borderId="27" xfId="0" applyNumberFormat="1" applyFont="1" applyFill="1" applyBorder="1" applyAlignment="1">
      <alignment horizontal="center"/>
    </xf>
    <xf numFmtId="166" fontId="0" fillId="0" borderId="0" xfId="42" applyNumberFormat="1" applyFill="1" applyBorder="1" applyAlignment="1">
      <alignment/>
    </xf>
    <xf numFmtId="166" fontId="0" fillId="0" borderId="16" xfId="42" applyNumberFormat="1" applyFill="1" applyBorder="1" applyAlignment="1">
      <alignment/>
    </xf>
    <xf numFmtId="10" fontId="0" fillId="0" borderId="10" xfId="59" applyNumberFormat="1" applyFill="1" applyBorder="1" applyAlignment="1">
      <alignment/>
    </xf>
    <xf numFmtId="171" fontId="0" fillId="0" borderId="0" xfId="42" applyNumberFormat="1" applyFont="1" applyFill="1" applyBorder="1" applyAlignment="1">
      <alignment/>
    </xf>
    <xf numFmtId="166" fontId="0" fillId="37" borderId="10" xfId="42" applyNumberFormat="1" applyFill="1" applyBorder="1" applyAlignment="1">
      <alignment/>
    </xf>
    <xf numFmtId="166" fontId="0" fillId="37" borderId="0" xfId="42" applyNumberFormat="1" applyFill="1" applyBorder="1" applyAlignment="1">
      <alignment/>
    </xf>
    <xf numFmtId="166" fontId="0" fillId="37" borderId="16" xfId="42" applyNumberFormat="1" applyFill="1" applyBorder="1" applyAlignment="1">
      <alignment/>
    </xf>
    <xf numFmtId="0" fontId="0" fillId="0" borderId="75" xfId="0" applyBorder="1" applyAlignment="1">
      <alignment/>
    </xf>
    <xf numFmtId="9" fontId="2" fillId="0" borderId="33" xfId="59" applyFont="1" applyFill="1" applyBorder="1" applyAlignment="1">
      <alignment/>
    </xf>
    <xf numFmtId="3" fontId="3" fillId="0" borderId="0" xfId="0" applyNumberFormat="1" applyFont="1" applyFill="1" applyBorder="1" applyAlignment="1">
      <alignment/>
    </xf>
    <xf numFmtId="9" fontId="0" fillId="0" borderId="0" xfId="0" applyNumberFormat="1" applyFill="1" applyBorder="1" applyAlignment="1">
      <alignment/>
    </xf>
    <xf numFmtId="9" fontId="3" fillId="37" borderId="0" xfId="0" applyNumberFormat="1" applyFont="1" applyFill="1" applyBorder="1" applyAlignment="1">
      <alignment/>
    </xf>
    <xf numFmtId="9" fontId="0" fillId="0" borderId="0" xfId="0" applyNumberFormat="1" applyFont="1" applyFill="1" applyBorder="1" applyAlignment="1">
      <alignment/>
    </xf>
    <xf numFmtId="9" fontId="0" fillId="34" borderId="0" xfId="0" applyNumberFormat="1" applyFont="1" applyFill="1" applyBorder="1" applyAlignment="1">
      <alignment/>
    </xf>
    <xf numFmtId="10" fontId="0" fillId="0" borderId="0" xfId="59" applyNumberFormat="1" applyFont="1" applyAlignment="1">
      <alignment/>
    </xf>
    <xf numFmtId="0" fontId="3" fillId="33" borderId="21" xfId="0" applyFont="1" applyFill="1" applyBorder="1" applyAlignment="1">
      <alignment horizontal="center" vertical="center"/>
    </xf>
    <xf numFmtId="0" fontId="0" fillId="0" borderId="44" xfId="0" applyBorder="1" applyAlignment="1">
      <alignment horizontal="center" vertical="center"/>
    </xf>
    <xf numFmtId="0" fontId="3" fillId="33" borderId="18" xfId="0" applyFont="1" applyFill="1" applyBorder="1" applyAlignment="1">
      <alignment horizontal="center"/>
    </xf>
    <xf numFmtId="0" fontId="3" fillId="33" borderId="19" xfId="0" applyFont="1" applyFill="1" applyBorder="1" applyAlignment="1">
      <alignment horizontal="center"/>
    </xf>
    <xf numFmtId="0" fontId="0" fillId="0" borderId="20" xfId="0" applyBorder="1" applyAlignment="1">
      <alignment/>
    </xf>
    <xf numFmtId="0" fontId="3" fillId="33" borderId="76" xfId="0" applyFont="1" applyFill="1" applyBorder="1" applyAlignment="1">
      <alignment horizontal="center"/>
    </xf>
    <xf numFmtId="0" fontId="3" fillId="33" borderId="77" xfId="0" applyFont="1" applyFill="1" applyBorder="1" applyAlignment="1">
      <alignment horizontal="center"/>
    </xf>
    <xf numFmtId="0" fontId="0" fillId="0" borderId="78" xfId="0" applyBorder="1" applyAlignment="1">
      <alignment/>
    </xf>
    <xf numFmtId="0" fontId="0" fillId="0" borderId="78" xfId="0" applyBorder="1" applyAlignment="1">
      <alignment horizontal="center"/>
    </xf>
    <xf numFmtId="0" fontId="28" fillId="0" borderId="25" xfId="56" applyFont="1" applyBorder="1" applyAlignment="1">
      <alignment horizontal="center"/>
      <protection/>
    </xf>
    <xf numFmtId="0" fontId="28" fillId="0" borderId="23" xfId="56" applyFont="1" applyBorder="1" applyAlignment="1">
      <alignment horizontal="center"/>
      <protection/>
    </xf>
    <xf numFmtId="0" fontId="28" fillId="0" borderId="24" xfId="56" applyFont="1" applyBorder="1" applyAlignment="1">
      <alignment horizontal="center"/>
      <protection/>
    </xf>
    <xf numFmtId="0" fontId="27" fillId="0" borderId="0" xfId="56" applyFont="1" applyBorder="1" applyAlignment="1">
      <alignment horizontal="center"/>
      <protection/>
    </xf>
    <xf numFmtId="0" fontId="0" fillId="0" borderId="25" xfId="56" applyFont="1" applyBorder="1" applyAlignment="1">
      <alignment horizontal="center"/>
      <protection/>
    </xf>
    <xf numFmtId="0" fontId="0" fillId="0" borderId="24" xfId="56" applyFont="1" applyBorder="1" applyAlignment="1">
      <alignment horizontal="center"/>
      <protection/>
    </xf>
    <xf numFmtId="0" fontId="27" fillId="0" borderId="25" xfId="56" applyFont="1" applyBorder="1" applyAlignment="1">
      <alignment horizontal="center"/>
      <protection/>
    </xf>
    <xf numFmtId="0" fontId="27" fillId="0" borderId="23" xfId="56" applyFont="1" applyBorder="1" applyAlignment="1">
      <alignment horizontal="center"/>
      <protection/>
    </xf>
    <xf numFmtId="0" fontId="27" fillId="0" borderId="24" xfId="56" applyFont="1" applyBorder="1" applyAlignment="1">
      <alignment horizontal="center"/>
      <protection/>
    </xf>
    <xf numFmtId="0" fontId="0" fillId="0" borderId="23" xfId="56" applyFont="1" applyBorder="1" applyAlignment="1">
      <alignment horizontal="center"/>
      <protection/>
    </xf>
    <xf numFmtId="0" fontId="0" fillId="0" borderId="25" xfId="56" applyFont="1" applyBorder="1" applyAlignment="1">
      <alignment horizontal="center"/>
      <protection/>
    </xf>
    <xf numFmtId="0" fontId="0" fillId="0" borderId="24" xfId="56" applyFont="1" applyBorder="1" applyAlignment="1">
      <alignment horizontal="center"/>
      <protection/>
    </xf>
    <xf numFmtId="0" fontId="7" fillId="0" borderId="0" xfId="0" applyFont="1" applyBorder="1" applyAlignment="1">
      <alignment/>
    </xf>
    <xf numFmtId="0" fontId="0" fillId="0" borderId="0" xfId="0" applyBorder="1" applyAlignment="1">
      <alignment/>
    </xf>
    <xf numFmtId="0" fontId="0" fillId="0" borderId="0" xfId="0" applyAlignment="1">
      <alignment horizontal="center"/>
    </xf>
    <xf numFmtId="0" fontId="20" fillId="0" borderId="0" xfId="0" applyFont="1" applyFill="1" applyAlignment="1">
      <alignment wrapText="1"/>
    </xf>
    <xf numFmtId="0" fontId="0" fillId="0" borderId="0" xfId="0" applyFill="1" applyAlignment="1">
      <alignment wrapText="1"/>
    </xf>
    <xf numFmtId="0" fontId="0" fillId="36" borderId="25" xfId="0" applyFont="1" applyFill="1" applyBorder="1" applyAlignment="1">
      <alignment horizontal="center" vertical="center" textRotation="90"/>
    </xf>
    <xf numFmtId="0" fontId="0" fillId="36" borderId="11" xfId="0" applyFont="1" applyFill="1" applyBorder="1" applyAlignment="1">
      <alignment horizontal="center" vertical="center" textRotation="90"/>
    </xf>
    <xf numFmtId="0" fontId="0" fillId="36" borderId="10" xfId="0" applyFont="1" applyFill="1" applyBorder="1" applyAlignment="1">
      <alignment horizontal="center" vertical="center" textRotation="90"/>
    </xf>
    <xf numFmtId="0" fontId="0" fillId="0" borderId="10" xfId="0" applyBorder="1" applyAlignment="1">
      <alignment/>
    </xf>
    <xf numFmtId="0" fontId="0" fillId="0" borderId="13" xfId="0" applyBorder="1" applyAlignment="1">
      <alignment/>
    </xf>
    <xf numFmtId="0" fontId="3" fillId="0" borderId="14" xfId="0" applyFont="1" applyFill="1" applyBorder="1" applyAlignment="1">
      <alignment horizontal="center" wrapText="1"/>
    </xf>
    <xf numFmtId="0" fontId="3" fillId="0" borderId="0" xfId="0" applyFont="1" applyFill="1" applyBorder="1" applyAlignment="1">
      <alignment horizontal="center" wrapText="1"/>
    </xf>
    <xf numFmtId="0" fontId="0" fillId="0" borderId="0" xfId="0" applyFont="1" applyFill="1" applyBorder="1" applyAlignment="1">
      <alignment horizontal="center" vertical="top" wrapText="1"/>
    </xf>
    <xf numFmtId="0" fontId="0" fillId="0" borderId="14" xfId="0" applyFont="1" applyFill="1" applyBorder="1" applyAlignment="1">
      <alignment horizontal="center" vertical="top" wrapText="1"/>
    </xf>
    <xf numFmtId="0" fontId="3" fillId="34" borderId="14" xfId="0" applyFont="1" applyFill="1" applyBorder="1" applyAlignment="1">
      <alignment horizontal="center"/>
    </xf>
    <xf numFmtId="0" fontId="3" fillId="37" borderId="18" xfId="0" applyFont="1" applyFill="1" applyBorder="1" applyAlignment="1">
      <alignment horizontal="center"/>
    </xf>
    <xf numFmtId="0" fontId="3" fillId="37" borderId="19" xfId="0" applyFont="1" applyFill="1" applyBorder="1" applyAlignment="1">
      <alignment horizontal="center"/>
    </xf>
    <xf numFmtId="0" fontId="0" fillId="0" borderId="19" xfId="0" applyBorder="1" applyAlignment="1">
      <alignment/>
    </xf>
    <xf numFmtId="0" fontId="3" fillId="37" borderId="79" xfId="0" applyFont="1" applyFill="1" applyBorder="1" applyAlignment="1">
      <alignment horizontal="center"/>
    </xf>
    <xf numFmtId="0" fontId="0" fillId="0" borderId="68" xfId="0" applyBorder="1" applyAlignment="1">
      <alignment/>
    </xf>
    <xf numFmtId="0" fontId="0" fillId="0" borderId="67" xfId="0" applyBorder="1" applyAlignment="1">
      <alignment/>
    </xf>
    <xf numFmtId="0" fontId="3" fillId="33" borderId="47" xfId="0" applyFont="1" applyFill="1" applyBorder="1" applyAlignment="1">
      <alignment horizontal="center"/>
    </xf>
    <xf numFmtId="0" fontId="3" fillId="33" borderId="48" xfId="0" applyFont="1" applyFill="1" applyBorder="1" applyAlignment="1">
      <alignment horizontal="center"/>
    </xf>
    <xf numFmtId="0" fontId="3" fillId="35" borderId="54" xfId="0" applyFont="1" applyFill="1" applyBorder="1" applyAlignment="1">
      <alignment horizontal="center"/>
    </xf>
    <xf numFmtId="0" fontId="0" fillId="35" borderId="47" xfId="0" applyFill="1" applyBorder="1" applyAlignment="1">
      <alignment horizontal="center"/>
    </xf>
    <xf numFmtId="0" fontId="0" fillId="35" borderId="48" xfId="0"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ixed" xfId="47"/>
    <cellStyle name="Good" xfId="48"/>
    <cellStyle name="Heading 1" xfId="49"/>
    <cellStyle name="Heading 2" xfId="50"/>
    <cellStyle name="Heading 3" xfId="51"/>
    <cellStyle name="Heading 4" xfId="52"/>
    <cellStyle name="Input" xfId="53"/>
    <cellStyle name="Linked Cell" xfId="54"/>
    <cellStyle name="Neutral" xfId="55"/>
    <cellStyle name="Normal_New Gen_Renewables_2008 v1.0_110507"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000" b="1" i="0" u="none" baseline="0">
                <a:solidFill>
                  <a:srgbClr val="000000"/>
                </a:solidFill>
                <a:latin typeface="Arial"/>
                <a:ea typeface="Arial"/>
                <a:cs typeface="Arial"/>
              </a:rPr>
              <a:t>Composite Steel Mill Products - USGS 
1998 $/tonne versus Time</a:t>
            </a:r>
          </a:p>
        </c:rich>
      </c:tx>
      <c:layout>
        <c:manualLayout>
          <c:xMode val="factor"/>
          <c:yMode val="factor"/>
          <c:x val="0.04525"/>
          <c:y val="0"/>
        </c:manualLayout>
      </c:layout>
      <c:spPr>
        <a:solidFill>
          <a:srgbClr val="FFFFFF"/>
        </a:solidFill>
        <a:ln w="3175">
          <a:solidFill>
            <a:srgbClr val="000000"/>
          </a:solidFill>
        </a:ln>
      </c:spPr>
    </c:title>
    <c:plotArea>
      <c:layout>
        <c:manualLayout>
          <c:xMode val="edge"/>
          <c:yMode val="edge"/>
          <c:x val="0.01175"/>
          <c:y val="0.151"/>
          <c:w val="0.9665"/>
          <c:h val="0.75475"/>
        </c:manualLayout>
      </c:layout>
      <c:lineChart>
        <c:grouping val="standard"/>
        <c:varyColors val="0"/>
        <c:ser>
          <c:idx val="0"/>
          <c:order val="0"/>
          <c:tx>
            <c:strRef>
              <c:f>SteelHistory!$B$1</c:f>
              <c:strCache>
                <c:ptCount val="1"/>
                <c:pt idx="0">
                  <c:v>Unit value (98$/t)</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trendline>
            <c:spPr>
              <a:ln w="25400">
                <a:solidFill>
                  <a:srgbClr val="000000"/>
                </a:solidFill>
              </a:ln>
            </c:spPr>
            <c:trendlineType val="linear"/>
            <c:dispEq val="0"/>
            <c:dispRSqr val="0"/>
          </c:trendline>
          <c:cat>
            <c:numRef>
              <c:f>SteelHistory!$A$2:$A$132</c:f>
              <c:numCache/>
            </c:numRef>
          </c:cat>
          <c:val>
            <c:numRef>
              <c:f>SteelHistory!$B$2:$B$132</c:f>
              <c:numCache/>
            </c:numRef>
          </c:val>
          <c:smooth val="0"/>
        </c:ser>
        <c:ser>
          <c:idx val="1"/>
          <c:order val="1"/>
          <c:tx>
            <c:strRef>
              <c:f>SteelHistory!$C$1</c:f>
              <c:strCache>
                <c:ptCount val="1"/>
                <c:pt idx="0">
                  <c:v>Forecast (98$/t)</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00"/>
              </a:solidFill>
              <a:ln>
                <a:solidFill>
                  <a:srgbClr val="FF0000"/>
                </a:solidFill>
              </a:ln>
            </c:spPr>
          </c:marker>
          <c:cat>
            <c:numRef>
              <c:f>SteelHistory!$A$2:$A$132</c:f>
              <c:numCache/>
            </c:numRef>
          </c:cat>
          <c:val>
            <c:numRef>
              <c:f>SteelHistory!$C$2:$C$132</c:f>
              <c:numCache/>
            </c:numRef>
          </c:val>
          <c:smooth val="0"/>
        </c:ser>
        <c:marker val="1"/>
        <c:axId val="40798467"/>
        <c:axId val="31641884"/>
      </c:lineChart>
      <c:catAx>
        <c:axId val="40798467"/>
        <c:scaling>
          <c:orientation val="minMax"/>
        </c:scaling>
        <c:axPos val="b"/>
        <c:delete val="0"/>
        <c:numFmt formatCode="General" sourceLinked="1"/>
        <c:majorTickMark val="out"/>
        <c:minorTickMark val="none"/>
        <c:tickLblPos val="nextTo"/>
        <c:spPr>
          <a:ln w="3175">
            <a:solidFill>
              <a:srgbClr val="000000"/>
            </a:solidFill>
          </a:ln>
        </c:spPr>
        <c:txPr>
          <a:bodyPr vert="horz" rot="-2700000"/>
          <a:lstStyle/>
          <a:p>
            <a:pPr>
              <a:defRPr lang="en-US" cap="none" sz="925" b="0" i="0" u="none" baseline="0">
                <a:solidFill>
                  <a:srgbClr val="000000"/>
                </a:solidFill>
                <a:latin typeface="Arial"/>
                <a:ea typeface="Arial"/>
                <a:cs typeface="Arial"/>
              </a:defRPr>
            </a:pPr>
          </a:p>
        </c:txPr>
        <c:crossAx val="31641884"/>
        <c:crosses val="autoZero"/>
        <c:auto val="1"/>
        <c:lblOffset val="100"/>
        <c:tickLblSkip val="7"/>
        <c:noMultiLvlLbl val="0"/>
      </c:catAx>
      <c:valAx>
        <c:axId val="31641884"/>
        <c:scaling>
          <c:orientation val="minMax"/>
        </c:scaling>
        <c:axPos val="l"/>
        <c:majorGridlines>
          <c:spPr>
            <a:ln w="3175">
              <a:solidFill>
                <a:srgbClr val="C0C0C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925" b="0" i="0" u="none" baseline="0">
                <a:solidFill>
                  <a:srgbClr val="000000"/>
                </a:solidFill>
                <a:latin typeface="Arial"/>
                <a:ea typeface="Arial"/>
                <a:cs typeface="Arial"/>
              </a:defRPr>
            </a:pPr>
          </a:p>
        </c:txPr>
        <c:crossAx val="40798467"/>
        <c:crossesAt val="1"/>
        <c:crossBetween val="between"/>
        <c:dispUnits/>
      </c:valAx>
      <c:spPr>
        <a:solidFill>
          <a:srgbClr val="FFFFFF"/>
        </a:solidFill>
        <a:ln w="12700">
          <a:solidFill>
            <a:srgbClr val="808080"/>
          </a:solidFill>
        </a:ln>
      </c:spPr>
    </c:plotArea>
    <c:legend>
      <c:legendPos val="b"/>
      <c:layout>
        <c:manualLayout>
          <c:xMode val="edge"/>
          <c:yMode val="edge"/>
          <c:x val="0.08875"/>
          <c:y val="0.91825"/>
          <c:w val="0.8975"/>
          <c:h val="0.07225"/>
        </c:manualLayout>
      </c:layout>
      <c:overlay val="0"/>
      <c:spPr>
        <a:solidFill>
          <a:srgbClr val="FFFFFF"/>
        </a:solidFill>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legend>
    <c:plotVisOnly val="1"/>
    <c:dispBlanksAs val="gap"/>
    <c:showDLblsOverMax val="0"/>
  </c:chart>
  <c:spPr>
    <a:solidFill>
      <a:srgbClr val="FFFFCC"/>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Base Case 23  -  Rev 03</a:t>
            </a:r>
          </a:p>
        </c:rich>
      </c:tx>
      <c:layout>
        <c:manualLayout>
          <c:xMode val="factor"/>
          <c:yMode val="factor"/>
          <c:x val="0.0015"/>
          <c:y val="0"/>
        </c:manualLayout>
      </c:layout>
      <c:spPr>
        <a:noFill/>
        <a:ln>
          <a:noFill/>
        </a:ln>
      </c:spPr>
    </c:title>
    <c:plotArea>
      <c:layout>
        <c:manualLayout>
          <c:xMode val="edge"/>
          <c:yMode val="edge"/>
          <c:x val="0.016"/>
          <c:y val="0.1585"/>
          <c:w val="0.96825"/>
          <c:h val="0.71925"/>
        </c:manualLayout>
      </c:layout>
      <c:lineChart>
        <c:grouping val="standard"/>
        <c:varyColors val="0"/>
        <c:ser>
          <c:idx val="0"/>
          <c:order val="0"/>
          <c:tx>
            <c:strRef>
              <c:f>'$-kW Basis'!$C$4</c:f>
              <c:strCache>
                <c:ptCount val="1"/>
                <c:pt idx="0">
                  <c:v>PC East</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'$-kW Basis'!$B$8:$B$30</c:f>
              <c:numCache>
                <c:ptCount val="21"/>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pt idx="19">
                  <c:v>2029</c:v>
                </c:pt>
                <c:pt idx="20">
                  <c:v>2030</c:v>
                </c:pt>
              </c:numCache>
            </c:numRef>
          </c:cat>
          <c:val>
            <c:numRef>
              <c:f>'$-kW Basis'!$C$8:$C$30</c:f>
              <c:numCache>
                <c:ptCount val="21"/>
                <c:pt idx="0">
                  <c:v>3314</c:v>
                </c:pt>
                <c:pt idx="1">
                  <c:v>3314</c:v>
                </c:pt>
                <c:pt idx="2">
                  <c:v>3314</c:v>
                </c:pt>
                <c:pt idx="3">
                  <c:v>3314</c:v>
                </c:pt>
                <c:pt idx="4">
                  <c:v>3314</c:v>
                </c:pt>
                <c:pt idx="5">
                  <c:v>3314</c:v>
                </c:pt>
                <c:pt idx="6">
                  <c:v>3314</c:v>
                </c:pt>
                <c:pt idx="7">
                  <c:v>3314</c:v>
                </c:pt>
                <c:pt idx="8">
                  <c:v>3314</c:v>
                </c:pt>
                <c:pt idx="9">
                  <c:v>3314</c:v>
                </c:pt>
                <c:pt idx="10">
                  <c:v>3314</c:v>
                </c:pt>
                <c:pt idx="11">
                  <c:v>3314</c:v>
                </c:pt>
                <c:pt idx="12">
                  <c:v>3314</c:v>
                </c:pt>
                <c:pt idx="13">
                  <c:v>3314</c:v>
                </c:pt>
                <c:pt idx="14">
                  <c:v>3314</c:v>
                </c:pt>
                <c:pt idx="15">
                  <c:v>3314</c:v>
                </c:pt>
                <c:pt idx="16">
                  <c:v>3314</c:v>
                </c:pt>
                <c:pt idx="17">
                  <c:v>3314</c:v>
                </c:pt>
                <c:pt idx="18">
                  <c:v>3314</c:v>
                </c:pt>
                <c:pt idx="19">
                  <c:v>3314</c:v>
                </c:pt>
                <c:pt idx="20">
                  <c:v>3314</c:v>
                </c:pt>
              </c:numCache>
            </c:numRef>
          </c:val>
          <c:smooth val="0"/>
        </c:ser>
        <c:ser>
          <c:idx val="1"/>
          <c:order val="1"/>
          <c:tx>
            <c:strRef>
              <c:f>'$-kW Basis'!$E$4</c:f>
              <c:strCache>
                <c:ptCount val="1"/>
                <c:pt idx="0">
                  <c:v>IGCC East</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'$-kW Basis'!$E$8:$E$30</c:f>
              <c:numCache>
                <c:ptCount val="21"/>
                <c:pt idx="0">
                  <c:v>3833</c:v>
                </c:pt>
                <c:pt idx="1">
                  <c:v>3833</c:v>
                </c:pt>
                <c:pt idx="2">
                  <c:v>3833</c:v>
                </c:pt>
                <c:pt idx="3">
                  <c:v>3833</c:v>
                </c:pt>
                <c:pt idx="4">
                  <c:v>3833</c:v>
                </c:pt>
                <c:pt idx="5">
                  <c:v>3833</c:v>
                </c:pt>
                <c:pt idx="6">
                  <c:v>3833</c:v>
                </c:pt>
                <c:pt idx="7">
                  <c:v>3833</c:v>
                </c:pt>
                <c:pt idx="8">
                  <c:v>3833</c:v>
                </c:pt>
                <c:pt idx="9">
                  <c:v>3833</c:v>
                </c:pt>
                <c:pt idx="10">
                  <c:v>3833</c:v>
                </c:pt>
                <c:pt idx="11">
                  <c:v>3833</c:v>
                </c:pt>
                <c:pt idx="12">
                  <c:v>3833</c:v>
                </c:pt>
                <c:pt idx="13">
                  <c:v>3833</c:v>
                </c:pt>
                <c:pt idx="14">
                  <c:v>3833</c:v>
                </c:pt>
                <c:pt idx="15">
                  <c:v>3833</c:v>
                </c:pt>
                <c:pt idx="16">
                  <c:v>3833</c:v>
                </c:pt>
                <c:pt idx="17">
                  <c:v>3833</c:v>
                </c:pt>
                <c:pt idx="18">
                  <c:v>3833</c:v>
                </c:pt>
                <c:pt idx="19">
                  <c:v>3833</c:v>
                </c:pt>
                <c:pt idx="20">
                  <c:v>3833</c:v>
                </c:pt>
              </c:numCache>
            </c:numRef>
          </c:val>
          <c:smooth val="0"/>
        </c:ser>
        <c:ser>
          <c:idx val="2"/>
          <c:order val="2"/>
          <c:tx>
            <c:strRef>
              <c:f>'$-kW Basis'!$O$4</c:f>
              <c:strCache>
                <c:ptCount val="1"/>
                <c:pt idx="0">
                  <c:v>CC600</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'$-kW Basis'!$O$8:$O$30</c:f>
              <c:numCache>
                <c:ptCount val="21"/>
                <c:pt idx="0">
                  <c:v>1001</c:v>
                </c:pt>
                <c:pt idx="1">
                  <c:v>1001</c:v>
                </c:pt>
                <c:pt idx="2">
                  <c:v>1001</c:v>
                </c:pt>
                <c:pt idx="3">
                  <c:v>1001</c:v>
                </c:pt>
                <c:pt idx="4">
                  <c:v>1001</c:v>
                </c:pt>
                <c:pt idx="5">
                  <c:v>1001</c:v>
                </c:pt>
                <c:pt idx="6">
                  <c:v>1001</c:v>
                </c:pt>
                <c:pt idx="7">
                  <c:v>1001</c:v>
                </c:pt>
                <c:pt idx="8">
                  <c:v>1001</c:v>
                </c:pt>
                <c:pt idx="9">
                  <c:v>1001</c:v>
                </c:pt>
                <c:pt idx="10">
                  <c:v>1001</c:v>
                </c:pt>
                <c:pt idx="11">
                  <c:v>1001</c:v>
                </c:pt>
                <c:pt idx="12">
                  <c:v>1001</c:v>
                </c:pt>
                <c:pt idx="13">
                  <c:v>1001</c:v>
                </c:pt>
                <c:pt idx="14">
                  <c:v>1001</c:v>
                </c:pt>
                <c:pt idx="15">
                  <c:v>1001</c:v>
                </c:pt>
                <c:pt idx="16">
                  <c:v>1001</c:v>
                </c:pt>
                <c:pt idx="17">
                  <c:v>1001</c:v>
                </c:pt>
                <c:pt idx="18">
                  <c:v>1001</c:v>
                </c:pt>
                <c:pt idx="19">
                  <c:v>1001</c:v>
                </c:pt>
                <c:pt idx="20">
                  <c:v>1001</c:v>
                </c:pt>
              </c:numCache>
            </c:numRef>
          </c:val>
          <c:smooth val="0"/>
        </c:ser>
        <c:ser>
          <c:idx val="3"/>
          <c:order val="3"/>
          <c:tx>
            <c:strRef>
              <c:f>'$-kW Basis'!$N$4</c:f>
              <c:strCache>
                <c:ptCount val="1"/>
                <c:pt idx="0">
                  <c:v>CT200</c:v>
                </c:pt>
              </c:strCache>
            </c:strRef>
          </c:tx>
          <c:spPr>
            <a:ln w="381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'$-kW Basis'!$N$8:$N$30</c:f>
              <c:numCache>
                <c:ptCount val="21"/>
                <c:pt idx="0">
                  <c:v>910</c:v>
                </c:pt>
                <c:pt idx="1">
                  <c:v>910</c:v>
                </c:pt>
                <c:pt idx="2">
                  <c:v>910</c:v>
                </c:pt>
                <c:pt idx="3">
                  <c:v>910</c:v>
                </c:pt>
                <c:pt idx="4">
                  <c:v>910</c:v>
                </c:pt>
                <c:pt idx="5">
                  <c:v>910</c:v>
                </c:pt>
                <c:pt idx="6">
                  <c:v>910</c:v>
                </c:pt>
                <c:pt idx="7">
                  <c:v>910</c:v>
                </c:pt>
                <c:pt idx="8">
                  <c:v>910</c:v>
                </c:pt>
                <c:pt idx="9">
                  <c:v>910</c:v>
                </c:pt>
                <c:pt idx="10">
                  <c:v>910</c:v>
                </c:pt>
                <c:pt idx="11">
                  <c:v>910</c:v>
                </c:pt>
                <c:pt idx="12">
                  <c:v>910</c:v>
                </c:pt>
                <c:pt idx="13">
                  <c:v>910</c:v>
                </c:pt>
                <c:pt idx="14">
                  <c:v>910</c:v>
                </c:pt>
                <c:pt idx="15">
                  <c:v>910</c:v>
                </c:pt>
                <c:pt idx="16">
                  <c:v>910</c:v>
                </c:pt>
                <c:pt idx="17">
                  <c:v>910</c:v>
                </c:pt>
                <c:pt idx="18">
                  <c:v>910</c:v>
                </c:pt>
                <c:pt idx="19">
                  <c:v>910</c:v>
                </c:pt>
                <c:pt idx="20">
                  <c:v>910</c:v>
                </c:pt>
              </c:numCache>
            </c:numRef>
          </c:val>
          <c:smooth val="0"/>
        </c:ser>
        <c:ser>
          <c:idx val="4"/>
          <c:order val="4"/>
          <c:tx>
            <c:strRef>
              <c:f>'$-kW Basis'!$L$4</c:f>
              <c:strCache>
                <c:ptCount val="1"/>
                <c:pt idx="0">
                  <c:v>Nuclear</c:v>
                </c:pt>
              </c:strCache>
            </c:strRef>
          </c:tx>
          <c:spPr>
            <a:ln w="381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'$-kW Basis'!$L$8:$L$30</c:f>
              <c:numCache>
                <c:ptCount val="21"/>
                <c:pt idx="0">
                  <c:v>6970</c:v>
                </c:pt>
                <c:pt idx="1">
                  <c:v>6970</c:v>
                </c:pt>
                <c:pt idx="2">
                  <c:v>6970</c:v>
                </c:pt>
                <c:pt idx="3">
                  <c:v>6970</c:v>
                </c:pt>
                <c:pt idx="4">
                  <c:v>6970</c:v>
                </c:pt>
                <c:pt idx="5">
                  <c:v>6970</c:v>
                </c:pt>
                <c:pt idx="6">
                  <c:v>6970</c:v>
                </c:pt>
                <c:pt idx="7">
                  <c:v>6970</c:v>
                </c:pt>
                <c:pt idx="8">
                  <c:v>6970</c:v>
                </c:pt>
                <c:pt idx="9">
                  <c:v>6970</c:v>
                </c:pt>
                <c:pt idx="10">
                  <c:v>6970</c:v>
                </c:pt>
                <c:pt idx="11">
                  <c:v>6970</c:v>
                </c:pt>
                <c:pt idx="12">
                  <c:v>6970</c:v>
                </c:pt>
                <c:pt idx="13">
                  <c:v>6970</c:v>
                </c:pt>
                <c:pt idx="14">
                  <c:v>6970</c:v>
                </c:pt>
                <c:pt idx="15">
                  <c:v>6970</c:v>
                </c:pt>
                <c:pt idx="16">
                  <c:v>6970</c:v>
                </c:pt>
                <c:pt idx="17">
                  <c:v>6970</c:v>
                </c:pt>
                <c:pt idx="18">
                  <c:v>6970</c:v>
                </c:pt>
                <c:pt idx="19">
                  <c:v>6970</c:v>
                </c:pt>
                <c:pt idx="20">
                  <c:v>6970</c:v>
                </c:pt>
              </c:numCache>
            </c:numRef>
          </c:val>
          <c:smooth val="0"/>
        </c:ser>
        <c:ser>
          <c:idx val="5"/>
          <c:order val="5"/>
          <c:tx>
            <c:strRef>
              <c:f>'$-kW Basis'!$I$4</c:f>
              <c:strCache>
                <c:ptCount val="1"/>
                <c:pt idx="0">
                  <c:v>Wind</c:v>
                </c:pt>
              </c:strCache>
            </c:strRef>
          </c:tx>
          <c:spPr>
            <a:ln w="381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'$-kW Basis'!$I$8:$I$30</c:f>
              <c:numCache>
                <c:ptCount val="21"/>
                <c:pt idx="0">
                  <c:v>2028</c:v>
                </c:pt>
                <c:pt idx="1">
                  <c:v>2028</c:v>
                </c:pt>
                <c:pt idx="2">
                  <c:v>1967.1599999999999</c:v>
                </c:pt>
                <c:pt idx="3">
                  <c:v>1926.6</c:v>
                </c:pt>
                <c:pt idx="4">
                  <c:v>1886.0400000000002</c:v>
                </c:pt>
                <c:pt idx="5">
                  <c:v>1886.0400000000002</c:v>
                </c:pt>
                <c:pt idx="6">
                  <c:v>1886.0400000000002</c:v>
                </c:pt>
                <c:pt idx="7">
                  <c:v>1886.0400000000002</c:v>
                </c:pt>
                <c:pt idx="8">
                  <c:v>1886.0400000000002</c:v>
                </c:pt>
                <c:pt idx="9">
                  <c:v>1886.0400000000002</c:v>
                </c:pt>
                <c:pt idx="10">
                  <c:v>1886.0400000000002</c:v>
                </c:pt>
                <c:pt idx="11">
                  <c:v>1886.0400000000002</c:v>
                </c:pt>
                <c:pt idx="12">
                  <c:v>1886.0400000000002</c:v>
                </c:pt>
                <c:pt idx="13">
                  <c:v>1886.0400000000002</c:v>
                </c:pt>
                <c:pt idx="14">
                  <c:v>1886.0400000000002</c:v>
                </c:pt>
                <c:pt idx="15">
                  <c:v>1886.0400000000002</c:v>
                </c:pt>
                <c:pt idx="16">
                  <c:v>1886.0400000000002</c:v>
                </c:pt>
                <c:pt idx="17">
                  <c:v>1886.0400000000002</c:v>
                </c:pt>
                <c:pt idx="18">
                  <c:v>1886.0400000000002</c:v>
                </c:pt>
                <c:pt idx="19">
                  <c:v>1886.0400000000002</c:v>
                </c:pt>
                <c:pt idx="20">
                  <c:v>1886.0400000000002</c:v>
                </c:pt>
              </c:numCache>
            </c:numRef>
          </c:val>
          <c:smooth val="0"/>
        </c:ser>
        <c:marker val="1"/>
        <c:axId val="56321613"/>
        <c:axId val="37132470"/>
      </c:lineChart>
      <c:catAx>
        <c:axId val="56321613"/>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1150" b="0" i="0" u="none" baseline="0">
                <a:solidFill>
                  <a:srgbClr val="000000"/>
                </a:solidFill>
                <a:latin typeface="Arial"/>
                <a:ea typeface="Arial"/>
                <a:cs typeface="Arial"/>
              </a:defRPr>
            </a:pPr>
          </a:p>
        </c:txPr>
        <c:crossAx val="37132470"/>
        <c:crosses val="autoZero"/>
        <c:auto val="1"/>
        <c:lblOffset val="100"/>
        <c:tickLblSkip val="1"/>
        <c:noMultiLvlLbl val="0"/>
      </c:catAx>
      <c:valAx>
        <c:axId val="37132470"/>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6321613"/>
        <c:crossesAt val="1"/>
        <c:crossBetween val="between"/>
        <c:dispUnits/>
      </c:valAx>
      <c:spPr>
        <a:solidFill>
          <a:srgbClr val="FFFFCC"/>
        </a:solidFill>
        <a:ln w="12700">
          <a:solidFill>
            <a:srgbClr val="000000"/>
          </a:solidFill>
        </a:ln>
      </c:spPr>
    </c:plotArea>
    <c:legend>
      <c:legendPos val="b"/>
      <c:layout>
        <c:manualLayout>
          <c:xMode val="edge"/>
          <c:yMode val="edge"/>
          <c:x val="0.143"/>
          <c:y val="0.9115"/>
          <c:w val="0.80775"/>
          <c:h val="0.07625"/>
        </c:manualLayout>
      </c:layout>
      <c:overlay val="0"/>
      <c:spPr>
        <a:solidFill>
          <a:srgbClr val="FFFFFF"/>
        </a:solidFill>
        <a:ln w="3175">
          <a:solidFill>
            <a:srgbClr val="000000"/>
          </a:solidFill>
        </a:ln>
      </c:spPr>
      <c:txPr>
        <a:bodyPr vert="horz" rot="0"/>
        <a:lstStyle/>
        <a:p>
          <a:pPr>
            <a:defRPr lang="en-US" cap="none" sz="97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15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975"/>
          <c:y val="0.02525"/>
          <c:w val="0.78675"/>
          <c:h val="0.9495"/>
        </c:manualLayout>
      </c:layout>
      <c:lineChart>
        <c:grouping val="standard"/>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val>
            <c:numRef>
              <c:f>'Base Costs'!$Q$31:$Q$40</c:f>
              <c:numCache/>
            </c:numRef>
          </c:val>
          <c:smooth val="0"/>
        </c:ser>
        <c:marker val="1"/>
        <c:axId val="16341501"/>
        <c:axId val="12855782"/>
      </c:lineChart>
      <c:catAx>
        <c:axId val="16341501"/>
        <c:scaling>
          <c:orientation val="minMax"/>
        </c:scaling>
        <c:axPos val="b"/>
        <c:delete val="0"/>
        <c:numFmt formatCode="General" sourceLinked="1"/>
        <c:majorTickMark val="out"/>
        <c:minorTickMark val="none"/>
        <c:tickLblPos val="nextTo"/>
        <c:spPr>
          <a:ln w="3175">
            <a:solidFill>
              <a:srgbClr val="000000"/>
            </a:solidFill>
          </a:ln>
        </c:spPr>
        <c:crossAx val="12855782"/>
        <c:crosses val="autoZero"/>
        <c:auto val="1"/>
        <c:lblOffset val="100"/>
        <c:tickLblSkip val="1"/>
        <c:noMultiLvlLbl val="0"/>
      </c:catAx>
      <c:valAx>
        <c:axId val="12855782"/>
        <c:scaling>
          <c:orientation val="minMax"/>
          <c:min val="0.8"/>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6341501"/>
        <c:crossesAt val="1"/>
        <c:crossBetween val="between"/>
        <c:dispUnits/>
      </c:valAx>
      <c:spPr>
        <a:solidFill>
          <a:srgbClr val="C0C0C0"/>
        </a:solidFill>
        <a:ln w="12700">
          <a:solidFill>
            <a:srgbClr val="808080"/>
          </a:solidFill>
        </a:ln>
      </c:spPr>
    </c:plotArea>
    <c:legend>
      <c:legendPos val="r"/>
      <c:layout>
        <c:manualLayout>
          <c:xMode val="edge"/>
          <c:yMode val="edge"/>
          <c:x val="0.82775"/>
          <c:y val="0.44675"/>
          <c:w val="0.16425"/>
          <c:h val="0.05325"/>
        </c:manualLayout>
      </c:layout>
      <c:overlay val="0"/>
      <c:spPr>
        <a:solidFill>
          <a:srgbClr val="FFFFFF"/>
        </a:solidFill>
        <a:ln w="3175">
          <a:solidFill>
            <a:srgbClr val="000000"/>
          </a:solidFill>
        </a:ln>
      </c:spPr>
      <c:txPr>
        <a:bodyPr vert="horz" rot="0"/>
        <a:lstStyle/>
        <a:p>
          <a:pPr>
            <a:defRPr lang="en-US" cap="none" sz="84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1"/>
          <c:y val="0.0475"/>
          <c:w val="0.958"/>
          <c:h val="0.781"/>
        </c:manualLayout>
      </c:layout>
      <c:lineChart>
        <c:grouping val="standard"/>
        <c:varyColors val="0"/>
        <c:ser>
          <c:idx val="0"/>
          <c:order val="0"/>
          <c:tx>
            <c:strRef>
              <c:f>'Base Costs'!$C$217</c:f>
              <c:strCache>
                <c:ptCount val="1"/>
                <c:pt idx="0">
                  <c:v>BB H208 Base - Infl</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'Base Costs'!$A$218:$A$240</c:f>
              <c:numCache/>
            </c:numRef>
          </c:cat>
          <c:val>
            <c:numRef>
              <c:f>'Base Costs'!$C$218:$C$240</c:f>
              <c:numCache/>
            </c:numRef>
          </c:val>
          <c:smooth val="0"/>
        </c:ser>
        <c:ser>
          <c:idx val="1"/>
          <c:order val="1"/>
          <c:tx>
            <c:strRef>
              <c:f>'Base Costs'!$B$217</c:f>
              <c:strCache>
                <c:ptCount val="1"/>
                <c:pt idx="0">
                  <c:v>BB H208 Low - Infl</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'Base Costs'!$B$218:$B$240</c:f>
              <c:numCache/>
            </c:numRef>
          </c:val>
          <c:smooth val="0"/>
        </c:ser>
        <c:marker val="1"/>
        <c:axId val="48593175"/>
        <c:axId val="34685392"/>
      </c:lineChart>
      <c:catAx>
        <c:axId val="48593175"/>
        <c:scaling>
          <c:orientation val="minMax"/>
        </c:scaling>
        <c:axPos val="b"/>
        <c:delete val="0"/>
        <c:numFmt formatCode="General" sourceLinked="1"/>
        <c:majorTickMark val="out"/>
        <c:minorTickMark val="none"/>
        <c:tickLblPos val="nextTo"/>
        <c:spPr>
          <a:ln w="3175">
            <a:solidFill>
              <a:srgbClr val="000000"/>
            </a:solidFill>
          </a:ln>
        </c:spPr>
        <c:txPr>
          <a:bodyPr vert="horz" rot="-2700000"/>
          <a:lstStyle/>
          <a:p>
            <a:pPr>
              <a:defRPr lang="en-US" cap="none" sz="825" b="0" i="0" u="none" baseline="0">
                <a:solidFill>
                  <a:srgbClr val="000000"/>
                </a:solidFill>
                <a:latin typeface="Arial"/>
                <a:ea typeface="Arial"/>
                <a:cs typeface="Arial"/>
              </a:defRPr>
            </a:pPr>
          </a:p>
        </c:txPr>
        <c:crossAx val="34685392"/>
        <c:crosses val="autoZero"/>
        <c:auto val="1"/>
        <c:lblOffset val="100"/>
        <c:tickLblSkip val="2"/>
        <c:noMultiLvlLbl val="0"/>
      </c:catAx>
      <c:valAx>
        <c:axId val="34685392"/>
        <c:scaling>
          <c:orientation val="minMax"/>
          <c:min val="200"/>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48593175"/>
        <c:crossesAt val="1"/>
        <c:crossBetween val="between"/>
        <c:dispUnits/>
      </c:valAx>
      <c:spPr>
        <a:solidFill>
          <a:srgbClr val="C0C0C0"/>
        </a:solidFill>
        <a:ln w="12700">
          <a:solidFill>
            <a:srgbClr val="808080"/>
          </a:solidFill>
        </a:ln>
      </c:spPr>
    </c:plotArea>
    <c:legend>
      <c:legendPos val="b"/>
      <c:layout>
        <c:manualLayout>
          <c:xMode val="edge"/>
          <c:yMode val="edge"/>
          <c:x val="0.26825"/>
          <c:y val="0.881"/>
          <c:w val="0.5345"/>
          <c:h val="0.1"/>
        </c:manualLayout>
      </c:layout>
      <c:overlay val="0"/>
      <c:spPr>
        <a:solidFill>
          <a:srgbClr val="FFFFFF"/>
        </a:solidFill>
        <a:ln w="3175">
          <a:solidFill>
            <a:srgbClr val="000000"/>
          </a:solidFill>
        </a:ln>
      </c:spPr>
      <c:txPr>
        <a:bodyPr vert="horz" rot="0"/>
        <a:lstStyle/>
        <a:p>
          <a:pPr>
            <a:defRPr lang="en-US" cap="none" sz="69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25"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1"/>
          <c:y val="0.046"/>
          <c:w val="0.958"/>
          <c:h val="0.78825"/>
        </c:manualLayout>
      </c:layout>
      <c:lineChart>
        <c:grouping val="standard"/>
        <c:varyColors val="0"/>
        <c:ser>
          <c:idx val="0"/>
          <c:order val="0"/>
          <c:tx>
            <c:strRef>
              <c:f>'Base Costs'!$F$217</c:f>
              <c:strCache>
                <c:ptCount val="1"/>
                <c:pt idx="0">
                  <c:v>H208 Base - NPV</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'Base Costs'!$A$218:$A$240</c:f>
              <c:numCache/>
            </c:numRef>
          </c:cat>
          <c:val>
            <c:numRef>
              <c:f>'Base Costs'!$F$218:$F$240</c:f>
              <c:numCache/>
            </c:numRef>
          </c:val>
          <c:smooth val="0"/>
        </c:ser>
        <c:ser>
          <c:idx val="1"/>
          <c:order val="1"/>
          <c:tx>
            <c:strRef>
              <c:f>'Base Costs'!$E$217</c:f>
              <c:strCache>
                <c:ptCount val="1"/>
                <c:pt idx="0">
                  <c:v>H208 Low - NPV</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'Base Costs'!$E$218:$E$240</c:f>
              <c:numCache/>
            </c:numRef>
          </c:val>
          <c:smooth val="0"/>
        </c:ser>
        <c:marker val="1"/>
        <c:axId val="43733073"/>
        <c:axId val="58053338"/>
      </c:lineChart>
      <c:catAx>
        <c:axId val="43733073"/>
        <c:scaling>
          <c:orientation val="minMax"/>
        </c:scaling>
        <c:axPos val="b"/>
        <c:delete val="0"/>
        <c:numFmt formatCode="General" sourceLinked="1"/>
        <c:majorTickMark val="out"/>
        <c:minorTickMark val="none"/>
        <c:tickLblPos val="nextTo"/>
        <c:spPr>
          <a:ln w="3175">
            <a:solidFill>
              <a:srgbClr val="000000"/>
            </a:solidFill>
          </a:ln>
        </c:spPr>
        <c:txPr>
          <a:bodyPr vert="horz" rot="-2700000"/>
          <a:lstStyle/>
          <a:p>
            <a:pPr>
              <a:defRPr lang="en-US" cap="none" sz="850" b="0" i="0" u="none" baseline="0">
                <a:solidFill>
                  <a:srgbClr val="000000"/>
                </a:solidFill>
                <a:latin typeface="Arial"/>
                <a:ea typeface="Arial"/>
                <a:cs typeface="Arial"/>
              </a:defRPr>
            </a:pPr>
          </a:p>
        </c:txPr>
        <c:crossAx val="58053338"/>
        <c:crosses val="autoZero"/>
        <c:auto val="1"/>
        <c:lblOffset val="100"/>
        <c:tickLblSkip val="2"/>
        <c:noMultiLvlLbl val="0"/>
      </c:catAx>
      <c:valAx>
        <c:axId val="58053338"/>
        <c:scaling>
          <c:orientation val="minMax"/>
          <c:min val="200"/>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43733073"/>
        <c:crossesAt val="1"/>
        <c:crossBetween val="between"/>
        <c:dispUnits/>
      </c:valAx>
      <c:spPr>
        <a:solidFill>
          <a:srgbClr val="C0C0C0"/>
        </a:solidFill>
        <a:ln w="12700">
          <a:solidFill>
            <a:srgbClr val="808080"/>
          </a:solidFill>
        </a:ln>
      </c:spPr>
    </c:plotArea>
    <c:legend>
      <c:legendPos val="b"/>
      <c:layout>
        <c:manualLayout>
          <c:xMode val="edge"/>
          <c:yMode val="edge"/>
          <c:x val="0.31725"/>
          <c:y val="0.88475"/>
          <c:w val="0.49375"/>
          <c:h val="0.09675"/>
        </c:manualLayout>
      </c:layout>
      <c:overlay val="0"/>
      <c:spPr>
        <a:solidFill>
          <a:srgbClr val="FFFFFF"/>
        </a:solidFill>
        <a:ln w="3175">
          <a:solidFill>
            <a:srgbClr val="000000"/>
          </a:solidFill>
        </a:ln>
      </c:spPr>
      <c:txPr>
        <a:bodyPr vert="horz" rot="0"/>
        <a:lstStyle/>
        <a:p>
          <a:pPr>
            <a:defRPr lang="en-US" cap="none" sz="71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5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Base Forecast Comparison</a:t>
            </a:r>
          </a:p>
        </c:rich>
      </c:tx>
      <c:layout>
        <c:manualLayout>
          <c:xMode val="factor"/>
          <c:yMode val="factor"/>
          <c:x val="0"/>
          <c:y val="0"/>
        </c:manualLayout>
      </c:layout>
      <c:spPr>
        <a:noFill/>
        <a:ln>
          <a:noFill/>
        </a:ln>
      </c:spPr>
    </c:title>
    <c:plotArea>
      <c:layout>
        <c:manualLayout>
          <c:xMode val="edge"/>
          <c:yMode val="edge"/>
          <c:x val="0.01875"/>
          <c:y val="0.192"/>
          <c:w val="0.9625"/>
          <c:h val="0.66275"/>
        </c:manualLayout>
      </c:layout>
      <c:lineChart>
        <c:grouping val="standard"/>
        <c:varyColors val="0"/>
        <c:ser>
          <c:idx val="0"/>
          <c:order val="0"/>
          <c:tx>
            <c:strRef>
              <c:f>'Base Costs'!$B$117</c:f>
              <c:strCache>
                <c:ptCount val="1"/>
                <c:pt idx="0">
                  <c:v>H208 Base (Final)</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'Base Costs'!$A$118:$A$140</c:f>
              <c:numCache/>
            </c:numRef>
          </c:cat>
          <c:val>
            <c:numRef>
              <c:f>'Base Costs'!$B$118:$B$140</c:f>
              <c:numCache/>
            </c:numRef>
          </c:val>
          <c:smooth val="0"/>
        </c:ser>
        <c:ser>
          <c:idx val="1"/>
          <c:order val="1"/>
          <c:tx>
            <c:strRef>
              <c:f>'Base Costs'!$D$117</c:f>
              <c:strCache>
                <c:ptCount val="1"/>
                <c:pt idx="0">
                  <c:v>1H09 Base Case (Ref)</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'Base Costs'!$D$118:$D$140</c:f>
              <c:numCache/>
            </c:numRef>
          </c:val>
          <c:smooth val="0"/>
        </c:ser>
        <c:marker val="1"/>
        <c:axId val="52717995"/>
        <c:axId val="4699908"/>
      </c:lineChart>
      <c:catAx>
        <c:axId val="52717995"/>
        <c:scaling>
          <c:orientation val="minMax"/>
        </c:scaling>
        <c:axPos val="b"/>
        <c:delete val="0"/>
        <c:numFmt formatCode="General" sourceLinked="1"/>
        <c:majorTickMark val="out"/>
        <c:minorTickMark val="none"/>
        <c:tickLblPos val="nextTo"/>
        <c:spPr>
          <a:ln w="3175">
            <a:solidFill>
              <a:srgbClr val="000000"/>
            </a:solidFill>
          </a:ln>
        </c:spPr>
        <c:txPr>
          <a:bodyPr vert="horz" rot="-2700000"/>
          <a:lstStyle/>
          <a:p>
            <a:pPr>
              <a:defRPr lang="en-US" cap="none" sz="1000" b="0" i="0" u="none" baseline="0">
                <a:solidFill>
                  <a:srgbClr val="000000"/>
                </a:solidFill>
                <a:latin typeface="Arial"/>
                <a:ea typeface="Arial"/>
                <a:cs typeface="Arial"/>
              </a:defRPr>
            </a:pPr>
          </a:p>
        </c:txPr>
        <c:crossAx val="4699908"/>
        <c:crosses val="autoZero"/>
        <c:auto val="1"/>
        <c:lblOffset val="100"/>
        <c:tickLblSkip val="2"/>
        <c:noMultiLvlLbl val="0"/>
      </c:catAx>
      <c:valAx>
        <c:axId val="4699908"/>
        <c:scaling>
          <c:orientation val="minMax"/>
        </c:scaling>
        <c:axPos val="l"/>
        <c:majorGridlines>
          <c:spPr>
            <a:ln w="3175">
              <a:solidFill>
                <a:srgbClr val="C0C0C0"/>
              </a:solidFill>
            </a:ln>
          </c:spPr>
        </c:majorGridlines>
        <c:delete val="0"/>
        <c:numFmt formatCode="General" sourceLinked="1"/>
        <c:majorTickMark val="out"/>
        <c:minorTickMark val="none"/>
        <c:tickLblPos val="nextTo"/>
        <c:spPr>
          <a:ln w="3175">
            <a:solidFill>
              <a:srgbClr val="000000"/>
            </a:solidFill>
          </a:ln>
        </c:spPr>
        <c:crossAx val="52717995"/>
        <c:crossesAt val="1"/>
        <c:crossBetween val="between"/>
        <c:dispUnits/>
      </c:valAx>
      <c:spPr>
        <a:solidFill>
          <a:srgbClr val="FFFFFF"/>
        </a:solidFill>
        <a:ln w="3175">
          <a:solidFill>
            <a:srgbClr val="000000"/>
          </a:solidFill>
        </a:ln>
      </c:spPr>
    </c:plotArea>
    <c:legend>
      <c:legendPos val="b"/>
      <c:layout>
        <c:manualLayout>
          <c:xMode val="edge"/>
          <c:yMode val="edge"/>
          <c:x val="0.259"/>
          <c:y val="0.898"/>
          <c:w val="0.55525"/>
          <c:h val="0.09025"/>
        </c:manualLayout>
      </c:layout>
      <c:overlay val="0"/>
      <c:spPr>
        <a:solidFill>
          <a:srgbClr val="FFFFFF"/>
        </a:solidFill>
        <a:ln w="3175">
          <a:solidFill>
            <a:srgbClr val="000000"/>
          </a:solidFill>
        </a:ln>
      </c:spPr>
      <c:txPr>
        <a:bodyPr vert="horz" rot="0"/>
        <a:lstStyle/>
        <a:p>
          <a:pPr>
            <a:defRPr lang="en-US" cap="none" sz="75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Base Forecast Comparison (constant$)</a:t>
            </a:r>
          </a:p>
        </c:rich>
      </c:tx>
      <c:layout>
        <c:manualLayout>
          <c:xMode val="factor"/>
          <c:yMode val="factor"/>
          <c:x val="0"/>
          <c:y val="0"/>
        </c:manualLayout>
      </c:layout>
      <c:spPr>
        <a:noFill/>
        <a:ln>
          <a:noFill/>
        </a:ln>
      </c:spPr>
    </c:title>
    <c:plotArea>
      <c:layout>
        <c:manualLayout>
          <c:xMode val="edge"/>
          <c:yMode val="edge"/>
          <c:x val="0.0185"/>
          <c:y val="0.192"/>
          <c:w val="0.96275"/>
          <c:h val="0.66275"/>
        </c:manualLayout>
      </c:layout>
      <c:lineChart>
        <c:grouping val="standard"/>
        <c:varyColors val="0"/>
        <c:ser>
          <c:idx val="0"/>
          <c:order val="0"/>
          <c:tx>
            <c:strRef>
              <c:f>'Base Costs'!$F$117</c:f>
              <c:strCache>
                <c:ptCount val="1"/>
                <c:pt idx="0">
                  <c:v>H208 Base - Constant</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'Base Costs'!$A$118:$A$140</c:f>
              <c:numCache/>
            </c:numRef>
          </c:cat>
          <c:val>
            <c:numRef>
              <c:f>'Base Costs'!$F$118:$F$140</c:f>
              <c:numCache/>
            </c:numRef>
          </c:val>
          <c:smooth val="0"/>
        </c:ser>
        <c:ser>
          <c:idx val="1"/>
          <c:order val="1"/>
          <c:tx>
            <c:strRef>
              <c:f>'Base Costs'!$E$117</c:f>
              <c:strCache>
                <c:ptCount val="1"/>
                <c:pt idx="0">
                  <c:v>H109 Reference - Constant</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'Base Costs'!$E$118:$E$140</c:f>
              <c:numCache/>
            </c:numRef>
          </c:val>
          <c:smooth val="0"/>
        </c:ser>
        <c:marker val="1"/>
        <c:axId val="42299173"/>
        <c:axId val="45148238"/>
      </c:lineChart>
      <c:catAx>
        <c:axId val="42299173"/>
        <c:scaling>
          <c:orientation val="minMax"/>
        </c:scaling>
        <c:axPos val="b"/>
        <c:delete val="0"/>
        <c:numFmt formatCode="General" sourceLinked="1"/>
        <c:majorTickMark val="out"/>
        <c:minorTickMark val="none"/>
        <c:tickLblPos val="nextTo"/>
        <c:spPr>
          <a:ln w="3175">
            <a:solidFill>
              <a:srgbClr val="000000"/>
            </a:solidFill>
          </a:ln>
        </c:spPr>
        <c:txPr>
          <a:bodyPr vert="horz" rot="-2700000"/>
          <a:lstStyle/>
          <a:p>
            <a:pPr>
              <a:defRPr lang="en-US" cap="none" sz="1000" b="0" i="0" u="none" baseline="0">
                <a:solidFill>
                  <a:srgbClr val="000000"/>
                </a:solidFill>
                <a:latin typeface="Arial"/>
                <a:ea typeface="Arial"/>
                <a:cs typeface="Arial"/>
              </a:defRPr>
            </a:pPr>
          </a:p>
        </c:txPr>
        <c:crossAx val="45148238"/>
        <c:crosses val="autoZero"/>
        <c:auto val="1"/>
        <c:lblOffset val="100"/>
        <c:tickLblSkip val="2"/>
        <c:noMultiLvlLbl val="0"/>
      </c:catAx>
      <c:valAx>
        <c:axId val="45148238"/>
        <c:scaling>
          <c:orientation val="minMax"/>
        </c:scaling>
        <c:axPos val="l"/>
        <c:majorGridlines>
          <c:spPr>
            <a:ln w="3175">
              <a:solidFill>
                <a:srgbClr val="C0C0C0"/>
              </a:solidFill>
            </a:ln>
          </c:spPr>
        </c:majorGridlines>
        <c:delete val="0"/>
        <c:numFmt formatCode="General" sourceLinked="1"/>
        <c:majorTickMark val="out"/>
        <c:minorTickMark val="none"/>
        <c:tickLblPos val="nextTo"/>
        <c:spPr>
          <a:ln w="3175">
            <a:solidFill>
              <a:srgbClr val="000000"/>
            </a:solidFill>
          </a:ln>
        </c:spPr>
        <c:crossAx val="42299173"/>
        <c:crossesAt val="1"/>
        <c:crossBetween val="between"/>
        <c:dispUnits/>
      </c:valAx>
      <c:spPr>
        <a:solidFill>
          <a:srgbClr val="FFFFFF"/>
        </a:solidFill>
        <a:ln w="3175">
          <a:solidFill>
            <a:srgbClr val="000000"/>
          </a:solidFill>
        </a:ln>
      </c:spPr>
    </c:plotArea>
    <c:legend>
      <c:legendPos val="b"/>
      <c:layout>
        <c:manualLayout>
          <c:xMode val="edge"/>
          <c:yMode val="edge"/>
          <c:x val="0.24525"/>
          <c:y val="0.898"/>
          <c:w val="0.6375"/>
          <c:h val="0.09025"/>
        </c:manualLayout>
      </c:layout>
      <c:overlay val="0"/>
      <c:spPr>
        <a:solidFill>
          <a:srgbClr val="FFFFFF"/>
        </a:solidFill>
        <a:ln w="3175">
          <a:solidFill>
            <a:srgbClr val="000000"/>
          </a:solidFill>
        </a:ln>
      </c:spPr>
      <c:txPr>
        <a:bodyPr vert="horz" rot="0"/>
        <a:lstStyle/>
        <a:p>
          <a:pPr>
            <a:defRPr lang="en-US" cap="none" sz="75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Solar Comparison  $/kW</a:t>
            </a:r>
          </a:p>
        </c:rich>
      </c:tx>
      <c:layout>
        <c:manualLayout>
          <c:xMode val="factor"/>
          <c:yMode val="factor"/>
          <c:x val="0.00425"/>
          <c:y val="0"/>
        </c:manualLayout>
      </c:layout>
      <c:spPr>
        <a:noFill/>
        <a:ln>
          <a:noFill/>
        </a:ln>
      </c:spPr>
    </c:title>
    <c:plotArea>
      <c:layout>
        <c:manualLayout>
          <c:xMode val="edge"/>
          <c:yMode val="edge"/>
          <c:x val="0.02075"/>
          <c:y val="0.1915"/>
          <c:w val="0.9585"/>
          <c:h val="0.66025"/>
        </c:manualLayout>
      </c:layout>
      <c:lineChart>
        <c:grouping val="standard"/>
        <c:varyColors val="0"/>
        <c:ser>
          <c:idx val="0"/>
          <c:order val="0"/>
          <c:tx>
            <c:strRef>
              <c:f>CERA_CapitalCosts!$Q$18</c:f>
              <c:strCache>
                <c:ptCount val="1"/>
                <c:pt idx="0">
                  <c:v>AEP Solar</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CERA_CapitalCosts!$R$23:$R$45</c:f>
              <c:numCache/>
            </c:numRef>
          </c:cat>
          <c:val>
            <c:numRef>
              <c:f>CERA_CapitalCosts!$Q$23:$Q$45</c:f>
              <c:numCache/>
            </c:numRef>
          </c:val>
          <c:smooth val="0"/>
        </c:ser>
        <c:ser>
          <c:idx val="1"/>
          <c:order val="1"/>
          <c:tx>
            <c:strRef>
              <c:f>CERA_CapitalCosts!$M$19</c:f>
              <c:strCache>
                <c:ptCount val="1"/>
                <c:pt idx="0">
                  <c:v>Solar-PV</c:v>
                </c:pt>
              </c:strCache>
            </c:strRef>
          </c:tx>
          <c:spPr>
            <a:ln w="381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CERA_CapitalCosts!$M$23:$M$45</c:f>
              <c:numCache/>
            </c:numRef>
          </c:val>
          <c:smooth val="0"/>
        </c:ser>
        <c:ser>
          <c:idx val="2"/>
          <c:order val="2"/>
          <c:tx>
            <c:strRef>
              <c:f>CERA_CapitalCosts!$N$19</c:f>
              <c:strCache>
                <c:ptCount val="1"/>
                <c:pt idx="0">
                  <c:v>Solar-Con</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CERA_CapitalCosts!$N$23:$N$45</c:f>
              <c:numCache/>
            </c:numRef>
          </c:val>
          <c:smooth val="0"/>
        </c:ser>
        <c:marker val="1"/>
        <c:axId val="3680959"/>
        <c:axId val="33128632"/>
      </c:lineChart>
      <c:catAx>
        <c:axId val="3680959"/>
        <c:scaling>
          <c:orientation val="minMax"/>
        </c:scaling>
        <c:axPos val="b"/>
        <c:delete val="0"/>
        <c:numFmt formatCode="General" sourceLinked="1"/>
        <c:majorTickMark val="out"/>
        <c:minorTickMark val="none"/>
        <c:tickLblPos val="nextTo"/>
        <c:spPr>
          <a:ln w="3175">
            <a:solidFill>
              <a:srgbClr val="000000"/>
            </a:solidFill>
          </a:ln>
        </c:spPr>
        <c:txPr>
          <a:bodyPr vert="horz" rot="-2700000"/>
          <a:lstStyle/>
          <a:p>
            <a:pPr>
              <a:defRPr lang="en-US" cap="none" sz="1000" b="0" i="0" u="none" baseline="0">
                <a:solidFill>
                  <a:srgbClr val="000000"/>
                </a:solidFill>
                <a:latin typeface="Arial"/>
                <a:ea typeface="Arial"/>
                <a:cs typeface="Arial"/>
              </a:defRPr>
            </a:pPr>
          </a:p>
        </c:txPr>
        <c:crossAx val="33128632"/>
        <c:crosses val="autoZero"/>
        <c:auto val="1"/>
        <c:lblOffset val="100"/>
        <c:tickLblSkip val="2"/>
        <c:noMultiLvlLbl val="0"/>
      </c:catAx>
      <c:valAx>
        <c:axId val="33128632"/>
        <c:scaling>
          <c:orientation val="minMax"/>
        </c:scaling>
        <c:axPos val="l"/>
        <c:majorGridlines>
          <c:spPr>
            <a:ln w="3175">
              <a:solidFill>
                <a:srgbClr val="C0C0C0"/>
              </a:solidFill>
            </a:ln>
          </c:spPr>
        </c:majorGridlines>
        <c:delete val="0"/>
        <c:numFmt formatCode="General" sourceLinked="1"/>
        <c:majorTickMark val="out"/>
        <c:minorTickMark val="none"/>
        <c:tickLblPos val="nextTo"/>
        <c:spPr>
          <a:ln w="3175">
            <a:solidFill>
              <a:srgbClr val="000000"/>
            </a:solidFill>
          </a:ln>
        </c:spPr>
        <c:crossAx val="3680959"/>
        <c:crossesAt val="1"/>
        <c:crossBetween val="between"/>
        <c:dispUnits/>
      </c:valAx>
      <c:spPr>
        <a:solidFill>
          <a:srgbClr val="FFFFFF"/>
        </a:solidFill>
        <a:ln w="3175">
          <a:solidFill>
            <a:srgbClr val="000000"/>
          </a:solidFill>
        </a:ln>
      </c:spPr>
    </c:plotArea>
    <c:legend>
      <c:legendPos val="b"/>
      <c:layout>
        <c:manualLayout>
          <c:xMode val="edge"/>
          <c:yMode val="edge"/>
          <c:x val="0.25725"/>
          <c:y val="0.8945"/>
          <c:w val="0.5705"/>
          <c:h val="0.08975"/>
        </c:manualLayout>
      </c:layout>
      <c:overlay val="0"/>
      <c:spPr>
        <a:solidFill>
          <a:srgbClr val="FFFFFF"/>
        </a:solidFill>
        <a:ln w="3175">
          <a:solidFill>
            <a:srgbClr val="000000"/>
          </a:solidFill>
        </a:ln>
      </c:spPr>
      <c:txPr>
        <a:bodyPr vert="horz" rot="0"/>
        <a:lstStyle/>
        <a:p>
          <a:pPr>
            <a:defRPr lang="en-US" cap="none" sz="84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000" b="1" i="0" u="none" baseline="0">
                <a:solidFill>
                  <a:srgbClr val="000000"/>
                </a:solidFill>
                <a:latin typeface="Arial"/>
                <a:ea typeface="Arial"/>
                <a:cs typeface="Arial"/>
              </a:rPr>
              <a:t>Capital Costs (real $/kW)</a:t>
            </a:r>
          </a:p>
        </c:rich>
      </c:tx>
      <c:layout>
        <c:manualLayout>
          <c:xMode val="factor"/>
          <c:yMode val="factor"/>
          <c:x val="0.00525"/>
          <c:y val="-0.019"/>
        </c:manualLayout>
      </c:layout>
      <c:spPr>
        <a:noFill/>
        <a:ln>
          <a:noFill/>
        </a:ln>
      </c:spPr>
    </c:title>
    <c:plotArea>
      <c:layout>
        <c:manualLayout>
          <c:xMode val="edge"/>
          <c:yMode val="edge"/>
          <c:x val="0.0185"/>
          <c:y val="0.04625"/>
          <c:w val="0.964"/>
          <c:h val="0.819"/>
        </c:manualLayout>
      </c:layout>
      <c:lineChart>
        <c:grouping val="standard"/>
        <c:varyColors val="0"/>
        <c:ser>
          <c:idx val="0"/>
          <c:order val="0"/>
          <c:tx>
            <c:strRef>
              <c:f>'$-kW Basis'!$C$4</c:f>
              <c:strCache>
                <c:ptCount val="1"/>
                <c:pt idx="0">
                  <c:v>PC East</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'$-kW Basis'!$B$8:$B$30</c:f>
              <c:numCache/>
            </c:numRef>
          </c:cat>
          <c:val>
            <c:numRef>
              <c:f>'$-kW Basis'!$C$8:$C$30</c:f>
              <c:numCache/>
            </c:numRef>
          </c:val>
          <c:smooth val="0"/>
        </c:ser>
        <c:ser>
          <c:idx val="1"/>
          <c:order val="1"/>
          <c:tx>
            <c:strRef>
              <c:f>'$-kW Basis'!$D$4</c:f>
              <c:strCache>
                <c:ptCount val="1"/>
                <c:pt idx="0">
                  <c:v>PC West</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'$-kW Basis'!$B$8:$B$30</c:f>
              <c:numCache/>
            </c:numRef>
          </c:cat>
          <c:val>
            <c:numRef>
              <c:f>'$-kW Basis'!$D$8:$D$30</c:f>
              <c:numCache/>
            </c:numRef>
          </c:val>
          <c:smooth val="0"/>
        </c:ser>
        <c:ser>
          <c:idx val="2"/>
          <c:order val="2"/>
          <c:tx>
            <c:strRef>
              <c:f>'$-kW Basis'!$E$4</c:f>
              <c:strCache>
                <c:ptCount val="1"/>
                <c:pt idx="0">
                  <c:v>IGCC East</c:v>
                </c:pt>
              </c:strCache>
            </c:strRef>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'$-kW Basis'!$B$8:$B$30</c:f>
              <c:numCache/>
            </c:numRef>
          </c:cat>
          <c:val>
            <c:numRef>
              <c:f>'$-kW Basis'!$E$8:$E$30</c:f>
              <c:numCache/>
            </c:numRef>
          </c:val>
          <c:smooth val="0"/>
        </c:ser>
        <c:ser>
          <c:idx val="3"/>
          <c:order val="3"/>
          <c:tx>
            <c:strRef>
              <c:f>'$-kW Basis'!$F$4</c:f>
              <c:strCache>
                <c:ptCount val="1"/>
                <c:pt idx="0">
                  <c:v>IGCC West</c:v>
                </c:pt>
              </c:strCache>
            </c:strRef>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'$-kW Basis'!$B$8:$B$30</c:f>
              <c:numCache/>
            </c:numRef>
          </c:cat>
          <c:val>
            <c:numRef>
              <c:f>'$-kW Basis'!$F$8:$F$30</c:f>
              <c:numCache/>
            </c:numRef>
          </c:val>
          <c:smooth val="0"/>
        </c:ser>
        <c:ser>
          <c:idx val="4"/>
          <c:order val="4"/>
          <c:tx>
            <c:strRef>
              <c:f>'$-kW Basis'!$G$4</c:f>
              <c:strCache>
                <c:ptCount val="1"/>
                <c:pt idx="0">
                  <c:v>IGCC CCS East</c:v>
                </c:pt>
              </c:strCache>
            </c:strRef>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'$-kW Basis'!$B$8:$B$30</c:f>
              <c:numCache/>
            </c:numRef>
          </c:cat>
          <c:val>
            <c:numRef>
              <c:f>'$-kW Basis'!$G$8:$G$30</c:f>
              <c:numCache/>
            </c:numRef>
          </c:val>
          <c:smooth val="0"/>
        </c:ser>
        <c:ser>
          <c:idx val="5"/>
          <c:order val="5"/>
          <c:tx>
            <c:strRef>
              <c:f>'$-kW Basis'!$H$4</c:f>
              <c:strCache>
                <c:ptCount val="1"/>
                <c:pt idx="0">
                  <c:v>IGCC CCS West</c:v>
                </c:pt>
              </c:strCache>
            </c:strRef>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'$-kW Basis'!$B$8:$B$30</c:f>
              <c:numCache/>
            </c:numRef>
          </c:cat>
          <c:val>
            <c:numRef>
              <c:f>'$-kW Basis'!$H$8:$H$30</c:f>
              <c:numCache/>
            </c:numRef>
          </c:val>
          <c:smooth val="0"/>
        </c:ser>
        <c:ser>
          <c:idx val="6"/>
          <c:order val="6"/>
          <c:tx>
            <c:strRef>
              <c:f>'$-kW Basis'!$I$4</c:f>
              <c:strCache>
                <c:ptCount val="1"/>
                <c:pt idx="0">
                  <c:v>Wind</c:v>
                </c:pt>
              </c:strCache>
            </c:strRef>
          </c:tx>
          <c:spPr>
            <a:ln w="127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'$-kW Basis'!$B$8:$B$30</c:f>
              <c:numCache/>
            </c:numRef>
          </c:cat>
          <c:val>
            <c:numRef>
              <c:f>'$-kW Basis'!$I$8:$I$30</c:f>
              <c:numCache/>
            </c:numRef>
          </c:val>
          <c:smooth val="0"/>
        </c:ser>
        <c:ser>
          <c:idx val="7"/>
          <c:order val="7"/>
          <c:tx>
            <c:strRef>
              <c:f>'$-kW Basis'!$J$4</c:f>
              <c:strCache>
                <c:ptCount val="1"/>
                <c:pt idx="0">
                  <c:v>Solar</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'$-kW Basis'!$B$8:$B$30</c:f>
              <c:numCache/>
            </c:numRef>
          </c:cat>
          <c:val>
            <c:numRef>
              <c:f>'$-kW Basis'!$J$8:$J$30</c:f>
              <c:numCache/>
            </c:numRef>
          </c:val>
          <c:smooth val="0"/>
        </c:ser>
        <c:ser>
          <c:idx val="8"/>
          <c:order val="8"/>
          <c:tx>
            <c:strRef>
              <c:f>'$-kW Basis'!$K$4</c:f>
              <c:strCache>
                <c:ptCount val="1"/>
                <c:pt idx="0">
                  <c:v>Biomass</c:v>
                </c:pt>
              </c:strCache>
            </c:strRef>
          </c:tx>
          <c:spPr>
            <a:ln w="127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'$-kW Basis'!$B$8:$B$30</c:f>
              <c:numCache/>
            </c:numRef>
          </c:cat>
          <c:val>
            <c:numRef>
              <c:f>'$-kW Basis'!$K$8:$K$30</c:f>
              <c:numCache/>
            </c:numRef>
          </c:val>
          <c:smooth val="0"/>
        </c:ser>
        <c:ser>
          <c:idx val="9"/>
          <c:order val="9"/>
          <c:tx>
            <c:strRef>
              <c:f>'$-kW Basis'!$L$4</c:f>
              <c:strCache>
                <c:ptCount val="1"/>
                <c:pt idx="0">
                  <c:v>Nuclear</c:v>
                </c:pt>
              </c:strCache>
            </c:strRef>
          </c:tx>
          <c:spPr>
            <a:ln w="12700">
              <a:solidFill>
                <a:srgbClr val="CCFF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'$-kW Basis'!$B$8:$B$30</c:f>
              <c:numCache/>
            </c:numRef>
          </c:cat>
          <c:val>
            <c:numRef>
              <c:f>'$-kW Basis'!$L$8:$L$30</c:f>
              <c:numCache/>
            </c:numRef>
          </c:val>
          <c:smooth val="0"/>
        </c:ser>
        <c:ser>
          <c:idx val="10"/>
          <c:order val="10"/>
          <c:tx>
            <c:strRef>
              <c:f>'$-kW Basis'!$M$4</c:f>
              <c:strCache>
                <c:ptCount val="1"/>
                <c:pt idx="0">
                  <c:v>CT50</c:v>
                </c:pt>
              </c:strCache>
            </c:strRef>
          </c:tx>
          <c:spPr>
            <a:ln w="12700">
              <a:solidFill>
                <a:srgbClr val="CCFF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'$-kW Basis'!$B$8:$B$30</c:f>
              <c:numCache/>
            </c:numRef>
          </c:cat>
          <c:val>
            <c:numRef>
              <c:f>'$-kW Basis'!$M$8:$M$30</c:f>
              <c:numCache/>
            </c:numRef>
          </c:val>
          <c:smooth val="0"/>
        </c:ser>
        <c:ser>
          <c:idx val="11"/>
          <c:order val="11"/>
          <c:tx>
            <c:strRef>
              <c:f>'$-kW Basis'!$N$4</c:f>
              <c:strCache>
                <c:ptCount val="1"/>
                <c:pt idx="0">
                  <c:v>CT200</c:v>
                </c:pt>
              </c:strCache>
            </c:strRef>
          </c:tx>
          <c:spPr>
            <a:ln w="12700">
              <a:solidFill>
                <a:srgbClr val="FFFF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'$-kW Basis'!$B$8:$B$30</c:f>
              <c:numCache/>
            </c:numRef>
          </c:cat>
          <c:val>
            <c:numRef>
              <c:f>'$-kW Basis'!$N$8:$N$30</c:f>
              <c:numCache/>
            </c:numRef>
          </c:val>
          <c:smooth val="0"/>
        </c:ser>
        <c:ser>
          <c:idx val="12"/>
          <c:order val="12"/>
          <c:tx>
            <c:strRef>
              <c:f>'$-kW Basis'!$O$4</c:f>
              <c:strCache>
                <c:ptCount val="1"/>
                <c:pt idx="0">
                  <c:v>CC600</c:v>
                </c:pt>
              </c:strCache>
            </c:strRef>
          </c:tx>
          <c:spPr>
            <a:ln w="12700">
              <a:solidFill>
                <a:srgbClr val="99CC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'$-kW Basis'!$B$8:$B$30</c:f>
              <c:numCache/>
            </c:numRef>
          </c:cat>
          <c:val>
            <c:numRef>
              <c:f>'$-kW Basis'!$O$8:$O$30</c:f>
              <c:numCache/>
            </c:numRef>
          </c:val>
          <c:smooth val="0"/>
        </c:ser>
        <c:ser>
          <c:idx val="13"/>
          <c:order val="13"/>
          <c:tx>
            <c:strRef>
              <c:f>'$-kW Basis'!$P$4</c:f>
              <c:strCache>
                <c:ptCount val="1"/>
                <c:pt idx="0">
                  <c:v>CC300</c:v>
                </c:pt>
              </c:strCache>
            </c:strRef>
          </c:tx>
          <c:spPr>
            <a:ln w="12700">
              <a:solidFill>
                <a:srgbClr val="FF99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'$-kW Basis'!$B$8:$B$30</c:f>
              <c:numCache/>
            </c:numRef>
          </c:cat>
          <c:val>
            <c:numRef>
              <c:f>'$-kW Basis'!$P$8:$P$30</c:f>
              <c:numCache/>
            </c:numRef>
          </c:val>
          <c:smooth val="0"/>
        </c:ser>
        <c:ser>
          <c:idx val="14"/>
          <c:order val="14"/>
          <c:tx>
            <c:strRef>
              <c:f>'$-kW Basis'!$Q$4</c:f>
              <c:strCache>
                <c:ptCount val="1"/>
                <c:pt idx="0">
                  <c:v>CC400-Hsystem</c:v>
                </c:pt>
              </c:strCache>
            </c:strRef>
          </c:tx>
          <c:spPr>
            <a:ln w="12700">
              <a:solidFill>
                <a:srgbClr val="CC99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'$-kW Basis'!$B$8:$B$30</c:f>
              <c:numCache/>
            </c:numRef>
          </c:cat>
          <c:val>
            <c:numRef>
              <c:f>'$-kW Basis'!$Q$8:$Q$30</c:f>
              <c:numCache/>
            </c:numRef>
          </c:val>
          <c:smooth val="0"/>
        </c:ser>
        <c:ser>
          <c:idx val="15"/>
          <c:order val="15"/>
          <c:tx>
            <c:strRef>
              <c:f>'$-kW Basis'!$R$4</c:f>
              <c:strCache>
                <c:ptCount val="1"/>
                <c:pt idx="0">
                  <c:v>CTAero</c:v>
                </c:pt>
              </c:strCache>
            </c:strRef>
          </c:tx>
          <c:spPr>
            <a:ln w="12700">
              <a:solidFill>
                <a:srgbClr val="FFCC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'$-kW Basis'!$B$8:$B$30</c:f>
              <c:numCache/>
            </c:numRef>
          </c:cat>
          <c:val>
            <c:numRef>
              <c:f>'$-kW Basis'!$R$8:$R$30</c:f>
              <c:numCache/>
            </c:numRef>
          </c:val>
          <c:smooth val="0"/>
        </c:ser>
        <c:marker val="1"/>
        <c:axId val="29722233"/>
        <c:axId val="66173506"/>
      </c:lineChart>
      <c:catAx>
        <c:axId val="29722233"/>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1000" b="0" i="0" u="none" baseline="0">
                <a:solidFill>
                  <a:srgbClr val="000000"/>
                </a:solidFill>
                <a:latin typeface="Arial"/>
                <a:ea typeface="Arial"/>
                <a:cs typeface="Arial"/>
              </a:defRPr>
            </a:pPr>
          </a:p>
        </c:txPr>
        <c:crossAx val="66173506"/>
        <c:crosses val="autoZero"/>
        <c:auto val="1"/>
        <c:lblOffset val="100"/>
        <c:tickLblSkip val="1"/>
        <c:noMultiLvlLbl val="0"/>
      </c:catAx>
      <c:valAx>
        <c:axId val="66173506"/>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9722233"/>
        <c:crossesAt val="1"/>
        <c:crossBetween val="between"/>
        <c:dispUnits/>
      </c:valAx>
      <c:spPr>
        <a:solidFill>
          <a:srgbClr val="FFFFCC"/>
        </a:solidFill>
        <a:ln w="12700">
          <a:solidFill>
            <a:srgbClr val="808080"/>
          </a:solidFill>
        </a:ln>
      </c:spPr>
    </c:plotArea>
    <c:legend>
      <c:legendPos val="r"/>
      <c:layout>
        <c:manualLayout>
          <c:xMode val="edge"/>
          <c:yMode val="edge"/>
          <c:x val="0.2295"/>
          <c:y val="0.85375"/>
          <c:w val="0.7705"/>
          <c:h val="0.13825"/>
        </c:manualLayout>
      </c:layout>
      <c:overlay val="0"/>
      <c:spPr>
        <a:solidFill>
          <a:srgbClr val="FFFFFF"/>
        </a:solidFill>
        <a:ln w="3175">
          <a:noFill/>
        </a:ln>
      </c:spPr>
      <c:txPr>
        <a:bodyPr vert="horz" rot="0"/>
        <a:lstStyle/>
        <a:p>
          <a:pPr>
            <a:defRPr lang="en-US" cap="none" sz="67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000" b="1" i="0" u="none" baseline="0">
                <a:solidFill>
                  <a:srgbClr val="000000"/>
                </a:solidFill>
                <a:latin typeface="Arial"/>
                <a:ea typeface="Arial"/>
                <a:cs typeface="Arial"/>
              </a:rPr>
              <a:t>AEP Capital Costs (nominal $/kW)</a:t>
            </a:r>
          </a:p>
        </c:rich>
      </c:tx>
      <c:layout>
        <c:manualLayout>
          <c:xMode val="factor"/>
          <c:yMode val="factor"/>
          <c:x val="0.007"/>
          <c:y val="-0.019"/>
        </c:manualLayout>
      </c:layout>
      <c:spPr>
        <a:noFill/>
        <a:ln>
          <a:noFill/>
        </a:ln>
      </c:spPr>
    </c:title>
    <c:plotArea>
      <c:layout>
        <c:manualLayout>
          <c:xMode val="edge"/>
          <c:yMode val="edge"/>
          <c:x val="0.0195"/>
          <c:y val="0.04575"/>
          <c:w val="0.963"/>
          <c:h val="0.87825"/>
        </c:manualLayout>
      </c:layout>
      <c:lineChart>
        <c:grouping val="standard"/>
        <c:varyColors val="0"/>
        <c:ser>
          <c:idx val="0"/>
          <c:order val="0"/>
          <c:tx>
            <c:strRef>
              <c:f>'$-kW Basis'!$U$4</c:f>
              <c:strCache>
                <c:ptCount val="1"/>
                <c:pt idx="0">
                  <c:v>PC East</c:v>
                </c:pt>
              </c:strCache>
            </c:strRef>
          </c:tx>
          <c:spPr>
            <a:ln w="254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'$-kW Basis'!$B$8:$B$30</c:f>
              <c:numCache/>
            </c:numRef>
          </c:cat>
          <c:val>
            <c:numRef>
              <c:f>'$-kW Basis'!$U$8:$U$30</c:f>
              <c:numCache/>
            </c:numRef>
          </c:val>
          <c:smooth val="0"/>
        </c:ser>
        <c:ser>
          <c:idx val="12"/>
          <c:order val="1"/>
          <c:tx>
            <c:strRef>
              <c:f>'$-kW Basis'!$AG$4</c:f>
              <c:strCache>
                <c:ptCount val="1"/>
                <c:pt idx="0">
                  <c:v>CC600</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'$-kW Basis'!$B$8:$B$30</c:f>
              <c:numCache/>
            </c:numRef>
          </c:cat>
          <c:val>
            <c:numRef>
              <c:f>'$-kW Basis'!$AG$8:$AG$30</c:f>
              <c:numCache/>
            </c:numRef>
          </c:val>
          <c:smooth val="0"/>
        </c:ser>
        <c:marker val="1"/>
        <c:axId val="58690643"/>
        <c:axId val="58453740"/>
      </c:lineChart>
      <c:catAx>
        <c:axId val="58690643"/>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1000" b="0" i="0" u="none" baseline="0">
                <a:solidFill>
                  <a:srgbClr val="000000"/>
                </a:solidFill>
                <a:latin typeface="Arial"/>
                <a:ea typeface="Arial"/>
                <a:cs typeface="Arial"/>
              </a:defRPr>
            </a:pPr>
          </a:p>
        </c:txPr>
        <c:crossAx val="58453740"/>
        <c:crosses val="autoZero"/>
        <c:auto val="1"/>
        <c:lblOffset val="100"/>
        <c:tickLblSkip val="1"/>
        <c:noMultiLvlLbl val="0"/>
      </c:catAx>
      <c:valAx>
        <c:axId val="58453740"/>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8690643"/>
        <c:crossesAt val="1"/>
        <c:crossBetween val="between"/>
        <c:dispUnits/>
      </c:valAx>
      <c:spPr>
        <a:solidFill>
          <a:srgbClr val="FFFFCC"/>
        </a:solidFill>
        <a:ln w="12700">
          <a:solidFill>
            <a:srgbClr val="808080"/>
          </a:solidFill>
        </a:ln>
      </c:spPr>
    </c:plotArea>
    <c:legend>
      <c:legendPos val="r"/>
      <c:layout>
        <c:manualLayout>
          <c:xMode val="edge"/>
          <c:yMode val="edge"/>
          <c:x val="0.44825"/>
          <c:y val="0.927"/>
          <c:w val="0.53775"/>
          <c:h val="0.073"/>
        </c:manualLayout>
      </c:layout>
      <c:overlay val="0"/>
      <c:spPr>
        <a:solidFill>
          <a:srgbClr val="FFFFFF"/>
        </a:solidFill>
        <a:ln w="3175">
          <a:noFill/>
        </a:ln>
      </c:spPr>
      <c:txPr>
        <a:bodyPr vert="horz" rot="0"/>
        <a:lstStyle/>
        <a:p>
          <a:pPr>
            <a:defRPr lang="en-US" cap="none" sz="67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10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 Id="rId3" Type="http://schemas.openxmlformats.org/officeDocument/2006/relationships/chart" Target="/xl/charts/chart4.xml" /><Relationship Id="rId4" Type="http://schemas.openxmlformats.org/officeDocument/2006/relationships/chart" Target="/xl/charts/chart5.xml" /><Relationship Id="rId5" Type="http://schemas.openxmlformats.org/officeDocument/2006/relationships/chart" Target="/xl/charts/chart6.xml"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chart" Target="/xl/charts/chart9.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542925</xdr:colOff>
      <xdr:row>109</xdr:row>
      <xdr:rowOff>57150</xdr:rowOff>
    </xdr:from>
    <xdr:to>
      <xdr:col>13</xdr:col>
      <xdr:colOff>581025</xdr:colOff>
      <xdr:row>128</xdr:row>
      <xdr:rowOff>95250</xdr:rowOff>
    </xdr:to>
    <xdr:graphicFrame>
      <xdr:nvGraphicFramePr>
        <xdr:cNvPr id="1" name="Chart 1"/>
        <xdr:cNvGraphicFramePr/>
      </xdr:nvGraphicFramePr>
      <xdr:xfrm>
        <a:off x="3590925" y="17868900"/>
        <a:ext cx="4914900" cy="311467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361950</xdr:colOff>
      <xdr:row>35</xdr:row>
      <xdr:rowOff>104775</xdr:rowOff>
    </xdr:from>
    <xdr:to>
      <xdr:col>30</xdr:col>
      <xdr:colOff>381000</xdr:colOff>
      <xdr:row>59</xdr:row>
      <xdr:rowOff>57150</xdr:rowOff>
    </xdr:to>
    <xdr:graphicFrame>
      <xdr:nvGraphicFramePr>
        <xdr:cNvPr id="1" name="Chart 5"/>
        <xdr:cNvGraphicFramePr/>
      </xdr:nvGraphicFramePr>
      <xdr:xfrm>
        <a:off x="18383250" y="5772150"/>
        <a:ext cx="4895850" cy="3838575"/>
      </xdr:xfrm>
      <a:graphic>
        <a:graphicData uri="http://schemas.openxmlformats.org/drawingml/2006/chart">
          <c:chart xmlns:c="http://schemas.openxmlformats.org/drawingml/2006/chart" r:id="rId1"/>
        </a:graphicData>
      </a:graphic>
    </xdr:graphicFrame>
    <xdr:clientData/>
  </xdr:twoCellAnchor>
  <xdr:twoCellAnchor>
    <xdr:from>
      <xdr:col>2</xdr:col>
      <xdr:colOff>57150</xdr:colOff>
      <xdr:row>242</xdr:row>
      <xdr:rowOff>19050</xdr:rowOff>
    </xdr:from>
    <xdr:to>
      <xdr:col>5</xdr:col>
      <xdr:colOff>400050</xdr:colOff>
      <xdr:row>255</xdr:row>
      <xdr:rowOff>0</xdr:rowOff>
    </xdr:to>
    <xdr:graphicFrame>
      <xdr:nvGraphicFramePr>
        <xdr:cNvPr id="2" name="Chart 100"/>
        <xdr:cNvGraphicFramePr/>
      </xdr:nvGraphicFramePr>
      <xdr:xfrm>
        <a:off x="2219325" y="39414450"/>
        <a:ext cx="4629150" cy="2085975"/>
      </xdr:xfrm>
      <a:graphic>
        <a:graphicData uri="http://schemas.openxmlformats.org/drawingml/2006/chart">
          <c:chart xmlns:c="http://schemas.openxmlformats.org/drawingml/2006/chart" r:id="rId2"/>
        </a:graphicData>
      </a:graphic>
    </xdr:graphicFrame>
    <xdr:clientData/>
  </xdr:twoCellAnchor>
  <xdr:twoCellAnchor>
    <xdr:from>
      <xdr:col>2</xdr:col>
      <xdr:colOff>66675</xdr:colOff>
      <xdr:row>256</xdr:row>
      <xdr:rowOff>152400</xdr:rowOff>
    </xdr:from>
    <xdr:to>
      <xdr:col>5</xdr:col>
      <xdr:colOff>400050</xdr:colOff>
      <xdr:row>270</xdr:row>
      <xdr:rowOff>38100</xdr:rowOff>
    </xdr:to>
    <xdr:graphicFrame>
      <xdr:nvGraphicFramePr>
        <xdr:cNvPr id="3" name="Chart 101"/>
        <xdr:cNvGraphicFramePr/>
      </xdr:nvGraphicFramePr>
      <xdr:xfrm>
        <a:off x="2228850" y="41814750"/>
        <a:ext cx="4619625" cy="2152650"/>
      </xdr:xfrm>
      <a:graphic>
        <a:graphicData uri="http://schemas.openxmlformats.org/drawingml/2006/chart">
          <c:chart xmlns:c="http://schemas.openxmlformats.org/drawingml/2006/chart" r:id="rId3"/>
        </a:graphicData>
      </a:graphic>
    </xdr:graphicFrame>
    <xdr:clientData/>
  </xdr:twoCellAnchor>
  <xdr:twoCellAnchor>
    <xdr:from>
      <xdr:col>10</xdr:col>
      <xdr:colOff>19050</xdr:colOff>
      <xdr:row>118</xdr:row>
      <xdr:rowOff>19050</xdr:rowOff>
    </xdr:from>
    <xdr:to>
      <xdr:col>18</xdr:col>
      <xdr:colOff>304800</xdr:colOff>
      <xdr:row>133</xdr:row>
      <xdr:rowOff>104775</xdr:rowOff>
    </xdr:to>
    <xdr:graphicFrame>
      <xdr:nvGraphicFramePr>
        <xdr:cNvPr id="4" name="Chart 395"/>
        <xdr:cNvGraphicFramePr/>
      </xdr:nvGraphicFramePr>
      <xdr:xfrm>
        <a:off x="10725150" y="19335750"/>
        <a:ext cx="5162550" cy="2514600"/>
      </xdr:xfrm>
      <a:graphic>
        <a:graphicData uri="http://schemas.openxmlformats.org/drawingml/2006/chart">
          <c:chart xmlns:c="http://schemas.openxmlformats.org/drawingml/2006/chart" r:id="rId4"/>
        </a:graphicData>
      </a:graphic>
    </xdr:graphicFrame>
    <xdr:clientData/>
  </xdr:twoCellAnchor>
  <xdr:twoCellAnchor>
    <xdr:from>
      <xdr:col>10</xdr:col>
      <xdr:colOff>0</xdr:colOff>
      <xdr:row>138</xdr:row>
      <xdr:rowOff>19050</xdr:rowOff>
    </xdr:from>
    <xdr:to>
      <xdr:col>18</xdr:col>
      <xdr:colOff>333375</xdr:colOff>
      <xdr:row>153</xdr:row>
      <xdr:rowOff>104775</xdr:rowOff>
    </xdr:to>
    <xdr:graphicFrame>
      <xdr:nvGraphicFramePr>
        <xdr:cNvPr id="5" name="Chart 396"/>
        <xdr:cNvGraphicFramePr/>
      </xdr:nvGraphicFramePr>
      <xdr:xfrm>
        <a:off x="10706100" y="22574250"/>
        <a:ext cx="5210175" cy="2514600"/>
      </xdr:xfrm>
      <a:graphic>
        <a:graphicData uri="http://schemas.openxmlformats.org/drawingml/2006/chart">
          <c:chart xmlns:c="http://schemas.openxmlformats.org/drawingml/2006/chart" r:id="rId5"/>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22</xdr:row>
      <xdr:rowOff>0</xdr:rowOff>
    </xdr:from>
    <xdr:to>
      <xdr:col>2</xdr:col>
      <xdr:colOff>1285875</xdr:colOff>
      <xdr:row>26</xdr:row>
      <xdr:rowOff>0</xdr:rowOff>
    </xdr:to>
    <xdr:pic>
      <xdr:nvPicPr>
        <xdr:cNvPr id="1" name="Picture 1" descr="North American Power Insight Service"/>
        <xdr:cNvPicPr preferRelativeResize="1">
          <a:picLocks noChangeAspect="1"/>
        </xdr:cNvPicPr>
      </xdr:nvPicPr>
      <xdr:blipFill>
        <a:blip r:embed="rId1"/>
        <a:stretch>
          <a:fillRect/>
        </a:stretch>
      </xdr:blipFill>
      <xdr:spPr>
        <a:xfrm>
          <a:off x="0" y="3562350"/>
          <a:ext cx="4429125" cy="6477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409575</xdr:colOff>
      <xdr:row>22</xdr:row>
      <xdr:rowOff>9525</xdr:rowOff>
    </xdr:from>
    <xdr:to>
      <xdr:col>26</xdr:col>
      <xdr:colOff>209550</xdr:colOff>
      <xdr:row>37</xdr:row>
      <xdr:rowOff>104775</xdr:rowOff>
    </xdr:to>
    <xdr:graphicFrame>
      <xdr:nvGraphicFramePr>
        <xdr:cNvPr id="1" name="Chart 5"/>
        <xdr:cNvGraphicFramePr/>
      </xdr:nvGraphicFramePr>
      <xdr:xfrm>
        <a:off x="13201650" y="3867150"/>
        <a:ext cx="4676775" cy="2524125"/>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647700</xdr:colOff>
      <xdr:row>36</xdr:row>
      <xdr:rowOff>85725</xdr:rowOff>
    </xdr:from>
    <xdr:to>
      <xdr:col>9</xdr:col>
      <xdr:colOff>238125</xdr:colOff>
      <xdr:row>58</xdr:row>
      <xdr:rowOff>123825</xdr:rowOff>
    </xdr:to>
    <xdr:graphicFrame>
      <xdr:nvGraphicFramePr>
        <xdr:cNvPr id="1" name="Chart 3"/>
        <xdr:cNvGraphicFramePr/>
      </xdr:nvGraphicFramePr>
      <xdr:xfrm>
        <a:off x="1371600" y="5124450"/>
        <a:ext cx="5524500" cy="3600450"/>
      </xdr:xfrm>
      <a:graphic>
        <a:graphicData uri="http://schemas.openxmlformats.org/drawingml/2006/chart">
          <c:chart xmlns:c="http://schemas.openxmlformats.org/drawingml/2006/chart" r:id="rId1"/>
        </a:graphicData>
      </a:graphic>
    </xdr:graphicFrame>
    <xdr:clientData/>
  </xdr:twoCellAnchor>
  <xdr:twoCellAnchor>
    <xdr:from>
      <xdr:col>22</xdr:col>
      <xdr:colOff>257175</xdr:colOff>
      <xdr:row>32</xdr:row>
      <xdr:rowOff>19050</xdr:rowOff>
    </xdr:from>
    <xdr:to>
      <xdr:col>31</xdr:col>
      <xdr:colOff>295275</xdr:colOff>
      <xdr:row>54</xdr:row>
      <xdr:rowOff>66675</xdr:rowOff>
    </xdr:to>
    <xdr:graphicFrame>
      <xdr:nvGraphicFramePr>
        <xdr:cNvPr id="2" name="Chart 4"/>
        <xdr:cNvGraphicFramePr/>
      </xdr:nvGraphicFramePr>
      <xdr:xfrm>
        <a:off x="15392400" y="4410075"/>
        <a:ext cx="5524500" cy="3609975"/>
      </xdr:xfrm>
      <a:graphic>
        <a:graphicData uri="http://schemas.openxmlformats.org/drawingml/2006/chart">
          <c:chart xmlns:c="http://schemas.openxmlformats.org/drawingml/2006/chart" r:id="rId2"/>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3</xdr:row>
      <xdr:rowOff>19050</xdr:rowOff>
    </xdr:from>
    <xdr:to>
      <xdr:col>11</xdr:col>
      <xdr:colOff>0</xdr:colOff>
      <xdr:row>22</xdr:row>
      <xdr:rowOff>152400</xdr:rowOff>
    </xdr:to>
    <xdr:graphicFrame>
      <xdr:nvGraphicFramePr>
        <xdr:cNvPr id="1" name="Chart 1"/>
        <xdr:cNvGraphicFramePr/>
      </xdr:nvGraphicFramePr>
      <xdr:xfrm>
        <a:off x="628650" y="504825"/>
        <a:ext cx="6076950" cy="32099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4.vml" /><Relationship Id="rId3" Type="http://schemas.openxmlformats.org/officeDocument/2006/relationships/drawing" Target="../drawings/drawing4.xml" /><Relationship Id="rId4" Type="http://schemas.openxmlformats.org/officeDocument/2006/relationships/printerSettings" Target="../printerSettings/printerSettings8.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5.vml" /><Relationship Id="rId3" Type="http://schemas.openxmlformats.org/officeDocument/2006/relationships/printerSettings" Target="../printerSettings/printerSettings9.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0.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3.vml" /><Relationship Id="rId3" Type="http://schemas.openxmlformats.org/officeDocument/2006/relationships/drawing" Target="../drawings/drawing2.xml" /><Relationship Id="rId4"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dimension ref="A1:AC33"/>
  <sheetViews>
    <sheetView showGridLines="0" tabSelected="1" zoomScalePageLayoutView="0" workbookViewId="0" topLeftCell="A1">
      <pane xSplit="2" ySplit="3" topLeftCell="C4" activePane="bottomRight" state="frozen"/>
      <selection pane="topLeft" activeCell="A1" sqref="A1"/>
      <selection pane="topRight" activeCell="C1" sqref="C1"/>
      <selection pane="bottomLeft" activeCell="A4" sqref="A4"/>
      <selection pane="bottomRight" activeCell="F14" sqref="F14"/>
    </sheetView>
  </sheetViews>
  <sheetFormatPr defaultColWidth="9.140625" defaultRowHeight="12.75"/>
  <cols>
    <col min="2" max="2" width="19.28125" style="0" customWidth="1"/>
    <col min="3" max="7" width="15.00390625" style="0" customWidth="1"/>
    <col min="8" max="8" width="13.57421875" style="0" customWidth="1"/>
    <col min="9" max="9" width="7.7109375" style="0" customWidth="1"/>
    <col min="10" max="10" width="13.28125" style="0" bestFit="1" customWidth="1"/>
    <col min="11" max="11" width="9.421875" style="0" bestFit="1" customWidth="1"/>
    <col min="12" max="14" width="10.421875" style="0" bestFit="1" customWidth="1"/>
    <col min="16" max="21" width="16.00390625" style="0" customWidth="1"/>
    <col min="23" max="28" width="16.8515625" style="0" customWidth="1"/>
  </cols>
  <sheetData>
    <row r="1" spans="1:8" ht="12.75">
      <c r="A1" s="486" t="s">
        <v>16</v>
      </c>
      <c r="B1" s="488" t="s">
        <v>103</v>
      </c>
      <c r="C1" s="489"/>
      <c r="D1" s="489"/>
      <c r="E1" s="489"/>
      <c r="F1" s="489"/>
      <c r="G1" s="489"/>
      <c r="H1" s="490"/>
    </row>
    <row r="2" spans="1:23" ht="13.5" thickBot="1">
      <c r="A2" s="487"/>
      <c r="B2" s="254" t="s">
        <v>236</v>
      </c>
      <c r="C2" s="491" t="s">
        <v>231</v>
      </c>
      <c r="D2" s="492"/>
      <c r="E2" s="492"/>
      <c r="F2" s="492"/>
      <c r="G2" s="492"/>
      <c r="H2" s="493"/>
      <c r="J2" t="s">
        <v>240</v>
      </c>
      <c r="P2" t="s">
        <v>242</v>
      </c>
      <c r="W2" t="s">
        <v>245</v>
      </c>
    </row>
    <row r="3" spans="1:29" ht="13.5" thickBot="1">
      <c r="A3" s="232"/>
      <c r="B3" s="174" t="s">
        <v>101</v>
      </c>
      <c r="C3" s="174" t="s">
        <v>102</v>
      </c>
      <c r="D3" s="224" t="s">
        <v>173</v>
      </c>
      <c r="E3" s="174" t="s">
        <v>233</v>
      </c>
      <c r="F3" s="174" t="s">
        <v>234</v>
      </c>
      <c r="G3" s="175" t="s">
        <v>235</v>
      </c>
      <c r="H3" s="224" t="s">
        <v>251</v>
      </c>
      <c r="J3" s="174" t="s">
        <v>101</v>
      </c>
      <c r="K3" s="174" t="s">
        <v>102</v>
      </c>
      <c r="L3" s="174" t="s">
        <v>173</v>
      </c>
      <c r="M3" s="174" t="s">
        <v>233</v>
      </c>
      <c r="N3" s="174" t="s">
        <v>234</v>
      </c>
      <c r="O3" s="174" t="s">
        <v>235</v>
      </c>
      <c r="Q3" s="174" t="s">
        <v>101</v>
      </c>
      <c r="R3" s="174" t="s">
        <v>102</v>
      </c>
      <c r="S3" s="174" t="s">
        <v>173</v>
      </c>
      <c r="T3" s="174" t="s">
        <v>233</v>
      </c>
      <c r="U3" s="174" t="s">
        <v>234</v>
      </c>
      <c r="V3" s="174" t="s">
        <v>235</v>
      </c>
      <c r="X3" s="174" t="s">
        <v>101</v>
      </c>
      <c r="Y3" s="174" t="s">
        <v>102</v>
      </c>
      <c r="Z3" s="174" t="s">
        <v>173</v>
      </c>
      <c r="AA3" s="174" t="s">
        <v>233</v>
      </c>
      <c r="AB3" s="174" t="s">
        <v>234</v>
      </c>
      <c r="AC3" s="174" t="s">
        <v>235</v>
      </c>
    </row>
    <row r="4" spans="1:29" ht="12.75">
      <c r="A4" s="233" t="s">
        <v>80</v>
      </c>
      <c r="B4" s="176">
        <f>+'$-kW Basis'!C15</f>
        <v>3314</v>
      </c>
      <c r="C4" s="238">
        <f>+EIA_CapitalCosts!$E$8*(1+$C$15)^2</f>
        <v>1506.4336084491881</v>
      </c>
      <c r="D4" s="240">
        <f>WoodMac_CapitalCosts!B12</f>
        <v>2500</v>
      </c>
      <c r="E4" s="238">
        <f>CERA_CapitalCosts!F30</f>
        <v>3303.370786516854</v>
      </c>
      <c r="F4" s="238">
        <f>CERA_CapitalCosts!F60</f>
        <v>3117.9775280898875</v>
      </c>
      <c r="G4" s="239">
        <f>CERA_CapitalCosts!F90</f>
        <v>3589.887640449438</v>
      </c>
      <c r="H4" s="225"/>
      <c r="J4" s="250">
        <f aca="true" t="shared" si="0" ref="J4:J9">+B4-B$4</f>
        <v>0</v>
      </c>
      <c r="K4" s="250">
        <f aca="true" t="shared" si="1" ref="K4:O9">+C4-C$4</f>
        <v>0</v>
      </c>
      <c r="L4" s="250">
        <f t="shared" si="1"/>
        <v>0</v>
      </c>
      <c r="M4" s="250">
        <f t="shared" si="1"/>
        <v>0</v>
      </c>
      <c r="N4" s="250">
        <f t="shared" si="1"/>
        <v>0</v>
      </c>
      <c r="O4" s="250">
        <f t="shared" si="1"/>
        <v>0</v>
      </c>
      <c r="Q4" s="251">
        <f aca="true" t="shared" si="2" ref="Q4:Q9">+B4/B$4</f>
        <v>1</v>
      </c>
      <c r="R4" s="251">
        <f aca="true" t="shared" si="3" ref="R4:V9">+C4/C$4</f>
        <v>1</v>
      </c>
      <c r="S4" s="251">
        <f t="shared" si="3"/>
        <v>1</v>
      </c>
      <c r="T4" s="251">
        <f t="shared" si="3"/>
        <v>1</v>
      </c>
      <c r="U4" s="251">
        <f t="shared" si="3"/>
        <v>1</v>
      </c>
      <c r="V4" s="251">
        <f t="shared" si="3"/>
        <v>1</v>
      </c>
      <c r="X4" s="250">
        <f aca="true" t="shared" si="4" ref="X4:AC4">$B$4-B4</f>
        <v>0</v>
      </c>
      <c r="Y4" s="250">
        <f t="shared" si="4"/>
        <v>1807.5663915508119</v>
      </c>
      <c r="Z4" s="250">
        <f t="shared" si="4"/>
        <v>814</v>
      </c>
      <c r="AA4" s="250">
        <f t="shared" si="4"/>
        <v>10.629213483146032</v>
      </c>
      <c r="AB4" s="250">
        <f t="shared" si="4"/>
        <v>196.02247191011247</v>
      </c>
      <c r="AC4" s="250">
        <f t="shared" si="4"/>
        <v>-275.8876404494381</v>
      </c>
    </row>
    <row r="5" spans="1:29" ht="12.75">
      <c r="A5" s="234" t="s">
        <v>50</v>
      </c>
      <c r="B5" s="178">
        <f>+'$-kW Basis'!E15</f>
        <v>3833</v>
      </c>
      <c r="C5" s="241">
        <f>+EIA_CapitalCosts!$E$9*(1+$C$15)^2</f>
        <v>1741.152510404234</v>
      </c>
      <c r="D5" s="242">
        <f>WoodMac_CapitalCosts!B15</f>
        <v>3000</v>
      </c>
      <c r="E5" s="243">
        <f>CERA_CapitalCosts!G30</f>
        <v>5761.8</v>
      </c>
      <c r="F5" s="243">
        <f>CERA_CapitalCosts!G60</f>
        <v>5040.730337078651</v>
      </c>
      <c r="G5" s="244">
        <f>CERA_CapitalCosts!G90</f>
        <v>0</v>
      </c>
      <c r="H5" s="226"/>
      <c r="J5" s="250">
        <f t="shared" si="0"/>
        <v>519</v>
      </c>
      <c r="K5" s="250">
        <f t="shared" si="1"/>
        <v>234.7189019550458</v>
      </c>
      <c r="L5" s="250">
        <f t="shared" si="1"/>
        <v>500</v>
      </c>
      <c r="M5" s="250">
        <f t="shared" si="1"/>
        <v>2458.429213483146</v>
      </c>
      <c r="N5" s="250">
        <f t="shared" si="1"/>
        <v>1922.7528089887637</v>
      </c>
      <c r="O5" s="252" t="s">
        <v>241</v>
      </c>
      <c r="Q5" s="251">
        <f t="shared" si="2"/>
        <v>1.1566083283041642</v>
      </c>
      <c r="R5" s="251">
        <f t="shared" si="3"/>
        <v>1.1558109833971901</v>
      </c>
      <c r="S5" s="251">
        <f t="shared" si="3"/>
        <v>1.2</v>
      </c>
      <c r="T5" s="251">
        <f t="shared" si="3"/>
        <v>1.744218367346939</v>
      </c>
      <c r="U5" s="251">
        <f t="shared" si="3"/>
        <v>1.6166666666666665</v>
      </c>
      <c r="V5" s="251"/>
      <c r="X5" s="250">
        <f aca="true" t="shared" si="5" ref="X5:AC5">$B$5-B5</f>
        <v>0</v>
      </c>
      <c r="Y5" s="250">
        <f t="shared" si="5"/>
        <v>2091.847489595766</v>
      </c>
      <c r="Z5" s="250">
        <f t="shared" si="5"/>
        <v>833</v>
      </c>
      <c r="AA5" s="250">
        <f t="shared" si="5"/>
        <v>-1928.8000000000002</v>
      </c>
      <c r="AB5" s="250">
        <f t="shared" si="5"/>
        <v>-1207.7303370786512</v>
      </c>
      <c r="AC5" s="250">
        <f t="shared" si="5"/>
        <v>3833</v>
      </c>
    </row>
    <row r="6" spans="1:29" ht="12.75">
      <c r="A6" s="234" t="s">
        <v>81</v>
      </c>
      <c r="B6" s="178">
        <f>+'$-kW Basis'!O15</f>
        <v>1001</v>
      </c>
      <c r="C6" s="241">
        <f>+EIA_CapitalCosts!$E$11*(1+$C$15)^2</f>
        <v>717.624183846165</v>
      </c>
      <c r="D6" s="242">
        <f>WoodMac_CapitalCosts!B18</f>
        <v>800</v>
      </c>
      <c r="E6" s="241">
        <f>CERA_CapitalCosts!D30</f>
        <v>1057.2916666666667</v>
      </c>
      <c r="F6" s="241">
        <f>CERA_CapitalCosts!D60</f>
        <v>1156.25</v>
      </c>
      <c r="G6" s="245">
        <f>CERA_CapitalCosts!D90</f>
        <v>973.9583333333334</v>
      </c>
      <c r="H6" s="226"/>
      <c r="J6" s="250">
        <f t="shared" si="0"/>
        <v>-2313</v>
      </c>
      <c r="K6" s="250">
        <f t="shared" si="1"/>
        <v>-788.8094246030231</v>
      </c>
      <c r="L6" s="250">
        <f t="shared" si="1"/>
        <v>-1700</v>
      </c>
      <c r="M6" s="250">
        <f t="shared" si="1"/>
        <v>-2246.0791198501875</v>
      </c>
      <c r="N6" s="250">
        <f t="shared" si="1"/>
        <v>-1961.7275280898875</v>
      </c>
      <c r="O6" s="250">
        <f t="shared" si="1"/>
        <v>-2615.9293071161046</v>
      </c>
      <c r="Q6" s="251">
        <f t="shared" si="2"/>
        <v>0.30205190102595053</v>
      </c>
      <c r="R6" s="251">
        <f t="shared" si="3"/>
        <v>0.4763729246487867</v>
      </c>
      <c r="S6" s="251">
        <f t="shared" si="3"/>
        <v>0.32</v>
      </c>
      <c r="T6" s="251">
        <f t="shared" si="3"/>
        <v>0.32006448412698413</v>
      </c>
      <c r="U6" s="251">
        <f t="shared" si="3"/>
        <v>0.37083333333333335</v>
      </c>
      <c r="V6" s="251">
        <f t="shared" si="3"/>
        <v>0.27130607720396455</v>
      </c>
      <c r="X6" s="250">
        <f aca="true" t="shared" si="6" ref="X6:AC6">$B$6-B6</f>
        <v>0</v>
      </c>
      <c r="Y6" s="250">
        <f t="shared" si="6"/>
        <v>283.375816153835</v>
      </c>
      <c r="Z6" s="250">
        <f t="shared" si="6"/>
        <v>201</v>
      </c>
      <c r="AA6" s="250">
        <f t="shared" si="6"/>
        <v>-56.29166666666674</v>
      </c>
      <c r="AB6" s="250">
        <f t="shared" si="6"/>
        <v>-155.25</v>
      </c>
      <c r="AC6" s="250">
        <f t="shared" si="6"/>
        <v>27.04166666666663</v>
      </c>
    </row>
    <row r="7" spans="1:29" ht="12.75">
      <c r="A7" s="234" t="s">
        <v>52</v>
      </c>
      <c r="B7" s="178">
        <f>+'$-kW Basis'!N15</f>
        <v>910</v>
      </c>
      <c r="C7" s="241">
        <f>+EIA_CapitalCosts!$E$14*(1+$C$15)^2</f>
        <v>500.22061072386833</v>
      </c>
      <c r="D7" s="242">
        <f>+WoodMac_CapitalCosts!C36*(1.025)^3</f>
        <v>619.212109375</v>
      </c>
      <c r="E7" s="241">
        <f>CERA_CapitalCosts!E30</f>
        <v>581.5104166666667</v>
      </c>
      <c r="F7" s="241">
        <f>CERA_CapitalCosts!E60</f>
        <v>635.9375</v>
      </c>
      <c r="G7" s="245">
        <f>CERA_CapitalCosts!E90</f>
        <v>535.6770833333334</v>
      </c>
      <c r="H7" s="226"/>
      <c r="J7" s="250">
        <f t="shared" si="0"/>
        <v>-2404</v>
      </c>
      <c r="K7" s="250">
        <f t="shared" si="1"/>
        <v>-1006.2129977253198</v>
      </c>
      <c r="L7" s="250">
        <f t="shared" si="1"/>
        <v>-1880.787890625</v>
      </c>
      <c r="M7" s="250">
        <f t="shared" si="1"/>
        <v>-2721.8603698501875</v>
      </c>
      <c r="N7" s="250">
        <f t="shared" si="1"/>
        <v>-2482.0400280898875</v>
      </c>
      <c r="O7" s="250">
        <f t="shared" si="1"/>
        <v>-3054.2105571161046</v>
      </c>
      <c r="Q7" s="251">
        <f t="shared" si="2"/>
        <v>0.27459263729631866</v>
      </c>
      <c r="R7" s="251">
        <f t="shared" si="3"/>
        <v>0.33205619412515963</v>
      </c>
      <c r="S7" s="251">
        <f t="shared" si="3"/>
        <v>0.24768484375</v>
      </c>
      <c r="T7" s="251">
        <f t="shared" si="3"/>
        <v>0.1760354662698413</v>
      </c>
      <c r="U7" s="251">
        <f t="shared" si="3"/>
        <v>0.20395833333333335</v>
      </c>
      <c r="V7" s="251">
        <f t="shared" si="3"/>
        <v>0.1492183424621805</v>
      </c>
      <c r="X7" s="250">
        <f aca="true" t="shared" si="7" ref="X7:AC7">$B$7-B7</f>
        <v>0</v>
      </c>
      <c r="Y7" s="250">
        <f t="shared" si="7"/>
        <v>409.77938927613167</v>
      </c>
      <c r="Z7" s="250">
        <f t="shared" si="7"/>
        <v>290.78789062500005</v>
      </c>
      <c r="AA7" s="250">
        <f t="shared" si="7"/>
        <v>328.48958333333326</v>
      </c>
      <c r="AB7" s="250">
        <f t="shared" si="7"/>
        <v>274.0625</v>
      </c>
      <c r="AC7" s="250">
        <f t="shared" si="7"/>
        <v>374.32291666666663</v>
      </c>
    </row>
    <row r="8" spans="1:29" ht="12.75">
      <c r="A8" s="234" t="s">
        <v>13</v>
      </c>
      <c r="B8" s="178">
        <f>+'$-kW Basis'!L15</f>
        <v>6970</v>
      </c>
      <c r="C8" s="241">
        <f>+EIA_CapitalCosts!$E$17*(1+$C$15)^2</f>
        <v>2250.9927482574076</v>
      </c>
      <c r="D8" s="242">
        <f>WoodMac_CapitalCosts!B14</f>
        <v>3800</v>
      </c>
      <c r="E8" s="241">
        <f>CERA_CapitalCosts!O30</f>
        <v>7313.186813186813</v>
      </c>
      <c r="F8" s="241">
        <f>CERA_CapitalCosts!O60</f>
        <v>7897.4358974358975</v>
      </c>
      <c r="G8" s="245">
        <f>CERA_CapitalCosts!O90</f>
        <v>5016.483516483517</v>
      </c>
      <c r="H8" s="226"/>
      <c r="J8" s="250">
        <f t="shared" si="0"/>
        <v>3656</v>
      </c>
      <c r="K8" s="250">
        <f t="shared" si="1"/>
        <v>744.5591398082195</v>
      </c>
      <c r="L8" s="250">
        <f t="shared" si="1"/>
        <v>1300</v>
      </c>
      <c r="M8" s="250">
        <f t="shared" si="1"/>
        <v>4009.8160266699592</v>
      </c>
      <c r="N8" s="250">
        <f t="shared" si="1"/>
        <v>4779.45836934601</v>
      </c>
      <c r="O8" s="250">
        <f t="shared" si="1"/>
        <v>1426.5958760340786</v>
      </c>
      <c r="Q8" s="251">
        <f t="shared" si="2"/>
        <v>2.103198551599276</v>
      </c>
      <c r="R8" s="251">
        <f t="shared" si="3"/>
        <v>1.4942528735632183</v>
      </c>
      <c r="S8" s="251">
        <f t="shared" si="3"/>
        <v>1.52</v>
      </c>
      <c r="T8" s="251">
        <f t="shared" si="3"/>
        <v>2.2138558720191375</v>
      </c>
      <c r="U8" s="251">
        <f t="shared" si="3"/>
        <v>2.532871332871333</v>
      </c>
      <c r="V8" s="251">
        <f t="shared" si="3"/>
        <v>1.397392904435158</v>
      </c>
      <c r="X8" s="250">
        <f aca="true" t="shared" si="8" ref="X8:AC8">$B$8-B8</f>
        <v>0</v>
      </c>
      <c r="Y8" s="250">
        <f t="shared" si="8"/>
        <v>4719.007251742592</v>
      </c>
      <c r="Z8" s="250">
        <f t="shared" si="8"/>
        <v>3170</v>
      </c>
      <c r="AA8" s="250">
        <f t="shared" si="8"/>
        <v>-343.1868131868132</v>
      </c>
      <c r="AB8" s="250">
        <f t="shared" si="8"/>
        <v>-927.4358974358975</v>
      </c>
      <c r="AC8" s="250">
        <f t="shared" si="8"/>
        <v>1953.5164835164833</v>
      </c>
    </row>
    <row r="9" spans="1:29" ht="13.5" thickBot="1">
      <c r="A9" s="234" t="s">
        <v>17</v>
      </c>
      <c r="B9" s="395">
        <f>+'$-kW Basis'!I15</f>
        <v>1886.0400000000002</v>
      </c>
      <c r="C9" s="241">
        <f>+EIA_CapitalCosts!$E$24*(1+$C$15)^2</f>
        <v>1408.3134117302754</v>
      </c>
      <c r="D9" s="242">
        <f>WoodMac_CapitalCosts!B17</f>
        <v>2000</v>
      </c>
      <c r="E9" s="241">
        <f>CERA_CapitalCosts!I30</f>
        <v>1838.2</v>
      </c>
      <c r="F9" s="241">
        <f>CERA_CapitalCosts!I60</f>
        <v>2413.461538461538</v>
      </c>
      <c r="G9" s="245">
        <f>CERA_CapitalCosts!I90</f>
        <v>1413.4615384615383</v>
      </c>
      <c r="H9" s="230">
        <f>GlobalInsight_CapitalCosts!C16</f>
        <v>2915</v>
      </c>
      <c r="J9" s="250">
        <f t="shared" si="0"/>
        <v>-1427.9599999999998</v>
      </c>
      <c r="K9" s="250">
        <f t="shared" si="1"/>
        <v>-98.12019671891267</v>
      </c>
      <c r="L9" s="250">
        <f t="shared" si="1"/>
        <v>-500</v>
      </c>
      <c r="M9" s="250">
        <f t="shared" si="1"/>
        <v>-1465.170786516854</v>
      </c>
      <c r="N9" s="250">
        <f t="shared" si="1"/>
        <v>-704.5159896283494</v>
      </c>
      <c r="O9" s="250">
        <f t="shared" si="1"/>
        <v>-2176.4261019878995</v>
      </c>
      <c r="Q9" s="251">
        <f t="shared" si="2"/>
        <v>0.5691128545564273</v>
      </c>
      <c r="R9" s="251">
        <f t="shared" si="3"/>
        <v>0.9348659003831418</v>
      </c>
      <c r="S9" s="251">
        <f t="shared" si="3"/>
        <v>0.8</v>
      </c>
      <c r="T9" s="251">
        <f t="shared" si="3"/>
        <v>0.5564619047619048</v>
      </c>
      <c r="U9" s="251">
        <f t="shared" si="3"/>
        <v>0.774047124047124</v>
      </c>
      <c r="V9" s="251">
        <f t="shared" si="3"/>
        <v>0.3937342000722282</v>
      </c>
      <c r="X9" s="250">
        <f aca="true" t="shared" si="9" ref="X9:AC9">$B$9-B9</f>
        <v>0</v>
      </c>
      <c r="Y9" s="250">
        <f t="shared" si="9"/>
        <v>477.72658826972474</v>
      </c>
      <c r="Z9" s="250">
        <f t="shared" si="9"/>
        <v>-113.95999999999981</v>
      </c>
      <c r="AA9" s="250">
        <f t="shared" si="9"/>
        <v>47.840000000000146</v>
      </c>
      <c r="AB9" s="250">
        <f t="shared" si="9"/>
        <v>-527.4215384615379</v>
      </c>
      <c r="AC9" s="250">
        <f t="shared" si="9"/>
        <v>472.57846153846185</v>
      </c>
    </row>
    <row r="10" spans="1:29" ht="13.5" thickBot="1">
      <c r="A10" s="404" t="s">
        <v>18</v>
      </c>
      <c r="B10" s="403">
        <f>'$-kW Basis'!J15</f>
        <v>2554.6153846153848</v>
      </c>
      <c r="C10" s="246">
        <f>'Capital Cost Comparison'!G10</f>
        <v>5346</v>
      </c>
      <c r="D10" s="405"/>
      <c r="E10" s="246">
        <f>'Capital Cost Comparison'!I10</f>
        <v>3047.487720697448</v>
      </c>
      <c r="F10" s="246">
        <f>'Capital Cost Comparison'!J10</f>
        <v>2527.447608044203</v>
      </c>
      <c r="G10" s="247">
        <f>'Capital Cost Comparison'!K10</f>
        <v>3990.3265448095685</v>
      </c>
      <c r="H10" s="409"/>
      <c r="J10" s="250"/>
      <c r="K10" s="250"/>
      <c r="L10" s="250"/>
      <c r="M10" s="250"/>
      <c r="N10" s="250"/>
      <c r="O10" s="250"/>
      <c r="Q10" s="251"/>
      <c r="R10" s="251"/>
      <c r="S10" s="251"/>
      <c r="T10" s="251"/>
      <c r="U10" s="251"/>
      <c r="V10" s="251"/>
      <c r="X10" s="250"/>
      <c r="Y10" s="250"/>
      <c r="Z10" s="250"/>
      <c r="AA10" s="250"/>
      <c r="AB10" s="250"/>
      <c r="AC10" s="250"/>
    </row>
    <row r="11" spans="5:7" ht="12.75">
      <c r="E11" s="237" t="s">
        <v>213</v>
      </c>
      <c r="F11" s="237" t="s">
        <v>227</v>
      </c>
      <c r="G11" s="237" t="s">
        <v>228</v>
      </c>
    </row>
    <row r="12" spans="1:8" ht="12.75">
      <c r="A12" s="236" t="s">
        <v>239</v>
      </c>
      <c r="B12" s="236"/>
      <c r="D12" s="5"/>
      <c r="E12" s="237"/>
      <c r="F12" s="237"/>
      <c r="G12" s="237"/>
      <c r="H12" s="236"/>
    </row>
    <row r="13" spans="1:7" ht="12.75">
      <c r="A13" s="236" t="s">
        <v>252</v>
      </c>
      <c r="B13" s="236"/>
      <c r="D13" s="249"/>
      <c r="E13" s="249"/>
      <c r="F13" s="249"/>
      <c r="G13" s="408"/>
    </row>
    <row r="14" spans="3:7" ht="12.75">
      <c r="C14" s="5" t="s">
        <v>162</v>
      </c>
      <c r="G14" s="114"/>
    </row>
    <row r="15" spans="3:7" ht="12.75">
      <c r="C15" s="249">
        <v>0.025</v>
      </c>
      <c r="G15" s="114"/>
    </row>
    <row r="16" ht="12.75">
      <c r="G16" s="114"/>
    </row>
    <row r="17" ht="12.75">
      <c r="G17" s="114"/>
    </row>
    <row r="18" ht="12.75">
      <c r="G18" s="114"/>
    </row>
    <row r="19" spans="2:7" ht="12.75">
      <c r="B19" s="217" t="s">
        <v>243</v>
      </c>
      <c r="G19" s="114"/>
    </row>
    <row r="20" ht="13.5" thickBot="1"/>
    <row r="21" spans="1:8" ht="12.75">
      <c r="A21" s="486" t="s">
        <v>16</v>
      </c>
      <c r="B21" s="488" t="s">
        <v>244</v>
      </c>
      <c r="C21" s="489"/>
      <c r="D21" s="489"/>
      <c r="E21" s="489"/>
      <c r="F21" s="489"/>
      <c r="G21" s="489"/>
      <c r="H21" s="490"/>
    </row>
    <row r="22" spans="1:24" ht="13.5" thickBot="1">
      <c r="A22" s="487"/>
      <c r="B22" s="254" t="s">
        <v>236</v>
      </c>
      <c r="C22" s="491" t="s">
        <v>231</v>
      </c>
      <c r="D22" s="492"/>
      <c r="E22" s="492"/>
      <c r="F22" s="492"/>
      <c r="G22" s="492"/>
      <c r="H22" s="494"/>
      <c r="J22" t="s">
        <v>240</v>
      </c>
      <c r="Q22" t="s">
        <v>242</v>
      </c>
      <c r="X22" t="s">
        <v>245</v>
      </c>
    </row>
    <row r="23" spans="1:29" ht="13.5" thickBot="1">
      <c r="A23" s="232"/>
      <c r="B23" s="174" t="s">
        <v>101</v>
      </c>
      <c r="C23" s="174" t="s">
        <v>102</v>
      </c>
      <c r="D23" s="224" t="s">
        <v>173</v>
      </c>
      <c r="E23" s="174" t="s">
        <v>233</v>
      </c>
      <c r="F23" s="174" t="s">
        <v>234</v>
      </c>
      <c r="G23" s="175" t="s">
        <v>235</v>
      </c>
      <c r="H23" s="224" t="s">
        <v>251</v>
      </c>
      <c r="J23" s="174" t="s">
        <v>101</v>
      </c>
      <c r="K23" s="174" t="s">
        <v>102</v>
      </c>
      <c r="L23" s="174" t="s">
        <v>173</v>
      </c>
      <c r="M23" s="174" t="s">
        <v>233</v>
      </c>
      <c r="N23" s="174" t="s">
        <v>234</v>
      </c>
      <c r="O23" s="174" t="s">
        <v>235</v>
      </c>
      <c r="Q23" s="174" t="s">
        <v>101</v>
      </c>
      <c r="R23" s="174" t="s">
        <v>102</v>
      </c>
      <c r="S23" s="174" t="s">
        <v>173</v>
      </c>
      <c r="T23" s="174" t="s">
        <v>233</v>
      </c>
      <c r="U23" s="174" t="s">
        <v>234</v>
      </c>
      <c r="V23" s="174" t="s">
        <v>235</v>
      </c>
      <c r="X23" s="174" t="s">
        <v>101</v>
      </c>
      <c r="Y23" s="174" t="s">
        <v>102</v>
      </c>
      <c r="Z23" s="174" t="s">
        <v>173</v>
      </c>
      <c r="AA23" s="174" t="s">
        <v>233</v>
      </c>
      <c r="AB23" s="174" t="s">
        <v>234</v>
      </c>
      <c r="AC23" s="174" t="s">
        <v>235</v>
      </c>
    </row>
    <row r="24" spans="1:29" ht="12.75">
      <c r="A24" s="233" t="s">
        <v>80</v>
      </c>
      <c r="B24" s="238">
        <f>'$-kW Basis'!C8</f>
        <v>3021.1979563531086</v>
      </c>
      <c r="C24" s="238">
        <f>+EIA_CapitalCosts!$E$8*(1+$C$15)</f>
        <v>1469.691325316281</v>
      </c>
      <c r="D24" s="240">
        <f>WoodMac_CapitalCosts!B12</f>
        <v>2500</v>
      </c>
      <c r="E24" s="238">
        <f>CERA_CapitalCosts!F23</f>
        <v>3000</v>
      </c>
      <c r="F24" s="238">
        <f>CERA_CapitalCosts!F53</f>
        <v>3000</v>
      </c>
      <c r="G24" s="239">
        <f>CERA_CapitalCosts!F83</f>
        <v>3000</v>
      </c>
      <c r="H24" s="225"/>
      <c r="J24" s="250">
        <f aca="true" t="shared" si="10" ref="J24:O24">+B24-B$24</f>
        <v>0</v>
      </c>
      <c r="K24" s="250">
        <f t="shared" si="10"/>
        <v>0</v>
      </c>
      <c r="L24" s="250">
        <f t="shared" si="10"/>
        <v>0</v>
      </c>
      <c r="M24" s="250">
        <f t="shared" si="10"/>
        <v>0</v>
      </c>
      <c r="N24" s="250">
        <f t="shared" si="10"/>
        <v>0</v>
      </c>
      <c r="O24" s="250">
        <f t="shared" si="10"/>
        <v>0</v>
      </c>
      <c r="Q24" s="251">
        <f aca="true" t="shared" si="11" ref="Q24:V24">+B24/B$24</f>
        <v>1</v>
      </c>
      <c r="R24" s="251">
        <f t="shared" si="11"/>
        <v>1</v>
      </c>
      <c r="S24" s="251">
        <f t="shared" si="11"/>
        <v>1</v>
      </c>
      <c r="T24" s="251">
        <f t="shared" si="11"/>
        <v>1</v>
      </c>
      <c r="U24" s="251">
        <f t="shared" si="11"/>
        <v>1</v>
      </c>
      <c r="V24" s="251">
        <f t="shared" si="11"/>
        <v>1</v>
      </c>
      <c r="X24" s="250">
        <f aca="true" t="shared" si="12" ref="X24:AC24">$B$24-B24</f>
        <v>0</v>
      </c>
      <c r="Y24" s="250">
        <f t="shared" si="12"/>
        <v>1551.5066310368275</v>
      </c>
      <c r="Z24" s="250">
        <f t="shared" si="12"/>
        <v>521.1979563531086</v>
      </c>
      <c r="AA24" s="250">
        <f t="shared" si="12"/>
        <v>21.197956353108566</v>
      </c>
      <c r="AB24" s="250">
        <f t="shared" si="12"/>
        <v>21.197956353108566</v>
      </c>
      <c r="AC24" s="250">
        <f t="shared" si="12"/>
        <v>21.197956353108566</v>
      </c>
    </row>
    <row r="25" spans="1:29" ht="12.75">
      <c r="A25" s="234" t="s">
        <v>50</v>
      </c>
      <c r="B25" s="241">
        <f>'$-kW Basis'!E8</f>
        <v>3676.0456896676933</v>
      </c>
      <c r="C25" s="241">
        <f>+EIA_CapitalCosts!$E$9*(1+$C$15)</f>
        <v>1698.6853760041306</v>
      </c>
      <c r="D25" s="242">
        <f>WoodMac_CapitalCosts!B15</f>
        <v>3000</v>
      </c>
      <c r="E25" s="243">
        <f>CERA_CapitalCosts!G23</f>
        <v>4850</v>
      </c>
      <c r="F25" s="243">
        <f>CERA_CapitalCosts!G53</f>
        <v>4850</v>
      </c>
      <c r="G25" s="244">
        <f>CERA_CapitalCosts!G83</f>
        <v>0</v>
      </c>
      <c r="H25" s="226"/>
      <c r="J25" s="250">
        <f aca="true" t="shared" si="13" ref="J25:N29">+B25-B$24</f>
        <v>654.8477333145847</v>
      </c>
      <c r="K25" s="250">
        <f t="shared" si="13"/>
        <v>228.9940506878495</v>
      </c>
      <c r="L25" s="250">
        <f t="shared" si="13"/>
        <v>500</v>
      </c>
      <c r="M25" s="250">
        <f t="shared" si="13"/>
        <v>1850</v>
      </c>
      <c r="N25" s="250">
        <f t="shared" si="13"/>
        <v>1850</v>
      </c>
      <c r="O25" s="252" t="s">
        <v>241</v>
      </c>
      <c r="Q25" s="251">
        <f aca="true" t="shared" si="14" ref="Q25:U29">+B25/B$24</f>
        <v>1.2167510182302164</v>
      </c>
      <c r="R25" s="251">
        <f t="shared" si="14"/>
        <v>1.1558109833971901</v>
      </c>
      <c r="S25" s="251">
        <f t="shared" si="14"/>
        <v>1.2</v>
      </c>
      <c r="T25" s="251">
        <f t="shared" si="14"/>
        <v>1.6166666666666667</v>
      </c>
      <c r="U25" s="251">
        <f t="shared" si="14"/>
        <v>1.6166666666666667</v>
      </c>
      <c r="V25" s="251"/>
      <c r="X25" s="250">
        <f aca="true" t="shared" si="15" ref="X25:AC25">$B$25-B25</f>
        <v>0</v>
      </c>
      <c r="Y25" s="250">
        <f t="shared" si="15"/>
        <v>1977.3603136635627</v>
      </c>
      <c r="Z25" s="250">
        <f t="shared" si="15"/>
        <v>676.0456896676933</v>
      </c>
      <c r="AA25" s="250">
        <f t="shared" si="15"/>
        <v>-1173.9543103323067</v>
      </c>
      <c r="AB25" s="250">
        <f t="shared" si="15"/>
        <v>-1173.9543103323067</v>
      </c>
      <c r="AC25" s="250">
        <f t="shared" si="15"/>
        <v>3676.0456896676933</v>
      </c>
    </row>
    <row r="26" spans="1:29" ht="12.75">
      <c r="A26" s="234" t="s">
        <v>81</v>
      </c>
      <c r="B26" s="241">
        <f>'$-kW Basis'!O8</f>
        <v>935.2353190726036</v>
      </c>
      <c r="C26" s="241">
        <f>+EIA_CapitalCosts!$E$11*(1+$C$15)</f>
        <v>700.1211549718682</v>
      </c>
      <c r="D26" s="242">
        <f>WoodMac_CapitalCosts!B18</f>
        <v>800</v>
      </c>
      <c r="E26" s="241">
        <f>CERA_CapitalCosts!D23</f>
        <v>1000</v>
      </c>
      <c r="F26" s="241">
        <f>CERA_CapitalCosts!D53</f>
        <v>1000</v>
      </c>
      <c r="G26" s="245">
        <f>CERA_CapitalCosts!D83</f>
        <v>1000</v>
      </c>
      <c r="H26" s="226"/>
      <c r="J26" s="250">
        <f t="shared" si="13"/>
        <v>-2085.962637280505</v>
      </c>
      <c r="K26" s="250">
        <f t="shared" si="13"/>
        <v>-769.5701703444129</v>
      </c>
      <c r="L26" s="250">
        <f t="shared" si="13"/>
        <v>-1700</v>
      </c>
      <c r="M26" s="250">
        <f t="shared" si="13"/>
        <v>-2000</v>
      </c>
      <c r="N26" s="250">
        <f t="shared" si="13"/>
        <v>-2000</v>
      </c>
      <c r="O26" s="250">
        <f>+G26-G$24</f>
        <v>-2000</v>
      </c>
      <c r="Q26" s="251">
        <f t="shared" si="14"/>
        <v>0.30955777561875725</v>
      </c>
      <c r="R26" s="251">
        <f t="shared" si="14"/>
        <v>0.4763729246487867</v>
      </c>
      <c r="S26" s="251">
        <f t="shared" si="14"/>
        <v>0.32</v>
      </c>
      <c r="T26" s="251">
        <f t="shared" si="14"/>
        <v>0.3333333333333333</v>
      </c>
      <c r="U26" s="251">
        <f t="shared" si="14"/>
        <v>0.3333333333333333</v>
      </c>
      <c r="V26" s="251">
        <f>+G26/G$24</f>
        <v>0.3333333333333333</v>
      </c>
      <c r="X26" s="250">
        <f aca="true" t="shared" si="16" ref="X26:AC26">$B$26-B26</f>
        <v>0</v>
      </c>
      <c r="Y26" s="250">
        <f t="shared" si="16"/>
        <v>235.11416410073537</v>
      </c>
      <c r="Z26" s="250">
        <f t="shared" si="16"/>
        <v>135.2353190726036</v>
      </c>
      <c r="AA26" s="250">
        <f t="shared" si="16"/>
        <v>-64.7646809273964</v>
      </c>
      <c r="AB26" s="250">
        <f t="shared" si="16"/>
        <v>-64.7646809273964</v>
      </c>
      <c r="AC26" s="250">
        <f t="shared" si="16"/>
        <v>-64.7646809273964</v>
      </c>
    </row>
    <row r="27" spans="1:29" ht="12.75">
      <c r="A27" s="234" t="s">
        <v>52</v>
      </c>
      <c r="B27" s="241">
        <f>'$-kW Basis'!N8</f>
        <v>757.1754893670155</v>
      </c>
      <c r="C27" s="241">
        <f>+EIA_CapitalCosts!$E$14*(1+$C$15)</f>
        <v>488.0201080232862</v>
      </c>
      <c r="D27" s="242">
        <f>+WoodMac_CapitalCosts!C36*(1.025)^3</f>
        <v>619.212109375</v>
      </c>
      <c r="E27" s="241">
        <f>CERA_CapitalCosts!E23</f>
        <v>550</v>
      </c>
      <c r="F27" s="241">
        <f>CERA_CapitalCosts!E53</f>
        <v>550</v>
      </c>
      <c r="G27" s="245">
        <f>CERA_CapitalCosts!E83</f>
        <v>550</v>
      </c>
      <c r="H27" s="226"/>
      <c r="J27" s="250">
        <f t="shared" si="13"/>
        <v>-2264.022466986093</v>
      </c>
      <c r="K27" s="250">
        <f t="shared" si="13"/>
        <v>-981.6712172929949</v>
      </c>
      <c r="L27" s="250">
        <f t="shared" si="13"/>
        <v>-1880.787890625</v>
      </c>
      <c r="M27" s="250">
        <f t="shared" si="13"/>
        <v>-2450</v>
      </c>
      <c r="N27" s="250">
        <f t="shared" si="13"/>
        <v>-2450</v>
      </c>
      <c r="O27" s="250">
        <f>+G27-G$24</f>
        <v>-2450</v>
      </c>
      <c r="Q27" s="251">
        <f t="shared" si="14"/>
        <v>0.2506209458320311</v>
      </c>
      <c r="R27" s="251">
        <f t="shared" si="14"/>
        <v>0.33205619412515963</v>
      </c>
      <c r="S27" s="251">
        <f t="shared" si="14"/>
        <v>0.24768484375</v>
      </c>
      <c r="T27" s="251">
        <f t="shared" si="14"/>
        <v>0.18333333333333332</v>
      </c>
      <c r="U27" s="251">
        <f t="shared" si="14"/>
        <v>0.18333333333333332</v>
      </c>
      <c r="V27" s="251">
        <f>+G27/G$24</f>
        <v>0.18333333333333332</v>
      </c>
      <c r="X27" s="250">
        <f aca="true" t="shared" si="17" ref="X27:AC27">$B$27-B27</f>
        <v>0</v>
      </c>
      <c r="Y27" s="250">
        <f t="shared" si="17"/>
        <v>269.15538134372935</v>
      </c>
      <c r="Z27" s="250">
        <f t="shared" si="17"/>
        <v>137.96337999201558</v>
      </c>
      <c r="AA27" s="250">
        <f t="shared" si="17"/>
        <v>207.17548936701553</v>
      </c>
      <c r="AB27" s="250">
        <f t="shared" si="17"/>
        <v>207.17548936701553</v>
      </c>
      <c r="AC27" s="250">
        <f t="shared" si="17"/>
        <v>207.17548936701553</v>
      </c>
    </row>
    <row r="28" spans="1:29" ht="12.75">
      <c r="A28" s="234" t="s">
        <v>13</v>
      </c>
      <c r="B28" s="241">
        <f>'$-kW Basis'!L8</f>
        <v>5179.352428393525</v>
      </c>
      <c r="C28" s="241">
        <f>+EIA_CapitalCosts!$E$17*(1+$C$15)</f>
        <v>2196.090486104788</v>
      </c>
      <c r="D28" s="242">
        <f>WoodMac_CapitalCosts!B14</f>
        <v>3800</v>
      </c>
      <c r="E28" s="241">
        <f>CERA_CapitalCosts!O23</f>
        <v>5500</v>
      </c>
      <c r="F28" s="241">
        <f>CERA_CapitalCosts!O53</f>
        <v>5500</v>
      </c>
      <c r="G28" s="245">
        <f>CERA_CapitalCosts!O83</f>
        <v>5500</v>
      </c>
      <c r="H28" s="226"/>
      <c r="J28" s="250">
        <f t="shared" si="13"/>
        <v>2158.1544720404163</v>
      </c>
      <c r="K28" s="250">
        <f t="shared" si="13"/>
        <v>726.3991607885068</v>
      </c>
      <c r="L28" s="250">
        <f t="shared" si="13"/>
        <v>1300</v>
      </c>
      <c r="M28" s="250">
        <f t="shared" si="13"/>
        <v>2500</v>
      </c>
      <c r="N28" s="250">
        <f t="shared" si="13"/>
        <v>2500</v>
      </c>
      <c r="O28" s="250">
        <f>+G28-G$24</f>
        <v>2500</v>
      </c>
      <c r="Q28" s="251">
        <f t="shared" si="14"/>
        <v>1.7143373268547841</v>
      </c>
      <c r="R28" s="251">
        <f t="shared" si="14"/>
        <v>1.4942528735632183</v>
      </c>
      <c r="S28" s="251">
        <f t="shared" si="14"/>
        <v>1.52</v>
      </c>
      <c r="T28" s="251">
        <f t="shared" si="14"/>
        <v>1.8333333333333333</v>
      </c>
      <c r="U28" s="251">
        <f t="shared" si="14"/>
        <v>1.8333333333333333</v>
      </c>
      <c r="V28" s="251">
        <f>+G28/G$24</f>
        <v>1.8333333333333333</v>
      </c>
      <c r="X28" s="250">
        <f aca="true" t="shared" si="18" ref="X28:AC28">$B$28-B28</f>
        <v>0</v>
      </c>
      <c r="Y28" s="250">
        <f t="shared" si="18"/>
        <v>2983.261942288737</v>
      </c>
      <c r="Z28" s="250">
        <f t="shared" si="18"/>
        <v>1379.3524283935249</v>
      </c>
      <c r="AA28" s="250">
        <f t="shared" si="18"/>
        <v>-320.64757160647514</v>
      </c>
      <c r="AB28" s="250">
        <f t="shared" si="18"/>
        <v>-320.64757160647514</v>
      </c>
      <c r="AC28" s="250">
        <f t="shared" si="18"/>
        <v>-320.64757160647514</v>
      </c>
    </row>
    <row r="29" spans="1:29" ht="12.75">
      <c r="A29" s="234" t="s">
        <v>17</v>
      </c>
      <c r="B29" s="411">
        <f>'$-kW Basis'!I8</f>
        <v>2002</v>
      </c>
      <c r="C29" s="412">
        <f>+EIA_CapitalCosts!$E$24*(1+$C$15)</f>
        <v>1373.964304127098</v>
      </c>
      <c r="D29" s="413">
        <f>WoodMac_CapitalCosts!B17</f>
        <v>2000</v>
      </c>
      <c r="E29" s="412">
        <f>CERA_CapitalCosts!I23</f>
        <v>2000</v>
      </c>
      <c r="F29" s="412">
        <f>CERA_CapitalCosts!I53</f>
        <v>2000</v>
      </c>
      <c r="G29" s="414">
        <f>CERA_CapitalCosts!I83</f>
        <v>2000</v>
      </c>
      <c r="H29" s="415">
        <f>GlobalInsight_CapitalCosts!C9</f>
        <v>1981</v>
      </c>
      <c r="J29" s="250">
        <f t="shared" si="13"/>
        <v>-1019.1979563531086</v>
      </c>
      <c r="K29" s="250">
        <f t="shared" si="13"/>
        <v>-95.727021189183</v>
      </c>
      <c r="L29" s="250">
        <f t="shared" si="13"/>
        <v>-500</v>
      </c>
      <c r="M29" s="250">
        <f t="shared" si="13"/>
        <v>-1000</v>
      </c>
      <c r="N29" s="250">
        <f t="shared" si="13"/>
        <v>-1000</v>
      </c>
      <c r="O29" s="250">
        <f>+G29-G$24</f>
        <v>-1000</v>
      </c>
      <c r="Q29" s="251">
        <f t="shared" si="14"/>
        <v>0.6626510506503243</v>
      </c>
      <c r="R29" s="251">
        <f t="shared" si="14"/>
        <v>0.9348659003831418</v>
      </c>
      <c r="S29" s="251">
        <f t="shared" si="14"/>
        <v>0.8</v>
      </c>
      <c r="T29" s="251">
        <f t="shared" si="14"/>
        <v>0.6666666666666666</v>
      </c>
      <c r="U29" s="251">
        <f t="shared" si="14"/>
        <v>0.6666666666666666</v>
      </c>
      <c r="V29" s="251">
        <f>+G29/G$24</f>
        <v>0.6666666666666666</v>
      </c>
      <c r="X29" s="250">
        <f aca="true" t="shared" si="19" ref="X29:AC29">$B$29-B29</f>
        <v>0</v>
      </c>
      <c r="Y29" s="250">
        <f t="shared" si="19"/>
        <v>628.0356958729019</v>
      </c>
      <c r="Z29" s="250">
        <f t="shared" si="19"/>
        <v>2</v>
      </c>
      <c r="AA29" s="250">
        <f t="shared" si="19"/>
        <v>2</v>
      </c>
      <c r="AB29" s="250">
        <f t="shared" si="19"/>
        <v>2</v>
      </c>
      <c r="AC29" s="250">
        <f t="shared" si="19"/>
        <v>2</v>
      </c>
    </row>
    <row r="30" spans="1:29" ht="13.5" thickBot="1">
      <c r="A30" s="404" t="s">
        <v>18</v>
      </c>
      <c r="B30" s="416">
        <f>'$-kW Basis'!J8</f>
        <v>4150</v>
      </c>
      <c r="C30" s="410">
        <f>AVERAGE(EIA_CapitalCosts!E26:E27)</f>
        <v>4439.792690065507</v>
      </c>
      <c r="D30" s="248"/>
      <c r="E30" s="410">
        <f>AVERAGE(CERA_CapitalCosts!M23:N23)</f>
        <v>4775</v>
      </c>
      <c r="F30" s="410">
        <f>AVERAGE(CERA_CapitalCosts!M53:N53)</f>
        <v>4775</v>
      </c>
      <c r="G30" s="410">
        <f>AVERAGE(CERA_CapitalCosts!M83:N83)</f>
        <v>4775</v>
      </c>
      <c r="H30" s="230"/>
      <c r="J30" s="250"/>
      <c r="K30" s="250"/>
      <c r="L30" s="250"/>
      <c r="M30" s="250"/>
      <c r="N30" s="250"/>
      <c r="O30" s="250"/>
      <c r="Q30" s="251"/>
      <c r="R30" s="251"/>
      <c r="S30" s="251"/>
      <c r="T30" s="251"/>
      <c r="U30" s="251"/>
      <c r="V30" s="251"/>
      <c r="X30" s="250"/>
      <c r="Y30" s="250"/>
      <c r="Z30" s="250"/>
      <c r="AA30" s="250"/>
      <c r="AB30" s="250"/>
      <c r="AC30" s="250"/>
    </row>
    <row r="31" spans="5:7" ht="12.75">
      <c r="E31" s="237" t="s">
        <v>213</v>
      </c>
      <c r="F31" s="237" t="s">
        <v>227</v>
      </c>
      <c r="G31" s="237" t="s">
        <v>228</v>
      </c>
    </row>
    <row r="32" spans="1:7" ht="12.75">
      <c r="A32" s="236" t="s">
        <v>239</v>
      </c>
      <c r="B32" s="236"/>
      <c r="D32" s="5"/>
      <c r="E32" s="237"/>
      <c r="F32" s="237"/>
      <c r="G32" s="237"/>
    </row>
    <row r="33" spans="1:2" ht="12.75">
      <c r="A33" s="236" t="s">
        <v>252</v>
      </c>
      <c r="B33" s="236"/>
    </row>
  </sheetData>
  <sheetProtection/>
  <mergeCells count="6">
    <mergeCell ref="A1:A2"/>
    <mergeCell ref="A21:A22"/>
    <mergeCell ref="B1:H1"/>
    <mergeCell ref="C2:H2"/>
    <mergeCell ref="B21:H21"/>
    <mergeCell ref="C22:H22"/>
  </mergeCells>
  <printOptions/>
  <pageMargins left="0.75" right="0.75" top="1" bottom="1" header="0.5" footer="0.5"/>
  <pageSetup horizontalDpi="600" verticalDpi="600" orientation="portrait" r:id="rId1"/>
</worksheet>
</file>

<file path=xl/worksheets/sheet10.xml><?xml version="1.0" encoding="utf-8"?>
<worksheet xmlns="http://schemas.openxmlformats.org/spreadsheetml/2006/main" xmlns:r="http://schemas.openxmlformats.org/officeDocument/2006/relationships">
  <dimension ref="A1:R105"/>
  <sheetViews>
    <sheetView zoomScalePageLayoutView="0" workbookViewId="0" topLeftCell="A1">
      <pane ySplit="1" topLeftCell="A2" activePane="bottomLeft" state="frozen"/>
      <selection pane="topLeft" activeCell="A1" sqref="A1"/>
      <selection pane="bottomLeft" activeCell="A2" sqref="A2:I2"/>
    </sheetView>
  </sheetViews>
  <sheetFormatPr defaultColWidth="9.140625" defaultRowHeight="12.75"/>
  <cols>
    <col min="1" max="1" width="9.00390625" style="0" bestFit="1" customWidth="1"/>
    <col min="2" max="2" width="25.57421875" style="0" bestFit="1" customWidth="1"/>
    <col min="3" max="9" width="10.7109375" style="0" bestFit="1" customWidth="1"/>
  </cols>
  <sheetData>
    <row r="1" spans="1:9" ht="12.75">
      <c r="A1" s="521" t="s">
        <v>100</v>
      </c>
      <c r="B1" s="521"/>
      <c r="C1" s="521"/>
      <c r="D1" s="521"/>
      <c r="E1" s="521"/>
      <c r="F1" s="521"/>
      <c r="G1" s="521"/>
      <c r="H1" s="521"/>
      <c r="I1" s="521"/>
    </row>
    <row r="2" spans="1:9" ht="12.75">
      <c r="A2" s="517" t="s">
        <v>82</v>
      </c>
      <c r="B2" s="517"/>
      <c r="C2" s="517"/>
      <c r="D2" s="517"/>
      <c r="E2" s="517"/>
      <c r="F2" s="517"/>
      <c r="G2" s="517"/>
      <c r="H2" s="517"/>
      <c r="I2" s="517"/>
    </row>
    <row r="3" spans="1:9" ht="12.75">
      <c r="A3" s="162"/>
      <c r="B3" s="163"/>
      <c r="C3" s="162"/>
      <c r="D3" s="162"/>
      <c r="E3" s="162"/>
      <c r="F3" s="162"/>
      <c r="G3" s="162"/>
      <c r="H3" s="162"/>
      <c r="I3" s="162"/>
    </row>
    <row r="4" spans="1:9" ht="12.75">
      <c r="A4" s="518" t="s">
        <v>83</v>
      </c>
      <c r="B4" s="518"/>
      <c r="C4" s="518"/>
      <c r="D4" s="518"/>
      <c r="E4" s="518"/>
      <c r="F4" s="518"/>
      <c r="G4" s="518"/>
      <c r="H4" s="518"/>
      <c r="I4" s="518"/>
    </row>
    <row r="5" spans="1:9" ht="12.75">
      <c r="A5" s="164"/>
      <c r="B5" s="163"/>
      <c r="C5" s="165"/>
      <c r="D5" s="165"/>
      <c r="E5" s="165"/>
      <c r="F5" s="165"/>
      <c r="G5" s="165"/>
      <c r="H5" s="165"/>
      <c r="I5" s="165"/>
    </row>
    <row r="6" spans="1:9" ht="28.5">
      <c r="A6" s="166" t="s">
        <v>84</v>
      </c>
      <c r="B6" s="167" t="s">
        <v>85</v>
      </c>
      <c r="C6" s="166" t="s">
        <v>86</v>
      </c>
      <c r="D6" s="168" t="s">
        <v>87</v>
      </c>
      <c r="E6" s="168" t="s">
        <v>88</v>
      </c>
      <c r="F6" s="168" t="s">
        <v>89</v>
      </c>
      <c r="G6" s="168" t="s">
        <v>90</v>
      </c>
      <c r="H6" s="168" t="s">
        <v>91</v>
      </c>
      <c r="I6" s="168" t="s">
        <v>92</v>
      </c>
    </row>
    <row r="7" spans="1:9" ht="14.25">
      <c r="A7" s="519" t="s">
        <v>93</v>
      </c>
      <c r="B7" s="163" t="s">
        <v>94</v>
      </c>
      <c r="C7" s="169">
        <v>490</v>
      </c>
      <c r="D7" s="169">
        <v>1210</v>
      </c>
      <c r="E7" s="169">
        <v>470</v>
      </c>
      <c r="F7" s="169">
        <v>410</v>
      </c>
      <c r="G7" s="169">
        <v>400</v>
      </c>
      <c r="H7" s="169">
        <v>440</v>
      </c>
      <c r="I7" s="169">
        <v>500</v>
      </c>
    </row>
    <row r="8" spans="1:9" ht="14.25">
      <c r="A8" s="519"/>
      <c r="B8" s="163" t="s">
        <v>95</v>
      </c>
      <c r="C8" s="169">
        <v>820</v>
      </c>
      <c r="D8" s="169">
        <v>1520</v>
      </c>
      <c r="E8" s="169">
        <v>770</v>
      </c>
      <c r="F8" s="169">
        <v>750</v>
      </c>
      <c r="G8" s="169">
        <v>660</v>
      </c>
      <c r="H8" s="169">
        <v>730</v>
      </c>
      <c r="I8" s="169">
        <v>820</v>
      </c>
    </row>
    <row r="9" spans="1:9" ht="14.25">
      <c r="A9" s="519"/>
      <c r="B9" s="163" t="s">
        <v>96</v>
      </c>
      <c r="C9" s="169">
        <v>3000</v>
      </c>
      <c r="D9" s="169" t="s">
        <v>97</v>
      </c>
      <c r="E9" s="169">
        <v>3000</v>
      </c>
      <c r="F9" s="169">
        <v>3000</v>
      </c>
      <c r="G9" s="169">
        <v>3000</v>
      </c>
      <c r="H9" s="169">
        <v>3000</v>
      </c>
      <c r="I9" s="169" t="s">
        <v>97</v>
      </c>
    </row>
    <row r="10" spans="1:9" ht="14.25">
      <c r="A10" s="519"/>
      <c r="B10" s="163" t="s">
        <v>98</v>
      </c>
      <c r="C10" s="169">
        <v>1880</v>
      </c>
      <c r="D10" s="169" t="s">
        <v>97</v>
      </c>
      <c r="E10" s="169">
        <v>1830</v>
      </c>
      <c r="F10" s="169">
        <v>1780</v>
      </c>
      <c r="G10" s="169">
        <v>1730</v>
      </c>
      <c r="H10" s="169">
        <v>1780</v>
      </c>
      <c r="I10" s="169">
        <v>1810</v>
      </c>
    </row>
    <row r="11" spans="1:9" ht="14.25">
      <c r="A11" s="520"/>
      <c r="B11" s="170" t="s">
        <v>99</v>
      </c>
      <c r="C11" s="171" t="s">
        <v>97</v>
      </c>
      <c r="D11" s="171" t="s">
        <v>97</v>
      </c>
      <c r="E11" s="172" t="s">
        <v>97</v>
      </c>
      <c r="F11" s="172">
        <v>2200</v>
      </c>
      <c r="G11" s="172">
        <v>1830</v>
      </c>
      <c r="H11" s="172">
        <v>2090</v>
      </c>
      <c r="I11" s="171" t="s">
        <v>97</v>
      </c>
    </row>
    <row r="16" spans="2:4" ht="12.75">
      <c r="B16" s="211" t="s">
        <v>211</v>
      </c>
      <c r="C16" s="212">
        <v>39727</v>
      </c>
      <c r="D16" t="s">
        <v>212</v>
      </c>
    </row>
    <row r="18" spans="2:17" ht="12.75">
      <c r="B18" s="213" t="s">
        <v>213</v>
      </c>
      <c r="C18" t="s">
        <v>214</v>
      </c>
      <c r="Q18" s="326" t="s">
        <v>329</v>
      </c>
    </row>
    <row r="19" spans="3:17" ht="12.75">
      <c r="C19" t="s">
        <v>215</v>
      </c>
      <c r="D19" t="s">
        <v>216</v>
      </c>
      <c r="E19" t="s">
        <v>217</v>
      </c>
      <c r="F19" t="s">
        <v>218</v>
      </c>
      <c r="G19" t="s">
        <v>219</v>
      </c>
      <c r="H19" t="s">
        <v>220</v>
      </c>
      <c r="I19" t="s">
        <v>17</v>
      </c>
      <c r="J19" t="s">
        <v>221</v>
      </c>
      <c r="K19" t="s">
        <v>222</v>
      </c>
      <c r="L19" t="s">
        <v>223</v>
      </c>
      <c r="M19" t="s">
        <v>224</v>
      </c>
      <c r="N19" t="s">
        <v>225</v>
      </c>
      <c r="O19" t="s">
        <v>226</v>
      </c>
      <c r="Q19" s="326" t="s">
        <v>330</v>
      </c>
    </row>
    <row r="20" spans="3:18" ht="12.75">
      <c r="C20">
        <v>2005</v>
      </c>
      <c r="M20" s="5" t="s">
        <v>328</v>
      </c>
      <c r="R20">
        <v>2005</v>
      </c>
    </row>
    <row r="21" spans="3:18" ht="12.75">
      <c r="C21">
        <v>2006</v>
      </c>
      <c r="R21">
        <v>2006</v>
      </c>
    </row>
    <row r="22" spans="3:18" ht="12.75">
      <c r="C22">
        <v>2007</v>
      </c>
      <c r="R22">
        <v>2007</v>
      </c>
    </row>
    <row r="23" spans="3:18" ht="12.75">
      <c r="C23" s="214">
        <v>2008</v>
      </c>
      <c r="D23" s="215">
        <v>1000</v>
      </c>
      <c r="E23" s="215">
        <v>550</v>
      </c>
      <c r="F23" s="215">
        <v>3000</v>
      </c>
      <c r="G23" s="215">
        <v>4850</v>
      </c>
      <c r="H23" s="215">
        <v>2600</v>
      </c>
      <c r="I23" s="215">
        <v>2000</v>
      </c>
      <c r="J23" s="214">
        <v>2800</v>
      </c>
      <c r="K23" s="215">
        <v>4000</v>
      </c>
      <c r="L23" s="215">
        <v>3500</v>
      </c>
      <c r="M23" s="215">
        <v>5800</v>
      </c>
      <c r="N23" s="215">
        <v>3750</v>
      </c>
      <c r="O23" s="215">
        <v>5500</v>
      </c>
      <c r="P23" s="215"/>
      <c r="Q23" s="1">
        <v>4150</v>
      </c>
      <c r="R23" s="214">
        <v>2008</v>
      </c>
    </row>
    <row r="24" spans="3:18" ht="12.75">
      <c r="C24">
        <v>2009</v>
      </c>
      <c r="D24" s="216">
        <v>1015.625</v>
      </c>
      <c r="E24" s="216">
        <v>558.59375</v>
      </c>
      <c r="F24" s="216">
        <v>3067.415730337079</v>
      </c>
      <c r="G24" s="216">
        <v>5044</v>
      </c>
      <c r="H24" s="216">
        <v>2658.426966292135</v>
      </c>
      <c r="I24" s="216">
        <v>2010</v>
      </c>
      <c r="J24" s="216">
        <v>2638.6303999999996</v>
      </c>
      <c r="K24" s="216">
        <v>4020</v>
      </c>
      <c r="L24" s="216">
        <v>3517.5</v>
      </c>
      <c r="M24" s="216">
        <v>5308.6936</v>
      </c>
      <c r="N24" s="216">
        <v>3482.5781249999995</v>
      </c>
      <c r="O24" s="216">
        <v>6174.908424908425</v>
      </c>
      <c r="P24" s="216"/>
      <c r="Q24" s="1">
        <v>3610.0479181544506</v>
      </c>
      <c r="R24">
        <v>2009</v>
      </c>
    </row>
    <row r="25" spans="3:18" ht="12.75">
      <c r="C25">
        <v>2010</v>
      </c>
      <c r="D25" s="216">
        <v>1031.25</v>
      </c>
      <c r="E25" s="216">
        <v>567.1875</v>
      </c>
      <c r="F25" s="216">
        <v>3134.831460674158</v>
      </c>
      <c r="G25" s="216">
        <v>5238</v>
      </c>
      <c r="H25" s="216">
        <v>2716.85393258427</v>
      </c>
      <c r="I25" s="216">
        <v>2020</v>
      </c>
      <c r="J25" s="216">
        <v>2477.2607999999996</v>
      </c>
      <c r="K25" s="216">
        <v>4040</v>
      </c>
      <c r="L25" s="216">
        <v>3535</v>
      </c>
      <c r="M25" s="216">
        <v>4817.3872</v>
      </c>
      <c r="N25" s="216">
        <v>3215.156249999999</v>
      </c>
      <c r="O25" s="216">
        <v>6849.81684981685</v>
      </c>
      <c r="P25" s="216"/>
      <c r="Q25" s="1">
        <v>3525.598096407975</v>
      </c>
      <c r="R25">
        <v>2010</v>
      </c>
    </row>
    <row r="26" spans="3:18" ht="12.75">
      <c r="C26">
        <v>2011</v>
      </c>
      <c r="D26" s="216">
        <v>1036.4583333333333</v>
      </c>
      <c r="E26" s="216">
        <v>570.0520833333333</v>
      </c>
      <c r="F26" s="216">
        <v>3168.539325842697</v>
      </c>
      <c r="G26" s="216">
        <v>5342.76</v>
      </c>
      <c r="H26" s="216">
        <v>2746.0674157303374</v>
      </c>
      <c r="I26" s="216">
        <v>1983.64</v>
      </c>
      <c r="J26" s="216">
        <v>2422.6567829834653</v>
      </c>
      <c r="K26" s="216">
        <v>3967.28</v>
      </c>
      <c r="L26" s="216">
        <v>3471.37</v>
      </c>
      <c r="M26" s="216">
        <v>4609.028805568031</v>
      </c>
      <c r="N26" s="216">
        <v>3036.0010427109473</v>
      </c>
      <c r="O26" s="216">
        <v>6942.490842490843</v>
      </c>
      <c r="P26" s="216"/>
      <c r="Q26" s="1">
        <v>3441.1482746615</v>
      </c>
      <c r="R26">
        <v>2011</v>
      </c>
    </row>
    <row r="27" spans="3:18" ht="12.75">
      <c r="C27">
        <v>2012</v>
      </c>
      <c r="D27" s="216">
        <v>1041.6666666666665</v>
      </c>
      <c r="E27" s="216">
        <v>572.9166666666666</v>
      </c>
      <c r="F27" s="216">
        <v>3202.2471910112363</v>
      </c>
      <c r="G27" s="216">
        <v>5447.52</v>
      </c>
      <c r="H27" s="216">
        <v>2775.280898876405</v>
      </c>
      <c r="I27" s="216">
        <v>1947.28</v>
      </c>
      <c r="J27" s="216">
        <v>2368.0527659669306</v>
      </c>
      <c r="K27" s="216">
        <v>3894.56</v>
      </c>
      <c r="L27" s="216">
        <v>3407.74</v>
      </c>
      <c r="M27" s="216">
        <v>4400.670411136062</v>
      </c>
      <c r="N27" s="216">
        <v>2856.845835421896</v>
      </c>
      <c r="O27" s="216">
        <v>7035.164835164835</v>
      </c>
      <c r="P27" s="216"/>
      <c r="Q27" s="1">
        <v>3404.1188808269612</v>
      </c>
      <c r="R27">
        <v>2012</v>
      </c>
    </row>
    <row r="28" spans="3:18" ht="12.75">
      <c r="C28">
        <v>2013</v>
      </c>
      <c r="D28" s="216">
        <v>1046.875</v>
      </c>
      <c r="E28" s="216">
        <v>575.78125</v>
      </c>
      <c r="F28" s="216">
        <v>3235.955056179776</v>
      </c>
      <c r="G28" s="216">
        <v>5552.28</v>
      </c>
      <c r="H28" s="216">
        <v>2804.4943820224726</v>
      </c>
      <c r="I28" s="216">
        <v>1910.92</v>
      </c>
      <c r="J28" s="216">
        <v>2313.4487489503963</v>
      </c>
      <c r="K28" s="216">
        <v>3821.84</v>
      </c>
      <c r="L28" s="216">
        <v>3344.11</v>
      </c>
      <c r="M28" s="216">
        <v>4192.3120167040925</v>
      </c>
      <c r="N28" s="216">
        <v>2677.6906281328443</v>
      </c>
      <c r="O28" s="216">
        <v>7127.838827838827</v>
      </c>
      <c r="P28" s="216"/>
      <c r="Q28" s="1">
        <v>3367.0894869924227</v>
      </c>
      <c r="R28">
        <v>2013</v>
      </c>
    </row>
    <row r="29" spans="3:18" ht="12.75">
      <c r="C29">
        <v>2014</v>
      </c>
      <c r="D29" s="216">
        <v>1052.083333333333</v>
      </c>
      <c r="E29" s="216">
        <v>578.6458333333331</v>
      </c>
      <c r="F29" s="216">
        <v>3269.662921348315</v>
      </c>
      <c r="G29" s="216">
        <v>5657.04</v>
      </c>
      <c r="H29" s="216">
        <v>2833.7078651685397</v>
      </c>
      <c r="I29" s="216">
        <v>1874.56</v>
      </c>
      <c r="J29" s="216">
        <v>2258.8447319338616</v>
      </c>
      <c r="K29" s="216">
        <v>3749.12</v>
      </c>
      <c r="L29" s="216">
        <v>3280.48</v>
      </c>
      <c r="M29" s="216">
        <v>3983.953622272124</v>
      </c>
      <c r="N29" s="216">
        <v>2498.5354208437925</v>
      </c>
      <c r="O29" s="216">
        <v>7220.512820512819</v>
      </c>
      <c r="P29" s="216"/>
      <c r="Q29" s="1">
        <v>3386.23051853632</v>
      </c>
      <c r="R29">
        <v>2014</v>
      </c>
    </row>
    <row r="30" spans="3:18" ht="12.75">
      <c r="C30">
        <v>2015</v>
      </c>
      <c r="D30" s="216">
        <v>1057.2916666666667</v>
      </c>
      <c r="E30" s="216">
        <v>581.5104166666667</v>
      </c>
      <c r="F30" s="216">
        <v>3303.370786516854</v>
      </c>
      <c r="G30" s="216">
        <v>5761.8</v>
      </c>
      <c r="H30" s="216">
        <v>2862.921348314607</v>
      </c>
      <c r="I30" s="216">
        <v>1838.2</v>
      </c>
      <c r="J30" s="216">
        <v>2204.240714917327</v>
      </c>
      <c r="K30" s="216">
        <v>3676.4</v>
      </c>
      <c r="L30" s="216">
        <v>3216.85</v>
      </c>
      <c r="M30" s="216">
        <v>3775.5952278401555</v>
      </c>
      <c r="N30" s="216">
        <v>2319.3802135547407</v>
      </c>
      <c r="O30" s="216">
        <v>7313.186813186813</v>
      </c>
      <c r="P30" s="216"/>
      <c r="Q30" s="1">
        <v>3320</v>
      </c>
      <c r="R30" s="326">
        <v>2015</v>
      </c>
    </row>
    <row r="31" spans="3:18" ht="12.75">
      <c r="C31">
        <v>2016</v>
      </c>
      <c r="D31" s="216">
        <v>1057.2916666666667</v>
      </c>
      <c r="E31" s="216">
        <v>581.5104166666667</v>
      </c>
      <c r="F31" s="216">
        <v>3285.1846774058226</v>
      </c>
      <c r="G31" s="216">
        <v>5740.066471081308</v>
      </c>
      <c r="H31" s="216">
        <v>2847.160053751713</v>
      </c>
      <c r="I31" s="216">
        <v>1793.1718288953407</v>
      </c>
      <c r="J31" s="216">
        <v>2150.246085351907</v>
      </c>
      <c r="K31" s="216">
        <v>3586.3436577906814</v>
      </c>
      <c r="L31" s="216">
        <v>3138.050700566846</v>
      </c>
      <c r="M31" s="216">
        <v>3528.6917562393824</v>
      </c>
      <c r="N31" s="216">
        <v>2128.3566933018897</v>
      </c>
      <c r="O31" s="216">
        <v>7196.175824175824</v>
      </c>
      <c r="P31" s="216"/>
      <c r="Q31" s="1">
        <v>3237</v>
      </c>
      <c r="R31">
        <v>2016</v>
      </c>
    </row>
    <row r="32" spans="3:18" ht="12.75">
      <c r="C32">
        <v>2017</v>
      </c>
      <c r="D32" s="216">
        <v>1057.2916666666667</v>
      </c>
      <c r="E32" s="216">
        <v>581.5104166666667</v>
      </c>
      <c r="F32" s="216">
        <v>3266.998568294791</v>
      </c>
      <c r="G32" s="216">
        <v>5718.332942162617</v>
      </c>
      <c r="H32" s="216">
        <v>2831.3987591888185</v>
      </c>
      <c r="I32" s="216">
        <v>1748.1436577906813</v>
      </c>
      <c r="J32" s="216">
        <v>2096.2514557864874</v>
      </c>
      <c r="K32" s="216">
        <v>3496.2873155813627</v>
      </c>
      <c r="L32" s="216">
        <v>3059.251401133692</v>
      </c>
      <c r="M32" s="216">
        <v>3281.7882846386087</v>
      </c>
      <c r="N32" s="216">
        <v>1937.3331730490386</v>
      </c>
      <c r="O32" s="216">
        <v>7079.1648351648355</v>
      </c>
      <c r="P32" s="216"/>
      <c r="Q32" s="1">
        <v>3154</v>
      </c>
      <c r="R32">
        <v>2017</v>
      </c>
    </row>
    <row r="33" spans="3:18" ht="12.75">
      <c r="C33">
        <v>2018</v>
      </c>
      <c r="D33" s="216">
        <v>1057.2916666666667</v>
      </c>
      <c r="E33" s="216">
        <v>581.5104166666667</v>
      </c>
      <c r="F33" s="216">
        <v>3248.812459183759</v>
      </c>
      <c r="G33" s="216">
        <v>5696.599413243925</v>
      </c>
      <c r="H33" s="216">
        <v>2815.6374646259246</v>
      </c>
      <c r="I33" s="216">
        <v>1703.1154866860218</v>
      </c>
      <c r="J33" s="216">
        <v>2042.2568262210675</v>
      </c>
      <c r="K33" s="216">
        <v>3406.2309733720435</v>
      </c>
      <c r="L33" s="216">
        <v>2980.452101700538</v>
      </c>
      <c r="M33" s="216">
        <v>3034.8848130378356</v>
      </c>
      <c r="N33" s="216">
        <v>1746.3096527961877</v>
      </c>
      <c r="O33" s="216">
        <v>6962.153846153848</v>
      </c>
      <c r="P33" s="216"/>
      <c r="Q33" s="1">
        <v>3071</v>
      </c>
      <c r="R33">
        <v>2018</v>
      </c>
    </row>
    <row r="34" spans="3:18" ht="12.75">
      <c r="C34">
        <v>2019</v>
      </c>
      <c r="D34" s="216">
        <v>1057.2916666666667</v>
      </c>
      <c r="E34" s="216">
        <v>581.5104166666667</v>
      </c>
      <c r="F34" s="216">
        <v>3230.6263500727277</v>
      </c>
      <c r="G34" s="216">
        <v>5674.865884325233</v>
      </c>
      <c r="H34" s="216">
        <v>2799.8761700630307</v>
      </c>
      <c r="I34" s="216">
        <v>1658.0873155813624</v>
      </c>
      <c r="J34" s="216">
        <v>1988.2621966556478</v>
      </c>
      <c r="K34" s="216">
        <v>3316.174631162725</v>
      </c>
      <c r="L34" s="216">
        <v>2901.6528022673842</v>
      </c>
      <c r="M34" s="216">
        <v>2787.9813414370624</v>
      </c>
      <c r="N34" s="216">
        <v>1555.2861325433369</v>
      </c>
      <c r="O34" s="216">
        <v>6845.142857142859</v>
      </c>
      <c r="P34" s="216"/>
      <c r="Q34" s="1">
        <v>2988</v>
      </c>
      <c r="R34">
        <v>2019</v>
      </c>
    </row>
    <row r="35" spans="3:18" ht="12.75">
      <c r="C35">
        <v>2020</v>
      </c>
      <c r="D35" s="216">
        <v>1057.2916666666667</v>
      </c>
      <c r="E35" s="216">
        <v>581.5104166666667</v>
      </c>
      <c r="F35" s="216">
        <v>3212.4402409616955</v>
      </c>
      <c r="G35" s="216">
        <v>5653.132355406539</v>
      </c>
      <c r="H35" s="216">
        <v>2784.114875500136</v>
      </c>
      <c r="I35" s="216">
        <v>1613.0591444767026</v>
      </c>
      <c r="J35" s="216">
        <v>1934.2675670902283</v>
      </c>
      <c r="K35" s="216">
        <v>3226.118288953405</v>
      </c>
      <c r="L35" s="216">
        <v>2822.8535028342294</v>
      </c>
      <c r="M35" s="216">
        <v>2541.0778698362897</v>
      </c>
      <c r="N35" s="216">
        <v>1364.2626122904855</v>
      </c>
      <c r="O35" s="216">
        <v>6728.131868131868</v>
      </c>
      <c r="P35" s="216"/>
      <c r="Q35" s="1">
        <v>2905</v>
      </c>
      <c r="R35">
        <v>2020</v>
      </c>
    </row>
    <row r="36" spans="3:18" ht="12.75">
      <c r="C36">
        <v>2021</v>
      </c>
      <c r="D36" s="216">
        <v>1057.2916666666667</v>
      </c>
      <c r="E36" s="216">
        <v>581.5104166666667</v>
      </c>
      <c r="F36" s="216">
        <v>3194.2541318506637</v>
      </c>
      <c r="G36" s="216">
        <v>5631.398826487846</v>
      </c>
      <c r="H36" s="216">
        <v>2768.353580937242</v>
      </c>
      <c r="I36" s="216">
        <v>1613.0591444767026</v>
      </c>
      <c r="J36" s="216">
        <v>1934.2675670902283</v>
      </c>
      <c r="K36" s="216">
        <v>3226.118288953405</v>
      </c>
      <c r="L36" s="216">
        <v>2822.8535028342294</v>
      </c>
      <c r="M36" s="216">
        <v>2456.9751861279633</v>
      </c>
      <c r="N36" s="216">
        <v>1364.2626122904855</v>
      </c>
      <c r="O36" s="216">
        <v>6728.131868131868</v>
      </c>
      <c r="P36" s="216"/>
      <c r="Q36" s="1">
        <v>2905</v>
      </c>
      <c r="R36">
        <v>2021</v>
      </c>
    </row>
    <row r="37" spans="3:18" ht="12.75">
      <c r="C37">
        <v>2022</v>
      </c>
      <c r="D37" s="216">
        <v>1057.2916666666667</v>
      </c>
      <c r="E37" s="216">
        <v>581.5104166666667</v>
      </c>
      <c r="F37" s="216">
        <v>3176.0680227396324</v>
      </c>
      <c r="G37" s="216">
        <v>5609.665297569153</v>
      </c>
      <c r="H37" s="216">
        <v>2752.592286374348</v>
      </c>
      <c r="I37" s="216">
        <v>1613.0591444767026</v>
      </c>
      <c r="J37" s="216">
        <v>1934.2675670902283</v>
      </c>
      <c r="K37" s="216">
        <v>3226.118288953405</v>
      </c>
      <c r="L37" s="216">
        <v>2822.8535028342294</v>
      </c>
      <c r="M37" s="216">
        <v>2372.8725024196365</v>
      </c>
      <c r="N37" s="216">
        <v>1364.2626122904855</v>
      </c>
      <c r="O37" s="216">
        <v>6728.131868131868</v>
      </c>
      <c r="P37" s="216"/>
      <c r="Q37" s="1">
        <v>2905</v>
      </c>
      <c r="R37">
        <v>2022</v>
      </c>
    </row>
    <row r="38" spans="3:18" ht="12.75">
      <c r="C38">
        <v>2023</v>
      </c>
      <c r="D38" s="216">
        <v>1057.2916666666667</v>
      </c>
      <c r="E38" s="216">
        <v>581.5104166666667</v>
      </c>
      <c r="F38" s="216">
        <v>3157.8819136286006</v>
      </c>
      <c r="G38" s="216">
        <v>5587.931768650461</v>
      </c>
      <c r="H38" s="216">
        <v>2736.830991811454</v>
      </c>
      <c r="I38" s="216">
        <v>1613.0591444767026</v>
      </c>
      <c r="J38" s="216">
        <v>1934.2675670902283</v>
      </c>
      <c r="K38" s="216">
        <v>3226.118288953405</v>
      </c>
      <c r="L38" s="216">
        <v>2822.8535028342294</v>
      </c>
      <c r="M38" s="216">
        <v>2288.76981871131</v>
      </c>
      <c r="N38" s="216">
        <v>1364.2626122904855</v>
      </c>
      <c r="O38" s="216">
        <v>6728.131868131868</v>
      </c>
      <c r="P38" s="216"/>
      <c r="Q38" s="1">
        <v>2905</v>
      </c>
      <c r="R38">
        <v>2023</v>
      </c>
    </row>
    <row r="39" spans="3:18" ht="12.75">
      <c r="C39">
        <v>2024</v>
      </c>
      <c r="D39" s="216">
        <v>1057.2916666666667</v>
      </c>
      <c r="E39" s="216">
        <v>581.5104166666667</v>
      </c>
      <c r="F39" s="216">
        <v>3139.6958045175693</v>
      </c>
      <c r="G39" s="216">
        <v>5566.198239731768</v>
      </c>
      <c r="H39" s="216">
        <v>2721.06969724856</v>
      </c>
      <c r="I39" s="216">
        <v>1613.0591444767026</v>
      </c>
      <c r="J39" s="216">
        <v>1934.2675670902283</v>
      </c>
      <c r="K39" s="216">
        <v>3226.118288953405</v>
      </c>
      <c r="L39" s="216">
        <v>2822.8535028342294</v>
      </c>
      <c r="M39" s="216">
        <v>2204.6671350029837</v>
      </c>
      <c r="N39" s="216">
        <v>1364.2626122904855</v>
      </c>
      <c r="O39" s="216">
        <v>6728.131868131868</v>
      </c>
      <c r="P39" s="216"/>
      <c r="Q39" s="1">
        <v>2905</v>
      </c>
      <c r="R39">
        <v>2024</v>
      </c>
    </row>
    <row r="40" spans="3:18" ht="12.75">
      <c r="C40">
        <v>2025</v>
      </c>
      <c r="D40" s="216">
        <v>1057.2916666666667</v>
      </c>
      <c r="E40" s="216">
        <v>581.5104166666667</v>
      </c>
      <c r="F40" s="216">
        <v>3121.509695406537</v>
      </c>
      <c r="G40" s="216">
        <v>5544.4647108130775</v>
      </c>
      <c r="H40" s="216">
        <v>2705.3084026856654</v>
      </c>
      <c r="I40" s="216">
        <v>1613.0591444767026</v>
      </c>
      <c r="J40" s="216">
        <v>1934.2675670902283</v>
      </c>
      <c r="K40" s="216">
        <v>3226.118288953405</v>
      </c>
      <c r="L40" s="216">
        <v>2822.8535028342294</v>
      </c>
      <c r="M40" s="216">
        <v>2120.564451294658</v>
      </c>
      <c r="N40" s="216">
        <v>1364.2626122904855</v>
      </c>
      <c r="O40" s="216">
        <v>6728.131868131868</v>
      </c>
      <c r="P40" s="216"/>
      <c r="Q40" s="1">
        <v>2905</v>
      </c>
      <c r="R40">
        <v>2025</v>
      </c>
    </row>
    <row r="41" spans="3:18" ht="12.75">
      <c r="C41">
        <v>2026</v>
      </c>
      <c r="D41" s="216">
        <v>1064.1129032258066</v>
      </c>
      <c r="E41" s="216">
        <v>587.6315789473684</v>
      </c>
      <c r="F41" s="216">
        <v>3103.4113933596195</v>
      </c>
      <c r="G41" s="216">
        <v>5522.7311818943845</v>
      </c>
      <c r="H41" s="216">
        <v>2689.623207578337</v>
      </c>
      <c r="I41" s="216">
        <v>1613.0591444767026</v>
      </c>
      <c r="J41" s="216">
        <v>1934.2675670902283</v>
      </c>
      <c r="K41" s="216">
        <v>3226.118288953405</v>
      </c>
      <c r="L41" s="216">
        <v>2822.8535028342294</v>
      </c>
      <c r="M41" s="216">
        <v>2033.0336086226082</v>
      </c>
      <c r="N41" s="216">
        <v>1364.2626122904855</v>
      </c>
      <c r="O41" s="216">
        <v>6728.131868131868</v>
      </c>
      <c r="P41" s="216"/>
      <c r="Q41" s="1">
        <v>2905</v>
      </c>
      <c r="R41">
        <v>2026</v>
      </c>
    </row>
    <row r="42" spans="3:18" ht="12.75">
      <c r="C42">
        <v>2027</v>
      </c>
      <c r="D42" s="216">
        <v>1070.9341397849464</v>
      </c>
      <c r="E42" s="216">
        <v>593.7527412280701</v>
      </c>
      <c r="F42" s="216">
        <v>3085.3130913127025</v>
      </c>
      <c r="G42" s="216">
        <v>5500.997652975691</v>
      </c>
      <c r="H42" s="216">
        <v>2673.9380124710087</v>
      </c>
      <c r="I42" s="216">
        <v>1613.0591444767026</v>
      </c>
      <c r="J42" s="216">
        <v>1934.2675670902283</v>
      </c>
      <c r="K42" s="216">
        <v>3226.118288953405</v>
      </c>
      <c r="L42" s="216">
        <v>2822.8535028342294</v>
      </c>
      <c r="M42" s="216">
        <v>1945.5027659505586</v>
      </c>
      <c r="N42" s="216">
        <v>1364.2626122904855</v>
      </c>
      <c r="O42" s="216">
        <v>6728.131868131868</v>
      </c>
      <c r="P42" s="216"/>
      <c r="Q42" s="1">
        <v>2905</v>
      </c>
      <c r="R42">
        <v>2027</v>
      </c>
    </row>
    <row r="43" spans="3:18" ht="12.75">
      <c r="C43">
        <v>2028</v>
      </c>
      <c r="D43" s="216">
        <v>1077.7553763440862</v>
      </c>
      <c r="E43" s="216">
        <v>599.8739035087718</v>
      </c>
      <c r="F43" s="216">
        <v>3067.2147892657854</v>
      </c>
      <c r="G43" s="216">
        <v>5479.264124056999</v>
      </c>
      <c r="H43" s="216">
        <v>2658.2528173636806</v>
      </c>
      <c r="I43" s="216">
        <v>1613.0591444767026</v>
      </c>
      <c r="J43" s="216">
        <v>1934.2675670902283</v>
      </c>
      <c r="K43" s="216">
        <v>3226.118288953405</v>
      </c>
      <c r="L43" s="216">
        <v>2822.8535028342294</v>
      </c>
      <c r="M43" s="216">
        <v>1857.9719232785092</v>
      </c>
      <c r="N43" s="216">
        <v>1364.2626122904855</v>
      </c>
      <c r="O43" s="216">
        <v>6728.131868131868</v>
      </c>
      <c r="P43" s="216"/>
      <c r="Q43" s="1">
        <v>2905</v>
      </c>
      <c r="R43">
        <v>2028</v>
      </c>
    </row>
    <row r="44" spans="3:18" ht="12.75">
      <c r="C44">
        <v>2029</v>
      </c>
      <c r="D44" s="216">
        <v>1084.5766129032259</v>
      </c>
      <c r="E44" s="216">
        <v>605.9950657894735</v>
      </c>
      <c r="F44" s="216">
        <v>3049.116487218868</v>
      </c>
      <c r="G44" s="216">
        <v>5457.530595138306</v>
      </c>
      <c r="H44" s="216">
        <v>2642.5676222563525</v>
      </c>
      <c r="I44" s="216">
        <v>1613.0591444767026</v>
      </c>
      <c r="J44" s="216">
        <v>1934.2675670902283</v>
      </c>
      <c r="K44" s="216">
        <v>3226.118288953405</v>
      </c>
      <c r="L44" s="216">
        <v>2822.8535028342294</v>
      </c>
      <c r="M44" s="216">
        <v>1770.4410806064595</v>
      </c>
      <c r="N44" s="216">
        <v>1364.2626122904855</v>
      </c>
      <c r="O44" s="216">
        <v>6728.131868131868</v>
      </c>
      <c r="P44" s="216"/>
      <c r="Q44" s="1">
        <v>2905</v>
      </c>
      <c r="R44">
        <v>2029</v>
      </c>
    </row>
    <row r="45" spans="3:18" ht="12.75">
      <c r="C45">
        <v>2030</v>
      </c>
      <c r="D45" s="216">
        <v>1091.3978494623657</v>
      </c>
      <c r="E45" s="216">
        <v>612.1162280701753</v>
      </c>
      <c r="F45" s="216">
        <v>3031.018185171951</v>
      </c>
      <c r="G45" s="216">
        <v>5435.797066219616</v>
      </c>
      <c r="H45" s="216">
        <v>2626.882427149024</v>
      </c>
      <c r="I45" s="216">
        <v>1613.0591444767026</v>
      </c>
      <c r="J45" s="216">
        <v>1934.2675670902283</v>
      </c>
      <c r="K45" s="216">
        <v>3226.118288953405</v>
      </c>
      <c r="L45" s="216">
        <v>2822.8535028342294</v>
      </c>
      <c r="M45" s="216">
        <v>1682.9102379344104</v>
      </c>
      <c r="N45" s="216">
        <v>1364.2626122904855</v>
      </c>
      <c r="O45" s="216">
        <v>6728.131868131868</v>
      </c>
      <c r="P45" s="216"/>
      <c r="Q45" s="1">
        <v>2905</v>
      </c>
      <c r="R45">
        <v>2030</v>
      </c>
    </row>
    <row r="48" spans="2:3" ht="12.75">
      <c r="B48" s="217" t="s">
        <v>227</v>
      </c>
      <c r="C48" t="s">
        <v>214</v>
      </c>
    </row>
    <row r="49" spans="3:15" ht="12.75">
      <c r="C49" t="s">
        <v>215</v>
      </c>
      <c r="D49" t="s">
        <v>216</v>
      </c>
      <c r="E49" t="s">
        <v>217</v>
      </c>
      <c r="F49" t="s">
        <v>218</v>
      </c>
      <c r="G49" t="s">
        <v>219</v>
      </c>
      <c r="H49" t="s">
        <v>220</v>
      </c>
      <c r="I49" t="s">
        <v>17</v>
      </c>
      <c r="J49" t="s">
        <v>221</v>
      </c>
      <c r="K49" t="s">
        <v>222</v>
      </c>
      <c r="L49" t="s">
        <v>223</v>
      </c>
      <c r="M49" t="s">
        <v>224</v>
      </c>
      <c r="N49" t="s">
        <v>225</v>
      </c>
      <c r="O49" t="s">
        <v>226</v>
      </c>
    </row>
    <row r="50" spans="3:13" ht="12.75">
      <c r="C50">
        <v>2005</v>
      </c>
      <c r="M50" s="5" t="s">
        <v>328</v>
      </c>
    </row>
    <row r="51" ht="12.75">
      <c r="C51">
        <v>2006</v>
      </c>
    </row>
    <row r="52" ht="12.75">
      <c r="C52">
        <v>2007</v>
      </c>
    </row>
    <row r="53" spans="3:16" ht="12.75">
      <c r="C53" s="214">
        <v>2008</v>
      </c>
      <c r="D53" s="215">
        <v>1000</v>
      </c>
      <c r="E53" s="215">
        <v>550</v>
      </c>
      <c r="F53" s="215">
        <v>3000</v>
      </c>
      <c r="G53" s="215">
        <v>4850</v>
      </c>
      <c r="H53" s="215">
        <v>2600</v>
      </c>
      <c r="I53" s="215">
        <v>2000</v>
      </c>
      <c r="J53" s="214">
        <v>2800</v>
      </c>
      <c r="K53" s="215">
        <v>4000</v>
      </c>
      <c r="L53" s="215">
        <v>3500</v>
      </c>
      <c r="M53" s="215">
        <v>5800</v>
      </c>
      <c r="N53" s="215">
        <v>3750</v>
      </c>
      <c r="O53" s="215">
        <v>5500</v>
      </c>
      <c r="P53" s="215"/>
    </row>
    <row r="54" spans="3:16" ht="12.75">
      <c r="C54">
        <v>2009</v>
      </c>
      <c r="D54" s="216">
        <v>1054.6875</v>
      </c>
      <c r="E54" s="216">
        <v>580.078125</v>
      </c>
      <c r="F54" s="216">
        <v>3092.696629213483</v>
      </c>
      <c r="G54" s="216">
        <v>4999.859550561798</v>
      </c>
      <c r="H54" s="216">
        <v>2680.3370786516853</v>
      </c>
      <c r="I54" s="216">
        <v>2024.0384615384617</v>
      </c>
      <c r="J54" s="216">
        <v>2638.6303999999996</v>
      </c>
      <c r="K54" s="216">
        <v>4048.0769230769233</v>
      </c>
      <c r="L54" s="216">
        <v>3542.067307692308</v>
      </c>
      <c r="M54" s="216">
        <v>5232.6353</v>
      </c>
      <c r="N54" s="216">
        <v>3432.345</v>
      </c>
      <c r="O54" s="216">
        <v>6456.959706959708</v>
      </c>
      <c r="P54" s="216"/>
    </row>
    <row r="55" spans="3:16" ht="12.75">
      <c r="C55">
        <v>2010</v>
      </c>
      <c r="D55" s="216">
        <v>1109.375</v>
      </c>
      <c r="E55" s="216">
        <v>610.15625</v>
      </c>
      <c r="F55" s="216">
        <v>3185.3932584269664</v>
      </c>
      <c r="G55" s="216">
        <v>5149.7191011235955</v>
      </c>
      <c r="H55" s="216">
        <v>2760.674157303371</v>
      </c>
      <c r="I55" s="216">
        <v>2048.076923076923</v>
      </c>
      <c r="J55" s="216">
        <v>2477.2607999999996</v>
      </c>
      <c r="K55" s="216">
        <v>4096.153846153846</v>
      </c>
      <c r="L55" s="216">
        <v>3584.1346153846152</v>
      </c>
      <c r="M55" s="216">
        <v>4665.270599999999</v>
      </c>
      <c r="N55" s="216">
        <v>3114.69</v>
      </c>
      <c r="O55" s="216">
        <v>7413.919413919414</v>
      </c>
      <c r="P55" s="216"/>
    </row>
    <row r="56" spans="3:16" ht="12.75">
      <c r="C56">
        <v>2011</v>
      </c>
      <c r="D56" s="216">
        <v>1118.75</v>
      </c>
      <c r="E56" s="216">
        <v>615.3125</v>
      </c>
      <c r="F56" s="216">
        <v>3171.9101123595506</v>
      </c>
      <c r="G56" s="216">
        <v>5127.921348314607</v>
      </c>
      <c r="H56" s="216">
        <v>2748.988764044944</v>
      </c>
      <c r="I56" s="216">
        <v>2121.153846153846</v>
      </c>
      <c r="J56" s="216">
        <v>2422.6567829834653</v>
      </c>
      <c r="K56" s="216">
        <v>4242.307692307692</v>
      </c>
      <c r="L56" s="216">
        <v>3712.019230769231</v>
      </c>
      <c r="M56" s="216">
        <v>4351.223646706436</v>
      </c>
      <c r="N56" s="216">
        <v>2883.7238765112447</v>
      </c>
      <c r="O56" s="216">
        <v>7510.622710622711</v>
      </c>
      <c r="P56" s="216"/>
    </row>
    <row r="57" spans="3:16" ht="12.75">
      <c r="C57">
        <v>2012</v>
      </c>
      <c r="D57" s="216">
        <v>1128.125</v>
      </c>
      <c r="E57" s="216">
        <v>620.46875</v>
      </c>
      <c r="F57" s="216">
        <v>3158.426966292135</v>
      </c>
      <c r="G57" s="216">
        <v>5106.123595505618</v>
      </c>
      <c r="H57" s="216">
        <v>2737.303370786517</v>
      </c>
      <c r="I57" s="216">
        <v>2194.2307692307695</v>
      </c>
      <c r="J57" s="216">
        <v>2368.0527659669306</v>
      </c>
      <c r="K57" s="216">
        <v>4388.461538461539</v>
      </c>
      <c r="L57" s="216">
        <v>3839.9038461538466</v>
      </c>
      <c r="M57" s="216">
        <v>4037.1766934128727</v>
      </c>
      <c r="N57" s="216">
        <v>2652.7577530224894</v>
      </c>
      <c r="O57" s="216">
        <v>7607.326007326007</v>
      </c>
      <c r="P57" s="216"/>
    </row>
    <row r="58" spans="3:16" ht="12.75">
      <c r="C58">
        <v>2013</v>
      </c>
      <c r="D58" s="216">
        <v>1137.5</v>
      </c>
      <c r="E58" s="216">
        <v>625.625</v>
      </c>
      <c r="F58" s="216">
        <v>3144.9438202247197</v>
      </c>
      <c r="G58" s="216">
        <v>5084.3258426966295</v>
      </c>
      <c r="H58" s="216">
        <v>2725.6179775280903</v>
      </c>
      <c r="I58" s="216">
        <v>2267.307692307693</v>
      </c>
      <c r="J58" s="216">
        <v>2313.4487489503963</v>
      </c>
      <c r="K58" s="216">
        <v>4534.615384615386</v>
      </c>
      <c r="L58" s="216">
        <v>3967.7884615384623</v>
      </c>
      <c r="M58" s="216">
        <v>3723.129740119309</v>
      </c>
      <c r="N58" s="216">
        <v>2421.7916295337345</v>
      </c>
      <c r="O58" s="216">
        <v>7704.029304029304</v>
      </c>
      <c r="P58" s="216"/>
    </row>
    <row r="59" spans="3:16" ht="12.75">
      <c r="C59">
        <v>2014</v>
      </c>
      <c r="D59" s="216">
        <v>1146.875</v>
      </c>
      <c r="E59" s="216">
        <v>630.78125</v>
      </c>
      <c r="F59" s="216">
        <v>3131.460674157304</v>
      </c>
      <c r="G59" s="216">
        <v>5062.528089887642</v>
      </c>
      <c r="H59" s="216">
        <v>2713.9325842696635</v>
      </c>
      <c r="I59" s="216">
        <v>2340.384615384616</v>
      </c>
      <c r="J59" s="216">
        <v>2258.8447319338616</v>
      </c>
      <c r="K59" s="216">
        <v>4680.769230769232</v>
      </c>
      <c r="L59" s="216">
        <v>4095.673076923078</v>
      </c>
      <c r="M59" s="216">
        <v>3409.0827868257456</v>
      </c>
      <c r="N59" s="216">
        <v>2190.8255060449796</v>
      </c>
      <c r="O59" s="216">
        <v>7800.7326007326</v>
      </c>
      <c r="P59" s="216"/>
    </row>
    <row r="60" spans="3:16" ht="12.75">
      <c r="C60">
        <v>2015</v>
      </c>
      <c r="D60" s="216">
        <v>1156.25</v>
      </c>
      <c r="E60" s="216">
        <v>635.9375</v>
      </c>
      <c r="F60" s="216">
        <v>3117.9775280898875</v>
      </c>
      <c r="G60" s="216">
        <v>5040.730337078651</v>
      </c>
      <c r="H60" s="216">
        <v>2702.247191011236</v>
      </c>
      <c r="I60" s="216">
        <v>2413.461538461538</v>
      </c>
      <c r="J60" s="216">
        <v>2204.240714917327</v>
      </c>
      <c r="K60" s="216">
        <v>4826.923076923076</v>
      </c>
      <c r="L60" s="216">
        <v>4223.557692307692</v>
      </c>
      <c r="M60" s="216">
        <v>3095.035833532183</v>
      </c>
      <c r="N60" s="216">
        <v>1959.8593825562236</v>
      </c>
      <c r="O60" s="216">
        <v>7897.4358974358975</v>
      </c>
      <c r="P60" s="216"/>
    </row>
    <row r="61" spans="3:16" ht="12.75">
      <c r="C61">
        <v>2016</v>
      </c>
      <c r="D61" s="216">
        <v>1156.25</v>
      </c>
      <c r="E61" s="216">
        <v>635.9375</v>
      </c>
      <c r="F61" s="216">
        <v>3101.987899740709</v>
      </c>
      <c r="G61" s="216">
        <v>5008.417963123019</v>
      </c>
      <c r="H61" s="216">
        <v>2688.389513108614</v>
      </c>
      <c r="I61" s="216">
        <v>2354.341878409117</v>
      </c>
      <c r="J61" s="216">
        <v>2150.246085351907</v>
      </c>
      <c r="K61" s="216">
        <v>4708.683756818234</v>
      </c>
      <c r="L61" s="216">
        <v>4120.098287215955</v>
      </c>
      <c r="M61" s="216">
        <v>2793.791095347772</v>
      </c>
      <c r="N61" s="216">
        <v>1743.2420421804902</v>
      </c>
      <c r="O61" s="216">
        <v>7841.025641025642</v>
      </c>
      <c r="P61" s="216"/>
    </row>
    <row r="62" spans="3:16" ht="12.75">
      <c r="C62">
        <v>2017</v>
      </c>
      <c r="D62" s="216">
        <v>1156.25</v>
      </c>
      <c r="E62" s="216">
        <v>635.9375</v>
      </c>
      <c r="F62" s="216">
        <v>3085.99827139153</v>
      </c>
      <c r="G62" s="216">
        <v>4976.105589167387</v>
      </c>
      <c r="H62" s="216">
        <v>2674.5318352059926</v>
      </c>
      <c r="I62" s="216">
        <v>2295.222218356695</v>
      </c>
      <c r="J62" s="216">
        <v>2096.2514557864874</v>
      </c>
      <c r="K62" s="216">
        <v>4590.44443671339</v>
      </c>
      <c r="L62" s="216">
        <v>4016.6388821242167</v>
      </c>
      <c r="M62" s="216">
        <v>2492.546357163362</v>
      </c>
      <c r="N62" s="216">
        <v>1526.6247018047566</v>
      </c>
      <c r="O62" s="216">
        <v>7784.615384615385</v>
      </c>
      <c r="P62" s="216"/>
    </row>
    <row r="63" spans="3:16" ht="12.75">
      <c r="C63">
        <v>2018</v>
      </c>
      <c r="D63" s="216">
        <v>1156.25</v>
      </c>
      <c r="E63" s="216">
        <v>635.9375</v>
      </c>
      <c r="F63" s="216">
        <v>3070.0086430423517</v>
      </c>
      <c r="G63" s="216">
        <v>4943.793215211754</v>
      </c>
      <c r="H63" s="216">
        <v>2660.6741573033714</v>
      </c>
      <c r="I63" s="216">
        <v>2236.1025583042738</v>
      </c>
      <c r="J63" s="216">
        <v>2042.2568262210675</v>
      </c>
      <c r="K63" s="216">
        <v>4472.2051166085475</v>
      </c>
      <c r="L63" s="216">
        <v>3913.179477032479</v>
      </c>
      <c r="M63" s="216">
        <v>2191.301618978951</v>
      </c>
      <c r="N63" s="216">
        <v>1310.007361429023</v>
      </c>
      <c r="O63" s="216">
        <v>7728.205128205129</v>
      </c>
      <c r="P63" s="216"/>
    </row>
    <row r="64" spans="3:16" ht="12.75">
      <c r="C64">
        <v>2019</v>
      </c>
      <c r="D64" s="216">
        <v>1156.25</v>
      </c>
      <c r="E64" s="216">
        <v>635.9375</v>
      </c>
      <c r="F64" s="216">
        <v>3054.0190146931727</v>
      </c>
      <c r="G64" s="216">
        <v>4911.4808412561215</v>
      </c>
      <c r="H64" s="216">
        <v>2646.81647940075</v>
      </c>
      <c r="I64" s="216">
        <v>2176.982898251852</v>
      </c>
      <c r="J64" s="216">
        <v>1988.2621966556478</v>
      </c>
      <c r="K64" s="216">
        <v>4353.965796503704</v>
      </c>
      <c r="L64" s="216">
        <v>3809.7200719407415</v>
      </c>
      <c r="M64" s="216">
        <v>1890.0568807945401</v>
      </c>
      <c r="N64" s="216">
        <v>1093.3900210532895</v>
      </c>
      <c r="O64" s="216">
        <v>7671.794871794873</v>
      </c>
      <c r="P64" s="216"/>
    </row>
    <row r="65" spans="3:16" ht="12.75">
      <c r="C65">
        <v>2020</v>
      </c>
      <c r="D65" s="216">
        <v>1156.25</v>
      </c>
      <c r="E65" s="216">
        <v>635.9375</v>
      </c>
      <c r="F65" s="216">
        <v>3038.029386343993</v>
      </c>
      <c r="G65" s="216">
        <v>4879.16846730049</v>
      </c>
      <c r="H65" s="216">
        <v>2632.958801498127</v>
      </c>
      <c r="I65" s="216">
        <v>2117.8632381994316</v>
      </c>
      <c r="J65" s="216">
        <v>1934.2675670902283</v>
      </c>
      <c r="K65" s="216">
        <v>4235.726476398863</v>
      </c>
      <c r="L65" s="216">
        <v>3706.2606668490052</v>
      </c>
      <c r="M65" s="216">
        <v>1588.81214261013</v>
      </c>
      <c r="N65" s="216">
        <v>876.7726806775563</v>
      </c>
      <c r="O65" s="216">
        <v>7615.384615384615</v>
      </c>
      <c r="P65" s="216"/>
    </row>
    <row r="66" spans="3:16" ht="12.75">
      <c r="C66">
        <v>2021</v>
      </c>
      <c r="D66" s="216">
        <v>1156.25</v>
      </c>
      <c r="E66" s="216">
        <v>635.9375</v>
      </c>
      <c r="F66" s="216">
        <v>3026.516853932584</v>
      </c>
      <c r="G66" s="216">
        <v>4879.16846730049</v>
      </c>
      <c r="H66" s="216">
        <v>2622.9812734082393</v>
      </c>
      <c r="I66" s="216">
        <v>2117.8632381994316</v>
      </c>
      <c r="J66" s="216">
        <v>1934.2675670902283</v>
      </c>
      <c r="K66" s="216">
        <v>4235.726476398863</v>
      </c>
      <c r="L66" s="216">
        <v>3706.2606668490052</v>
      </c>
      <c r="M66" s="216">
        <v>1561.3971528684772</v>
      </c>
      <c r="N66" s="216">
        <v>876.7726806775563</v>
      </c>
      <c r="O66" s="216">
        <v>7558.974358974359</v>
      </c>
      <c r="P66" s="216"/>
    </row>
    <row r="67" spans="3:16" ht="12.75">
      <c r="C67">
        <v>2022</v>
      </c>
      <c r="D67" s="216">
        <v>1156.25</v>
      </c>
      <c r="E67" s="216">
        <v>635.9375</v>
      </c>
      <c r="F67" s="216">
        <v>3015.0043215211754</v>
      </c>
      <c r="G67" s="216">
        <v>4879.16846730049</v>
      </c>
      <c r="H67" s="216">
        <v>2613.003745318352</v>
      </c>
      <c r="I67" s="216">
        <v>2117.8632381994316</v>
      </c>
      <c r="J67" s="216">
        <v>1934.2675670902283</v>
      </c>
      <c r="K67" s="216">
        <v>4235.726476398863</v>
      </c>
      <c r="L67" s="216">
        <v>3706.2606668490052</v>
      </c>
      <c r="M67" s="216">
        <v>1533.9821631268246</v>
      </c>
      <c r="N67" s="216">
        <v>876.7726806775563</v>
      </c>
      <c r="O67" s="216">
        <v>7502.5641025641025</v>
      </c>
      <c r="P67" s="216"/>
    </row>
    <row r="68" spans="3:16" ht="12.75">
      <c r="C68">
        <v>2023</v>
      </c>
      <c r="D68" s="216">
        <v>1156.25</v>
      </c>
      <c r="E68" s="216">
        <v>635.9375</v>
      </c>
      <c r="F68" s="216">
        <v>3003.4917891097666</v>
      </c>
      <c r="G68" s="216">
        <v>4879.16846730049</v>
      </c>
      <c r="H68" s="216">
        <v>2603.0262172284642</v>
      </c>
      <c r="I68" s="216">
        <v>2117.8632381994316</v>
      </c>
      <c r="J68" s="216">
        <v>1934.2675670902283</v>
      </c>
      <c r="K68" s="216">
        <v>4235.726476398863</v>
      </c>
      <c r="L68" s="216">
        <v>3706.2606668490052</v>
      </c>
      <c r="M68" s="216">
        <v>1506.5671733851718</v>
      </c>
      <c r="N68" s="216">
        <v>876.7726806775563</v>
      </c>
      <c r="O68" s="216">
        <v>7446.153846153847</v>
      </c>
      <c r="P68" s="216"/>
    </row>
    <row r="69" spans="3:16" ht="12.75">
      <c r="C69">
        <v>2024</v>
      </c>
      <c r="D69" s="216">
        <v>1156.25</v>
      </c>
      <c r="E69" s="216">
        <v>635.9375</v>
      </c>
      <c r="F69" s="216">
        <v>2991.979256698358</v>
      </c>
      <c r="G69" s="216">
        <v>4879.16846730049</v>
      </c>
      <c r="H69" s="216">
        <v>2593.0486891385767</v>
      </c>
      <c r="I69" s="216">
        <v>2117.8632381994316</v>
      </c>
      <c r="J69" s="216">
        <v>1934.2675670902283</v>
      </c>
      <c r="K69" s="216">
        <v>4235.726476398863</v>
      </c>
      <c r="L69" s="216">
        <v>3706.2606668490052</v>
      </c>
      <c r="M69" s="216">
        <v>1479.152183643519</v>
      </c>
      <c r="N69" s="216">
        <v>876.7726806775563</v>
      </c>
      <c r="O69" s="216">
        <v>7389.743589743591</v>
      </c>
      <c r="P69" s="216"/>
    </row>
    <row r="70" spans="3:16" ht="12.75">
      <c r="C70">
        <v>2025</v>
      </c>
      <c r="D70" s="216">
        <v>1156.25</v>
      </c>
      <c r="E70" s="216">
        <v>635.9375</v>
      </c>
      <c r="F70" s="216">
        <v>2980.466724286949</v>
      </c>
      <c r="G70" s="216">
        <v>4879.16846730049</v>
      </c>
      <c r="H70" s="216">
        <v>2583.071161048689</v>
      </c>
      <c r="I70" s="216">
        <v>2117.8632381994316</v>
      </c>
      <c r="J70" s="216">
        <v>1934.2675670902283</v>
      </c>
      <c r="K70" s="216">
        <v>4235.726476398863</v>
      </c>
      <c r="L70" s="216">
        <v>3706.2606668490052</v>
      </c>
      <c r="M70" s="216">
        <v>1451.7371939018656</v>
      </c>
      <c r="N70" s="216">
        <v>876.7726806775563</v>
      </c>
      <c r="O70" s="216">
        <v>7333.333333333333</v>
      </c>
      <c r="P70" s="216"/>
    </row>
    <row r="71" spans="3:16" ht="12.75">
      <c r="C71">
        <v>2026</v>
      </c>
      <c r="D71" s="216">
        <v>1156.25</v>
      </c>
      <c r="E71" s="216">
        <v>635.9375</v>
      </c>
      <c r="F71" s="216">
        <v>2980.466724286949</v>
      </c>
      <c r="G71" s="216">
        <v>4879.16846730049</v>
      </c>
      <c r="H71" s="216">
        <v>2583.071161048689</v>
      </c>
      <c r="I71" s="216">
        <v>2117.8632381994316</v>
      </c>
      <c r="J71" s="216">
        <v>1934.2675670902283</v>
      </c>
      <c r="K71" s="216">
        <v>4235.726476398863</v>
      </c>
      <c r="L71" s="216">
        <v>3706.2606668490052</v>
      </c>
      <c r="M71" s="216">
        <v>1420.1209871412727</v>
      </c>
      <c r="N71" s="216">
        <v>876.7726806775563</v>
      </c>
      <c r="O71" s="216">
        <v>7305.128205128205</v>
      </c>
      <c r="P71" s="216"/>
    </row>
    <row r="72" spans="3:16" ht="12.75">
      <c r="C72">
        <v>2027</v>
      </c>
      <c r="D72" s="216">
        <v>1156.25</v>
      </c>
      <c r="E72" s="216">
        <v>635.9375</v>
      </c>
      <c r="F72" s="216">
        <v>2980.466724286949</v>
      </c>
      <c r="G72" s="216">
        <v>4879.16846730049</v>
      </c>
      <c r="H72" s="216">
        <v>2583.071161048689</v>
      </c>
      <c r="I72" s="216">
        <v>2117.8632381994316</v>
      </c>
      <c r="J72" s="216">
        <v>1934.2675670902283</v>
      </c>
      <c r="K72" s="216">
        <v>4235.726476398863</v>
      </c>
      <c r="L72" s="216">
        <v>3706.2606668490052</v>
      </c>
      <c r="M72" s="216">
        <v>1388.50478038068</v>
      </c>
      <c r="N72" s="216">
        <v>876.7726806775563</v>
      </c>
      <c r="O72" s="216">
        <v>7276.923076923077</v>
      </c>
      <c r="P72" s="216"/>
    </row>
    <row r="73" spans="3:16" ht="12.75">
      <c r="C73">
        <v>2028</v>
      </c>
      <c r="D73" s="216">
        <v>1156.25</v>
      </c>
      <c r="E73" s="216">
        <v>635.9375</v>
      </c>
      <c r="F73" s="216">
        <v>2980.466724286949</v>
      </c>
      <c r="G73" s="216">
        <v>4879.16846730049</v>
      </c>
      <c r="H73" s="216">
        <v>2583.071161048689</v>
      </c>
      <c r="I73" s="216">
        <v>2117.8632381994316</v>
      </c>
      <c r="J73" s="216">
        <v>1934.2675670902283</v>
      </c>
      <c r="K73" s="216">
        <v>4235.726476398863</v>
      </c>
      <c r="L73" s="216">
        <v>3706.2606668490052</v>
      </c>
      <c r="M73" s="216">
        <v>1356.888573620087</v>
      </c>
      <c r="N73" s="216">
        <v>876.7726806775563</v>
      </c>
      <c r="O73" s="216">
        <v>7248.717948717948</v>
      </c>
      <c r="P73" s="216"/>
    </row>
    <row r="74" spans="3:16" ht="12.75">
      <c r="C74">
        <v>2029</v>
      </c>
      <c r="D74" s="216">
        <v>1156.25</v>
      </c>
      <c r="E74" s="216">
        <v>635.9375</v>
      </c>
      <c r="F74" s="216">
        <v>2980.466724286949</v>
      </c>
      <c r="G74" s="216">
        <v>4879.16846730049</v>
      </c>
      <c r="H74" s="216">
        <v>2583.071161048689</v>
      </c>
      <c r="I74" s="216">
        <v>2117.8632381994316</v>
      </c>
      <c r="J74" s="216">
        <v>1934.2675670902283</v>
      </c>
      <c r="K74" s="216">
        <v>4235.726476398863</v>
      </c>
      <c r="L74" s="216">
        <v>3706.2606668490052</v>
      </c>
      <c r="M74" s="216">
        <v>1325.2723668594945</v>
      </c>
      <c r="N74" s="216">
        <v>876.7726806775563</v>
      </c>
      <c r="O74" s="216">
        <v>7220.51282051282</v>
      </c>
      <c r="P74" s="216"/>
    </row>
    <row r="75" spans="3:16" ht="12.75">
      <c r="C75">
        <v>2030</v>
      </c>
      <c r="D75" s="216">
        <v>1156.25</v>
      </c>
      <c r="E75" s="216">
        <v>635.9375</v>
      </c>
      <c r="F75" s="216">
        <v>2980.466724286949</v>
      </c>
      <c r="G75" s="216">
        <v>4879.16846730049</v>
      </c>
      <c r="H75" s="216">
        <v>2583.071161048689</v>
      </c>
      <c r="I75" s="216">
        <v>2117.8632381994316</v>
      </c>
      <c r="J75" s="216">
        <v>1934.2675670902283</v>
      </c>
      <c r="K75" s="216">
        <v>4235.726476398863</v>
      </c>
      <c r="L75" s="216">
        <v>3706.2606668490052</v>
      </c>
      <c r="M75" s="216">
        <v>1293.6561600989016</v>
      </c>
      <c r="N75" s="216">
        <v>876.7726806775563</v>
      </c>
      <c r="O75" s="216">
        <v>7192.3076923076915</v>
      </c>
      <c r="P75" s="216"/>
    </row>
    <row r="78" spans="2:3" ht="12.75">
      <c r="B78" s="217" t="s">
        <v>228</v>
      </c>
      <c r="C78" t="s">
        <v>214</v>
      </c>
    </row>
    <row r="79" spans="3:15" ht="12.75">
      <c r="C79" t="s">
        <v>215</v>
      </c>
      <c r="D79" t="s">
        <v>216</v>
      </c>
      <c r="E79" t="s">
        <v>217</v>
      </c>
      <c r="F79" t="s">
        <v>218</v>
      </c>
      <c r="G79" t="s">
        <v>219</v>
      </c>
      <c r="H79" t="s">
        <v>220</v>
      </c>
      <c r="I79" t="s">
        <v>17</v>
      </c>
      <c r="J79" t="s">
        <v>221</v>
      </c>
      <c r="K79" t="s">
        <v>222</v>
      </c>
      <c r="L79" t="s">
        <v>223</v>
      </c>
      <c r="M79" t="s">
        <v>224</v>
      </c>
      <c r="N79" t="s">
        <v>225</v>
      </c>
      <c r="O79" t="s">
        <v>226</v>
      </c>
    </row>
    <row r="80" spans="3:13" ht="12.75">
      <c r="C80">
        <v>2005</v>
      </c>
      <c r="M80" s="5" t="s">
        <v>328</v>
      </c>
    </row>
    <row r="81" ht="12.75">
      <c r="C81">
        <v>2006</v>
      </c>
    </row>
    <row r="82" ht="12.75">
      <c r="C82">
        <v>2007</v>
      </c>
    </row>
    <row r="83" spans="3:16" ht="12.75">
      <c r="C83" s="214">
        <v>2008</v>
      </c>
      <c r="D83" s="215">
        <v>1000</v>
      </c>
      <c r="E83" s="215">
        <v>550</v>
      </c>
      <c r="F83" s="215">
        <v>3000</v>
      </c>
      <c r="G83" s="215"/>
      <c r="H83" s="215">
        <v>2600</v>
      </c>
      <c r="I83" s="215">
        <v>2000</v>
      </c>
      <c r="J83" s="215">
        <v>2800</v>
      </c>
      <c r="K83" s="215">
        <v>4000</v>
      </c>
      <c r="L83" s="215">
        <v>3500</v>
      </c>
      <c r="M83" s="215">
        <v>5800</v>
      </c>
      <c r="N83" s="215">
        <v>3750</v>
      </c>
      <c r="O83" s="215">
        <v>5500</v>
      </c>
      <c r="P83" s="215"/>
    </row>
    <row r="84" spans="3:16" ht="12.75">
      <c r="C84">
        <v>2009</v>
      </c>
      <c r="D84" s="216">
        <v>984.375</v>
      </c>
      <c r="E84" s="216">
        <v>541.40625</v>
      </c>
      <c r="F84" s="216">
        <v>3278.0898876404494</v>
      </c>
      <c r="G84" s="216"/>
      <c r="H84" s="216">
        <v>2841.0112359550562</v>
      </c>
      <c r="I84" s="216">
        <v>1831.730769230769</v>
      </c>
      <c r="J84" s="216">
        <v>2638.6303999999996</v>
      </c>
      <c r="K84" s="216">
        <v>4000</v>
      </c>
      <c r="L84" s="216">
        <v>3500</v>
      </c>
      <c r="M84" s="216">
        <v>5386.387499999999</v>
      </c>
      <c r="N84" s="216">
        <v>3750</v>
      </c>
      <c r="O84" s="216">
        <v>5550.3663003663005</v>
      </c>
      <c r="P84" s="216"/>
    </row>
    <row r="85" spans="3:16" ht="12.75">
      <c r="C85">
        <v>2010</v>
      </c>
      <c r="D85" s="216">
        <v>968.75</v>
      </c>
      <c r="E85" s="216">
        <v>532.8125</v>
      </c>
      <c r="F85" s="216">
        <v>3556.1797752808993</v>
      </c>
      <c r="G85" s="216"/>
      <c r="H85" s="216">
        <v>3082.0224719101125</v>
      </c>
      <c r="I85" s="216">
        <v>1663.4615384615383</v>
      </c>
      <c r="J85" s="216">
        <v>2477.2607999999996</v>
      </c>
      <c r="K85" s="216">
        <v>4000</v>
      </c>
      <c r="L85" s="216">
        <v>3500</v>
      </c>
      <c r="M85" s="216">
        <v>4972.775</v>
      </c>
      <c r="N85" s="216">
        <v>3750</v>
      </c>
      <c r="O85" s="216">
        <v>5600.7326007326</v>
      </c>
      <c r="P85" s="216"/>
    </row>
    <row r="86" spans="3:16" ht="12.75">
      <c r="C86">
        <v>2011</v>
      </c>
      <c r="D86" s="216">
        <v>969.7916666666667</v>
      </c>
      <c r="E86" s="216">
        <v>533.3854166666667</v>
      </c>
      <c r="F86" s="216">
        <v>3562.921348314607</v>
      </c>
      <c r="G86" s="216"/>
      <c r="H86" s="216">
        <v>3087.8651685393256</v>
      </c>
      <c r="I86" s="216">
        <v>1613.4615384615383</v>
      </c>
      <c r="J86" s="216">
        <v>2457.786083536424</v>
      </c>
      <c r="K86" s="216">
        <v>4000</v>
      </c>
      <c r="L86" s="216">
        <v>3500</v>
      </c>
      <c r="M86" s="216">
        <v>4824.350617923827</v>
      </c>
      <c r="N86" s="216">
        <v>3750</v>
      </c>
      <c r="O86" s="216">
        <v>5483.882783882784</v>
      </c>
      <c r="P86" s="216"/>
    </row>
    <row r="87" spans="3:16" ht="12.75">
      <c r="C87">
        <v>2012</v>
      </c>
      <c r="D87" s="216">
        <v>970.8333333333335</v>
      </c>
      <c r="E87" s="216">
        <v>533.9583333333334</v>
      </c>
      <c r="F87" s="216">
        <v>3569.6629213483143</v>
      </c>
      <c r="G87" s="216"/>
      <c r="H87" s="216">
        <v>3093.707865168539</v>
      </c>
      <c r="I87" s="216">
        <v>1563.4615384615383</v>
      </c>
      <c r="J87" s="216">
        <v>2438.311367072848</v>
      </c>
      <c r="K87" s="216">
        <v>4000</v>
      </c>
      <c r="L87" s="216">
        <v>3500</v>
      </c>
      <c r="M87" s="216">
        <v>4675.926235847654</v>
      </c>
      <c r="N87" s="216">
        <v>3750</v>
      </c>
      <c r="O87" s="216">
        <v>5367.0329670329675</v>
      </c>
      <c r="P87" s="216"/>
    </row>
    <row r="88" spans="3:16" ht="12.75">
      <c r="C88">
        <v>2013</v>
      </c>
      <c r="D88" s="216">
        <v>971.875</v>
      </c>
      <c r="E88" s="216">
        <v>534.53125</v>
      </c>
      <c r="F88" s="216">
        <v>3576.4044943820218</v>
      </c>
      <c r="G88" s="216"/>
      <c r="H88" s="216">
        <v>3099.550561797752</v>
      </c>
      <c r="I88" s="216">
        <v>1513.461538461538</v>
      </c>
      <c r="J88" s="216">
        <v>2418.8366506092725</v>
      </c>
      <c r="K88" s="216">
        <v>4000</v>
      </c>
      <c r="L88" s="216">
        <v>3500</v>
      </c>
      <c r="M88" s="216">
        <v>4527.501853771482</v>
      </c>
      <c r="N88" s="216">
        <v>3750</v>
      </c>
      <c r="O88" s="216">
        <v>5250.183150183151</v>
      </c>
      <c r="P88" s="216"/>
    </row>
    <row r="89" spans="3:16" ht="12.75">
      <c r="C89">
        <v>2014</v>
      </c>
      <c r="D89" s="216">
        <v>972.9166666666669</v>
      </c>
      <c r="E89" s="216">
        <v>535.1041666666667</v>
      </c>
      <c r="F89" s="216">
        <v>3583.1460674157292</v>
      </c>
      <c r="G89" s="216"/>
      <c r="H89" s="216">
        <v>3105.393258426965</v>
      </c>
      <c r="I89" s="216">
        <v>1463.461538461538</v>
      </c>
      <c r="J89" s="216">
        <v>2399.361934145697</v>
      </c>
      <c r="K89" s="216">
        <v>4000</v>
      </c>
      <c r="L89" s="216">
        <v>3500</v>
      </c>
      <c r="M89" s="216">
        <v>4379.07747169531</v>
      </c>
      <c r="N89" s="216">
        <v>3750</v>
      </c>
      <c r="O89" s="216">
        <v>5133.333333333335</v>
      </c>
      <c r="P89" s="216"/>
    </row>
    <row r="90" spans="3:16" ht="12.75">
      <c r="C90">
        <v>2015</v>
      </c>
      <c r="D90" s="216">
        <v>973.9583333333334</v>
      </c>
      <c r="E90" s="216">
        <v>535.6770833333334</v>
      </c>
      <c r="F90" s="216">
        <v>3589.887640449438</v>
      </c>
      <c r="G90" s="216"/>
      <c r="H90" s="216">
        <v>3111.2359550561796</v>
      </c>
      <c r="I90" s="216">
        <v>1413.4615384615383</v>
      </c>
      <c r="J90" s="216">
        <v>2379.8872176821214</v>
      </c>
      <c r="K90" s="216">
        <v>4000</v>
      </c>
      <c r="L90" s="216">
        <v>3500</v>
      </c>
      <c r="M90" s="216">
        <v>4230.653089619137</v>
      </c>
      <c r="N90" s="216">
        <v>3750</v>
      </c>
      <c r="O90" s="216">
        <v>5016.483516483517</v>
      </c>
      <c r="P90" s="216"/>
    </row>
    <row r="91" spans="3:16" ht="12.75">
      <c r="C91">
        <v>2016</v>
      </c>
      <c r="D91" s="216">
        <v>973.9583333333334</v>
      </c>
      <c r="E91" s="216">
        <v>535.6770833333334</v>
      </c>
      <c r="F91" s="216">
        <v>3536.704119850187</v>
      </c>
      <c r="G91" s="216"/>
      <c r="H91" s="216">
        <v>3065.143570536829</v>
      </c>
      <c r="I91" s="216">
        <v>1395.6278074102522</v>
      </c>
      <c r="J91" s="216">
        <v>2349.8600344743404</v>
      </c>
      <c r="K91" s="216">
        <v>4000</v>
      </c>
      <c r="L91" s="216">
        <v>3500</v>
      </c>
      <c r="M91" s="216">
        <v>4035.215861117219</v>
      </c>
      <c r="N91" s="216">
        <v>3750</v>
      </c>
      <c r="O91" s="216">
        <v>4916.153846153847</v>
      </c>
      <c r="P91" s="216"/>
    </row>
    <row r="92" spans="3:16" ht="12.75">
      <c r="C92">
        <v>2017</v>
      </c>
      <c r="D92" s="216">
        <v>973.9583333333334</v>
      </c>
      <c r="E92" s="216">
        <v>535.6770833333334</v>
      </c>
      <c r="F92" s="216">
        <v>3483.5205992509364</v>
      </c>
      <c r="G92" s="216"/>
      <c r="H92" s="216">
        <v>3019.0511860174784</v>
      </c>
      <c r="I92" s="216">
        <v>1377.794076358966</v>
      </c>
      <c r="J92" s="216">
        <v>2319.8328512665594</v>
      </c>
      <c r="K92" s="216">
        <v>4000</v>
      </c>
      <c r="L92" s="216">
        <v>3500</v>
      </c>
      <c r="M92" s="216">
        <v>3839.778632615301</v>
      </c>
      <c r="N92" s="216">
        <v>3750</v>
      </c>
      <c r="O92" s="216">
        <v>4815.824175824177</v>
      </c>
      <c r="P92" s="216"/>
    </row>
    <row r="93" spans="3:16" ht="12.75">
      <c r="C93">
        <v>2018</v>
      </c>
      <c r="D93" s="216">
        <v>973.9583333333334</v>
      </c>
      <c r="E93" s="216">
        <v>535.6770833333334</v>
      </c>
      <c r="F93" s="216">
        <v>3430.3370786516857</v>
      </c>
      <c r="G93" s="216"/>
      <c r="H93" s="216">
        <v>2972.9588014981273</v>
      </c>
      <c r="I93" s="216">
        <v>1359.9603453076797</v>
      </c>
      <c r="J93" s="216">
        <v>2289.805668058779</v>
      </c>
      <c r="K93" s="216">
        <v>4000</v>
      </c>
      <c r="L93" s="216">
        <v>3500</v>
      </c>
      <c r="M93" s="216">
        <v>3644.3414041133833</v>
      </c>
      <c r="N93" s="216">
        <v>3750</v>
      </c>
      <c r="O93" s="216">
        <v>4715.4945054945065</v>
      </c>
      <c r="P93" s="216"/>
    </row>
    <row r="94" spans="3:16" ht="12.75">
      <c r="C94">
        <v>2019</v>
      </c>
      <c r="D94" s="216">
        <v>973.9583333333334</v>
      </c>
      <c r="E94" s="216">
        <v>535.6770833333334</v>
      </c>
      <c r="F94" s="216">
        <v>3377.1535580524346</v>
      </c>
      <c r="G94" s="216"/>
      <c r="H94" s="216">
        <v>2926.8664169787767</v>
      </c>
      <c r="I94" s="216">
        <v>1342.1266142563936</v>
      </c>
      <c r="J94" s="216">
        <v>2259.7784848509978</v>
      </c>
      <c r="K94" s="216">
        <v>4000</v>
      </c>
      <c r="L94" s="216">
        <v>3500</v>
      </c>
      <c r="M94" s="216">
        <v>3448.9041756114652</v>
      </c>
      <c r="N94" s="216">
        <v>3750</v>
      </c>
      <c r="O94" s="216">
        <v>4615.164835164836</v>
      </c>
      <c r="P94" s="216"/>
    </row>
    <row r="95" spans="3:16" ht="12.75">
      <c r="C95">
        <v>2020</v>
      </c>
      <c r="D95" s="216">
        <v>973.9583333333334</v>
      </c>
      <c r="E95" s="216">
        <v>535.6770833333334</v>
      </c>
      <c r="F95" s="216">
        <v>3323.9700374531835</v>
      </c>
      <c r="G95" s="216"/>
      <c r="H95" s="216">
        <v>2880.7740324594256</v>
      </c>
      <c r="I95" s="216">
        <v>1324.2928832051077</v>
      </c>
      <c r="J95" s="216">
        <v>2229.7513016432163</v>
      </c>
      <c r="K95" s="216">
        <v>4000</v>
      </c>
      <c r="L95" s="216">
        <v>3500</v>
      </c>
      <c r="M95" s="216">
        <v>3253.466947109548</v>
      </c>
      <c r="N95" s="216">
        <v>3750</v>
      </c>
      <c r="O95" s="216">
        <v>4514.835164835165</v>
      </c>
      <c r="P95" s="216"/>
    </row>
    <row r="96" spans="3:16" ht="12.75">
      <c r="C96">
        <v>2021</v>
      </c>
      <c r="D96" s="216">
        <v>973.9583333333334</v>
      </c>
      <c r="E96" s="216">
        <v>535.6770833333334</v>
      </c>
      <c r="F96" s="216">
        <v>3297.3782771535575</v>
      </c>
      <c r="G96" s="216"/>
      <c r="H96" s="216">
        <v>2857.72784019975</v>
      </c>
      <c r="I96" s="216">
        <v>1324.2928832051077</v>
      </c>
      <c r="J96" s="216">
        <v>2229.7513016432163</v>
      </c>
      <c r="K96" s="216">
        <v>4000</v>
      </c>
      <c r="L96" s="216">
        <v>3500</v>
      </c>
      <c r="M96" s="216">
        <v>3145.786145644822</v>
      </c>
      <c r="N96" s="216">
        <v>3750</v>
      </c>
      <c r="O96" s="216">
        <v>4514.835164835165</v>
      </c>
      <c r="P96" s="216"/>
    </row>
    <row r="97" spans="3:16" ht="12.75">
      <c r="C97">
        <v>2022</v>
      </c>
      <c r="D97" s="216">
        <v>973.9583333333334</v>
      </c>
      <c r="E97" s="216">
        <v>535.6770833333334</v>
      </c>
      <c r="F97" s="216">
        <v>3270.786516853932</v>
      </c>
      <c r="G97" s="216"/>
      <c r="H97" s="216">
        <v>2834.681647940074</v>
      </c>
      <c r="I97" s="216">
        <v>1324.2928832051077</v>
      </c>
      <c r="J97" s="216">
        <v>2229.7513016432163</v>
      </c>
      <c r="K97" s="216">
        <v>4000</v>
      </c>
      <c r="L97" s="216">
        <v>3500</v>
      </c>
      <c r="M97" s="216">
        <v>3038.105344180097</v>
      </c>
      <c r="N97" s="216">
        <v>3750</v>
      </c>
      <c r="O97" s="216">
        <v>4514.835164835165</v>
      </c>
      <c r="P97" s="216"/>
    </row>
    <row r="98" spans="3:16" ht="12.75">
      <c r="C98">
        <v>2023</v>
      </c>
      <c r="D98" s="216">
        <v>973.9583333333334</v>
      </c>
      <c r="E98" s="216">
        <v>535.6770833333334</v>
      </c>
      <c r="F98" s="216">
        <v>3244.194756554306</v>
      </c>
      <c r="G98" s="216"/>
      <c r="H98" s="216">
        <v>2811.6354556803985</v>
      </c>
      <c r="I98" s="216">
        <v>1324.2928832051077</v>
      </c>
      <c r="J98" s="216">
        <v>2229.7513016432163</v>
      </c>
      <c r="K98" s="216">
        <v>4000</v>
      </c>
      <c r="L98" s="216">
        <v>3500</v>
      </c>
      <c r="M98" s="216">
        <v>2930.424542715371</v>
      </c>
      <c r="N98" s="216">
        <v>3750</v>
      </c>
      <c r="O98" s="216">
        <v>4514.835164835165</v>
      </c>
      <c r="P98" s="216"/>
    </row>
    <row r="99" spans="3:16" ht="12.75">
      <c r="C99">
        <v>2024</v>
      </c>
      <c r="D99" s="216">
        <v>973.9583333333334</v>
      </c>
      <c r="E99" s="216">
        <v>535.6770833333334</v>
      </c>
      <c r="F99" s="216">
        <v>3217.6029962546804</v>
      </c>
      <c r="G99" s="216"/>
      <c r="H99" s="216">
        <v>2788.589263420723</v>
      </c>
      <c r="I99" s="216">
        <v>1324.2928832051077</v>
      </c>
      <c r="J99" s="216">
        <v>2229.7513016432163</v>
      </c>
      <c r="K99" s="216">
        <v>4000</v>
      </c>
      <c r="L99" s="216">
        <v>3500</v>
      </c>
      <c r="M99" s="216">
        <v>2822.7437412506456</v>
      </c>
      <c r="N99" s="216">
        <v>3750</v>
      </c>
      <c r="O99" s="216">
        <v>4514.835164835165</v>
      </c>
      <c r="P99" s="216"/>
    </row>
    <row r="100" spans="3:16" ht="12.75">
      <c r="C100">
        <v>2025</v>
      </c>
      <c r="D100" s="216">
        <v>973.9583333333334</v>
      </c>
      <c r="E100" s="216">
        <v>535.6770833333334</v>
      </c>
      <c r="F100" s="216">
        <v>3191.011235955056</v>
      </c>
      <c r="G100" s="216"/>
      <c r="H100" s="216">
        <v>2765.5430711610484</v>
      </c>
      <c r="I100" s="216">
        <v>1324.2928832051077</v>
      </c>
      <c r="J100" s="216">
        <v>2229.7513016432163</v>
      </c>
      <c r="K100" s="216">
        <v>4000</v>
      </c>
      <c r="L100" s="216">
        <v>3500</v>
      </c>
      <c r="M100" s="216">
        <v>2715.0629397859216</v>
      </c>
      <c r="N100" s="216">
        <v>3750</v>
      </c>
      <c r="O100" s="216">
        <v>4514.835164835165</v>
      </c>
      <c r="P100" s="216"/>
    </row>
    <row r="101" spans="3:16" ht="12.75">
      <c r="C101">
        <v>2026</v>
      </c>
      <c r="D101" s="216">
        <v>973.9583333333334</v>
      </c>
      <c r="E101" s="216">
        <v>535.6770833333331</v>
      </c>
      <c r="F101" s="216">
        <v>3191.011235955056</v>
      </c>
      <c r="G101" s="216"/>
      <c r="H101" s="216">
        <v>2765.5430711610484</v>
      </c>
      <c r="I101" s="216">
        <v>1324.2928832051077</v>
      </c>
      <c r="J101" s="216">
        <v>2229.7513016432163</v>
      </c>
      <c r="K101" s="216">
        <v>4000</v>
      </c>
      <c r="L101" s="216">
        <v>3500</v>
      </c>
      <c r="M101" s="216">
        <v>2602.9928978298653</v>
      </c>
      <c r="N101" s="216">
        <v>3750</v>
      </c>
      <c r="O101" s="216">
        <v>4514.835164835165</v>
      </c>
      <c r="P101" s="216"/>
    </row>
    <row r="102" spans="3:16" ht="12.75">
      <c r="C102">
        <v>2027</v>
      </c>
      <c r="D102" s="216">
        <v>973.9583333333334</v>
      </c>
      <c r="E102" s="216">
        <v>535.6770833333331</v>
      </c>
      <c r="F102" s="216">
        <v>3191.011235955056</v>
      </c>
      <c r="G102" s="216"/>
      <c r="H102" s="216">
        <v>2765.5430711610484</v>
      </c>
      <c r="I102" s="216">
        <v>1324.2928832051077</v>
      </c>
      <c r="J102" s="216">
        <v>2229.7513016432163</v>
      </c>
      <c r="K102" s="216">
        <v>4000</v>
      </c>
      <c r="L102" s="216">
        <v>3500</v>
      </c>
      <c r="M102" s="216">
        <v>2490.922855873809</v>
      </c>
      <c r="N102" s="216">
        <v>3750</v>
      </c>
      <c r="O102" s="216">
        <v>4514.835164835165</v>
      </c>
      <c r="P102" s="216"/>
    </row>
    <row r="103" spans="3:16" ht="12.75">
      <c r="C103">
        <v>2028</v>
      </c>
      <c r="D103" s="216">
        <v>973.9583333333334</v>
      </c>
      <c r="E103" s="216">
        <v>535.6770833333331</v>
      </c>
      <c r="F103" s="216">
        <v>3191.011235955056</v>
      </c>
      <c r="G103" s="216"/>
      <c r="H103" s="216">
        <v>2765.5430711610484</v>
      </c>
      <c r="I103" s="216">
        <v>1324.2928832051077</v>
      </c>
      <c r="J103" s="216">
        <v>2229.7513016432163</v>
      </c>
      <c r="K103" s="216">
        <v>4000</v>
      </c>
      <c r="L103" s="216">
        <v>3500</v>
      </c>
      <c r="M103" s="216">
        <v>2378.852813917753</v>
      </c>
      <c r="N103" s="216">
        <v>3750</v>
      </c>
      <c r="O103" s="216">
        <v>4514.835164835165</v>
      </c>
      <c r="P103" s="216"/>
    </row>
    <row r="104" spans="3:16" ht="12.75">
      <c r="C104">
        <v>2029</v>
      </c>
      <c r="D104" s="216">
        <v>973.9583333333334</v>
      </c>
      <c r="E104" s="216">
        <v>535.6770833333331</v>
      </c>
      <c r="F104" s="216">
        <v>3191.011235955056</v>
      </c>
      <c r="G104" s="216"/>
      <c r="H104" s="216">
        <v>2765.5430711610484</v>
      </c>
      <c r="I104" s="216">
        <v>1324.2928832051077</v>
      </c>
      <c r="J104" s="216">
        <v>2229.7513016432163</v>
      </c>
      <c r="K104" s="216">
        <v>4000</v>
      </c>
      <c r="L104" s="216">
        <v>3500</v>
      </c>
      <c r="M104" s="216">
        <v>2266.7827719616967</v>
      </c>
      <c r="N104" s="216">
        <v>3750</v>
      </c>
      <c r="O104" s="216">
        <v>4514.835164835165</v>
      </c>
      <c r="P104" s="216"/>
    </row>
    <row r="105" spans="3:16" ht="12.75">
      <c r="C105">
        <v>2030</v>
      </c>
      <c r="D105" s="216">
        <v>973.9583333333334</v>
      </c>
      <c r="E105" s="216">
        <v>535.6770833333331</v>
      </c>
      <c r="F105" s="216">
        <v>3191.011235955056</v>
      </c>
      <c r="G105" s="216"/>
      <c r="H105" s="216">
        <v>2765.5430711610484</v>
      </c>
      <c r="I105" s="216">
        <v>1324.2928832051077</v>
      </c>
      <c r="J105" s="216">
        <v>2229.7513016432163</v>
      </c>
      <c r="K105" s="216">
        <v>4000</v>
      </c>
      <c r="L105" s="216">
        <v>3500</v>
      </c>
      <c r="M105" s="216">
        <v>2154.712730005641</v>
      </c>
      <c r="N105" s="216">
        <v>3750</v>
      </c>
      <c r="O105" s="216">
        <v>4514.835164835165</v>
      </c>
      <c r="P105" s="216"/>
    </row>
  </sheetData>
  <sheetProtection/>
  <mergeCells count="4">
    <mergeCell ref="A2:I2"/>
    <mergeCell ref="A4:I4"/>
    <mergeCell ref="A7:A11"/>
    <mergeCell ref="A1:I1"/>
  </mergeCells>
  <printOptions/>
  <pageMargins left="0.75" right="0.75" top="1" bottom="1" header="0.5" footer="0.5"/>
  <pageSetup horizontalDpi="600" verticalDpi="600" orientation="portrait" r:id="rId4"/>
  <drawing r:id="rId3"/>
  <legacyDrawing r:id="rId2"/>
</worksheet>
</file>

<file path=xl/worksheets/sheet11.xml><?xml version="1.0" encoding="utf-8"?>
<worksheet xmlns="http://schemas.openxmlformats.org/spreadsheetml/2006/main" xmlns:r="http://schemas.openxmlformats.org/officeDocument/2006/relationships">
  <dimension ref="A1:C22"/>
  <sheetViews>
    <sheetView zoomScalePageLayoutView="0" workbookViewId="0" topLeftCell="A1">
      <selection activeCell="A1" sqref="A1"/>
    </sheetView>
  </sheetViews>
  <sheetFormatPr defaultColWidth="9.140625" defaultRowHeight="12.75"/>
  <sheetData>
    <row r="1" ht="15.75">
      <c r="A1" s="253" t="s">
        <v>247</v>
      </c>
    </row>
    <row r="2" ht="15.75">
      <c r="A2" s="253"/>
    </row>
    <row r="3" ht="12.75">
      <c r="C3" t="s">
        <v>246</v>
      </c>
    </row>
    <row r="5" ht="12.75">
      <c r="C5" s="217" t="s">
        <v>17</v>
      </c>
    </row>
    <row r="6" spans="2:3" ht="12.75">
      <c r="B6">
        <v>2005</v>
      </c>
      <c r="C6" s="216">
        <v>1325</v>
      </c>
    </row>
    <row r="7" spans="2:3" ht="12.75">
      <c r="B7">
        <v>2006</v>
      </c>
      <c r="C7" s="216">
        <v>1464</v>
      </c>
    </row>
    <row r="8" spans="2:3" ht="12.75">
      <c r="B8">
        <v>2007</v>
      </c>
      <c r="C8" s="216">
        <v>1710</v>
      </c>
    </row>
    <row r="9" spans="2:3" ht="12.75">
      <c r="B9">
        <v>2008</v>
      </c>
      <c r="C9" s="216">
        <v>1981</v>
      </c>
    </row>
    <row r="10" spans="2:3" ht="12.75">
      <c r="B10">
        <v>2009</v>
      </c>
      <c r="C10" s="216">
        <v>2086</v>
      </c>
    </row>
    <row r="11" spans="2:3" ht="12.75">
      <c r="B11">
        <v>2010</v>
      </c>
      <c r="C11" s="216">
        <v>2209</v>
      </c>
    </row>
    <row r="12" spans="2:3" ht="12.75">
      <c r="B12">
        <v>2011</v>
      </c>
      <c r="C12" s="216">
        <v>2358</v>
      </c>
    </row>
    <row r="13" spans="2:3" ht="12.75">
      <c r="B13">
        <v>2012</v>
      </c>
      <c r="C13" s="216">
        <v>2502</v>
      </c>
    </row>
    <row r="14" spans="2:3" ht="12.75">
      <c r="B14">
        <v>2013</v>
      </c>
      <c r="C14" s="216">
        <v>2643</v>
      </c>
    </row>
    <row r="15" spans="2:3" ht="12.75">
      <c r="B15">
        <v>2015</v>
      </c>
      <c r="C15" s="216">
        <v>2780</v>
      </c>
    </row>
    <row r="16" spans="2:3" ht="12.75">
      <c r="B16">
        <v>2015</v>
      </c>
      <c r="C16" s="216">
        <v>2915</v>
      </c>
    </row>
    <row r="20" ht="12.75">
      <c r="B20" t="s">
        <v>248</v>
      </c>
    </row>
    <row r="21" ht="12.75">
      <c r="B21" t="s">
        <v>249</v>
      </c>
    </row>
    <row r="22" ht="12.75">
      <c r="C22" t="s">
        <v>250</v>
      </c>
    </row>
  </sheetData>
  <sheetProtection/>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L41"/>
  <sheetViews>
    <sheetView showGridLines="0" zoomScalePageLayoutView="0" workbookViewId="0" topLeftCell="A1">
      <pane xSplit="2" ySplit="3" topLeftCell="C4" activePane="bottomRight" state="frozen"/>
      <selection pane="topLeft" activeCell="A1" sqref="A1"/>
      <selection pane="topRight" activeCell="C1" sqref="C1"/>
      <selection pane="bottomLeft" activeCell="A4" sqref="A4"/>
      <selection pane="bottomRight" activeCell="C4" sqref="C4"/>
    </sheetView>
  </sheetViews>
  <sheetFormatPr defaultColWidth="9.140625" defaultRowHeight="12.75"/>
  <cols>
    <col min="2" max="2" width="19.28125" style="0" customWidth="1"/>
    <col min="3" max="4" width="15.00390625" style="0" customWidth="1"/>
    <col min="5" max="5" width="11.57421875" style="0" customWidth="1"/>
    <col min="6" max="6" width="8.28125" style="0" customWidth="1"/>
    <col min="7" max="7" width="11.8515625" style="0" customWidth="1"/>
    <col min="8" max="8" width="14.28125" style="0" customWidth="1"/>
    <col min="9" max="9" width="11.8515625" style="0" customWidth="1"/>
    <col min="10" max="10" width="13.28125" style="0" customWidth="1"/>
    <col min="11" max="11" width="16.140625" style="0" customWidth="1"/>
    <col min="12" max="12" width="14.28125" style="0" customWidth="1"/>
  </cols>
  <sheetData>
    <row r="1" spans="1:12" ht="13.5" thickBot="1">
      <c r="A1" s="486" t="s">
        <v>16</v>
      </c>
      <c r="B1" s="528" t="s">
        <v>327</v>
      </c>
      <c r="C1" s="528"/>
      <c r="D1" s="528"/>
      <c r="E1" s="529"/>
      <c r="G1" s="522" t="s">
        <v>103</v>
      </c>
      <c r="H1" s="523"/>
      <c r="I1" s="523"/>
      <c r="J1" s="523"/>
      <c r="K1" s="524"/>
      <c r="L1" s="490"/>
    </row>
    <row r="2" spans="1:12" ht="13.5" thickBot="1">
      <c r="A2" s="487"/>
      <c r="B2" s="231" t="s">
        <v>236</v>
      </c>
      <c r="C2" s="530" t="s">
        <v>237</v>
      </c>
      <c r="D2" s="531"/>
      <c r="E2" s="532"/>
      <c r="G2" s="525" t="s">
        <v>231</v>
      </c>
      <c r="H2" s="526"/>
      <c r="I2" s="526"/>
      <c r="J2" s="526"/>
      <c r="K2" s="526"/>
      <c r="L2" s="527"/>
    </row>
    <row r="3" spans="1:12" ht="13.5" thickBot="1">
      <c r="A3" s="232"/>
      <c r="B3" s="174" t="s">
        <v>101</v>
      </c>
      <c r="C3" s="400" t="s">
        <v>102</v>
      </c>
      <c r="D3" s="400" t="s">
        <v>173</v>
      </c>
      <c r="E3" s="401" t="s">
        <v>100</v>
      </c>
      <c r="G3" s="223" t="s">
        <v>232</v>
      </c>
      <c r="H3" s="224" t="s">
        <v>173</v>
      </c>
      <c r="I3" s="174" t="s">
        <v>233</v>
      </c>
      <c r="J3" s="174" t="s">
        <v>234</v>
      </c>
      <c r="K3" s="175" t="s">
        <v>235</v>
      </c>
      <c r="L3" s="224" t="s">
        <v>251</v>
      </c>
    </row>
    <row r="4" spans="1:12" ht="12.75">
      <c r="A4" s="233" t="s">
        <v>80</v>
      </c>
      <c r="B4" s="176">
        <f>+'$-kW Basis'!C15</f>
        <v>3314</v>
      </c>
      <c r="C4" s="176">
        <f>+EIA_CapitalCosts!E8*(1+$C$12)^2</f>
        <v>1506.4336084491881</v>
      </c>
      <c r="D4" s="176">
        <f>+WoodMac_CapitalCosts!B2</f>
        <v>2500</v>
      </c>
      <c r="E4" s="177">
        <f>+CERA_CapitalCosts!F11</f>
        <v>2200</v>
      </c>
      <c r="G4" s="225">
        <v>1726</v>
      </c>
      <c r="H4" s="225">
        <v>2865</v>
      </c>
      <c r="I4" s="176">
        <f>CERA_CapitalCosts!F30</f>
        <v>3303.370786516854</v>
      </c>
      <c r="J4" s="176">
        <f>CERA_CapitalCosts!F60</f>
        <v>3117.9775280898875</v>
      </c>
      <c r="K4" s="177">
        <f>CERA_CapitalCosts!F90</f>
        <v>3589.887640449438</v>
      </c>
      <c r="L4" s="225"/>
    </row>
    <row r="5" spans="1:12" ht="12.75">
      <c r="A5" s="234" t="s">
        <v>50</v>
      </c>
      <c r="B5" s="178">
        <f>+'$-kW Basis'!E15</f>
        <v>3833</v>
      </c>
      <c r="C5" s="178">
        <f>+EIA_CapitalCosts!E9*(1+$C$12)^2</f>
        <v>1741.152510404234</v>
      </c>
      <c r="D5" s="178">
        <f>+WoodMac_CapitalCosts!B5</f>
        <v>3000</v>
      </c>
      <c r="E5" s="179" t="s">
        <v>104</v>
      </c>
      <c r="G5" s="226">
        <v>1995</v>
      </c>
      <c r="H5" s="226">
        <v>3438</v>
      </c>
      <c r="I5" s="227">
        <f>CERA_CapitalCosts!G30</f>
        <v>5761.8</v>
      </c>
      <c r="J5" s="227">
        <f>CERA_CapitalCosts!G60</f>
        <v>5040.730337078651</v>
      </c>
      <c r="K5" s="228">
        <f>CERA_CapitalCosts!G90</f>
        <v>0</v>
      </c>
      <c r="L5" s="226"/>
    </row>
    <row r="6" spans="1:12" ht="12.75">
      <c r="A6" s="234" t="s">
        <v>81</v>
      </c>
      <c r="B6" s="178">
        <f>+'$-kW Basis'!O15</f>
        <v>1001</v>
      </c>
      <c r="C6" s="178">
        <f>+EIA_CapitalCosts!E11*(1+$C$12)^2</f>
        <v>717.624183846165</v>
      </c>
      <c r="D6" s="178">
        <f>+WoodMac_CapitalCosts!B36*(1.025)^3</f>
        <v>807.6679687499999</v>
      </c>
      <c r="E6" s="180">
        <f>+CERA_CapitalCosts!F8</f>
        <v>750</v>
      </c>
      <c r="G6" s="226">
        <v>823</v>
      </c>
      <c r="H6" s="226">
        <v>917</v>
      </c>
      <c r="I6" s="178">
        <f>CERA_CapitalCosts!D30</f>
        <v>1057.2916666666667</v>
      </c>
      <c r="J6" s="178">
        <f>CERA_CapitalCosts!D60</f>
        <v>1156.25</v>
      </c>
      <c r="K6" s="180">
        <f>CERA_CapitalCosts!D90</f>
        <v>973.9583333333334</v>
      </c>
      <c r="L6" s="226"/>
    </row>
    <row r="7" spans="1:12" ht="12.75">
      <c r="A7" s="234" t="s">
        <v>52</v>
      </c>
      <c r="B7" s="178">
        <f>+'$-kW Basis'!N15</f>
        <v>910</v>
      </c>
      <c r="C7" s="178">
        <f>+EIA_CapitalCosts!E14*(1+$C$12)^2</f>
        <v>500.22061072386833</v>
      </c>
      <c r="D7" s="178">
        <f>+WoodMac_CapitalCosts!C36*(1.025)^3</f>
        <v>619.212109375</v>
      </c>
      <c r="E7" s="180">
        <f>+CERA_CapitalCosts!F7</f>
        <v>410</v>
      </c>
      <c r="G7" s="226">
        <v>573</v>
      </c>
      <c r="H7" s="226">
        <v>709</v>
      </c>
      <c r="I7" s="178">
        <f>CERA_CapitalCosts!E30</f>
        <v>581.5104166666667</v>
      </c>
      <c r="J7" s="178">
        <f>CERA_CapitalCosts!E60</f>
        <v>635.9375</v>
      </c>
      <c r="K7" s="180">
        <f>CERA_CapitalCosts!E90</f>
        <v>535.6770833333334</v>
      </c>
      <c r="L7" s="226"/>
    </row>
    <row r="8" spans="1:12" ht="12.75">
      <c r="A8" s="234" t="s">
        <v>13</v>
      </c>
      <c r="B8" s="178">
        <f>+'$-kW Basis'!L15</f>
        <v>6970</v>
      </c>
      <c r="C8" s="178">
        <f>+EIA_CapitalCosts!E17*(1+$C$12)^2</f>
        <v>2250.9927482574076</v>
      </c>
      <c r="D8" s="178">
        <f>+WoodMac_CapitalCosts!B4</f>
        <v>3800</v>
      </c>
      <c r="E8" s="180">
        <f>+CERA_CapitalCosts!F9</f>
        <v>3000</v>
      </c>
      <c r="G8" s="226">
        <v>2578</v>
      </c>
      <c r="H8" s="226">
        <v>4355</v>
      </c>
      <c r="I8" s="178">
        <f>CERA_CapitalCosts!O30</f>
        <v>7313.186813186813</v>
      </c>
      <c r="J8" s="178">
        <f>CERA_CapitalCosts!O60</f>
        <v>7897.4358974358975</v>
      </c>
      <c r="K8" s="180">
        <f>CERA_CapitalCosts!O90</f>
        <v>5016.483516483517</v>
      </c>
      <c r="L8" s="226"/>
    </row>
    <row r="9" spans="1:12" ht="12.75">
      <c r="A9" s="394" t="s">
        <v>17</v>
      </c>
      <c r="B9" s="395">
        <f>+'$-kW Basis'!I15</f>
        <v>1886.0400000000002</v>
      </c>
      <c r="C9" s="395">
        <f>+EIA_CapitalCosts!E24*(1+$C$12)^2</f>
        <v>1408.3134117302754</v>
      </c>
      <c r="D9" s="395">
        <f>+WoodMac_CapitalCosts!B7</f>
        <v>2000</v>
      </c>
      <c r="E9" s="396">
        <f>+CERA_CapitalCosts!F10</f>
        <v>1780</v>
      </c>
      <c r="G9" s="226">
        <v>1613</v>
      </c>
      <c r="H9" s="226">
        <v>2292</v>
      </c>
      <c r="I9" s="178">
        <f>CERA_CapitalCosts!I30</f>
        <v>1838.2</v>
      </c>
      <c r="J9" s="178">
        <f>CERA_CapitalCosts!I60</f>
        <v>2413.461538461538</v>
      </c>
      <c r="K9" s="180">
        <f>CERA_CapitalCosts!I90</f>
        <v>1413.4615384615383</v>
      </c>
      <c r="L9" s="226">
        <f>GlobalInsight_CapitalCosts!C16</f>
        <v>2915</v>
      </c>
    </row>
    <row r="10" spans="1:12" ht="13.5" thickBot="1">
      <c r="A10" s="235" t="s">
        <v>18</v>
      </c>
      <c r="B10" s="403">
        <f>'$-kW Basis'!J15</f>
        <v>2554.6153846153848</v>
      </c>
      <c r="C10" s="181">
        <f>AVERAGE(EIA_CapitalCosts!E26:E27)*(1+$C$12)^2</f>
        <v>4664.557195000072</v>
      </c>
      <c r="D10" s="398"/>
      <c r="E10" s="399"/>
      <c r="G10" s="229">
        <v>5346</v>
      </c>
      <c r="H10" s="235"/>
      <c r="I10" s="406">
        <f>AVERAGE(CERA_CapitalCosts!M30:N30)</f>
        <v>3047.487720697448</v>
      </c>
      <c r="J10" s="406">
        <f>AVERAGE(CERA_CapitalCosts!M60:N60)</f>
        <v>2527.447608044203</v>
      </c>
      <c r="K10" s="407">
        <f>AVERAGE(CERA_CapitalCosts!M90:N90)</f>
        <v>3990.3265448095685</v>
      </c>
      <c r="L10" s="402"/>
    </row>
    <row r="11" spans="2:11" ht="12.75">
      <c r="B11" s="397" t="s">
        <v>316</v>
      </c>
      <c r="C11" s="5" t="s">
        <v>162</v>
      </c>
      <c r="D11" s="5"/>
      <c r="H11" s="236" t="s">
        <v>238</v>
      </c>
      <c r="I11" s="237" t="s">
        <v>213</v>
      </c>
      <c r="J11" s="237" t="s">
        <v>227</v>
      </c>
      <c r="K11" s="237" t="s">
        <v>228</v>
      </c>
    </row>
    <row r="12" spans="3:4" ht="12.75">
      <c r="C12" s="182">
        <v>0.025</v>
      </c>
      <c r="D12" s="182"/>
    </row>
    <row r="14" ht="12.75">
      <c r="B14" t="s">
        <v>261</v>
      </c>
    </row>
    <row r="15" ht="12.75">
      <c r="B15" t="s">
        <v>269</v>
      </c>
    </row>
    <row r="16" ht="12.75">
      <c r="B16" t="s">
        <v>270</v>
      </c>
    </row>
    <row r="18" ht="13.5" thickBot="1"/>
    <row r="19" spans="1:2" ht="13.5" thickBot="1">
      <c r="A19" s="486" t="s">
        <v>16</v>
      </c>
      <c r="B19" s="319" t="s">
        <v>103</v>
      </c>
    </row>
    <row r="20" spans="1:7" ht="13.5" thickBot="1">
      <c r="A20" s="487"/>
      <c r="B20" s="231" t="s">
        <v>262</v>
      </c>
      <c r="C20" s="236" t="s">
        <v>263</v>
      </c>
      <c r="G20">
        <v>2008</v>
      </c>
    </row>
    <row r="21" spans="1:8" ht="13.5" thickBot="1">
      <c r="A21" s="232"/>
      <c r="B21" s="174" t="s">
        <v>101</v>
      </c>
      <c r="G21" s="223" t="s">
        <v>232</v>
      </c>
      <c r="H21" s="224" t="s">
        <v>173</v>
      </c>
    </row>
    <row r="22" spans="1:8" ht="12.75">
      <c r="A22" s="233" t="s">
        <v>80</v>
      </c>
      <c r="B22" s="176">
        <v>2474.585102458513</v>
      </c>
      <c r="F22" s="233" t="s">
        <v>80</v>
      </c>
      <c r="G22" s="225">
        <f aca="true" t="shared" si="0" ref="G22:G27">C4</f>
        <v>1506.4336084491881</v>
      </c>
      <c r="H22" s="225">
        <f>WoodMac_CapitalCosts!B12</f>
        <v>2500</v>
      </c>
    </row>
    <row r="23" spans="1:8" ht="12.75">
      <c r="A23" s="234" t="s">
        <v>50</v>
      </c>
      <c r="B23" s="178">
        <v>3179.069687712656</v>
      </c>
      <c r="F23" s="234" t="s">
        <v>50</v>
      </c>
      <c r="G23" s="226">
        <f t="shared" si="0"/>
        <v>1741.152510404234</v>
      </c>
      <c r="H23" s="226">
        <f>WoodMac_CapitalCosts!B15</f>
        <v>3000</v>
      </c>
    </row>
    <row r="24" spans="1:8" ht="12.75">
      <c r="A24" s="234" t="s">
        <v>81</v>
      </c>
      <c r="B24" s="178">
        <v>1043.4036313013166</v>
      </c>
      <c r="F24" s="234" t="s">
        <v>81</v>
      </c>
      <c r="G24" s="226">
        <f t="shared" si="0"/>
        <v>717.624183846165</v>
      </c>
      <c r="H24" s="226">
        <f>WoodMac_CapitalCosts!B18</f>
        <v>800</v>
      </c>
    </row>
    <row r="25" spans="1:8" ht="12.75">
      <c r="A25" s="234" t="s">
        <v>52</v>
      </c>
      <c r="B25" s="178">
        <v>703.1010995810256</v>
      </c>
      <c r="F25" s="234" t="s">
        <v>52</v>
      </c>
      <c r="G25" s="226">
        <f t="shared" si="0"/>
        <v>500.22061072386833</v>
      </c>
      <c r="H25" s="226">
        <f>D7</f>
        <v>619.212109375</v>
      </c>
    </row>
    <row r="26" spans="1:8" ht="12.75">
      <c r="A26" s="234" t="s">
        <v>13</v>
      </c>
      <c r="B26" s="178">
        <v>4202.101238408707</v>
      </c>
      <c r="F26" s="234" t="s">
        <v>13</v>
      </c>
      <c r="G26" s="226">
        <f t="shared" si="0"/>
        <v>2250.9927482574076</v>
      </c>
      <c r="H26" s="226">
        <f>WoodMac_CapitalCosts!B14</f>
        <v>3800</v>
      </c>
    </row>
    <row r="27" spans="1:8" ht="13.5" thickBot="1">
      <c r="A27" s="235" t="s">
        <v>17</v>
      </c>
      <c r="B27" s="181">
        <v>1440</v>
      </c>
      <c r="F27" s="235" t="s">
        <v>17</v>
      </c>
      <c r="G27" s="226">
        <f t="shared" si="0"/>
        <v>1408.3134117302754</v>
      </c>
      <c r="H27" s="226">
        <f>WoodMac_CapitalCosts!B17</f>
        <v>2000</v>
      </c>
    </row>
    <row r="28" spans="1:8" ht="13.5" thickBot="1">
      <c r="A28" s="235" t="s">
        <v>18</v>
      </c>
      <c r="B28" s="181"/>
      <c r="F28" s="235" t="s">
        <v>18</v>
      </c>
      <c r="G28" s="229">
        <v>4665</v>
      </c>
      <c r="H28" s="235"/>
    </row>
    <row r="31" ht="13.5" thickBot="1">
      <c r="G31">
        <v>2015</v>
      </c>
    </row>
    <row r="32" spans="7:8" ht="13.5" thickBot="1">
      <c r="G32" s="223" t="s">
        <v>232</v>
      </c>
      <c r="H32" s="224" t="s">
        <v>173</v>
      </c>
    </row>
    <row r="33" spans="6:8" ht="12.75">
      <c r="F33" s="233" t="s">
        <v>80</v>
      </c>
      <c r="G33" s="225">
        <v>1726</v>
      </c>
      <c r="H33" s="225">
        <v>2865</v>
      </c>
    </row>
    <row r="34" spans="6:8" ht="12.75">
      <c r="F34" s="234" t="s">
        <v>50</v>
      </c>
      <c r="G34" s="226">
        <v>1995</v>
      </c>
      <c r="H34" s="226">
        <v>3438</v>
      </c>
    </row>
    <row r="35" spans="6:8" ht="12.75">
      <c r="F35" s="234" t="s">
        <v>81</v>
      </c>
      <c r="G35" s="226">
        <v>823</v>
      </c>
      <c r="H35" s="226">
        <v>917</v>
      </c>
    </row>
    <row r="36" spans="6:8" ht="12.75">
      <c r="F36" s="234" t="s">
        <v>52</v>
      </c>
      <c r="G36" s="226">
        <v>573</v>
      </c>
      <c r="H36" s="226">
        <v>709</v>
      </c>
    </row>
    <row r="37" spans="6:8" ht="12.75">
      <c r="F37" s="234" t="s">
        <v>13</v>
      </c>
      <c r="G37" s="226">
        <v>2578</v>
      </c>
      <c r="H37" s="226">
        <v>4355</v>
      </c>
    </row>
    <row r="38" spans="6:8" ht="13.5" thickBot="1">
      <c r="F38" s="235" t="s">
        <v>17</v>
      </c>
      <c r="G38" s="226">
        <v>1613</v>
      </c>
      <c r="H38" s="226">
        <v>2292</v>
      </c>
    </row>
    <row r="39" spans="6:8" ht="13.5" thickBot="1">
      <c r="F39" s="235" t="s">
        <v>18</v>
      </c>
      <c r="G39" s="229">
        <v>5346</v>
      </c>
      <c r="H39" s="235"/>
    </row>
    <row r="41" spans="7:8" ht="12.75">
      <c r="G41" t="s">
        <v>331</v>
      </c>
      <c r="H41" s="113">
        <v>0.01825</v>
      </c>
    </row>
  </sheetData>
  <sheetProtection/>
  <mergeCells count="6">
    <mergeCell ref="G1:L1"/>
    <mergeCell ref="G2:L2"/>
    <mergeCell ref="A19:A20"/>
    <mergeCell ref="B1:E1"/>
    <mergeCell ref="A1:A2"/>
    <mergeCell ref="C2:E2"/>
  </mergeCells>
  <printOptions/>
  <pageMargins left="0.25" right="0.25" top="1" bottom="1" header="0.5" footer="0.5"/>
  <pageSetup horizontalDpi="600" verticalDpi="600" orientation="landscape" scale="80" r:id="rId3"/>
  <legacyDrawing r:id="rId2"/>
</worksheet>
</file>

<file path=xl/worksheets/sheet13.xml><?xml version="1.0" encoding="utf-8"?>
<worksheet xmlns="http://schemas.openxmlformats.org/spreadsheetml/2006/main" xmlns:r="http://schemas.openxmlformats.org/officeDocument/2006/relationships">
  <dimension ref="A1:AJ36"/>
  <sheetViews>
    <sheetView zoomScalePageLayoutView="0" workbookViewId="0" topLeftCell="A1">
      <pane xSplit="2" ySplit="4" topLeftCell="C10" activePane="bottomRight" state="frozen"/>
      <selection pane="topLeft" activeCell="A1" sqref="A1"/>
      <selection pane="topRight" activeCell="C1" sqref="C1"/>
      <selection pane="bottomLeft" activeCell="A5" sqref="A5"/>
      <selection pane="bottomRight" activeCell="C10" sqref="C10"/>
    </sheetView>
  </sheetViews>
  <sheetFormatPr defaultColWidth="9.140625" defaultRowHeight="12.75"/>
  <cols>
    <col min="1" max="1" width="1.7109375" style="20" customWidth="1"/>
    <col min="3" max="10" width="12.7109375" style="0" customWidth="1"/>
    <col min="19" max="19" width="12.7109375" style="0" bestFit="1" customWidth="1"/>
    <col min="20" max="20" width="10.28125" style="0" bestFit="1" customWidth="1"/>
  </cols>
  <sheetData>
    <row r="1" spans="3:36" ht="12.75">
      <c r="C1" t="s">
        <v>20</v>
      </c>
      <c r="D1" t="s">
        <v>19</v>
      </c>
      <c r="E1" t="s">
        <v>22</v>
      </c>
      <c r="F1" t="s">
        <v>21</v>
      </c>
      <c r="G1" t="s">
        <v>23</v>
      </c>
      <c r="H1" t="s">
        <v>24</v>
      </c>
      <c r="I1" t="s">
        <v>17</v>
      </c>
      <c r="J1" t="s">
        <v>18</v>
      </c>
      <c r="K1" t="s">
        <v>30</v>
      </c>
      <c r="L1" t="s">
        <v>13</v>
      </c>
      <c r="M1" t="s">
        <v>351</v>
      </c>
      <c r="N1" t="s">
        <v>26</v>
      </c>
      <c r="O1" t="s">
        <v>348</v>
      </c>
      <c r="P1" t="s">
        <v>27</v>
      </c>
      <c r="Q1" t="s">
        <v>32</v>
      </c>
      <c r="R1" t="s">
        <v>41</v>
      </c>
      <c r="U1" t="str">
        <f>+C1</f>
        <v>PulvEast</v>
      </c>
      <c r="V1" t="str">
        <f aca="true" t="shared" si="0" ref="V1:AJ1">+D1</f>
        <v>PulvWest</v>
      </c>
      <c r="W1" t="str">
        <f t="shared" si="0"/>
        <v>IGCCEast</v>
      </c>
      <c r="X1" t="str">
        <f t="shared" si="0"/>
        <v>IGCCWest</v>
      </c>
      <c r="Y1" t="str">
        <f t="shared" si="0"/>
        <v>IGCCCCSEast</v>
      </c>
      <c r="Z1" t="str">
        <f t="shared" si="0"/>
        <v>IGCCCCSWest</v>
      </c>
      <c r="AA1" t="str">
        <f t="shared" si="0"/>
        <v>Wind</v>
      </c>
      <c r="AB1" t="str">
        <f t="shared" si="0"/>
        <v>Solar</v>
      </c>
      <c r="AC1" t="str">
        <f t="shared" si="0"/>
        <v>Refuse</v>
      </c>
      <c r="AD1" t="str">
        <f t="shared" si="0"/>
        <v>Nuclear</v>
      </c>
      <c r="AE1" t="str">
        <f t="shared" si="0"/>
        <v>CT50</v>
      </c>
      <c r="AF1" t="str">
        <f t="shared" si="0"/>
        <v>CT200</v>
      </c>
      <c r="AG1" t="str">
        <f t="shared" si="0"/>
        <v>CC600</v>
      </c>
      <c r="AH1" t="str">
        <f t="shared" si="0"/>
        <v>CC300</v>
      </c>
      <c r="AI1" t="str">
        <f t="shared" si="0"/>
        <v>CCHS</v>
      </c>
      <c r="AJ1" t="str">
        <f t="shared" si="0"/>
        <v>CTAero</v>
      </c>
    </row>
    <row r="2" spans="3:36" ht="12.75">
      <c r="C2" s="24" t="s">
        <v>34</v>
      </c>
      <c r="D2" s="25"/>
      <c r="E2" s="25"/>
      <c r="F2" s="25"/>
      <c r="G2" s="25"/>
      <c r="H2" s="25"/>
      <c r="I2" s="25"/>
      <c r="J2" s="25"/>
      <c r="K2" s="25"/>
      <c r="L2" s="25"/>
      <c r="M2" s="25"/>
      <c r="N2" s="25"/>
      <c r="O2" s="25"/>
      <c r="P2" s="25"/>
      <c r="Q2" s="25"/>
      <c r="R2" s="26"/>
      <c r="S2" s="37"/>
      <c r="T2" s="26"/>
      <c r="U2" s="24" t="s">
        <v>34</v>
      </c>
      <c r="V2" s="25"/>
      <c r="W2" s="25"/>
      <c r="X2" s="25"/>
      <c r="Y2" s="25"/>
      <c r="Z2" s="25"/>
      <c r="AA2" s="25"/>
      <c r="AB2" s="25"/>
      <c r="AC2" s="25"/>
      <c r="AD2" s="25"/>
      <c r="AE2" s="25"/>
      <c r="AF2" s="25"/>
      <c r="AG2" s="25"/>
      <c r="AH2" s="25"/>
      <c r="AI2" s="25"/>
      <c r="AJ2" s="26"/>
    </row>
    <row r="3" spans="2:36" ht="12.75">
      <c r="B3" t="s">
        <v>341</v>
      </c>
      <c r="C3" s="27" t="s">
        <v>79</v>
      </c>
      <c r="D3" s="28"/>
      <c r="E3" s="28"/>
      <c r="F3" s="28"/>
      <c r="G3" s="28"/>
      <c r="H3" s="28"/>
      <c r="I3" s="28"/>
      <c r="J3" s="28"/>
      <c r="K3" s="29"/>
      <c r="L3" s="29"/>
      <c r="M3" s="29"/>
      <c r="N3" s="29"/>
      <c r="O3" s="29"/>
      <c r="P3" s="29"/>
      <c r="Q3" s="29"/>
      <c r="R3" s="30"/>
      <c r="S3" s="40"/>
      <c r="T3" s="30"/>
      <c r="U3" s="27" t="s">
        <v>78</v>
      </c>
      <c r="V3" s="28"/>
      <c r="W3" s="28"/>
      <c r="X3" s="28"/>
      <c r="Y3" s="28"/>
      <c r="Z3" s="28"/>
      <c r="AA3" s="28"/>
      <c r="AB3" s="28"/>
      <c r="AC3" s="29"/>
      <c r="AD3" s="29"/>
      <c r="AE3" s="29"/>
      <c r="AF3" s="29"/>
      <c r="AG3" s="29"/>
      <c r="AH3" s="29"/>
      <c r="AI3" s="29"/>
      <c r="AJ3" s="30"/>
    </row>
    <row r="4" spans="3:36" ht="12.75">
      <c r="C4" s="41" t="s">
        <v>35</v>
      </c>
      <c r="D4" s="42" t="s">
        <v>36</v>
      </c>
      <c r="E4" s="42" t="s">
        <v>37</v>
      </c>
      <c r="F4" s="42" t="s">
        <v>38</v>
      </c>
      <c r="G4" s="42" t="s">
        <v>14</v>
      </c>
      <c r="H4" s="42" t="s">
        <v>15</v>
      </c>
      <c r="I4" s="42" t="s">
        <v>17</v>
      </c>
      <c r="J4" s="42" t="s">
        <v>18</v>
      </c>
      <c r="K4" s="42" t="s">
        <v>39</v>
      </c>
      <c r="L4" s="42" t="s">
        <v>13</v>
      </c>
      <c r="M4" s="42" t="s">
        <v>351</v>
      </c>
      <c r="N4" s="42" t="s">
        <v>26</v>
      </c>
      <c r="O4" s="42" t="s">
        <v>348</v>
      </c>
      <c r="P4" s="42" t="s">
        <v>27</v>
      </c>
      <c r="Q4" s="42" t="s">
        <v>40</v>
      </c>
      <c r="R4" s="43" t="s">
        <v>41</v>
      </c>
      <c r="S4" s="38" t="s">
        <v>357</v>
      </c>
      <c r="T4" s="39" t="s">
        <v>43</v>
      </c>
      <c r="U4" s="41" t="str">
        <f>+C4</f>
        <v>PC East</v>
      </c>
      <c r="V4" s="42" t="str">
        <f aca="true" t="shared" si="1" ref="V4:AJ4">+D4</f>
        <v>PC West</v>
      </c>
      <c r="W4" s="42" t="str">
        <f t="shared" si="1"/>
        <v>IGCC East</v>
      </c>
      <c r="X4" s="42" t="str">
        <f t="shared" si="1"/>
        <v>IGCC West</v>
      </c>
      <c r="Y4" s="42" t="str">
        <f t="shared" si="1"/>
        <v>IGCC CCS East</v>
      </c>
      <c r="Z4" s="42" t="str">
        <f t="shared" si="1"/>
        <v>IGCC CCS West</v>
      </c>
      <c r="AA4" s="42" t="str">
        <f t="shared" si="1"/>
        <v>Wind</v>
      </c>
      <c r="AB4" s="42" t="str">
        <f t="shared" si="1"/>
        <v>Solar</v>
      </c>
      <c r="AC4" s="42" t="str">
        <f t="shared" si="1"/>
        <v>Biomass</v>
      </c>
      <c r="AD4" s="42" t="str">
        <f t="shared" si="1"/>
        <v>Nuclear</v>
      </c>
      <c r="AE4" s="42" t="str">
        <f t="shared" si="1"/>
        <v>CT50</v>
      </c>
      <c r="AF4" s="42" t="str">
        <f t="shared" si="1"/>
        <v>CT200</v>
      </c>
      <c r="AG4" s="42" t="str">
        <f t="shared" si="1"/>
        <v>CC600</v>
      </c>
      <c r="AH4" s="42" t="str">
        <f t="shared" si="1"/>
        <v>CC300</v>
      </c>
      <c r="AI4" s="42" t="str">
        <f t="shared" si="1"/>
        <v>CC400-Hsystem</v>
      </c>
      <c r="AJ4" s="43" t="str">
        <f t="shared" si="1"/>
        <v>CTAero</v>
      </c>
    </row>
    <row r="5" spans="2:36" ht="12.75" hidden="1">
      <c r="B5">
        <v>2006</v>
      </c>
      <c r="C5" s="315"/>
      <c r="D5" s="32"/>
      <c r="E5" s="32"/>
      <c r="F5" s="32"/>
      <c r="G5" s="32"/>
      <c r="H5" s="32"/>
      <c r="I5" s="32"/>
      <c r="J5" s="32"/>
      <c r="K5" s="32"/>
      <c r="L5" s="32"/>
      <c r="M5" s="32"/>
      <c r="N5" s="32"/>
      <c r="O5" s="32"/>
      <c r="P5" s="32"/>
      <c r="Q5" s="32"/>
      <c r="R5" s="33"/>
      <c r="S5" s="47">
        <v>0.0315</v>
      </c>
      <c r="T5" s="48">
        <v>1</v>
      </c>
      <c r="U5" s="44"/>
      <c r="V5" s="45"/>
      <c r="W5" s="45"/>
      <c r="X5" s="45"/>
      <c r="Y5" s="45"/>
      <c r="Z5" s="45"/>
      <c r="AA5" s="45"/>
      <c r="AB5" s="45"/>
      <c r="AC5" s="45"/>
      <c r="AD5" s="45"/>
      <c r="AE5" s="45"/>
      <c r="AF5" s="45"/>
      <c r="AG5" s="45"/>
      <c r="AH5" s="45"/>
      <c r="AI5" s="45"/>
      <c r="AJ5" s="46"/>
    </row>
    <row r="6" spans="3:36" ht="12.75" hidden="1">
      <c r="C6" s="332"/>
      <c r="D6" s="32"/>
      <c r="E6" s="32"/>
      <c r="F6" s="32"/>
      <c r="G6" s="32"/>
      <c r="H6" s="32"/>
      <c r="I6" s="32"/>
      <c r="J6" s="32"/>
      <c r="K6" s="32"/>
      <c r="L6" s="32"/>
      <c r="M6" s="32"/>
      <c r="N6" s="32"/>
      <c r="O6" s="32"/>
      <c r="P6" s="32"/>
      <c r="Q6" s="32"/>
      <c r="R6" s="33"/>
      <c r="S6" s="49"/>
      <c r="T6" s="50"/>
      <c r="U6" s="31"/>
      <c r="V6" s="32"/>
      <c r="W6" s="32"/>
      <c r="X6" s="32"/>
      <c r="Y6" s="32"/>
      <c r="Z6" s="32"/>
      <c r="AA6" s="32"/>
      <c r="AB6" s="32"/>
      <c r="AC6" s="32"/>
      <c r="AD6" s="32"/>
      <c r="AE6" s="32"/>
      <c r="AF6" s="32"/>
      <c r="AG6" s="32"/>
      <c r="AH6" s="32"/>
      <c r="AI6" s="32"/>
      <c r="AJ6" s="33"/>
    </row>
    <row r="7" spans="1:36" ht="12.75" hidden="1">
      <c r="A7" s="20">
        <v>11</v>
      </c>
      <c r="B7">
        <v>2007</v>
      </c>
      <c r="C7" s="315">
        <f>+AnnualCosts07!C19</f>
        <v>2621.0248064222433</v>
      </c>
      <c r="D7" s="32">
        <f>+AnnualCosts07!E19</f>
        <v>2283.6730273162593</v>
      </c>
      <c r="E7" s="32">
        <f>+AnnualCosts07!G19</f>
        <v>3367.1990122956704</v>
      </c>
      <c r="F7" s="32">
        <f>+AnnualCosts07!I19</f>
        <v>3033.7487372866462</v>
      </c>
      <c r="G7" s="32">
        <f>+AnnualCosts07!H19</f>
        <v>4528.551296524052</v>
      </c>
      <c r="H7" s="32">
        <f>+AnnualCosts07!J19</f>
        <v>4172.540128035982</v>
      </c>
      <c r="I7" s="32">
        <f>+AnnualCosts07!R19</f>
        <v>1800</v>
      </c>
      <c r="J7" s="32">
        <f>+AnnualCosts07!T19</f>
        <v>3900</v>
      </c>
      <c r="K7" s="32">
        <f>+AnnualCosts07!U19</f>
        <v>3014.1785273855794</v>
      </c>
      <c r="L7" s="32">
        <f>+AnnualCosts07!Q19</f>
        <v>4450.770989457817</v>
      </c>
      <c r="M7" s="32">
        <f>+AnnualCosts07!N19</f>
        <v>675.7446326012131</v>
      </c>
      <c r="N7" s="32">
        <f>+AnnualCosts07!O19</f>
        <v>611.3922605052396</v>
      </c>
      <c r="O7" s="32">
        <f>+AnnualCosts07!M19</f>
        <v>907.3075054794058</v>
      </c>
      <c r="P7" s="32">
        <f>+AnnualCosts07!K19</f>
        <v>1220.9998425376132</v>
      </c>
      <c r="Q7" s="32">
        <f>+AnnualCosts07!L19</f>
        <v>1043.6804458761405</v>
      </c>
      <c r="R7" s="33">
        <f>+AnnualCosts07!P19</f>
        <v>720.0774744667673</v>
      </c>
      <c r="S7" s="49">
        <v>0.026699999999999998</v>
      </c>
      <c r="T7" s="50">
        <f>+T5+S7</f>
        <v>1.0267</v>
      </c>
      <c r="U7" s="31">
        <f aca="true" t="shared" si="2" ref="U7:U30">+C7*$T7</f>
        <v>2691.0061687537172</v>
      </c>
      <c r="V7" s="32">
        <f aca="true" t="shared" si="3" ref="V7:V30">+D7*$T7</f>
        <v>2344.6470971456033</v>
      </c>
      <c r="W7" s="32">
        <f aca="true" t="shared" si="4" ref="W7:W30">+E7*$T7</f>
        <v>3457.1032259239646</v>
      </c>
      <c r="X7" s="32">
        <f aca="true" t="shared" si="5" ref="X7:X30">+F7*$T7</f>
        <v>3114.7498285721995</v>
      </c>
      <c r="Y7" s="32">
        <f aca="true" t="shared" si="6" ref="Y7:Y30">+G7*$T7</f>
        <v>4649.4636161412445</v>
      </c>
      <c r="Z7" s="32">
        <f aca="true" t="shared" si="7" ref="Z7:Z30">+H7*$T7</f>
        <v>4283.946949454543</v>
      </c>
      <c r="AA7" s="32">
        <f aca="true" t="shared" si="8" ref="AA7:AA30">+I7*$T7</f>
        <v>1848.06</v>
      </c>
      <c r="AB7" s="32">
        <f aca="true" t="shared" si="9" ref="AB7:AB30">+J7*$T7</f>
        <v>4004.1299999999997</v>
      </c>
      <c r="AC7" s="32">
        <f aca="true" t="shared" si="10" ref="AC7:AC30">+K7*$T7</f>
        <v>3094.6570940667743</v>
      </c>
      <c r="AD7" s="32">
        <f aca="true" t="shared" si="11" ref="AD7:AD30">+L7*$T7</f>
        <v>4569.606574876341</v>
      </c>
      <c r="AE7" s="32">
        <f aca="true" t="shared" si="12" ref="AE7:AE30">+M7*$T7</f>
        <v>693.7870142916654</v>
      </c>
      <c r="AF7" s="32">
        <f aca="true" t="shared" si="13" ref="AF7:AF30">+N7*$T7</f>
        <v>627.7164338607295</v>
      </c>
      <c r="AG7" s="32">
        <f aca="true" t="shared" si="14" ref="AG7:AG30">+O7*$T7</f>
        <v>931.5326158757059</v>
      </c>
      <c r="AH7" s="32">
        <f aca="true" t="shared" si="15" ref="AH7:AH30">+P7*$T7</f>
        <v>1253.6005383333675</v>
      </c>
      <c r="AI7" s="32">
        <f aca="true" t="shared" si="16" ref="AI7:AI30">+Q7*$T7</f>
        <v>1071.5467137810335</v>
      </c>
      <c r="AJ7" s="33">
        <f aca="true" t="shared" si="17" ref="AJ7:AJ30">+R7*$T7</f>
        <v>739.30354303503</v>
      </c>
    </row>
    <row r="8" spans="1:36" s="9" customFormat="1" ht="12.75" hidden="1">
      <c r="A8" s="10">
        <v>12</v>
      </c>
      <c r="B8" s="9">
        <v>2008</v>
      </c>
      <c r="C8" s="315">
        <f>'AnnualCosts08&amp;09'!C13</f>
        <v>3021.1979563531086</v>
      </c>
      <c r="D8" s="471">
        <f>'AnnualCosts08&amp;09'!E13</f>
        <v>2412.550300408484</v>
      </c>
      <c r="E8" s="471">
        <f>'AnnualCosts08&amp;09'!G13</f>
        <v>3676.0456896676933</v>
      </c>
      <c r="F8" s="471">
        <f>'AnnualCosts08&amp;09'!I13</f>
        <v>3627.5289005653553</v>
      </c>
      <c r="G8" s="471">
        <f>'AnnualCosts08&amp;09'!H13</f>
        <v>5328.975809412698</v>
      </c>
      <c r="H8" s="471">
        <f>'AnnualCosts08&amp;09'!J13</f>
        <v>5255.851469293186</v>
      </c>
      <c r="I8" s="471">
        <f>'AnnualCosts08&amp;09'!R13</f>
        <v>2002</v>
      </c>
      <c r="J8" s="471">
        <f>'AnnualCosts08&amp;09'!T13</f>
        <v>4150</v>
      </c>
      <c r="K8" s="471">
        <f>'AnnualCosts08&amp;09'!U13</f>
        <v>2975</v>
      </c>
      <c r="L8" s="471">
        <f>'AnnualCosts08&amp;09'!Q13</f>
        <v>5179.352428393525</v>
      </c>
      <c r="M8" s="32">
        <f>+AnnualCosts07!N19</f>
        <v>675.7446326012131</v>
      </c>
      <c r="N8" s="471">
        <f>'AnnualCosts08&amp;09'!O13</f>
        <v>757.1754893670155</v>
      </c>
      <c r="O8" s="471">
        <f>'AnnualCosts08&amp;09'!M13</f>
        <v>935.2353190726036</v>
      </c>
      <c r="P8" s="471">
        <f>'AnnualCosts08&amp;09'!K13</f>
        <v>1220.9998425376132</v>
      </c>
      <c r="Q8" s="471">
        <f>'AnnualCosts08&amp;09'!L13</f>
        <v>1114.8074274022988</v>
      </c>
      <c r="R8" s="472">
        <f>'AnnualCosts08&amp;09'!P13</f>
        <v>826.6744703977986</v>
      </c>
      <c r="S8" s="473">
        <v>0.0212</v>
      </c>
      <c r="T8" s="474">
        <f>+(1+S8)*T7</f>
        <v>1.04846604</v>
      </c>
      <c r="U8" s="315">
        <f t="shared" si="2"/>
        <v>3167.6234573536367</v>
      </c>
      <c r="V8" s="471">
        <f t="shared" si="3"/>
        <v>2529.477059770094</v>
      </c>
      <c r="W8" s="471">
        <f t="shared" si="4"/>
        <v>3854.2090671049555</v>
      </c>
      <c r="X8" s="471">
        <f t="shared" si="5"/>
        <v>3803.3408613613124</v>
      </c>
      <c r="Y8" s="471">
        <f t="shared" si="6"/>
        <v>5587.250164150727</v>
      </c>
      <c r="Z8" s="471">
        <f t="shared" si="7"/>
        <v>5510.581776838008</v>
      </c>
      <c r="AA8" s="471">
        <f t="shared" si="8"/>
        <v>2099.02901208</v>
      </c>
      <c r="AB8" s="471">
        <f t="shared" si="9"/>
        <v>4351.1340660000005</v>
      </c>
      <c r="AC8" s="471">
        <f t="shared" si="10"/>
        <v>3119.186469</v>
      </c>
      <c r="AD8" s="471">
        <f t="shared" si="11"/>
        <v>5430.375130362143</v>
      </c>
      <c r="AE8" s="471">
        <f t="shared" si="12"/>
        <v>708.4952989946488</v>
      </c>
      <c r="AF8" s="471">
        <f t="shared" si="13"/>
        <v>793.872786921697</v>
      </c>
      <c r="AG8" s="471">
        <f t="shared" si="14"/>
        <v>980.5624714561893</v>
      </c>
      <c r="AH8" s="471">
        <f t="shared" si="15"/>
        <v>1280.176869746035</v>
      </c>
      <c r="AI8" s="471">
        <f t="shared" si="16"/>
        <v>1168.8377287710757</v>
      </c>
      <c r="AJ8" s="472">
        <f t="shared" si="17"/>
        <v>866.7401083470772</v>
      </c>
    </row>
    <row r="9" spans="1:36" ht="12.75" hidden="1">
      <c r="A9" s="20">
        <v>13</v>
      </c>
      <c r="B9">
        <v>2009</v>
      </c>
      <c r="C9" s="315">
        <f>'AnnualCosts08&amp;09'!C13</f>
        <v>3021.1979563531086</v>
      </c>
      <c r="D9" s="471">
        <f>'AnnualCosts08&amp;09'!E13</f>
        <v>2412.550300408484</v>
      </c>
      <c r="E9" s="471">
        <f>'AnnualCosts08&amp;09'!G13</f>
        <v>3676.0456896676933</v>
      </c>
      <c r="F9" s="471">
        <f>'AnnualCosts08&amp;09'!I13</f>
        <v>3627.5289005653553</v>
      </c>
      <c r="G9" s="471">
        <f>'AnnualCosts08&amp;09'!H13</f>
        <v>5328.975809412698</v>
      </c>
      <c r="H9" s="471">
        <f>'AnnualCosts08&amp;09'!J13</f>
        <v>5255.851469293186</v>
      </c>
      <c r="I9" s="471">
        <f>'AnnualCosts08&amp;09'!R13</f>
        <v>2002</v>
      </c>
      <c r="J9" s="471">
        <f>'AnnualCosts08&amp;09'!T13</f>
        <v>4150</v>
      </c>
      <c r="K9" s="471">
        <f>'AnnualCosts08&amp;09'!U13</f>
        <v>2975</v>
      </c>
      <c r="L9" s="471">
        <f>'AnnualCosts08&amp;09'!Q13</f>
        <v>5179.352428393525</v>
      </c>
      <c r="M9" s="32">
        <f>+AnnualCosts07!N19</f>
        <v>675.7446326012131</v>
      </c>
      <c r="N9" s="471">
        <f>'AnnualCosts08&amp;09'!O13</f>
        <v>757.1754893670155</v>
      </c>
      <c r="O9" s="471">
        <f>'AnnualCosts08&amp;09'!M13</f>
        <v>935.2353190726036</v>
      </c>
      <c r="P9" s="471">
        <f>'AnnualCosts08&amp;09'!K13</f>
        <v>1220.9998425376132</v>
      </c>
      <c r="Q9" s="471">
        <f>'AnnualCosts08&amp;09'!L13</f>
        <v>1114.8074274022988</v>
      </c>
      <c r="R9" s="472">
        <f>'AnnualCosts08&amp;09'!P13</f>
        <v>826.6744703977986</v>
      </c>
      <c r="S9" s="49">
        <v>0.019799999999999995</v>
      </c>
      <c r="T9" s="50">
        <f>+(1+S9)*T8</f>
        <v>1.0692256675920002</v>
      </c>
      <c r="U9" s="31">
        <f t="shared" si="2"/>
        <v>3230.342401809239</v>
      </c>
      <c r="V9" s="32">
        <f t="shared" si="3"/>
        <v>2579.560705553542</v>
      </c>
      <c r="W9" s="32">
        <f t="shared" si="4"/>
        <v>3930.522406633634</v>
      </c>
      <c r="X9" s="32">
        <f t="shared" si="5"/>
        <v>3878.6470104162668</v>
      </c>
      <c r="Y9" s="32">
        <f t="shared" si="6"/>
        <v>5697.877717400912</v>
      </c>
      <c r="Z9" s="32">
        <f t="shared" si="7"/>
        <v>5619.691296019402</v>
      </c>
      <c r="AA9" s="32">
        <f t="shared" si="8"/>
        <v>2140.5897865191846</v>
      </c>
      <c r="AB9" s="32">
        <f t="shared" si="9"/>
        <v>4437.286520506801</v>
      </c>
      <c r="AC9" s="32">
        <f t="shared" si="10"/>
        <v>3180.946361086201</v>
      </c>
      <c r="AD9" s="32">
        <f t="shared" si="11"/>
        <v>5537.896557943314</v>
      </c>
      <c r="AE9" s="32">
        <f t="shared" si="12"/>
        <v>722.5235059147429</v>
      </c>
      <c r="AF9" s="32">
        <f t="shared" si="13"/>
        <v>809.5914681027466</v>
      </c>
      <c r="AG9" s="32">
        <f t="shared" si="14"/>
        <v>999.9776083910219</v>
      </c>
      <c r="AH9" s="32">
        <f t="shared" si="15"/>
        <v>1305.5243717670066</v>
      </c>
      <c r="AI9" s="32">
        <f t="shared" si="16"/>
        <v>1191.9807158007432</v>
      </c>
      <c r="AJ9" s="33">
        <f t="shared" si="17"/>
        <v>883.9015624923494</v>
      </c>
    </row>
    <row r="10" spans="1:36" ht="12.75">
      <c r="A10" s="20">
        <v>14</v>
      </c>
      <c r="B10" s="220">
        <v>2010</v>
      </c>
      <c r="C10" s="475">
        <f>AnnualCosts2010!C13</f>
        <v>3314</v>
      </c>
      <c r="D10" s="476">
        <f>AnnualCosts2010!E13</f>
        <v>2811</v>
      </c>
      <c r="E10" s="476">
        <f>AnnualCosts2010!G13</f>
        <v>3833</v>
      </c>
      <c r="F10" s="476">
        <f>AnnualCosts2010!I13</f>
        <v>3918</v>
      </c>
      <c r="G10" s="476">
        <f>AnnualCosts2010!H13</f>
        <v>6153</v>
      </c>
      <c r="H10" s="476">
        <f>AnnualCosts2010!J13</f>
        <v>5928</v>
      </c>
      <c r="I10" s="476">
        <f>AnnualCosts2010!R13</f>
        <v>2028</v>
      </c>
      <c r="J10" s="476">
        <f>AnnualCosts2010!T13</f>
        <v>3115.3846153846157</v>
      </c>
      <c r="K10" s="476">
        <f>AnnualCosts2010!U13</f>
        <v>3250</v>
      </c>
      <c r="L10" s="476">
        <f>AnnualCosts2010!Q13</f>
        <v>6970</v>
      </c>
      <c r="M10" s="476">
        <f>AnnualCosts2010!N13</f>
        <v>1032</v>
      </c>
      <c r="N10" s="476">
        <f>AnnualCosts2010!O13</f>
        <v>910</v>
      </c>
      <c r="O10" s="476">
        <f>AnnualCosts2010!M13</f>
        <v>1001</v>
      </c>
      <c r="P10" s="476">
        <f>AnnualCosts2010!K13</f>
        <v>1122</v>
      </c>
      <c r="Q10" s="476">
        <f>'AnnualCosts08&amp;09'!L13</f>
        <v>1114.8074274022988</v>
      </c>
      <c r="R10" s="477">
        <f>'AnnualCosts08&amp;09'!P13</f>
        <v>826.6744703977986</v>
      </c>
      <c r="S10" s="49">
        <v>0</v>
      </c>
      <c r="T10" s="50">
        <v>1</v>
      </c>
      <c r="U10" s="31">
        <f t="shared" si="2"/>
        <v>3314</v>
      </c>
      <c r="V10" s="32">
        <f t="shared" si="3"/>
        <v>2811</v>
      </c>
      <c r="W10" s="32">
        <f t="shared" si="4"/>
        <v>3833</v>
      </c>
      <c r="X10" s="32">
        <f t="shared" si="5"/>
        <v>3918</v>
      </c>
      <c r="Y10" s="32">
        <f t="shared" si="6"/>
        <v>6153</v>
      </c>
      <c r="Z10" s="32">
        <f t="shared" si="7"/>
        <v>5928</v>
      </c>
      <c r="AA10" s="32">
        <f t="shared" si="8"/>
        <v>2028</v>
      </c>
      <c r="AB10" s="32">
        <f t="shared" si="9"/>
        <v>3115.3846153846157</v>
      </c>
      <c r="AC10" s="32">
        <f t="shared" si="10"/>
        <v>3250</v>
      </c>
      <c r="AD10" s="32">
        <f t="shared" si="11"/>
        <v>6970</v>
      </c>
      <c r="AE10" s="32">
        <f t="shared" si="12"/>
        <v>1032</v>
      </c>
      <c r="AF10" s="32">
        <f t="shared" si="13"/>
        <v>910</v>
      </c>
      <c r="AG10" s="32">
        <f t="shared" si="14"/>
        <v>1001</v>
      </c>
      <c r="AH10" s="32">
        <f t="shared" si="15"/>
        <v>1122</v>
      </c>
      <c r="AI10" s="32">
        <f t="shared" si="16"/>
        <v>1114.8074274022988</v>
      </c>
      <c r="AJ10" s="33">
        <f t="shared" si="17"/>
        <v>826.6744703977986</v>
      </c>
    </row>
    <row r="11" spans="1:36" ht="12.75">
      <c r="A11" s="20">
        <v>15</v>
      </c>
      <c r="B11">
        <v>2011</v>
      </c>
      <c r="C11" s="31">
        <f ca="1">+C$10*(OFFSET('Base Costs'!$A$1,MATCH('$-kW Basis'!C$1,'Base Costs'!$A$2:$A$18,0),MATCH($B11,'Base Costs'!$B$1:$BE$1,0)))</f>
        <v>3314</v>
      </c>
      <c r="D11" s="32">
        <f ca="1">+D$10*(OFFSET('Base Costs'!$A$1,MATCH('$-kW Basis'!D$1,'Base Costs'!$A$2:$A$18,0),MATCH($B11,'Base Costs'!$B$1:$BE$1,0)))</f>
        <v>2811</v>
      </c>
      <c r="E11" s="32">
        <f ca="1">+E$10*(OFFSET('Base Costs'!$A$1,MATCH('$-kW Basis'!E$1,'Base Costs'!$A$2:$A$18,0),MATCH($B11,'Base Costs'!$B$1:$BE$1,0)))</f>
        <v>3833</v>
      </c>
      <c r="F11" s="32">
        <f ca="1">+F$10*(OFFSET('Base Costs'!$A$1,MATCH('$-kW Basis'!F$1,'Base Costs'!$A$2:$A$18,0),MATCH($B11,'Base Costs'!$B$1:$BE$1,0)))</f>
        <v>3918</v>
      </c>
      <c r="G11" s="32">
        <f ca="1">+G$10*(OFFSET('Base Costs'!$A$1,MATCH('$-kW Basis'!G$1,'Base Costs'!$A$2:$A$18,0),MATCH($B11,'Base Costs'!$B$1:$BE$1,0)))</f>
        <v>6153</v>
      </c>
      <c r="H11" s="32">
        <f ca="1">+H$10*(OFFSET('Base Costs'!$A$1,MATCH('$-kW Basis'!H$1,'Base Costs'!$A$2:$A$18,0),MATCH($B11,'Base Costs'!$B$1:$BE$1,0)))</f>
        <v>5928</v>
      </c>
      <c r="I11" s="32">
        <f ca="1">+I$10*(OFFSET('Base Costs'!$A$1,MATCH('$-kW Basis'!I$1,'Base Costs'!$A$2:$A$18,0),MATCH($B11,'Base Costs'!$B$1:$BE$1,0)))</f>
        <v>2028</v>
      </c>
      <c r="J11" s="32">
        <f ca="1">+J$10*(OFFSET('Base Costs'!$A$1,MATCH('$-kW Basis'!J$1,'Base Costs'!$A$2:$A$18,0),MATCH($B11,'Base Costs'!$B$1:$BE$1,0)))</f>
        <v>3115.3846153846157</v>
      </c>
      <c r="K11" s="32">
        <f ca="1">+K$10*(OFFSET('Base Costs'!$A$1,MATCH('$-kW Basis'!K$1,'Base Costs'!$A$2:$A$18,0),MATCH($B11,'Base Costs'!$B$1:$BE$1,0)))</f>
        <v>3250</v>
      </c>
      <c r="L11" s="32">
        <f ca="1">+L$10*(OFFSET('Base Costs'!$A$1,MATCH('$-kW Basis'!L$1,'Base Costs'!$A$2:$A$18,0),MATCH($B11,'Base Costs'!$B$1:$BE$1,0)))</f>
        <v>6970</v>
      </c>
      <c r="M11" s="32">
        <f ca="1">+M$10*(OFFSET('Base Costs'!$A$1,MATCH('$-kW Basis'!M$1,'Base Costs'!$A$2:$A$18,0),MATCH($B11,'Base Costs'!$B$1:$BE$1,0)))</f>
        <v>1032</v>
      </c>
      <c r="N11" s="32">
        <f ca="1">+N$10*(OFFSET('Base Costs'!$A$1,MATCH('$-kW Basis'!N$1,'Base Costs'!$A$2:$A$18,0),MATCH($B11,'Base Costs'!$B$1:$BE$1,0)))</f>
        <v>910</v>
      </c>
      <c r="O11" s="32">
        <f ca="1">+O$10*(OFFSET('Base Costs'!$A$1,MATCH('$-kW Basis'!O$1,'Base Costs'!$A$2:$A$18,0),MATCH($B11,'Base Costs'!$B$1:$BE$1,0)))</f>
        <v>1001</v>
      </c>
      <c r="P11" s="32">
        <f ca="1">+P$10*(OFFSET('Base Costs'!$A$1,MATCH('$-kW Basis'!P$1,'Base Costs'!$A$2:$A$18,0),MATCH($B11,'Base Costs'!$B$1:$BE$1,0)))</f>
        <v>1122</v>
      </c>
      <c r="Q11" s="32">
        <f ca="1">+Q$10*(OFFSET('Base Costs'!$A$1,MATCH('$-kW Basis'!Q$1,'Base Costs'!$A$2:$A$18,0),MATCH($B11,'Base Costs'!$B$1:$BE$1,0)))</f>
        <v>1114.8074274022988</v>
      </c>
      <c r="R11" s="33">
        <f ca="1">+R$10*(OFFSET('Base Costs'!$A$1,MATCH('$-kW Basis'!R$1,'Base Costs'!$A$2:$A$18,0),MATCH($B11,'Base Costs'!$B$1:$BE$1,0)))</f>
        <v>826.6744703977986</v>
      </c>
      <c r="S11" s="485">
        <v>0.00852770316368523</v>
      </c>
      <c r="T11" s="50">
        <f>T10*(1+S11)</f>
        <v>1.0085277031636852</v>
      </c>
      <c r="U11" s="31">
        <f t="shared" si="2"/>
        <v>3342.2608082844527</v>
      </c>
      <c r="V11" s="32">
        <f t="shared" si="3"/>
        <v>2834.971373593119</v>
      </c>
      <c r="W11" s="32">
        <f t="shared" si="4"/>
        <v>3865.6866862264055</v>
      </c>
      <c r="X11" s="32">
        <f t="shared" si="5"/>
        <v>3951.411540995319</v>
      </c>
      <c r="Y11" s="32">
        <f t="shared" si="6"/>
        <v>6205.470957566155</v>
      </c>
      <c r="Z11" s="32">
        <f t="shared" si="7"/>
        <v>5978.552224354326</v>
      </c>
      <c r="AA11" s="32">
        <f t="shared" si="8"/>
        <v>2045.2941820159535</v>
      </c>
      <c r="AB11" s="32">
        <f t="shared" si="9"/>
        <v>3141.9516906253275</v>
      </c>
      <c r="AC11" s="32">
        <f t="shared" si="10"/>
        <v>3277.715035281977</v>
      </c>
      <c r="AD11" s="32">
        <f t="shared" si="11"/>
        <v>7029.438091050886</v>
      </c>
      <c r="AE11" s="32">
        <f t="shared" si="12"/>
        <v>1040.800589664923</v>
      </c>
      <c r="AF11" s="32">
        <f t="shared" si="13"/>
        <v>917.7602098789536</v>
      </c>
      <c r="AG11" s="32">
        <f t="shared" si="14"/>
        <v>1009.5362308668489</v>
      </c>
      <c r="AH11" s="32">
        <f t="shared" si="15"/>
        <v>1131.5680829496548</v>
      </c>
      <c r="AI11" s="32">
        <f t="shared" si="16"/>
        <v>1124.3141742278572</v>
      </c>
      <c r="AJ11" s="33">
        <f t="shared" si="17"/>
        <v>833.7241048943478</v>
      </c>
    </row>
    <row r="12" spans="1:36" ht="12.75">
      <c r="A12" s="20">
        <v>16</v>
      </c>
      <c r="B12">
        <v>2012</v>
      </c>
      <c r="C12" s="31">
        <f ca="1">+C$10*(OFFSET('Base Costs'!$A$1,MATCH('$-kW Basis'!C$1,'Base Costs'!$A$2:$A$18,0),MATCH($B12,'Base Costs'!$B$1:$BE$1,0)))</f>
        <v>3314</v>
      </c>
      <c r="D12" s="32">
        <f ca="1">+D$10*(OFFSET('Base Costs'!$A$1,MATCH('$-kW Basis'!D$1,'Base Costs'!$A$2:$A$18,0),MATCH($B12,'Base Costs'!$B$1:$BE$1,0)))</f>
        <v>2811</v>
      </c>
      <c r="E12" s="32">
        <f ca="1">+E$10*(OFFSET('Base Costs'!$A$1,MATCH('$-kW Basis'!E$1,'Base Costs'!$A$2:$A$18,0),MATCH($B12,'Base Costs'!$B$1:$BE$1,0)))</f>
        <v>3833</v>
      </c>
      <c r="F12" s="32">
        <f ca="1">+F$10*(OFFSET('Base Costs'!$A$1,MATCH('$-kW Basis'!F$1,'Base Costs'!$A$2:$A$18,0),MATCH($B12,'Base Costs'!$B$1:$BE$1,0)))</f>
        <v>3918</v>
      </c>
      <c r="G12" s="32">
        <f ca="1">+G$10*(OFFSET('Base Costs'!$A$1,MATCH('$-kW Basis'!G$1,'Base Costs'!$A$2:$A$18,0),MATCH($B12,'Base Costs'!$B$1:$BE$1,0)))</f>
        <v>6153</v>
      </c>
      <c r="H12" s="32">
        <f ca="1">+H$10*(OFFSET('Base Costs'!$A$1,MATCH('$-kW Basis'!H$1,'Base Costs'!$A$2:$A$18,0),MATCH($B12,'Base Costs'!$B$1:$BE$1,0)))</f>
        <v>5928</v>
      </c>
      <c r="I12" s="32">
        <f ca="1">+I$10*(OFFSET('Base Costs'!$A$1,MATCH('$-kW Basis'!I$1,'Base Costs'!$A$2:$A$18,0),MATCH($B12,'Base Costs'!$B$1:$BE$1,0)))</f>
        <v>1967.1599999999999</v>
      </c>
      <c r="J12" s="32">
        <f ca="1">+J$10*(OFFSET('Base Costs'!$A$1,MATCH('$-kW Basis'!J$1,'Base Costs'!$A$2:$A$18,0),MATCH($B12,'Base Costs'!$B$1:$BE$1,0)))</f>
        <v>2959.6153846153848</v>
      </c>
      <c r="K12" s="32">
        <f ca="1">+K$10*(OFFSET('Base Costs'!$A$1,MATCH('$-kW Basis'!K$1,'Base Costs'!$A$2:$A$18,0),MATCH($B12,'Base Costs'!$B$1:$BE$1,0)))</f>
        <v>2627.1945481733824</v>
      </c>
      <c r="L12" s="32">
        <f ca="1">+L$10*(OFFSET('Base Costs'!$A$1,MATCH('$-kW Basis'!L$1,'Base Costs'!$A$2:$A$18,0),MATCH($B12,'Base Costs'!$B$1:$BE$1,0)))</f>
        <v>6970</v>
      </c>
      <c r="M12" s="32">
        <f ca="1">+M$10*(OFFSET('Base Costs'!$A$1,MATCH('$-kW Basis'!M$1,'Base Costs'!$A$2:$A$18,0),MATCH($B12,'Base Costs'!$B$1:$BE$1,0)))</f>
        <v>1032</v>
      </c>
      <c r="N12" s="32">
        <f ca="1">+N$10*(OFFSET('Base Costs'!$A$1,MATCH('$-kW Basis'!N$1,'Base Costs'!$A$2:$A$18,0),MATCH($B12,'Base Costs'!$B$1:$BE$1,0)))</f>
        <v>910</v>
      </c>
      <c r="O12" s="32">
        <f ca="1">+O$10*(OFFSET('Base Costs'!$A$1,MATCH('$-kW Basis'!O$1,'Base Costs'!$A$2:$A$18,0),MATCH($B12,'Base Costs'!$B$1:$BE$1,0)))</f>
        <v>1001</v>
      </c>
      <c r="P12" s="32">
        <f ca="1">+P$10*(OFFSET('Base Costs'!$A$1,MATCH('$-kW Basis'!P$1,'Base Costs'!$A$2:$A$18,0),MATCH($B12,'Base Costs'!$B$1:$BE$1,0)))</f>
        <v>1122</v>
      </c>
      <c r="Q12" s="32">
        <f ca="1">+Q$10*(OFFSET('Base Costs'!$A$1,MATCH('$-kW Basis'!Q$1,'Base Costs'!$A$2:$A$18,0),MATCH($B12,'Base Costs'!$B$1:$BE$1,0)))</f>
        <v>1114.8074274022988</v>
      </c>
      <c r="R12" s="33">
        <f ca="1">+R$10*(OFFSET('Base Costs'!$A$1,MATCH('$-kW Basis'!R$1,'Base Costs'!$A$2:$A$18,0),MATCH($B12,'Base Costs'!$B$1:$BE$1,0)))</f>
        <v>826.6744703977986</v>
      </c>
      <c r="S12" s="485">
        <v>0.014465969843674431</v>
      </c>
      <c r="T12" s="50">
        <f aca="true" t="shared" si="18" ref="T12:T30">T11*(1+S12)</f>
        <v>1.0231170345041614</v>
      </c>
      <c r="U12" s="31">
        <f t="shared" si="2"/>
        <v>3390.609852346791</v>
      </c>
      <c r="V12" s="32">
        <f t="shared" si="3"/>
        <v>2875.9819839911975</v>
      </c>
      <c r="W12" s="32">
        <f t="shared" si="4"/>
        <v>3921.6075932544504</v>
      </c>
      <c r="X12" s="32">
        <f t="shared" si="5"/>
        <v>4008.572541187304</v>
      </c>
      <c r="Y12" s="32">
        <f t="shared" si="6"/>
        <v>6295.239113304105</v>
      </c>
      <c r="Z12" s="32">
        <f t="shared" si="7"/>
        <v>6065.037780540669</v>
      </c>
      <c r="AA12" s="32">
        <f t="shared" si="8"/>
        <v>2012.634905595206</v>
      </c>
      <c r="AB12" s="32">
        <f t="shared" si="9"/>
        <v>3028.0329155805853</v>
      </c>
      <c r="AC12" s="32">
        <f t="shared" si="10"/>
        <v>2687.927495192651</v>
      </c>
      <c r="AD12" s="32">
        <f t="shared" si="11"/>
        <v>7131.1257304940045</v>
      </c>
      <c r="AE12" s="32">
        <f t="shared" si="12"/>
        <v>1055.8567796082946</v>
      </c>
      <c r="AF12" s="32">
        <f t="shared" si="13"/>
        <v>931.0365013987869</v>
      </c>
      <c r="AG12" s="32">
        <f t="shared" si="14"/>
        <v>1024.1401515386656</v>
      </c>
      <c r="AH12" s="32">
        <f t="shared" si="15"/>
        <v>1147.9373127136691</v>
      </c>
      <c r="AI12" s="32">
        <f t="shared" si="16"/>
        <v>1140.578469167053</v>
      </c>
      <c r="AJ12" s="33">
        <f t="shared" si="17"/>
        <v>845.7847326536938</v>
      </c>
    </row>
    <row r="13" spans="1:36" ht="12.75">
      <c r="A13" s="20">
        <v>17</v>
      </c>
      <c r="B13">
        <v>2013</v>
      </c>
      <c r="C13" s="31">
        <f ca="1">+C$10*(OFFSET('Base Costs'!$A$1,MATCH('$-kW Basis'!C$1,'Base Costs'!$A$2:$A$18,0),MATCH($B13,'Base Costs'!$B$1:$BE$1,0)))</f>
        <v>3314</v>
      </c>
      <c r="D13" s="32">
        <f ca="1">+D$10*(OFFSET('Base Costs'!$A$1,MATCH('$-kW Basis'!D$1,'Base Costs'!$A$2:$A$18,0),MATCH($B13,'Base Costs'!$B$1:$BE$1,0)))</f>
        <v>2811</v>
      </c>
      <c r="E13" s="32">
        <f ca="1">+E$10*(OFFSET('Base Costs'!$A$1,MATCH('$-kW Basis'!E$1,'Base Costs'!$A$2:$A$18,0),MATCH($B13,'Base Costs'!$B$1:$BE$1,0)))</f>
        <v>3833</v>
      </c>
      <c r="F13" s="32">
        <f ca="1">+F$10*(OFFSET('Base Costs'!$A$1,MATCH('$-kW Basis'!F$1,'Base Costs'!$A$2:$A$18,0),MATCH($B13,'Base Costs'!$B$1:$BE$1,0)))</f>
        <v>3918</v>
      </c>
      <c r="G13" s="32">
        <f ca="1">+G$10*(OFFSET('Base Costs'!$A$1,MATCH('$-kW Basis'!G$1,'Base Costs'!$A$2:$A$18,0),MATCH($B13,'Base Costs'!$B$1:$BE$1,0)))</f>
        <v>6153</v>
      </c>
      <c r="H13" s="32">
        <f ca="1">+H$10*(OFFSET('Base Costs'!$A$1,MATCH('$-kW Basis'!H$1,'Base Costs'!$A$2:$A$18,0),MATCH($B13,'Base Costs'!$B$1:$BE$1,0)))</f>
        <v>5928</v>
      </c>
      <c r="I13" s="32">
        <f ca="1">+I$10*(OFFSET('Base Costs'!$A$1,MATCH('$-kW Basis'!I$1,'Base Costs'!$A$2:$A$18,0),MATCH($B13,'Base Costs'!$B$1:$BE$1,0)))</f>
        <v>1926.6</v>
      </c>
      <c r="J13" s="32">
        <f ca="1">+J$10*(OFFSET('Base Costs'!$A$1,MATCH('$-kW Basis'!J$1,'Base Costs'!$A$2:$A$18,0),MATCH($B13,'Base Costs'!$B$1:$BE$1,0)))</f>
        <v>2803.8461538461543</v>
      </c>
      <c r="K13" s="32">
        <f ca="1">+K$10*(OFFSET('Base Costs'!$A$1,MATCH('$-kW Basis'!K$1,'Base Costs'!$A$2:$A$18,0),MATCH($B13,'Base Costs'!$B$1:$BE$1,0)))</f>
        <v>2645.1039538798045</v>
      </c>
      <c r="L13" s="32">
        <f ca="1">+L$10*(OFFSET('Base Costs'!$A$1,MATCH('$-kW Basis'!L$1,'Base Costs'!$A$2:$A$18,0),MATCH($B13,'Base Costs'!$B$1:$BE$1,0)))</f>
        <v>6970</v>
      </c>
      <c r="M13" s="32">
        <f ca="1">+M$10*(OFFSET('Base Costs'!$A$1,MATCH('$-kW Basis'!M$1,'Base Costs'!$A$2:$A$18,0),MATCH($B13,'Base Costs'!$B$1:$BE$1,0)))</f>
        <v>1032</v>
      </c>
      <c r="N13" s="32">
        <f ca="1">+N$10*(OFFSET('Base Costs'!$A$1,MATCH('$-kW Basis'!N$1,'Base Costs'!$A$2:$A$18,0),MATCH($B13,'Base Costs'!$B$1:$BE$1,0)))</f>
        <v>910</v>
      </c>
      <c r="O13" s="32">
        <f ca="1">+O$10*(OFFSET('Base Costs'!$A$1,MATCH('$-kW Basis'!O$1,'Base Costs'!$A$2:$A$18,0),MATCH($B13,'Base Costs'!$B$1:$BE$1,0)))</f>
        <v>1001</v>
      </c>
      <c r="P13" s="32">
        <f ca="1">+P$10*(OFFSET('Base Costs'!$A$1,MATCH('$-kW Basis'!P$1,'Base Costs'!$A$2:$A$18,0),MATCH($B13,'Base Costs'!$B$1:$BE$1,0)))</f>
        <v>1122</v>
      </c>
      <c r="Q13" s="32">
        <f ca="1">+Q$10*(OFFSET('Base Costs'!$A$1,MATCH('$-kW Basis'!Q$1,'Base Costs'!$A$2:$A$18,0),MATCH($B13,'Base Costs'!$B$1:$BE$1,0)))</f>
        <v>1114.8074274022988</v>
      </c>
      <c r="R13" s="33">
        <f ca="1">+R$10*(OFFSET('Base Costs'!$A$1,MATCH('$-kW Basis'!R$1,'Base Costs'!$A$2:$A$18,0),MATCH($B13,'Base Costs'!$B$1:$BE$1,0)))</f>
        <v>826.6744703977986</v>
      </c>
      <c r="S13" s="485">
        <v>0.01641485896335748</v>
      </c>
      <c r="T13" s="50">
        <f t="shared" si="18"/>
        <v>1.0399113563285558</v>
      </c>
      <c r="U13" s="31">
        <f t="shared" si="2"/>
        <v>3446.266234872834</v>
      </c>
      <c r="V13" s="32">
        <f t="shared" si="3"/>
        <v>2923.1908226395703</v>
      </c>
      <c r="W13" s="32">
        <f t="shared" si="4"/>
        <v>3985.9802288073543</v>
      </c>
      <c r="X13" s="32">
        <f t="shared" si="5"/>
        <v>4074.3726940952815</v>
      </c>
      <c r="Y13" s="32">
        <f t="shared" si="6"/>
        <v>6398.574575489604</v>
      </c>
      <c r="Z13" s="32">
        <f t="shared" si="7"/>
        <v>6164.594520315679</v>
      </c>
      <c r="AA13" s="32">
        <f t="shared" si="8"/>
        <v>2003.4932191025955</v>
      </c>
      <c r="AB13" s="32">
        <f t="shared" si="9"/>
        <v>2915.751456782759</v>
      </c>
      <c r="AC13" s="32">
        <f t="shared" si="10"/>
        <v>2750.673640309173</v>
      </c>
      <c r="AD13" s="32">
        <f t="shared" si="11"/>
        <v>7248.182153610034</v>
      </c>
      <c r="AE13" s="32">
        <f t="shared" si="12"/>
        <v>1073.1885197310696</v>
      </c>
      <c r="AF13" s="32">
        <f t="shared" si="13"/>
        <v>946.3193342589858</v>
      </c>
      <c r="AG13" s="32">
        <f t="shared" si="14"/>
        <v>1040.9512676848844</v>
      </c>
      <c r="AH13" s="32">
        <f t="shared" si="15"/>
        <v>1166.7805418006396</v>
      </c>
      <c r="AI13" s="32">
        <f t="shared" si="16"/>
        <v>1159.3009038750727</v>
      </c>
      <c r="AJ13" s="33">
        <f t="shared" si="17"/>
        <v>859.6681697535653</v>
      </c>
    </row>
    <row r="14" spans="1:36" ht="12.75">
      <c r="A14" s="20">
        <v>18</v>
      </c>
      <c r="B14">
        <v>2014</v>
      </c>
      <c r="C14" s="31">
        <f ca="1">+C$10*(OFFSET('Base Costs'!$A$1,MATCH('$-kW Basis'!C$1,'Base Costs'!$A$2:$A$18,0),MATCH($B14,'Base Costs'!$B$1:$BE$1,0)))</f>
        <v>3314</v>
      </c>
      <c r="D14" s="32">
        <f ca="1">+D$10*(OFFSET('Base Costs'!$A$1,MATCH('$-kW Basis'!D$1,'Base Costs'!$A$2:$A$18,0),MATCH($B14,'Base Costs'!$B$1:$BE$1,0)))</f>
        <v>2811</v>
      </c>
      <c r="E14" s="32">
        <f ca="1">+E$10*(OFFSET('Base Costs'!$A$1,MATCH('$-kW Basis'!E$1,'Base Costs'!$A$2:$A$18,0),MATCH($B14,'Base Costs'!$B$1:$BE$1,0)))</f>
        <v>3833</v>
      </c>
      <c r="F14" s="32">
        <f ca="1">+F$10*(OFFSET('Base Costs'!$A$1,MATCH('$-kW Basis'!F$1,'Base Costs'!$A$2:$A$18,0),MATCH($B14,'Base Costs'!$B$1:$BE$1,0)))</f>
        <v>3918</v>
      </c>
      <c r="G14" s="32">
        <f ca="1">+G$10*(OFFSET('Base Costs'!$A$1,MATCH('$-kW Basis'!G$1,'Base Costs'!$A$2:$A$18,0),MATCH($B14,'Base Costs'!$B$1:$BE$1,0)))</f>
        <v>6153</v>
      </c>
      <c r="H14" s="32">
        <f ca="1">+H$10*(OFFSET('Base Costs'!$A$1,MATCH('$-kW Basis'!H$1,'Base Costs'!$A$2:$A$18,0),MATCH($B14,'Base Costs'!$B$1:$BE$1,0)))</f>
        <v>5928</v>
      </c>
      <c r="I14" s="32">
        <f ca="1">+I$10*(OFFSET('Base Costs'!$A$1,MATCH('$-kW Basis'!I$1,'Base Costs'!$A$2:$A$18,0),MATCH($B14,'Base Costs'!$B$1:$BE$1,0)))</f>
        <v>1886.0400000000002</v>
      </c>
      <c r="J14" s="32">
        <f ca="1">+J$10*(OFFSET('Base Costs'!$A$1,MATCH('$-kW Basis'!J$1,'Base Costs'!$A$2:$A$18,0),MATCH($B14,'Base Costs'!$B$1:$BE$1,0)))</f>
        <v>2648.0769230769233</v>
      </c>
      <c r="K14" s="32">
        <f ca="1">+K$10*(OFFSET('Base Costs'!$A$1,MATCH('$-kW Basis'!K$1,'Base Costs'!$A$2:$A$18,0),MATCH($B14,'Base Costs'!$B$1:$BE$1,0)))</f>
        <v>2656.9267905666948</v>
      </c>
      <c r="L14" s="32">
        <f ca="1">+L$10*(OFFSET('Base Costs'!$A$1,MATCH('$-kW Basis'!L$1,'Base Costs'!$A$2:$A$18,0),MATCH($B14,'Base Costs'!$B$1:$BE$1,0)))</f>
        <v>6970</v>
      </c>
      <c r="M14" s="32">
        <f ca="1">+M$10*(OFFSET('Base Costs'!$A$1,MATCH('$-kW Basis'!M$1,'Base Costs'!$A$2:$A$18,0),MATCH($B14,'Base Costs'!$B$1:$BE$1,0)))</f>
        <v>1032</v>
      </c>
      <c r="N14" s="32">
        <f ca="1">+N$10*(OFFSET('Base Costs'!$A$1,MATCH('$-kW Basis'!N$1,'Base Costs'!$A$2:$A$18,0),MATCH($B14,'Base Costs'!$B$1:$BE$1,0)))</f>
        <v>910</v>
      </c>
      <c r="O14" s="32">
        <f ca="1">+O$10*(OFFSET('Base Costs'!$A$1,MATCH('$-kW Basis'!O$1,'Base Costs'!$A$2:$A$18,0),MATCH($B14,'Base Costs'!$B$1:$BE$1,0)))</f>
        <v>1001</v>
      </c>
      <c r="P14" s="32">
        <f ca="1">+P$10*(OFFSET('Base Costs'!$A$1,MATCH('$-kW Basis'!P$1,'Base Costs'!$A$2:$A$18,0),MATCH($B14,'Base Costs'!$B$1:$BE$1,0)))</f>
        <v>1122</v>
      </c>
      <c r="Q14" s="32">
        <f ca="1">+Q$10*(OFFSET('Base Costs'!$A$1,MATCH('$-kW Basis'!Q$1,'Base Costs'!$A$2:$A$18,0),MATCH($B14,'Base Costs'!$B$1:$BE$1,0)))</f>
        <v>1114.8074274022988</v>
      </c>
      <c r="R14" s="33">
        <f ca="1">+R$10*(OFFSET('Base Costs'!$A$1,MATCH('$-kW Basis'!R$1,'Base Costs'!$A$2:$A$18,0),MATCH($B14,'Base Costs'!$B$1:$BE$1,0)))</f>
        <v>826.6744703977986</v>
      </c>
      <c r="S14" s="485">
        <v>0.014097981961547656</v>
      </c>
      <c r="T14" s="50">
        <f t="shared" si="18"/>
        <v>1.0545720078716843</v>
      </c>
      <c r="U14" s="31">
        <f t="shared" si="2"/>
        <v>3494.851634086762</v>
      </c>
      <c r="V14" s="32">
        <f t="shared" si="3"/>
        <v>2964.4019141273043</v>
      </c>
      <c r="W14" s="32">
        <f t="shared" si="4"/>
        <v>4042.174506172166</v>
      </c>
      <c r="X14" s="32">
        <f t="shared" si="5"/>
        <v>4131.813126841259</v>
      </c>
      <c r="Y14" s="32">
        <f t="shared" si="6"/>
        <v>6488.781564434474</v>
      </c>
      <c r="Z14" s="32">
        <f t="shared" si="7"/>
        <v>6251.502862663344</v>
      </c>
      <c r="AA14" s="32">
        <f t="shared" si="8"/>
        <v>1988.9649897263116</v>
      </c>
      <c r="AB14" s="32">
        <f t="shared" si="9"/>
        <v>2792.5877977679024</v>
      </c>
      <c r="AC14" s="32">
        <f t="shared" si="10"/>
        <v>2801.920620295989</v>
      </c>
      <c r="AD14" s="32">
        <f t="shared" si="11"/>
        <v>7350.36689486564</v>
      </c>
      <c r="AE14" s="32">
        <f t="shared" si="12"/>
        <v>1088.3183121235782</v>
      </c>
      <c r="AF14" s="32">
        <f t="shared" si="13"/>
        <v>959.6605271632327</v>
      </c>
      <c r="AG14" s="32">
        <f t="shared" si="14"/>
        <v>1055.626579879556</v>
      </c>
      <c r="AH14" s="32">
        <f t="shared" si="15"/>
        <v>1183.2297928320297</v>
      </c>
      <c r="AI14" s="32">
        <f t="shared" si="16"/>
        <v>1175.6447071059092</v>
      </c>
      <c r="AJ14" s="33">
        <f t="shared" si="17"/>
        <v>871.7877561036677</v>
      </c>
    </row>
    <row r="15" spans="1:36" ht="12.75">
      <c r="A15" s="20">
        <v>19</v>
      </c>
      <c r="B15">
        <v>2015</v>
      </c>
      <c r="C15" s="31">
        <f ca="1">+C$10*(OFFSET('Base Costs'!$A$1,MATCH('$-kW Basis'!C$1,'Base Costs'!$A$2:$A$18,0),MATCH($B15,'Base Costs'!$B$1:$BE$1,0)))</f>
        <v>3314</v>
      </c>
      <c r="D15" s="32">
        <f ca="1">+D$10*(OFFSET('Base Costs'!$A$1,MATCH('$-kW Basis'!D$1,'Base Costs'!$A$2:$A$18,0),MATCH($B15,'Base Costs'!$B$1:$BE$1,0)))</f>
        <v>2811</v>
      </c>
      <c r="E15" s="32">
        <f ca="1">+E$10*(OFFSET('Base Costs'!$A$1,MATCH('$-kW Basis'!E$1,'Base Costs'!$A$2:$A$18,0),MATCH($B15,'Base Costs'!$B$1:$BE$1,0)))</f>
        <v>3833</v>
      </c>
      <c r="F15" s="32">
        <f ca="1">+F$10*(OFFSET('Base Costs'!$A$1,MATCH('$-kW Basis'!F$1,'Base Costs'!$A$2:$A$18,0),MATCH($B15,'Base Costs'!$B$1:$BE$1,0)))</f>
        <v>3918</v>
      </c>
      <c r="G15" s="32">
        <f ca="1">+G$10*(OFFSET('Base Costs'!$A$1,MATCH('$-kW Basis'!G$1,'Base Costs'!$A$2:$A$18,0),MATCH($B15,'Base Costs'!$B$1:$BE$1,0)))</f>
        <v>6153</v>
      </c>
      <c r="H15" s="32">
        <f ca="1">+H$10*(OFFSET('Base Costs'!$A$1,MATCH('$-kW Basis'!H$1,'Base Costs'!$A$2:$A$18,0),MATCH($B15,'Base Costs'!$B$1:$BE$1,0)))</f>
        <v>5928</v>
      </c>
      <c r="I15" s="32">
        <f ca="1">+I$10*(OFFSET('Base Costs'!$A$1,MATCH('$-kW Basis'!I$1,'Base Costs'!$A$2:$A$18,0),MATCH($B15,'Base Costs'!$B$1:$BE$1,0)))</f>
        <v>1886.0400000000002</v>
      </c>
      <c r="J15" s="32">
        <f ca="1">+J$10*(OFFSET('Base Costs'!$A$1,MATCH('$-kW Basis'!J$1,'Base Costs'!$A$2:$A$18,0),MATCH($B15,'Base Costs'!$B$1:$BE$1,0)))</f>
        <v>2554.6153846153848</v>
      </c>
      <c r="K15" s="32">
        <f ca="1">+K$10*(OFFSET('Base Costs'!$A$1,MATCH('$-kW Basis'!K$1,'Base Costs'!$A$2:$A$18,0),MATCH($B15,'Base Costs'!$B$1:$BE$1,0)))</f>
        <v>2668.7496272535855</v>
      </c>
      <c r="L15" s="32">
        <f ca="1">+L$10*(OFFSET('Base Costs'!$A$1,MATCH('$-kW Basis'!L$1,'Base Costs'!$A$2:$A$18,0),MATCH($B15,'Base Costs'!$B$1:$BE$1,0)))</f>
        <v>6970</v>
      </c>
      <c r="M15" s="32">
        <f ca="1">+M$10*(OFFSET('Base Costs'!$A$1,MATCH('$-kW Basis'!M$1,'Base Costs'!$A$2:$A$18,0),MATCH($B15,'Base Costs'!$B$1:$BE$1,0)))</f>
        <v>1032</v>
      </c>
      <c r="N15" s="32">
        <f ca="1">+N$10*(OFFSET('Base Costs'!$A$1,MATCH('$-kW Basis'!N$1,'Base Costs'!$A$2:$A$18,0),MATCH($B15,'Base Costs'!$B$1:$BE$1,0)))</f>
        <v>910</v>
      </c>
      <c r="O15" s="32">
        <f ca="1">+O$10*(OFFSET('Base Costs'!$A$1,MATCH('$-kW Basis'!O$1,'Base Costs'!$A$2:$A$18,0),MATCH($B15,'Base Costs'!$B$1:$BE$1,0)))</f>
        <v>1001</v>
      </c>
      <c r="P15" s="32">
        <f ca="1">+P$10*(OFFSET('Base Costs'!$A$1,MATCH('$-kW Basis'!P$1,'Base Costs'!$A$2:$A$18,0),MATCH($B15,'Base Costs'!$B$1:$BE$1,0)))</f>
        <v>1122</v>
      </c>
      <c r="Q15" s="32">
        <f ca="1">+Q$10*(OFFSET('Base Costs'!$A$1,MATCH('$-kW Basis'!Q$1,'Base Costs'!$A$2:$A$18,0),MATCH($B15,'Base Costs'!$B$1:$BE$1,0)))</f>
        <v>1114.8074274022988</v>
      </c>
      <c r="R15" s="33">
        <f ca="1">+R$10*(OFFSET('Base Costs'!$A$1,MATCH('$-kW Basis'!R$1,'Base Costs'!$A$2:$A$18,0),MATCH($B15,'Base Costs'!$B$1:$BE$1,0)))</f>
        <v>826.6744703977986</v>
      </c>
      <c r="S15" s="485">
        <v>0.015609873721414314</v>
      </c>
      <c r="T15" s="50">
        <f t="shared" si="18"/>
        <v>1.0710337437446995</v>
      </c>
      <c r="U15" s="31">
        <f t="shared" si="2"/>
        <v>3549.4058267699343</v>
      </c>
      <c r="V15" s="32">
        <f t="shared" si="3"/>
        <v>3010.67585366635</v>
      </c>
      <c r="W15" s="32">
        <f t="shared" si="4"/>
        <v>4105.2723397734335</v>
      </c>
      <c r="X15" s="32">
        <f t="shared" si="5"/>
        <v>4196.310207991733</v>
      </c>
      <c r="Y15" s="32">
        <f t="shared" si="6"/>
        <v>6590.070625261136</v>
      </c>
      <c r="Z15" s="32">
        <f t="shared" si="7"/>
        <v>6349.088032918578</v>
      </c>
      <c r="AA15" s="32">
        <f t="shared" si="8"/>
        <v>2020.0124820522533</v>
      </c>
      <c r="AB15" s="32">
        <f t="shared" si="9"/>
        <v>2736.079279212421</v>
      </c>
      <c r="AC15" s="32">
        <f t="shared" si="10"/>
        <v>2858.320904394679</v>
      </c>
      <c r="AD15" s="32">
        <f t="shared" si="11"/>
        <v>7465.105193900556</v>
      </c>
      <c r="AE15" s="32">
        <f t="shared" si="12"/>
        <v>1105.3068235445298</v>
      </c>
      <c r="AF15" s="32">
        <f t="shared" si="13"/>
        <v>974.6407068076766</v>
      </c>
      <c r="AG15" s="32">
        <f t="shared" si="14"/>
        <v>1072.1047774884441</v>
      </c>
      <c r="AH15" s="32">
        <f t="shared" si="15"/>
        <v>1201.6998604815528</v>
      </c>
      <c r="AI15" s="32">
        <f t="shared" si="16"/>
        <v>1193.9963725250814</v>
      </c>
      <c r="AJ15" s="33">
        <f t="shared" si="17"/>
        <v>885.396252888321</v>
      </c>
    </row>
    <row r="16" spans="1:36" ht="12.75">
      <c r="A16" s="20">
        <v>20</v>
      </c>
      <c r="B16">
        <v>2016</v>
      </c>
      <c r="C16" s="31">
        <f ca="1">+C$10*(OFFSET('Base Costs'!$A$1,MATCH('$-kW Basis'!C$1,'Base Costs'!$A$2:$A$18,0),MATCH($B16,'Base Costs'!$B$1:$BE$1,0)))</f>
        <v>3314</v>
      </c>
      <c r="D16" s="32">
        <f ca="1">+D$10*(OFFSET('Base Costs'!$A$1,MATCH('$-kW Basis'!D$1,'Base Costs'!$A$2:$A$18,0),MATCH($B16,'Base Costs'!$B$1:$BE$1,0)))</f>
        <v>2811</v>
      </c>
      <c r="E16" s="32">
        <f ca="1">+E$10*(OFFSET('Base Costs'!$A$1,MATCH('$-kW Basis'!E$1,'Base Costs'!$A$2:$A$18,0),MATCH($B16,'Base Costs'!$B$1:$BE$1,0)))</f>
        <v>3833</v>
      </c>
      <c r="F16" s="32">
        <f ca="1">+F$10*(OFFSET('Base Costs'!$A$1,MATCH('$-kW Basis'!F$1,'Base Costs'!$A$2:$A$18,0),MATCH($B16,'Base Costs'!$B$1:$BE$1,0)))</f>
        <v>3918</v>
      </c>
      <c r="G16" s="32">
        <f ca="1">+G$10*(OFFSET('Base Costs'!$A$1,MATCH('$-kW Basis'!G$1,'Base Costs'!$A$2:$A$18,0),MATCH($B16,'Base Costs'!$B$1:$BE$1,0)))</f>
        <v>6153</v>
      </c>
      <c r="H16" s="32">
        <f ca="1">+H$10*(OFFSET('Base Costs'!$A$1,MATCH('$-kW Basis'!H$1,'Base Costs'!$A$2:$A$18,0),MATCH($B16,'Base Costs'!$B$1:$BE$1,0)))</f>
        <v>5928</v>
      </c>
      <c r="I16" s="32">
        <f ca="1">+I$10*(OFFSET('Base Costs'!$A$1,MATCH('$-kW Basis'!I$1,'Base Costs'!$A$2:$A$18,0),MATCH($B16,'Base Costs'!$B$1:$BE$1,0)))</f>
        <v>1886.0400000000002</v>
      </c>
      <c r="J16" s="32">
        <f ca="1">+J$10*(OFFSET('Base Costs'!$A$1,MATCH('$-kW Basis'!J$1,'Base Costs'!$A$2:$A$18,0),MATCH($B16,'Base Costs'!$B$1:$BE$1,0)))</f>
        <v>2492.307692307693</v>
      </c>
      <c r="K16" s="32">
        <f ca="1">+K$10*(OFFSET('Base Costs'!$A$1,MATCH('$-kW Basis'!K$1,'Base Costs'!$A$2:$A$18,0),MATCH($B16,'Base Costs'!$B$1:$BE$1,0)))</f>
        <v>2683.3464718100445</v>
      </c>
      <c r="L16" s="32">
        <f ca="1">+L$10*(OFFSET('Base Costs'!$A$1,MATCH('$-kW Basis'!L$1,'Base Costs'!$A$2:$A$18,0),MATCH($B16,'Base Costs'!$B$1:$BE$1,0)))</f>
        <v>6970</v>
      </c>
      <c r="M16" s="32">
        <f ca="1">+M$10*(OFFSET('Base Costs'!$A$1,MATCH('$-kW Basis'!M$1,'Base Costs'!$A$2:$A$18,0),MATCH($B16,'Base Costs'!$B$1:$BE$1,0)))</f>
        <v>1032</v>
      </c>
      <c r="N16" s="32">
        <f ca="1">+N$10*(OFFSET('Base Costs'!$A$1,MATCH('$-kW Basis'!N$1,'Base Costs'!$A$2:$A$18,0),MATCH($B16,'Base Costs'!$B$1:$BE$1,0)))</f>
        <v>910</v>
      </c>
      <c r="O16" s="32">
        <f ca="1">+O$10*(OFFSET('Base Costs'!$A$1,MATCH('$-kW Basis'!O$1,'Base Costs'!$A$2:$A$18,0),MATCH($B16,'Base Costs'!$B$1:$BE$1,0)))</f>
        <v>1001</v>
      </c>
      <c r="P16" s="32">
        <f ca="1">+P$10*(OFFSET('Base Costs'!$A$1,MATCH('$-kW Basis'!P$1,'Base Costs'!$A$2:$A$18,0),MATCH($B16,'Base Costs'!$B$1:$BE$1,0)))</f>
        <v>1122</v>
      </c>
      <c r="Q16" s="32">
        <f ca="1">+Q$10*(OFFSET('Base Costs'!$A$1,MATCH('$-kW Basis'!Q$1,'Base Costs'!$A$2:$A$18,0),MATCH($B16,'Base Costs'!$B$1:$BE$1,0)))</f>
        <v>1114.8074274022988</v>
      </c>
      <c r="R16" s="33">
        <f ca="1">+R$10*(OFFSET('Base Costs'!$A$1,MATCH('$-kW Basis'!R$1,'Base Costs'!$A$2:$A$18,0),MATCH($B16,'Base Costs'!$B$1:$BE$1,0)))</f>
        <v>826.6744703977986</v>
      </c>
      <c r="S16" s="485">
        <v>0.01547639329443995</v>
      </c>
      <c r="T16" s="50">
        <f t="shared" si="18"/>
        <v>1.087609483194509</v>
      </c>
      <c r="U16" s="31">
        <f t="shared" si="2"/>
        <v>3604.3378273066023</v>
      </c>
      <c r="V16" s="32">
        <f t="shared" si="3"/>
        <v>3057.2702572597645</v>
      </c>
      <c r="W16" s="32">
        <f t="shared" si="4"/>
        <v>4168.807149084552</v>
      </c>
      <c r="X16" s="32">
        <f t="shared" si="5"/>
        <v>4261.253955156086</v>
      </c>
      <c r="Y16" s="32">
        <f t="shared" si="6"/>
        <v>6692.061150095813</v>
      </c>
      <c r="Z16" s="32">
        <f t="shared" si="7"/>
        <v>6447.349016377048</v>
      </c>
      <c r="AA16" s="32">
        <f t="shared" si="8"/>
        <v>2051.274989684172</v>
      </c>
      <c r="AB16" s="32">
        <f t="shared" si="9"/>
        <v>2710.657481192469</v>
      </c>
      <c r="AC16" s="32">
        <f t="shared" si="10"/>
        <v>2918.4330694371315</v>
      </c>
      <c r="AD16" s="32">
        <f t="shared" si="11"/>
        <v>7580.638097865727</v>
      </c>
      <c r="AE16" s="32">
        <f t="shared" si="12"/>
        <v>1122.4129866567332</v>
      </c>
      <c r="AF16" s="32">
        <f t="shared" si="13"/>
        <v>989.7246297070031</v>
      </c>
      <c r="AG16" s="32">
        <f t="shared" si="14"/>
        <v>1088.6970926777035</v>
      </c>
      <c r="AH16" s="32">
        <f t="shared" si="15"/>
        <v>1220.297840144239</v>
      </c>
      <c r="AI16" s="32">
        <f t="shared" si="16"/>
        <v>1212.475129978414</v>
      </c>
      <c r="AJ16" s="33">
        <f t="shared" si="17"/>
        <v>899.0989935194441</v>
      </c>
    </row>
    <row r="17" spans="1:36" ht="12.75">
      <c r="A17" s="20">
        <v>21</v>
      </c>
      <c r="B17">
        <v>2017</v>
      </c>
      <c r="C17" s="31">
        <f ca="1">+C$10*(OFFSET('Base Costs'!$A$1,MATCH('$-kW Basis'!C$1,'Base Costs'!$A$2:$A$18,0),MATCH($B17,'Base Costs'!$B$1:$BE$1,0)))</f>
        <v>3314</v>
      </c>
      <c r="D17" s="32">
        <f ca="1">+D$10*(OFFSET('Base Costs'!$A$1,MATCH('$-kW Basis'!D$1,'Base Costs'!$A$2:$A$18,0),MATCH($B17,'Base Costs'!$B$1:$BE$1,0)))</f>
        <v>2811</v>
      </c>
      <c r="E17" s="32">
        <f ca="1">+E$10*(OFFSET('Base Costs'!$A$1,MATCH('$-kW Basis'!E$1,'Base Costs'!$A$2:$A$18,0),MATCH($B17,'Base Costs'!$B$1:$BE$1,0)))</f>
        <v>3833</v>
      </c>
      <c r="F17" s="32">
        <f ca="1">+F$10*(OFFSET('Base Costs'!$A$1,MATCH('$-kW Basis'!F$1,'Base Costs'!$A$2:$A$18,0),MATCH($B17,'Base Costs'!$B$1:$BE$1,0)))</f>
        <v>3918</v>
      </c>
      <c r="G17" s="32">
        <f ca="1">+G$10*(OFFSET('Base Costs'!$A$1,MATCH('$-kW Basis'!G$1,'Base Costs'!$A$2:$A$18,0),MATCH($B17,'Base Costs'!$B$1:$BE$1,0)))</f>
        <v>6153</v>
      </c>
      <c r="H17" s="32">
        <f ca="1">+H$10*(OFFSET('Base Costs'!$A$1,MATCH('$-kW Basis'!H$1,'Base Costs'!$A$2:$A$18,0),MATCH($B17,'Base Costs'!$B$1:$BE$1,0)))</f>
        <v>5928</v>
      </c>
      <c r="I17" s="32">
        <f ca="1">+I$10*(OFFSET('Base Costs'!$A$1,MATCH('$-kW Basis'!I$1,'Base Costs'!$A$2:$A$18,0),MATCH($B17,'Base Costs'!$B$1:$BE$1,0)))</f>
        <v>1886.0400000000002</v>
      </c>
      <c r="J17" s="32">
        <f ca="1">+J$10*(OFFSET('Base Costs'!$A$1,MATCH('$-kW Basis'!J$1,'Base Costs'!$A$2:$A$18,0),MATCH($B17,'Base Costs'!$B$1:$BE$1,0)))</f>
        <v>2430.0000000000005</v>
      </c>
      <c r="K17" s="32">
        <f ca="1">+K$10*(OFFSET('Base Costs'!$A$1,MATCH('$-kW Basis'!K$1,'Base Costs'!$A$2:$A$18,0),MATCH($B17,'Base Costs'!$B$1:$BE$1,0)))</f>
        <v>2697.943316366503</v>
      </c>
      <c r="L17" s="32">
        <f ca="1">+L$10*(OFFSET('Base Costs'!$A$1,MATCH('$-kW Basis'!L$1,'Base Costs'!$A$2:$A$18,0),MATCH($B17,'Base Costs'!$B$1:$BE$1,0)))</f>
        <v>6970</v>
      </c>
      <c r="M17" s="32">
        <f ca="1">+M$10*(OFFSET('Base Costs'!$A$1,MATCH('$-kW Basis'!M$1,'Base Costs'!$A$2:$A$18,0),MATCH($B17,'Base Costs'!$B$1:$BE$1,0)))</f>
        <v>1032</v>
      </c>
      <c r="N17" s="32">
        <f ca="1">+N$10*(OFFSET('Base Costs'!$A$1,MATCH('$-kW Basis'!N$1,'Base Costs'!$A$2:$A$18,0),MATCH($B17,'Base Costs'!$B$1:$BE$1,0)))</f>
        <v>910</v>
      </c>
      <c r="O17" s="32">
        <f ca="1">+O$10*(OFFSET('Base Costs'!$A$1,MATCH('$-kW Basis'!O$1,'Base Costs'!$A$2:$A$18,0),MATCH($B17,'Base Costs'!$B$1:$BE$1,0)))</f>
        <v>1001</v>
      </c>
      <c r="P17" s="32">
        <f ca="1">+P$10*(OFFSET('Base Costs'!$A$1,MATCH('$-kW Basis'!P$1,'Base Costs'!$A$2:$A$18,0),MATCH($B17,'Base Costs'!$B$1:$BE$1,0)))</f>
        <v>1122</v>
      </c>
      <c r="Q17" s="32">
        <f ca="1">+Q$10*(OFFSET('Base Costs'!$A$1,MATCH('$-kW Basis'!Q$1,'Base Costs'!$A$2:$A$18,0),MATCH($B17,'Base Costs'!$B$1:$BE$1,0)))</f>
        <v>1114.8074274022988</v>
      </c>
      <c r="R17" s="33">
        <f ca="1">+R$10*(OFFSET('Base Costs'!$A$1,MATCH('$-kW Basis'!R$1,'Base Costs'!$A$2:$A$18,0),MATCH($B17,'Base Costs'!$B$1:$BE$1,0)))</f>
        <v>826.6744703977986</v>
      </c>
      <c r="S17" s="485">
        <v>0.016238338582890144</v>
      </c>
      <c r="T17" s="50">
        <f t="shared" si="18"/>
        <v>1.1052704542285836</v>
      </c>
      <c r="U17" s="31">
        <f t="shared" si="2"/>
        <v>3662.866285313526</v>
      </c>
      <c r="V17" s="32">
        <f t="shared" si="3"/>
        <v>3106.9152468365487</v>
      </c>
      <c r="W17" s="32">
        <f t="shared" si="4"/>
        <v>4236.501651058161</v>
      </c>
      <c r="X17" s="32">
        <f t="shared" si="5"/>
        <v>4330.44963966759</v>
      </c>
      <c r="Y17" s="32">
        <f t="shared" si="6"/>
        <v>6800.729104868475</v>
      </c>
      <c r="Z17" s="32">
        <f t="shared" si="7"/>
        <v>6552.043252667044</v>
      </c>
      <c r="AA17" s="32">
        <f t="shared" si="8"/>
        <v>2084.584287493278</v>
      </c>
      <c r="AB17" s="32">
        <f t="shared" si="9"/>
        <v>2685.8072037754587</v>
      </c>
      <c r="AC17" s="32">
        <f t="shared" si="10"/>
        <v>2981.957034763376</v>
      </c>
      <c r="AD17" s="32">
        <f t="shared" si="11"/>
        <v>7703.735065973227</v>
      </c>
      <c r="AE17" s="32">
        <f t="shared" si="12"/>
        <v>1140.6391087638983</v>
      </c>
      <c r="AF17" s="32">
        <f t="shared" si="13"/>
        <v>1005.7961133480111</v>
      </c>
      <c r="AG17" s="32">
        <f t="shared" si="14"/>
        <v>1106.3757246828122</v>
      </c>
      <c r="AH17" s="32">
        <f t="shared" si="15"/>
        <v>1240.1134496444708</v>
      </c>
      <c r="AI17" s="32">
        <f t="shared" si="16"/>
        <v>1232.1637116623376</v>
      </c>
      <c r="AJ17" s="33">
        <f t="shared" si="17"/>
        <v>913.6988673957486</v>
      </c>
    </row>
    <row r="18" spans="1:36" ht="12.75">
      <c r="A18" s="20">
        <v>22</v>
      </c>
      <c r="B18">
        <v>2018</v>
      </c>
      <c r="C18" s="31">
        <f ca="1">+C$10*(OFFSET('Base Costs'!$A$1,MATCH('$-kW Basis'!C$1,'Base Costs'!$A$2:$A$18,0),MATCH($B18,'Base Costs'!$B$1:$BE$1,0)))</f>
        <v>3314</v>
      </c>
      <c r="D18" s="32">
        <f ca="1">+D$10*(OFFSET('Base Costs'!$A$1,MATCH('$-kW Basis'!D$1,'Base Costs'!$A$2:$A$18,0),MATCH($B18,'Base Costs'!$B$1:$BE$1,0)))</f>
        <v>2811</v>
      </c>
      <c r="E18" s="32">
        <f ca="1">+E$10*(OFFSET('Base Costs'!$A$1,MATCH('$-kW Basis'!E$1,'Base Costs'!$A$2:$A$18,0),MATCH($B18,'Base Costs'!$B$1:$BE$1,0)))</f>
        <v>3833</v>
      </c>
      <c r="F18" s="32">
        <f ca="1">+F$10*(OFFSET('Base Costs'!$A$1,MATCH('$-kW Basis'!F$1,'Base Costs'!$A$2:$A$18,0),MATCH($B18,'Base Costs'!$B$1:$BE$1,0)))</f>
        <v>3918</v>
      </c>
      <c r="G18" s="32">
        <f ca="1">+G$10*(OFFSET('Base Costs'!$A$1,MATCH('$-kW Basis'!G$1,'Base Costs'!$A$2:$A$18,0),MATCH($B18,'Base Costs'!$B$1:$BE$1,0)))</f>
        <v>6153</v>
      </c>
      <c r="H18" s="32">
        <f ca="1">+H$10*(OFFSET('Base Costs'!$A$1,MATCH('$-kW Basis'!H$1,'Base Costs'!$A$2:$A$18,0),MATCH($B18,'Base Costs'!$B$1:$BE$1,0)))</f>
        <v>5928</v>
      </c>
      <c r="I18" s="32">
        <f ca="1">+I$10*(OFFSET('Base Costs'!$A$1,MATCH('$-kW Basis'!I$1,'Base Costs'!$A$2:$A$18,0),MATCH($B18,'Base Costs'!$B$1:$BE$1,0)))</f>
        <v>1886.0400000000002</v>
      </c>
      <c r="J18" s="32">
        <f ca="1">+J$10*(OFFSET('Base Costs'!$A$1,MATCH('$-kW Basis'!J$1,'Base Costs'!$A$2:$A$18,0),MATCH($B18,'Base Costs'!$B$1:$BE$1,0)))</f>
        <v>2367.692307692308</v>
      </c>
      <c r="K18" s="32">
        <f ca="1">+K$10*(OFFSET('Base Costs'!$A$1,MATCH('$-kW Basis'!K$1,'Base Costs'!$A$2:$A$18,0),MATCH($B18,'Base Costs'!$B$1:$BE$1,0)))</f>
        <v>2713.7218945483633</v>
      </c>
      <c r="L18" s="32">
        <f ca="1">+L$10*(OFFSET('Base Costs'!$A$1,MATCH('$-kW Basis'!L$1,'Base Costs'!$A$2:$A$18,0),MATCH($B18,'Base Costs'!$B$1:$BE$1,0)))</f>
        <v>6970</v>
      </c>
      <c r="M18" s="32">
        <f ca="1">+M$10*(OFFSET('Base Costs'!$A$1,MATCH('$-kW Basis'!M$1,'Base Costs'!$A$2:$A$18,0),MATCH($B18,'Base Costs'!$B$1:$BE$1,0)))</f>
        <v>1032</v>
      </c>
      <c r="N18" s="32">
        <f ca="1">+N$10*(OFFSET('Base Costs'!$A$1,MATCH('$-kW Basis'!N$1,'Base Costs'!$A$2:$A$18,0),MATCH($B18,'Base Costs'!$B$1:$BE$1,0)))</f>
        <v>910</v>
      </c>
      <c r="O18" s="32">
        <f ca="1">+O$10*(OFFSET('Base Costs'!$A$1,MATCH('$-kW Basis'!O$1,'Base Costs'!$A$2:$A$18,0),MATCH($B18,'Base Costs'!$B$1:$BE$1,0)))</f>
        <v>1001</v>
      </c>
      <c r="P18" s="32">
        <f ca="1">+P$10*(OFFSET('Base Costs'!$A$1,MATCH('$-kW Basis'!P$1,'Base Costs'!$A$2:$A$18,0),MATCH($B18,'Base Costs'!$B$1:$BE$1,0)))</f>
        <v>1122</v>
      </c>
      <c r="Q18" s="32">
        <f ca="1">+Q$10*(OFFSET('Base Costs'!$A$1,MATCH('$-kW Basis'!Q$1,'Base Costs'!$A$2:$A$18,0),MATCH($B18,'Base Costs'!$B$1:$BE$1,0)))</f>
        <v>1114.8074274022988</v>
      </c>
      <c r="R18" s="33">
        <f ca="1">+R$10*(OFFSET('Base Costs'!$A$1,MATCH('$-kW Basis'!R$1,'Base Costs'!$A$2:$A$18,0),MATCH($B18,'Base Costs'!$B$1:$BE$1,0)))</f>
        <v>826.6744703977986</v>
      </c>
      <c r="S18" s="485">
        <v>0.016536657053495052</v>
      </c>
      <c r="T18" s="50">
        <f t="shared" si="18"/>
        <v>1.1235479326815223</v>
      </c>
      <c r="U18" s="31">
        <f t="shared" si="2"/>
        <v>3723.437848906565</v>
      </c>
      <c r="V18" s="32">
        <f t="shared" si="3"/>
        <v>3158.2932387677592</v>
      </c>
      <c r="W18" s="32">
        <f t="shared" si="4"/>
        <v>4306.559225968275</v>
      </c>
      <c r="X18" s="32">
        <f t="shared" si="5"/>
        <v>4402.060800246204</v>
      </c>
      <c r="Y18" s="32">
        <f t="shared" si="6"/>
        <v>6913.190429789407</v>
      </c>
      <c r="Z18" s="32">
        <f t="shared" si="7"/>
        <v>6660.392144936064</v>
      </c>
      <c r="AA18" s="32">
        <f t="shared" si="8"/>
        <v>2119.0563429546587</v>
      </c>
      <c r="AB18" s="32">
        <f t="shared" si="9"/>
        <v>2660.2157975336354</v>
      </c>
      <c r="AC18" s="32">
        <f t="shared" si="10"/>
        <v>3048.9966244923976</v>
      </c>
      <c r="AD18" s="32">
        <f t="shared" si="11"/>
        <v>7831.12909079021</v>
      </c>
      <c r="AE18" s="32">
        <f t="shared" si="12"/>
        <v>1159.501466527331</v>
      </c>
      <c r="AF18" s="32">
        <f t="shared" si="13"/>
        <v>1022.4286187401854</v>
      </c>
      <c r="AG18" s="32">
        <f t="shared" si="14"/>
        <v>1124.6714806142038</v>
      </c>
      <c r="AH18" s="32">
        <f t="shared" si="15"/>
        <v>1260.620780468668</v>
      </c>
      <c r="AI18" s="32">
        <f t="shared" si="16"/>
        <v>1252.539580395859</v>
      </c>
      <c r="AJ18" s="33">
        <f t="shared" si="17"/>
        <v>928.8083922160389</v>
      </c>
    </row>
    <row r="19" spans="1:36" ht="12.75">
      <c r="A19" s="20">
        <v>23</v>
      </c>
      <c r="B19">
        <v>2019</v>
      </c>
      <c r="C19" s="31">
        <f ca="1">+C$10*(OFFSET('Base Costs'!$A$1,MATCH('$-kW Basis'!C$1,'Base Costs'!$A$2:$A$18,0),MATCH($B19,'Base Costs'!$B$1:$BE$1,0)))</f>
        <v>3314</v>
      </c>
      <c r="D19" s="32">
        <f ca="1">+D$10*(OFFSET('Base Costs'!$A$1,MATCH('$-kW Basis'!D$1,'Base Costs'!$A$2:$A$18,0),MATCH($B19,'Base Costs'!$B$1:$BE$1,0)))</f>
        <v>2811</v>
      </c>
      <c r="E19" s="32">
        <f ca="1">+E$10*(OFFSET('Base Costs'!$A$1,MATCH('$-kW Basis'!E$1,'Base Costs'!$A$2:$A$18,0),MATCH($B19,'Base Costs'!$B$1:$BE$1,0)))</f>
        <v>3833</v>
      </c>
      <c r="F19" s="32">
        <f ca="1">+F$10*(OFFSET('Base Costs'!$A$1,MATCH('$-kW Basis'!F$1,'Base Costs'!$A$2:$A$18,0),MATCH($B19,'Base Costs'!$B$1:$BE$1,0)))</f>
        <v>3918</v>
      </c>
      <c r="G19" s="32">
        <f ca="1">+G$10*(OFFSET('Base Costs'!$A$1,MATCH('$-kW Basis'!G$1,'Base Costs'!$A$2:$A$18,0),MATCH($B19,'Base Costs'!$B$1:$BE$1,0)))</f>
        <v>6153</v>
      </c>
      <c r="H19" s="32">
        <f ca="1">+H$10*(OFFSET('Base Costs'!$A$1,MATCH('$-kW Basis'!H$1,'Base Costs'!$A$2:$A$18,0),MATCH($B19,'Base Costs'!$B$1:$BE$1,0)))</f>
        <v>5928</v>
      </c>
      <c r="I19" s="32">
        <f ca="1">+I$10*(OFFSET('Base Costs'!$A$1,MATCH('$-kW Basis'!I$1,'Base Costs'!$A$2:$A$18,0),MATCH($B19,'Base Costs'!$B$1:$BE$1,0)))</f>
        <v>1886.0400000000002</v>
      </c>
      <c r="J19" s="32">
        <f ca="1">+J$10*(OFFSET('Base Costs'!$A$1,MATCH('$-kW Basis'!J$1,'Base Costs'!$A$2:$A$18,0),MATCH($B19,'Base Costs'!$B$1:$BE$1,0)))</f>
        <v>2305.3846153846157</v>
      </c>
      <c r="K19" s="32">
        <f ca="1">+K$10*(OFFSET('Base Costs'!$A$1,MATCH('$-kW Basis'!K$1,'Base Costs'!$A$2:$A$18,0),MATCH($B19,'Base Costs'!$B$1:$BE$1,0)))</f>
        <v>2729.732510644663</v>
      </c>
      <c r="L19" s="32">
        <f ca="1">+L$10*(OFFSET('Base Costs'!$A$1,MATCH('$-kW Basis'!L$1,'Base Costs'!$A$2:$A$18,0),MATCH($B19,'Base Costs'!$B$1:$BE$1,0)))</f>
        <v>6970</v>
      </c>
      <c r="M19" s="32">
        <f ca="1">+M$10*(OFFSET('Base Costs'!$A$1,MATCH('$-kW Basis'!M$1,'Base Costs'!$A$2:$A$18,0),MATCH($B19,'Base Costs'!$B$1:$BE$1,0)))</f>
        <v>1032</v>
      </c>
      <c r="N19" s="32">
        <f ca="1">+N$10*(OFFSET('Base Costs'!$A$1,MATCH('$-kW Basis'!N$1,'Base Costs'!$A$2:$A$18,0),MATCH($B19,'Base Costs'!$B$1:$BE$1,0)))</f>
        <v>910</v>
      </c>
      <c r="O19" s="32">
        <f ca="1">+O$10*(OFFSET('Base Costs'!$A$1,MATCH('$-kW Basis'!O$1,'Base Costs'!$A$2:$A$18,0),MATCH($B19,'Base Costs'!$B$1:$BE$1,0)))</f>
        <v>1001</v>
      </c>
      <c r="P19" s="32">
        <f ca="1">+P$10*(OFFSET('Base Costs'!$A$1,MATCH('$-kW Basis'!P$1,'Base Costs'!$A$2:$A$18,0),MATCH($B19,'Base Costs'!$B$1:$BE$1,0)))</f>
        <v>1122</v>
      </c>
      <c r="Q19" s="32">
        <f ca="1">+Q$10*(OFFSET('Base Costs'!$A$1,MATCH('$-kW Basis'!Q$1,'Base Costs'!$A$2:$A$18,0),MATCH($B19,'Base Costs'!$B$1:$BE$1,0)))</f>
        <v>1114.8074274022988</v>
      </c>
      <c r="R19" s="33">
        <f ca="1">+R$10*(OFFSET('Base Costs'!$A$1,MATCH('$-kW Basis'!R$1,'Base Costs'!$A$2:$A$18,0),MATCH($B19,'Base Costs'!$B$1:$BE$1,0)))</f>
        <v>826.6744703977986</v>
      </c>
      <c r="S19" s="485">
        <v>0.016422668835070153</v>
      </c>
      <c r="T19" s="50">
        <f t="shared" si="18"/>
        <v>1.1419995883002787</v>
      </c>
      <c r="U19" s="31">
        <f t="shared" si="2"/>
        <v>3784.5866356271235</v>
      </c>
      <c r="V19" s="32">
        <f t="shared" si="3"/>
        <v>3210.1608427120836</v>
      </c>
      <c r="W19" s="32">
        <f t="shared" si="4"/>
        <v>4377.284421954968</v>
      </c>
      <c r="X19" s="32">
        <f t="shared" si="5"/>
        <v>4474.354386960492</v>
      </c>
      <c r="Y19" s="32">
        <f t="shared" si="6"/>
        <v>7026.723466811615</v>
      </c>
      <c r="Z19" s="32">
        <f t="shared" si="7"/>
        <v>6769.773559444052</v>
      </c>
      <c r="AA19" s="32">
        <f t="shared" si="8"/>
        <v>2153.856903517858</v>
      </c>
      <c r="AB19" s="32">
        <f t="shared" si="9"/>
        <v>2632.7482816430274</v>
      </c>
      <c r="AC19" s="32">
        <f t="shared" si="10"/>
        <v>3117.353403326091</v>
      </c>
      <c r="AD19" s="32">
        <f t="shared" si="11"/>
        <v>7959.737130452942</v>
      </c>
      <c r="AE19" s="32">
        <f t="shared" si="12"/>
        <v>1178.5435751258876</v>
      </c>
      <c r="AF19" s="32">
        <f t="shared" si="13"/>
        <v>1039.2196253532536</v>
      </c>
      <c r="AG19" s="32">
        <f t="shared" si="14"/>
        <v>1143.141587888579</v>
      </c>
      <c r="AH19" s="32">
        <f t="shared" si="15"/>
        <v>1281.3235380729127</v>
      </c>
      <c r="AI19" s="32">
        <f t="shared" si="16"/>
        <v>1273.109623127518</v>
      </c>
      <c r="AJ19" s="33">
        <f t="shared" si="17"/>
        <v>944.0619048526369</v>
      </c>
    </row>
    <row r="20" spans="1:36" ht="12.75">
      <c r="A20" s="20">
        <v>24</v>
      </c>
      <c r="B20">
        <v>2020</v>
      </c>
      <c r="C20" s="31">
        <f ca="1">+C$10*(OFFSET('Base Costs'!$A$1,MATCH('$-kW Basis'!C$1,'Base Costs'!$A$2:$A$18,0),MATCH($B20,'Base Costs'!$B$1:$BE$1,0)))</f>
        <v>3314</v>
      </c>
      <c r="D20" s="32">
        <f ca="1">+D$10*(OFFSET('Base Costs'!$A$1,MATCH('$-kW Basis'!D$1,'Base Costs'!$A$2:$A$18,0),MATCH($B20,'Base Costs'!$B$1:$BE$1,0)))</f>
        <v>2811</v>
      </c>
      <c r="E20" s="32">
        <f ca="1">+E$10*(OFFSET('Base Costs'!$A$1,MATCH('$-kW Basis'!E$1,'Base Costs'!$A$2:$A$18,0),MATCH($B20,'Base Costs'!$B$1:$BE$1,0)))</f>
        <v>3833</v>
      </c>
      <c r="F20" s="32">
        <f ca="1">+F$10*(OFFSET('Base Costs'!$A$1,MATCH('$-kW Basis'!F$1,'Base Costs'!$A$2:$A$18,0),MATCH($B20,'Base Costs'!$B$1:$BE$1,0)))</f>
        <v>3918</v>
      </c>
      <c r="G20" s="32">
        <f ca="1">+G$10*(OFFSET('Base Costs'!$A$1,MATCH('$-kW Basis'!G$1,'Base Costs'!$A$2:$A$18,0),MATCH($B20,'Base Costs'!$B$1:$BE$1,0)))</f>
        <v>6153</v>
      </c>
      <c r="H20" s="32">
        <f ca="1">+H$10*(OFFSET('Base Costs'!$A$1,MATCH('$-kW Basis'!H$1,'Base Costs'!$A$2:$A$18,0),MATCH($B20,'Base Costs'!$B$1:$BE$1,0)))</f>
        <v>5928</v>
      </c>
      <c r="I20" s="32">
        <f ca="1">+I$10*(OFFSET('Base Costs'!$A$1,MATCH('$-kW Basis'!I$1,'Base Costs'!$A$2:$A$18,0),MATCH($B20,'Base Costs'!$B$1:$BE$1,0)))</f>
        <v>1886.0400000000002</v>
      </c>
      <c r="J20" s="32">
        <f ca="1">+J$10*(OFFSET('Base Costs'!$A$1,MATCH('$-kW Basis'!J$1,'Base Costs'!$A$2:$A$18,0),MATCH($B20,'Base Costs'!$B$1:$BE$1,0)))</f>
        <v>2243.0769230769233</v>
      </c>
      <c r="K20" s="32">
        <f ca="1">+K$10*(OFFSET('Base Costs'!$A$1,MATCH('$-kW Basis'!K$1,'Base Costs'!$A$2:$A$18,0),MATCH($B20,'Base Costs'!$B$1:$BE$1,0)))</f>
        <v>2745.9785769776727</v>
      </c>
      <c r="L20" s="32">
        <f ca="1">+L$10*(OFFSET('Base Costs'!$A$1,MATCH('$-kW Basis'!L$1,'Base Costs'!$A$2:$A$18,0),MATCH($B20,'Base Costs'!$B$1:$BE$1,0)))</f>
        <v>6970</v>
      </c>
      <c r="M20" s="32">
        <f ca="1">+M$10*(OFFSET('Base Costs'!$A$1,MATCH('$-kW Basis'!M$1,'Base Costs'!$A$2:$A$18,0),MATCH($B20,'Base Costs'!$B$1:$BE$1,0)))</f>
        <v>1032</v>
      </c>
      <c r="N20" s="32">
        <f ca="1">+N$10*(OFFSET('Base Costs'!$A$1,MATCH('$-kW Basis'!N$1,'Base Costs'!$A$2:$A$18,0),MATCH($B20,'Base Costs'!$B$1:$BE$1,0)))</f>
        <v>910</v>
      </c>
      <c r="O20" s="32">
        <f ca="1">+O$10*(OFFSET('Base Costs'!$A$1,MATCH('$-kW Basis'!O$1,'Base Costs'!$A$2:$A$18,0),MATCH($B20,'Base Costs'!$B$1:$BE$1,0)))</f>
        <v>1001</v>
      </c>
      <c r="P20" s="32">
        <f ca="1">+P$10*(OFFSET('Base Costs'!$A$1,MATCH('$-kW Basis'!P$1,'Base Costs'!$A$2:$A$18,0),MATCH($B20,'Base Costs'!$B$1:$BE$1,0)))</f>
        <v>1122</v>
      </c>
      <c r="Q20" s="32">
        <f ca="1">+Q$10*(OFFSET('Base Costs'!$A$1,MATCH('$-kW Basis'!Q$1,'Base Costs'!$A$2:$A$18,0),MATCH($B20,'Base Costs'!$B$1:$BE$1,0)))</f>
        <v>1114.8074274022988</v>
      </c>
      <c r="R20" s="33">
        <f ca="1">+R$10*(OFFSET('Base Costs'!$A$1,MATCH('$-kW Basis'!R$1,'Base Costs'!$A$2:$A$18,0),MATCH($B20,'Base Costs'!$B$1:$BE$1,0)))</f>
        <v>826.6744703977986</v>
      </c>
      <c r="S20" s="485">
        <v>0.016404333385885872</v>
      </c>
      <c r="T20" s="50">
        <f t="shared" si="18"/>
        <v>1.160733330273301</v>
      </c>
      <c r="U20" s="31">
        <f t="shared" si="2"/>
        <v>3846.670256525719</v>
      </c>
      <c r="V20" s="32">
        <f t="shared" si="3"/>
        <v>3262.821391398249</v>
      </c>
      <c r="W20" s="32">
        <f t="shared" si="4"/>
        <v>4449.090854937563</v>
      </c>
      <c r="X20" s="32">
        <f t="shared" si="5"/>
        <v>4547.753188010793</v>
      </c>
      <c r="Y20" s="32">
        <f t="shared" si="6"/>
        <v>7141.99218117162</v>
      </c>
      <c r="Z20" s="32">
        <f t="shared" si="7"/>
        <v>6880.827181860128</v>
      </c>
      <c r="AA20" s="32">
        <f t="shared" si="8"/>
        <v>2189.1894902286567</v>
      </c>
      <c r="AB20" s="32">
        <f t="shared" si="9"/>
        <v>2603.614146982266</v>
      </c>
      <c r="AC20" s="32">
        <f t="shared" si="10"/>
        <v>3187.3488585144337</v>
      </c>
      <c r="AD20" s="32">
        <f t="shared" si="11"/>
        <v>8090.311312004907</v>
      </c>
      <c r="AE20" s="32">
        <f t="shared" si="12"/>
        <v>1197.8767968420466</v>
      </c>
      <c r="AF20" s="32">
        <f t="shared" si="13"/>
        <v>1056.267330548704</v>
      </c>
      <c r="AG20" s="32">
        <f t="shared" si="14"/>
        <v>1161.8940636035743</v>
      </c>
      <c r="AH20" s="32">
        <f t="shared" si="15"/>
        <v>1302.3427965666438</v>
      </c>
      <c r="AI20" s="32">
        <f t="shared" si="16"/>
        <v>1293.9941378220815</v>
      </c>
      <c r="AJ20" s="33">
        <f t="shared" si="17"/>
        <v>959.5486110767541</v>
      </c>
    </row>
    <row r="21" spans="1:36" ht="12.75">
      <c r="A21" s="20">
        <v>25</v>
      </c>
      <c r="B21">
        <v>2021</v>
      </c>
      <c r="C21" s="31">
        <f ca="1">+C$10*(OFFSET('Base Costs'!$A$1,MATCH('$-kW Basis'!C$1,'Base Costs'!$A$2:$A$18,0),MATCH($B21,'Base Costs'!$B$1:$BE$1,0)))</f>
        <v>3314</v>
      </c>
      <c r="D21" s="32">
        <f ca="1">+D$10*(OFFSET('Base Costs'!$A$1,MATCH('$-kW Basis'!D$1,'Base Costs'!$A$2:$A$18,0),MATCH($B21,'Base Costs'!$B$1:$BE$1,0)))</f>
        <v>2811</v>
      </c>
      <c r="E21" s="32">
        <f ca="1">+E$10*(OFFSET('Base Costs'!$A$1,MATCH('$-kW Basis'!E$1,'Base Costs'!$A$2:$A$18,0),MATCH($B21,'Base Costs'!$B$1:$BE$1,0)))</f>
        <v>3833</v>
      </c>
      <c r="F21" s="32">
        <f ca="1">+F$10*(OFFSET('Base Costs'!$A$1,MATCH('$-kW Basis'!F$1,'Base Costs'!$A$2:$A$18,0),MATCH($B21,'Base Costs'!$B$1:$BE$1,0)))</f>
        <v>3918</v>
      </c>
      <c r="G21" s="32">
        <f ca="1">+G$10*(OFFSET('Base Costs'!$A$1,MATCH('$-kW Basis'!G$1,'Base Costs'!$A$2:$A$18,0),MATCH($B21,'Base Costs'!$B$1:$BE$1,0)))</f>
        <v>6153</v>
      </c>
      <c r="H21" s="32">
        <f ca="1">+H$10*(OFFSET('Base Costs'!$A$1,MATCH('$-kW Basis'!H$1,'Base Costs'!$A$2:$A$18,0),MATCH($B21,'Base Costs'!$B$1:$BE$1,0)))</f>
        <v>5928</v>
      </c>
      <c r="I21" s="32">
        <f ca="1">+I$10*(OFFSET('Base Costs'!$A$1,MATCH('$-kW Basis'!I$1,'Base Costs'!$A$2:$A$18,0),MATCH($B21,'Base Costs'!$B$1:$BE$1,0)))</f>
        <v>1886.0400000000002</v>
      </c>
      <c r="J21" s="32">
        <f ca="1">+J$10*(OFFSET('Base Costs'!$A$1,MATCH('$-kW Basis'!J$1,'Base Costs'!$A$2:$A$18,0),MATCH($B21,'Base Costs'!$B$1:$BE$1,0)))</f>
        <v>2180.769230769231</v>
      </c>
      <c r="K21" s="32">
        <f ca="1">+K$10*(OFFSET('Base Costs'!$A$1,MATCH('$-kW Basis'!K$1,'Base Costs'!$A$2:$A$18,0),MATCH($B21,'Base Costs'!$B$1:$BE$1,0)))</f>
        <v>2762.463556050873</v>
      </c>
      <c r="L21" s="32">
        <f ca="1">+L$10*(OFFSET('Base Costs'!$A$1,MATCH('$-kW Basis'!L$1,'Base Costs'!$A$2:$A$18,0),MATCH($B21,'Base Costs'!$B$1:$BE$1,0)))</f>
        <v>6970</v>
      </c>
      <c r="M21" s="32">
        <f ca="1">+M$10*(OFFSET('Base Costs'!$A$1,MATCH('$-kW Basis'!M$1,'Base Costs'!$A$2:$A$18,0),MATCH($B21,'Base Costs'!$B$1:$BE$1,0)))</f>
        <v>1032</v>
      </c>
      <c r="N21" s="32">
        <f ca="1">+N$10*(OFFSET('Base Costs'!$A$1,MATCH('$-kW Basis'!N$1,'Base Costs'!$A$2:$A$18,0),MATCH($B21,'Base Costs'!$B$1:$BE$1,0)))</f>
        <v>910</v>
      </c>
      <c r="O21" s="32">
        <f ca="1">+O$10*(OFFSET('Base Costs'!$A$1,MATCH('$-kW Basis'!O$1,'Base Costs'!$A$2:$A$18,0),MATCH($B21,'Base Costs'!$B$1:$BE$1,0)))</f>
        <v>1001</v>
      </c>
      <c r="P21" s="32">
        <f ca="1">+P$10*(OFFSET('Base Costs'!$A$1,MATCH('$-kW Basis'!P$1,'Base Costs'!$A$2:$A$18,0),MATCH($B21,'Base Costs'!$B$1:$BE$1,0)))</f>
        <v>1122</v>
      </c>
      <c r="Q21" s="32">
        <f ca="1">+Q$10*(OFFSET('Base Costs'!$A$1,MATCH('$-kW Basis'!Q$1,'Base Costs'!$A$2:$A$18,0),MATCH($B21,'Base Costs'!$B$1:$BE$1,0)))</f>
        <v>1114.8074274022988</v>
      </c>
      <c r="R21" s="33">
        <f ca="1">+R$10*(OFFSET('Base Costs'!$A$1,MATCH('$-kW Basis'!R$1,'Base Costs'!$A$2:$A$18,0),MATCH($B21,'Base Costs'!$B$1:$BE$1,0)))</f>
        <v>826.6744703977986</v>
      </c>
      <c r="S21" s="485">
        <v>0.017460095352717087</v>
      </c>
      <c r="T21" s="50">
        <f t="shared" si="18"/>
        <v>1.1809998448989496</v>
      </c>
      <c r="U21" s="31">
        <f t="shared" si="2"/>
        <v>3913.833485995119</v>
      </c>
      <c r="V21" s="32">
        <f t="shared" si="3"/>
        <v>3319.7905640109475</v>
      </c>
      <c r="W21" s="32">
        <f t="shared" si="4"/>
        <v>4526.772405497673</v>
      </c>
      <c r="X21" s="32">
        <f t="shared" si="5"/>
        <v>4627.157392314085</v>
      </c>
      <c r="Y21" s="32">
        <f t="shared" si="6"/>
        <v>7266.692045663237</v>
      </c>
      <c r="Z21" s="32">
        <f t="shared" si="7"/>
        <v>7000.967080560973</v>
      </c>
      <c r="AA21" s="32">
        <f t="shared" si="8"/>
        <v>2227.4129474732154</v>
      </c>
      <c r="AB21" s="32">
        <f t="shared" si="9"/>
        <v>2575.4881232988632</v>
      </c>
      <c r="AC21" s="32">
        <f t="shared" si="10"/>
        <v>3262.469031235082</v>
      </c>
      <c r="AD21" s="32">
        <f t="shared" si="11"/>
        <v>8231.568918945679</v>
      </c>
      <c r="AE21" s="32">
        <f t="shared" si="12"/>
        <v>1218.791839935716</v>
      </c>
      <c r="AF21" s="32">
        <f t="shared" si="13"/>
        <v>1074.709858858044</v>
      </c>
      <c r="AG21" s="32">
        <f t="shared" si="14"/>
        <v>1182.1808447438486</v>
      </c>
      <c r="AH21" s="32">
        <f t="shared" si="15"/>
        <v>1325.0818259766215</v>
      </c>
      <c r="AI21" s="32">
        <f t="shared" si="16"/>
        <v>1316.587398854312</v>
      </c>
      <c r="AJ21" s="33">
        <f t="shared" si="17"/>
        <v>976.3024213217215</v>
      </c>
    </row>
    <row r="22" spans="1:36" ht="12.75">
      <c r="A22" s="20">
        <v>26</v>
      </c>
      <c r="B22">
        <v>2022</v>
      </c>
      <c r="C22" s="31">
        <f ca="1">+C$10*(OFFSET('Base Costs'!$A$1,MATCH('$-kW Basis'!C$1,'Base Costs'!$A$2:$A$18,0),MATCH($B22,'Base Costs'!$B$1:$BE$1,0)))</f>
        <v>3314</v>
      </c>
      <c r="D22" s="32">
        <f ca="1">+D$10*(OFFSET('Base Costs'!$A$1,MATCH('$-kW Basis'!D$1,'Base Costs'!$A$2:$A$18,0),MATCH($B22,'Base Costs'!$B$1:$BE$1,0)))</f>
        <v>2811</v>
      </c>
      <c r="E22" s="32">
        <f ca="1">+E$10*(OFFSET('Base Costs'!$A$1,MATCH('$-kW Basis'!E$1,'Base Costs'!$A$2:$A$18,0),MATCH($B22,'Base Costs'!$B$1:$BE$1,0)))</f>
        <v>3833</v>
      </c>
      <c r="F22" s="32">
        <f ca="1">+F$10*(OFFSET('Base Costs'!$A$1,MATCH('$-kW Basis'!F$1,'Base Costs'!$A$2:$A$18,0),MATCH($B22,'Base Costs'!$B$1:$BE$1,0)))</f>
        <v>3918</v>
      </c>
      <c r="G22" s="32">
        <f ca="1">+G$10*(OFFSET('Base Costs'!$A$1,MATCH('$-kW Basis'!G$1,'Base Costs'!$A$2:$A$18,0),MATCH($B22,'Base Costs'!$B$1:$BE$1,0)))</f>
        <v>6153</v>
      </c>
      <c r="H22" s="32">
        <f ca="1">+H$10*(OFFSET('Base Costs'!$A$1,MATCH('$-kW Basis'!H$1,'Base Costs'!$A$2:$A$18,0),MATCH($B22,'Base Costs'!$B$1:$BE$1,0)))</f>
        <v>5928</v>
      </c>
      <c r="I22" s="32">
        <f ca="1">+I$10*(OFFSET('Base Costs'!$A$1,MATCH('$-kW Basis'!I$1,'Base Costs'!$A$2:$A$18,0),MATCH($B22,'Base Costs'!$B$1:$BE$1,0)))</f>
        <v>1886.0400000000002</v>
      </c>
      <c r="J22" s="32">
        <f ca="1">+J$10*(OFFSET('Base Costs'!$A$1,MATCH('$-kW Basis'!J$1,'Base Costs'!$A$2:$A$18,0),MATCH($B22,'Base Costs'!$B$1:$BE$1,0)))</f>
        <v>2180.769230769231</v>
      </c>
      <c r="K22" s="32">
        <f ca="1">+K$10*(OFFSET('Base Costs'!$A$1,MATCH('$-kW Basis'!K$1,'Base Costs'!$A$2:$A$18,0),MATCH($B22,'Base Costs'!$B$1:$BE$1,0)))</f>
        <v>2779.190961286916</v>
      </c>
      <c r="L22" s="32">
        <f ca="1">+L$10*(OFFSET('Base Costs'!$A$1,MATCH('$-kW Basis'!L$1,'Base Costs'!$A$2:$A$18,0),MATCH($B22,'Base Costs'!$B$1:$BE$1,0)))</f>
        <v>6970</v>
      </c>
      <c r="M22" s="32">
        <f ca="1">+M$10*(OFFSET('Base Costs'!$A$1,MATCH('$-kW Basis'!M$1,'Base Costs'!$A$2:$A$18,0),MATCH($B22,'Base Costs'!$B$1:$BE$1,0)))</f>
        <v>1032</v>
      </c>
      <c r="N22" s="32">
        <f ca="1">+N$10*(OFFSET('Base Costs'!$A$1,MATCH('$-kW Basis'!N$1,'Base Costs'!$A$2:$A$18,0),MATCH($B22,'Base Costs'!$B$1:$BE$1,0)))</f>
        <v>910</v>
      </c>
      <c r="O22" s="32">
        <f ca="1">+O$10*(OFFSET('Base Costs'!$A$1,MATCH('$-kW Basis'!O$1,'Base Costs'!$A$2:$A$18,0),MATCH($B22,'Base Costs'!$B$1:$BE$1,0)))</f>
        <v>1001</v>
      </c>
      <c r="P22" s="32">
        <f ca="1">+P$10*(OFFSET('Base Costs'!$A$1,MATCH('$-kW Basis'!P$1,'Base Costs'!$A$2:$A$18,0),MATCH($B22,'Base Costs'!$B$1:$BE$1,0)))</f>
        <v>1122</v>
      </c>
      <c r="Q22" s="32">
        <f ca="1">+Q$10*(OFFSET('Base Costs'!$A$1,MATCH('$-kW Basis'!Q$1,'Base Costs'!$A$2:$A$18,0),MATCH($B22,'Base Costs'!$B$1:$BE$1,0)))</f>
        <v>1114.8074274022988</v>
      </c>
      <c r="R22" s="33">
        <f ca="1">+R$10*(OFFSET('Base Costs'!$A$1,MATCH('$-kW Basis'!R$1,'Base Costs'!$A$2:$A$18,0),MATCH($B22,'Base Costs'!$B$1:$BE$1,0)))</f>
        <v>826.6744703977986</v>
      </c>
      <c r="S22" s="485">
        <v>0.017955071919734777</v>
      </c>
      <c r="T22" s="50">
        <f t="shared" si="18"/>
        <v>1.2022047820513058</v>
      </c>
      <c r="U22" s="31">
        <f t="shared" si="2"/>
        <v>3984.1066477180275</v>
      </c>
      <c r="V22" s="32">
        <f t="shared" si="3"/>
        <v>3379.3976423462204</v>
      </c>
      <c r="W22" s="32">
        <f t="shared" si="4"/>
        <v>4608.050929602655</v>
      </c>
      <c r="X22" s="32">
        <f t="shared" si="5"/>
        <v>4710.238336077016</v>
      </c>
      <c r="Y22" s="32">
        <f t="shared" si="6"/>
        <v>7397.166023961684</v>
      </c>
      <c r="Z22" s="32">
        <f t="shared" si="7"/>
        <v>7126.669948000141</v>
      </c>
      <c r="AA22" s="32">
        <f t="shared" si="8"/>
        <v>2267.406307140045</v>
      </c>
      <c r="AB22" s="32">
        <f t="shared" si="9"/>
        <v>2621.731197781117</v>
      </c>
      <c r="AC22" s="32">
        <f t="shared" si="10"/>
        <v>3341.1566638928957</v>
      </c>
      <c r="AD22" s="32">
        <f t="shared" si="11"/>
        <v>8379.367330897601</v>
      </c>
      <c r="AE22" s="32">
        <f t="shared" si="12"/>
        <v>1240.6753350769475</v>
      </c>
      <c r="AF22" s="32">
        <f t="shared" si="13"/>
        <v>1094.0063516666883</v>
      </c>
      <c r="AG22" s="32">
        <f t="shared" si="14"/>
        <v>1203.406986833357</v>
      </c>
      <c r="AH22" s="32">
        <f t="shared" si="15"/>
        <v>1348.873765461565</v>
      </c>
      <c r="AI22" s="32">
        <f t="shared" si="16"/>
        <v>1340.2268202893574</v>
      </c>
      <c r="AJ22" s="33">
        <f t="shared" si="17"/>
        <v>993.8320015119641</v>
      </c>
    </row>
    <row r="23" spans="1:36" ht="12.75">
      <c r="A23" s="20">
        <v>27</v>
      </c>
      <c r="B23">
        <v>2023</v>
      </c>
      <c r="C23" s="31">
        <f ca="1">+C$10*(OFFSET('Base Costs'!$A$1,MATCH('$-kW Basis'!C$1,'Base Costs'!$A$2:$A$18,0),MATCH($B23,'Base Costs'!$B$1:$BE$1,0)))</f>
        <v>3314</v>
      </c>
      <c r="D23" s="32">
        <f ca="1">+D$10*(OFFSET('Base Costs'!$A$1,MATCH('$-kW Basis'!D$1,'Base Costs'!$A$2:$A$18,0),MATCH($B23,'Base Costs'!$B$1:$BE$1,0)))</f>
        <v>2811</v>
      </c>
      <c r="E23" s="32">
        <f ca="1">+E$10*(OFFSET('Base Costs'!$A$1,MATCH('$-kW Basis'!E$1,'Base Costs'!$A$2:$A$18,0),MATCH($B23,'Base Costs'!$B$1:$BE$1,0)))</f>
        <v>3833</v>
      </c>
      <c r="F23" s="32">
        <f ca="1">+F$10*(OFFSET('Base Costs'!$A$1,MATCH('$-kW Basis'!F$1,'Base Costs'!$A$2:$A$18,0),MATCH($B23,'Base Costs'!$B$1:$BE$1,0)))</f>
        <v>3918</v>
      </c>
      <c r="G23" s="32">
        <f ca="1">+G$10*(OFFSET('Base Costs'!$A$1,MATCH('$-kW Basis'!G$1,'Base Costs'!$A$2:$A$18,0),MATCH($B23,'Base Costs'!$B$1:$BE$1,0)))</f>
        <v>6153</v>
      </c>
      <c r="H23" s="32">
        <f ca="1">+H$10*(OFFSET('Base Costs'!$A$1,MATCH('$-kW Basis'!H$1,'Base Costs'!$A$2:$A$18,0),MATCH($B23,'Base Costs'!$B$1:$BE$1,0)))</f>
        <v>5928</v>
      </c>
      <c r="I23" s="32">
        <f ca="1">+I$10*(OFFSET('Base Costs'!$A$1,MATCH('$-kW Basis'!I$1,'Base Costs'!$A$2:$A$18,0),MATCH($B23,'Base Costs'!$B$1:$BE$1,0)))</f>
        <v>1886.0400000000002</v>
      </c>
      <c r="J23" s="32">
        <f ca="1">+J$10*(OFFSET('Base Costs'!$A$1,MATCH('$-kW Basis'!J$1,'Base Costs'!$A$2:$A$18,0),MATCH($B23,'Base Costs'!$B$1:$BE$1,0)))</f>
        <v>2180.769230769231</v>
      </c>
      <c r="K23" s="32">
        <f ca="1">+K$10*(OFFSET('Base Costs'!$A$1,MATCH('$-kW Basis'!K$1,'Base Costs'!$A$2:$A$18,0),MATCH($B23,'Base Costs'!$B$1:$BE$1,0)))</f>
        <v>2796.164357776429</v>
      </c>
      <c r="L23" s="32">
        <f ca="1">+L$10*(OFFSET('Base Costs'!$A$1,MATCH('$-kW Basis'!L$1,'Base Costs'!$A$2:$A$18,0),MATCH($B23,'Base Costs'!$B$1:$BE$1,0)))</f>
        <v>6970</v>
      </c>
      <c r="M23" s="32">
        <f ca="1">+M$10*(OFFSET('Base Costs'!$A$1,MATCH('$-kW Basis'!M$1,'Base Costs'!$A$2:$A$18,0),MATCH($B23,'Base Costs'!$B$1:$BE$1,0)))</f>
        <v>1032</v>
      </c>
      <c r="N23" s="32">
        <f ca="1">+N$10*(OFFSET('Base Costs'!$A$1,MATCH('$-kW Basis'!N$1,'Base Costs'!$A$2:$A$18,0),MATCH($B23,'Base Costs'!$B$1:$BE$1,0)))</f>
        <v>910</v>
      </c>
      <c r="O23" s="32">
        <f ca="1">+O$10*(OFFSET('Base Costs'!$A$1,MATCH('$-kW Basis'!O$1,'Base Costs'!$A$2:$A$18,0),MATCH($B23,'Base Costs'!$B$1:$BE$1,0)))</f>
        <v>1001</v>
      </c>
      <c r="P23" s="32">
        <f ca="1">+P$10*(OFFSET('Base Costs'!$A$1,MATCH('$-kW Basis'!P$1,'Base Costs'!$A$2:$A$18,0),MATCH($B23,'Base Costs'!$B$1:$BE$1,0)))</f>
        <v>1122</v>
      </c>
      <c r="Q23" s="32">
        <f ca="1">+Q$10*(OFFSET('Base Costs'!$A$1,MATCH('$-kW Basis'!Q$1,'Base Costs'!$A$2:$A$18,0),MATCH($B23,'Base Costs'!$B$1:$BE$1,0)))</f>
        <v>1114.8074274022988</v>
      </c>
      <c r="R23" s="33">
        <f ca="1">+R$10*(OFFSET('Base Costs'!$A$1,MATCH('$-kW Basis'!R$1,'Base Costs'!$A$2:$A$18,0),MATCH($B23,'Base Costs'!$B$1:$BE$1,0)))</f>
        <v>826.6744703977986</v>
      </c>
      <c r="S23" s="485">
        <v>0.017941045463601313</v>
      </c>
      <c r="T23" s="50">
        <f t="shared" si="18"/>
        <v>1.2237735927026472</v>
      </c>
      <c r="U23" s="31">
        <f t="shared" si="2"/>
        <v>4055.585686216573</v>
      </c>
      <c r="V23" s="32">
        <f t="shared" si="3"/>
        <v>3440.0275690871413</v>
      </c>
      <c r="W23" s="32">
        <f t="shared" si="4"/>
        <v>4690.7241808292465</v>
      </c>
      <c r="X23" s="32">
        <f t="shared" si="5"/>
        <v>4794.744936208972</v>
      </c>
      <c r="Y23" s="32">
        <f t="shared" si="6"/>
        <v>7529.878915899388</v>
      </c>
      <c r="Z23" s="32">
        <f t="shared" si="7"/>
        <v>7254.529857541293</v>
      </c>
      <c r="AA23" s="32">
        <f t="shared" si="8"/>
        <v>2308.085946780901</v>
      </c>
      <c r="AB23" s="32">
        <f t="shared" si="9"/>
        <v>2668.76779639385</v>
      </c>
      <c r="AC23" s="32">
        <f t="shared" si="10"/>
        <v>3421.8721019031505</v>
      </c>
      <c r="AD23" s="32">
        <f t="shared" si="11"/>
        <v>8529.701941137451</v>
      </c>
      <c r="AE23" s="32">
        <f t="shared" si="12"/>
        <v>1262.934347669132</v>
      </c>
      <c r="AF23" s="32">
        <f t="shared" si="13"/>
        <v>1113.6339693594089</v>
      </c>
      <c r="AG23" s="32">
        <f t="shared" si="14"/>
        <v>1224.9973662953498</v>
      </c>
      <c r="AH23" s="32">
        <f t="shared" si="15"/>
        <v>1373.07397101237</v>
      </c>
      <c r="AI23" s="32">
        <f t="shared" si="16"/>
        <v>1364.2718906037067</v>
      </c>
      <c r="AJ23" s="33">
        <f t="shared" si="17"/>
        <v>1011.6623866342721</v>
      </c>
    </row>
    <row r="24" spans="1:36" ht="12.75">
      <c r="A24" s="20">
        <v>28</v>
      </c>
      <c r="B24">
        <v>2024</v>
      </c>
      <c r="C24" s="31">
        <f ca="1">+C$10*(OFFSET('Base Costs'!$A$1,MATCH('$-kW Basis'!C$1,'Base Costs'!$A$2:$A$18,0),MATCH($B24,'Base Costs'!$B$1:$BE$1,0)))</f>
        <v>3314</v>
      </c>
      <c r="D24" s="32">
        <f ca="1">+D$10*(OFFSET('Base Costs'!$A$1,MATCH('$-kW Basis'!D$1,'Base Costs'!$A$2:$A$18,0),MATCH($B24,'Base Costs'!$B$1:$BE$1,0)))</f>
        <v>2811</v>
      </c>
      <c r="E24" s="32">
        <f ca="1">+E$10*(OFFSET('Base Costs'!$A$1,MATCH('$-kW Basis'!E$1,'Base Costs'!$A$2:$A$18,0),MATCH($B24,'Base Costs'!$B$1:$BE$1,0)))</f>
        <v>3833</v>
      </c>
      <c r="F24" s="32">
        <f ca="1">+F$10*(OFFSET('Base Costs'!$A$1,MATCH('$-kW Basis'!F$1,'Base Costs'!$A$2:$A$18,0),MATCH($B24,'Base Costs'!$B$1:$BE$1,0)))</f>
        <v>3918</v>
      </c>
      <c r="G24" s="32">
        <f ca="1">+G$10*(OFFSET('Base Costs'!$A$1,MATCH('$-kW Basis'!G$1,'Base Costs'!$A$2:$A$18,0),MATCH($B24,'Base Costs'!$B$1:$BE$1,0)))</f>
        <v>6153</v>
      </c>
      <c r="H24" s="32">
        <f ca="1">+H$10*(OFFSET('Base Costs'!$A$1,MATCH('$-kW Basis'!H$1,'Base Costs'!$A$2:$A$18,0),MATCH($B24,'Base Costs'!$B$1:$BE$1,0)))</f>
        <v>5928</v>
      </c>
      <c r="I24" s="32">
        <f ca="1">+I$10*(OFFSET('Base Costs'!$A$1,MATCH('$-kW Basis'!I$1,'Base Costs'!$A$2:$A$18,0),MATCH($B24,'Base Costs'!$B$1:$BE$1,0)))</f>
        <v>1886.0400000000002</v>
      </c>
      <c r="J24" s="32">
        <f ca="1">+J$10*(OFFSET('Base Costs'!$A$1,MATCH('$-kW Basis'!J$1,'Base Costs'!$A$2:$A$18,0),MATCH($B24,'Base Costs'!$B$1:$BE$1,0)))</f>
        <v>2180.769230769231</v>
      </c>
      <c r="K24" s="32">
        <f ca="1">+K$10*(OFFSET('Base Costs'!$A$1,MATCH('$-kW Basis'!K$1,'Base Costs'!$A$2:$A$18,0),MATCH($B24,'Base Costs'!$B$1:$BE$1,0)))</f>
        <v>2813.3873630378466</v>
      </c>
      <c r="L24" s="32">
        <f ca="1">+L$10*(OFFSET('Base Costs'!$A$1,MATCH('$-kW Basis'!L$1,'Base Costs'!$A$2:$A$18,0),MATCH($B24,'Base Costs'!$B$1:$BE$1,0)))</f>
        <v>6970</v>
      </c>
      <c r="M24" s="32">
        <f ca="1">+M$10*(OFFSET('Base Costs'!$A$1,MATCH('$-kW Basis'!M$1,'Base Costs'!$A$2:$A$18,0),MATCH($B24,'Base Costs'!$B$1:$BE$1,0)))</f>
        <v>1032</v>
      </c>
      <c r="N24" s="32">
        <f ca="1">+N$10*(OFFSET('Base Costs'!$A$1,MATCH('$-kW Basis'!N$1,'Base Costs'!$A$2:$A$18,0),MATCH($B24,'Base Costs'!$B$1:$BE$1,0)))</f>
        <v>910</v>
      </c>
      <c r="O24" s="32">
        <f ca="1">+O$10*(OFFSET('Base Costs'!$A$1,MATCH('$-kW Basis'!O$1,'Base Costs'!$A$2:$A$18,0),MATCH($B24,'Base Costs'!$B$1:$BE$1,0)))</f>
        <v>1001</v>
      </c>
      <c r="P24" s="32">
        <f ca="1">+P$10*(OFFSET('Base Costs'!$A$1,MATCH('$-kW Basis'!P$1,'Base Costs'!$A$2:$A$18,0),MATCH($B24,'Base Costs'!$B$1:$BE$1,0)))</f>
        <v>1122</v>
      </c>
      <c r="Q24" s="32">
        <f ca="1">+Q$10*(OFFSET('Base Costs'!$A$1,MATCH('$-kW Basis'!Q$1,'Base Costs'!$A$2:$A$18,0),MATCH($B24,'Base Costs'!$B$1:$BE$1,0)))</f>
        <v>1114.8074274022988</v>
      </c>
      <c r="R24" s="33">
        <f ca="1">+R$10*(OFFSET('Base Costs'!$A$1,MATCH('$-kW Basis'!R$1,'Base Costs'!$A$2:$A$18,0),MATCH($B24,'Base Costs'!$B$1:$BE$1,0)))</f>
        <v>826.6744703977986</v>
      </c>
      <c r="S24" s="485">
        <v>0.01795955246751335</v>
      </c>
      <c r="T24" s="50">
        <f t="shared" si="18"/>
        <v>1.2457520187491478</v>
      </c>
      <c r="U24" s="31">
        <f t="shared" si="2"/>
        <v>4128.4221901346755</v>
      </c>
      <c r="V24" s="32">
        <f t="shared" si="3"/>
        <v>3501.8089247038542</v>
      </c>
      <c r="W24" s="32">
        <f t="shared" si="4"/>
        <v>4774.967487865483</v>
      </c>
      <c r="X24" s="32">
        <f t="shared" si="5"/>
        <v>4880.856409459161</v>
      </c>
      <c r="Y24" s="32">
        <f t="shared" si="6"/>
        <v>7665.112171363507</v>
      </c>
      <c r="Z24" s="32">
        <f t="shared" si="7"/>
        <v>7384.817967144948</v>
      </c>
      <c r="AA24" s="32">
        <f t="shared" si="8"/>
        <v>2349.538137441643</v>
      </c>
      <c r="AB24" s="32">
        <f t="shared" si="9"/>
        <v>2716.6976716567956</v>
      </c>
      <c r="AC24" s="32">
        <f t="shared" si="10"/>
        <v>3504.7829870277387</v>
      </c>
      <c r="AD24" s="32">
        <f t="shared" si="11"/>
        <v>8682.89157068156</v>
      </c>
      <c r="AE24" s="32">
        <f t="shared" si="12"/>
        <v>1285.6160833491206</v>
      </c>
      <c r="AF24" s="32">
        <f t="shared" si="13"/>
        <v>1133.6343370617244</v>
      </c>
      <c r="AG24" s="32">
        <f t="shared" si="14"/>
        <v>1246.997770767897</v>
      </c>
      <c r="AH24" s="32">
        <f t="shared" si="15"/>
        <v>1397.733765036544</v>
      </c>
      <c r="AI24" s="32">
        <f t="shared" si="16"/>
        <v>1388.7736032029577</v>
      </c>
      <c r="AJ24" s="33">
        <f t="shared" si="17"/>
        <v>1029.8313903464402</v>
      </c>
    </row>
    <row r="25" spans="1:36" ht="12.75">
      <c r="A25" s="20">
        <v>29</v>
      </c>
      <c r="B25">
        <v>2025</v>
      </c>
      <c r="C25" s="31">
        <f ca="1">+C$10*(OFFSET('Base Costs'!$A$1,MATCH('$-kW Basis'!C$1,'Base Costs'!$A$2:$A$18,0),MATCH($B25,'Base Costs'!$B$1:$BE$1,0)))</f>
        <v>3314</v>
      </c>
      <c r="D25" s="32">
        <f ca="1">+D$10*(OFFSET('Base Costs'!$A$1,MATCH('$-kW Basis'!D$1,'Base Costs'!$A$2:$A$18,0),MATCH($B25,'Base Costs'!$B$1:$BE$1,0)))</f>
        <v>2811</v>
      </c>
      <c r="E25" s="32">
        <f ca="1">+E$10*(OFFSET('Base Costs'!$A$1,MATCH('$-kW Basis'!E$1,'Base Costs'!$A$2:$A$18,0),MATCH($B25,'Base Costs'!$B$1:$BE$1,0)))</f>
        <v>3833</v>
      </c>
      <c r="F25" s="32">
        <f ca="1">+F$10*(OFFSET('Base Costs'!$A$1,MATCH('$-kW Basis'!F$1,'Base Costs'!$A$2:$A$18,0),MATCH($B25,'Base Costs'!$B$1:$BE$1,0)))</f>
        <v>3918</v>
      </c>
      <c r="G25" s="32">
        <f ca="1">+G$10*(OFFSET('Base Costs'!$A$1,MATCH('$-kW Basis'!G$1,'Base Costs'!$A$2:$A$18,0),MATCH($B25,'Base Costs'!$B$1:$BE$1,0)))</f>
        <v>6153</v>
      </c>
      <c r="H25" s="32">
        <f ca="1">+H$10*(OFFSET('Base Costs'!$A$1,MATCH('$-kW Basis'!H$1,'Base Costs'!$A$2:$A$18,0),MATCH($B25,'Base Costs'!$B$1:$BE$1,0)))</f>
        <v>5928</v>
      </c>
      <c r="I25" s="32">
        <f ca="1">+I$10*(OFFSET('Base Costs'!$A$1,MATCH('$-kW Basis'!I$1,'Base Costs'!$A$2:$A$18,0),MATCH($B25,'Base Costs'!$B$1:$BE$1,0)))</f>
        <v>1886.0400000000002</v>
      </c>
      <c r="J25" s="32">
        <f ca="1">+J$10*(OFFSET('Base Costs'!$A$1,MATCH('$-kW Basis'!J$1,'Base Costs'!$A$2:$A$18,0),MATCH($B25,'Base Costs'!$B$1:$BE$1,0)))</f>
        <v>2180.769230769231</v>
      </c>
      <c r="K25" s="32">
        <f ca="1">+K$10*(OFFSET('Base Costs'!$A$1,MATCH('$-kW Basis'!K$1,'Base Costs'!$A$2:$A$18,0),MATCH($B25,'Base Costs'!$B$1:$BE$1,0)))</f>
        <v>2830.8636477884033</v>
      </c>
      <c r="L25" s="32">
        <f ca="1">+L$10*(OFFSET('Base Costs'!$A$1,MATCH('$-kW Basis'!L$1,'Base Costs'!$A$2:$A$18,0),MATCH($B25,'Base Costs'!$B$1:$BE$1,0)))</f>
        <v>6970</v>
      </c>
      <c r="M25" s="32">
        <f ca="1">+M$10*(OFFSET('Base Costs'!$A$1,MATCH('$-kW Basis'!M$1,'Base Costs'!$A$2:$A$18,0),MATCH($B25,'Base Costs'!$B$1:$BE$1,0)))</f>
        <v>1032</v>
      </c>
      <c r="N25" s="32">
        <f ca="1">+N$10*(OFFSET('Base Costs'!$A$1,MATCH('$-kW Basis'!N$1,'Base Costs'!$A$2:$A$18,0),MATCH($B25,'Base Costs'!$B$1:$BE$1,0)))</f>
        <v>910</v>
      </c>
      <c r="O25" s="32">
        <f ca="1">+O$10*(OFFSET('Base Costs'!$A$1,MATCH('$-kW Basis'!O$1,'Base Costs'!$A$2:$A$18,0),MATCH($B25,'Base Costs'!$B$1:$BE$1,0)))</f>
        <v>1001</v>
      </c>
      <c r="P25" s="32">
        <f ca="1">+P$10*(OFFSET('Base Costs'!$A$1,MATCH('$-kW Basis'!P$1,'Base Costs'!$A$2:$A$18,0),MATCH($B25,'Base Costs'!$B$1:$BE$1,0)))</f>
        <v>1122</v>
      </c>
      <c r="Q25" s="32">
        <f ca="1">+Q$10*(OFFSET('Base Costs'!$A$1,MATCH('$-kW Basis'!Q$1,'Base Costs'!$A$2:$A$18,0),MATCH($B25,'Base Costs'!$B$1:$BE$1,0)))</f>
        <v>1114.8074274022988</v>
      </c>
      <c r="R25" s="33">
        <f ca="1">+R$10*(OFFSET('Base Costs'!$A$1,MATCH('$-kW Basis'!R$1,'Base Costs'!$A$2:$A$18,0),MATCH($B25,'Base Costs'!$B$1:$BE$1,0)))</f>
        <v>826.6744703977986</v>
      </c>
      <c r="S25" s="485">
        <v>0.017912510639486845</v>
      </c>
      <c r="T25" s="50">
        <f t="shared" si="18"/>
        <v>1.268066565039154</v>
      </c>
      <c r="U25" s="31">
        <f t="shared" si="2"/>
        <v>4202.372596539756</v>
      </c>
      <c r="V25" s="32">
        <f t="shared" si="3"/>
        <v>3564.535114325062</v>
      </c>
      <c r="W25" s="32">
        <f t="shared" si="4"/>
        <v>4860.4991437950775</v>
      </c>
      <c r="X25" s="32">
        <f t="shared" si="5"/>
        <v>4968.284801823405</v>
      </c>
      <c r="Y25" s="32">
        <f t="shared" si="6"/>
        <v>7802.413574685915</v>
      </c>
      <c r="Z25" s="32">
        <f t="shared" si="7"/>
        <v>7517.098597552105</v>
      </c>
      <c r="AA25" s="32">
        <f t="shared" si="8"/>
        <v>2391.6242643264463</v>
      </c>
      <c r="AB25" s="32">
        <f t="shared" si="9"/>
        <v>2765.360547604617</v>
      </c>
      <c r="AC25" s="32">
        <f t="shared" si="10"/>
        <v>3589.7235419452504</v>
      </c>
      <c r="AD25" s="32">
        <f t="shared" si="11"/>
        <v>8838.423958322905</v>
      </c>
      <c r="AE25" s="32">
        <f t="shared" si="12"/>
        <v>1308.644695120407</v>
      </c>
      <c r="AF25" s="32">
        <f t="shared" si="13"/>
        <v>1153.94057418563</v>
      </c>
      <c r="AG25" s="32">
        <f t="shared" si="14"/>
        <v>1269.3346316041932</v>
      </c>
      <c r="AH25" s="32">
        <f t="shared" si="15"/>
        <v>1422.7706859739308</v>
      </c>
      <c r="AI25" s="32">
        <f t="shared" si="16"/>
        <v>1413.6500251461691</v>
      </c>
      <c r="AJ25" s="33">
        <f t="shared" si="17"/>
        <v>1048.2782560828982</v>
      </c>
    </row>
    <row r="26" spans="1:36" ht="12.75">
      <c r="A26" s="20">
        <v>30</v>
      </c>
      <c r="B26">
        <v>2026</v>
      </c>
      <c r="C26" s="31">
        <f ca="1">+C$10*(OFFSET('Base Costs'!$A$1,MATCH('$-kW Basis'!C$1,'Base Costs'!$A$2:$A$18,0),MATCH($B26,'Base Costs'!$B$1:$BE$1,0)))</f>
        <v>3314</v>
      </c>
      <c r="D26" s="32">
        <f ca="1">+D$10*(OFFSET('Base Costs'!$A$1,MATCH('$-kW Basis'!D$1,'Base Costs'!$A$2:$A$18,0),MATCH($B26,'Base Costs'!$B$1:$BE$1,0)))</f>
        <v>2811</v>
      </c>
      <c r="E26" s="32">
        <f ca="1">+E$10*(OFFSET('Base Costs'!$A$1,MATCH('$-kW Basis'!E$1,'Base Costs'!$A$2:$A$18,0),MATCH($B26,'Base Costs'!$B$1:$BE$1,0)))</f>
        <v>3833</v>
      </c>
      <c r="F26" s="32">
        <f ca="1">+F$10*(OFFSET('Base Costs'!$A$1,MATCH('$-kW Basis'!F$1,'Base Costs'!$A$2:$A$18,0),MATCH($B26,'Base Costs'!$B$1:$BE$1,0)))</f>
        <v>3918</v>
      </c>
      <c r="G26" s="32">
        <f ca="1">+G$10*(OFFSET('Base Costs'!$A$1,MATCH('$-kW Basis'!G$1,'Base Costs'!$A$2:$A$18,0),MATCH($B26,'Base Costs'!$B$1:$BE$1,0)))</f>
        <v>6153</v>
      </c>
      <c r="H26" s="32">
        <f ca="1">+H$10*(OFFSET('Base Costs'!$A$1,MATCH('$-kW Basis'!H$1,'Base Costs'!$A$2:$A$18,0),MATCH($B26,'Base Costs'!$B$1:$BE$1,0)))</f>
        <v>5928</v>
      </c>
      <c r="I26" s="32">
        <f ca="1">+I$10*(OFFSET('Base Costs'!$A$1,MATCH('$-kW Basis'!I$1,'Base Costs'!$A$2:$A$18,0),MATCH($B26,'Base Costs'!$B$1:$BE$1,0)))</f>
        <v>1886.0400000000002</v>
      </c>
      <c r="J26" s="32">
        <f ca="1">+J$10*(OFFSET('Base Costs'!$A$1,MATCH('$-kW Basis'!J$1,'Base Costs'!$A$2:$A$18,0),MATCH($B26,'Base Costs'!$B$1:$BE$1,0)))</f>
        <v>2180.769230769231</v>
      </c>
      <c r="K26" s="32">
        <f ca="1">+K$10*(OFFSET('Base Costs'!$A$1,MATCH('$-kW Basis'!K$1,'Base Costs'!$A$2:$A$18,0),MATCH($B26,'Base Costs'!$B$1:$BE$1,0)))</f>
        <v>2848.596936726468</v>
      </c>
      <c r="L26" s="32">
        <f ca="1">+L$10*(OFFSET('Base Costs'!$A$1,MATCH('$-kW Basis'!L$1,'Base Costs'!$A$2:$A$18,0),MATCH($B26,'Base Costs'!$B$1:$BE$1,0)))</f>
        <v>6970</v>
      </c>
      <c r="M26" s="32">
        <f ca="1">+M$10*(OFFSET('Base Costs'!$A$1,MATCH('$-kW Basis'!M$1,'Base Costs'!$A$2:$A$18,0),MATCH($B26,'Base Costs'!$B$1:$BE$1,0)))</f>
        <v>1032</v>
      </c>
      <c r="N26" s="32">
        <f ca="1">+N$10*(OFFSET('Base Costs'!$A$1,MATCH('$-kW Basis'!N$1,'Base Costs'!$A$2:$A$18,0),MATCH($B26,'Base Costs'!$B$1:$BE$1,0)))</f>
        <v>910</v>
      </c>
      <c r="O26" s="32">
        <f ca="1">+O$10*(OFFSET('Base Costs'!$A$1,MATCH('$-kW Basis'!O$1,'Base Costs'!$A$2:$A$18,0),MATCH($B26,'Base Costs'!$B$1:$BE$1,0)))</f>
        <v>1001</v>
      </c>
      <c r="P26" s="32">
        <f ca="1">+P$10*(OFFSET('Base Costs'!$A$1,MATCH('$-kW Basis'!P$1,'Base Costs'!$A$2:$A$18,0),MATCH($B26,'Base Costs'!$B$1:$BE$1,0)))</f>
        <v>1122</v>
      </c>
      <c r="Q26" s="32">
        <f ca="1">+Q$10*(OFFSET('Base Costs'!$A$1,MATCH('$-kW Basis'!Q$1,'Base Costs'!$A$2:$A$18,0),MATCH($B26,'Base Costs'!$B$1:$BE$1,0)))</f>
        <v>1114.8074274022988</v>
      </c>
      <c r="R26" s="33">
        <f ca="1">+R$10*(OFFSET('Base Costs'!$A$1,MATCH('$-kW Basis'!R$1,'Base Costs'!$A$2:$A$18,0),MATCH($B26,'Base Costs'!$B$1:$BE$1,0)))</f>
        <v>826.6744703977986</v>
      </c>
      <c r="S26" s="485">
        <v>0.01785042925777458</v>
      </c>
      <c r="T26" s="50">
        <f t="shared" si="18"/>
        <v>1.2907020975525347</v>
      </c>
      <c r="U26" s="31">
        <f t="shared" si="2"/>
        <v>4277.3867512891</v>
      </c>
      <c r="V26" s="32">
        <f t="shared" si="3"/>
        <v>3628.1635962201754</v>
      </c>
      <c r="W26" s="32">
        <f t="shared" si="4"/>
        <v>4947.261139918865</v>
      </c>
      <c r="X26" s="32">
        <f t="shared" si="5"/>
        <v>5056.970818210831</v>
      </c>
      <c r="Y26" s="32">
        <f t="shared" si="6"/>
        <v>7941.690006240746</v>
      </c>
      <c r="Z26" s="32">
        <f t="shared" si="7"/>
        <v>7651.282034291426</v>
      </c>
      <c r="AA26" s="32">
        <f t="shared" si="8"/>
        <v>2434.315784067983</v>
      </c>
      <c r="AB26" s="32">
        <f t="shared" si="9"/>
        <v>2814.7234204318743</v>
      </c>
      <c r="AC26" s="32">
        <f t="shared" si="10"/>
        <v>3676.6900413145772</v>
      </c>
      <c r="AD26" s="32">
        <f t="shared" si="11"/>
        <v>8996.193619941167</v>
      </c>
      <c r="AE26" s="32">
        <f t="shared" si="12"/>
        <v>1332.0045646742158</v>
      </c>
      <c r="AF26" s="32">
        <f t="shared" si="13"/>
        <v>1174.5389087728065</v>
      </c>
      <c r="AG26" s="32">
        <f t="shared" si="14"/>
        <v>1291.9927996500874</v>
      </c>
      <c r="AH26" s="32">
        <f t="shared" si="15"/>
        <v>1448.167753453944</v>
      </c>
      <c r="AI26" s="32">
        <f t="shared" si="16"/>
        <v>1438.8842849152923</v>
      </c>
      <c r="AJ26" s="33">
        <f t="shared" si="17"/>
        <v>1066.9904729355694</v>
      </c>
    </row>
    <row r="27" spans="1:36" ht="12.75">
      <c r="A27" s="20">
        <v>31</v>
      </c>
      <c r="B27">
        <v>2027</v>
      </c>
      <c r="C27" s="31">
        <f ca="1">+C$10*(OFFSET('Base Costs'!$A$1,MATCH('$-kW Basis'!C$1,'Base Costs'!$A$2:$A$18,0),MATCH($B27,'Base Costs'!$B$1:$BE$1,0)))</f>
        <v>3314</v>
      </c>
      <c r="D27" s="32">
        <f ca="1">+D$10*(OFFSET('Base Costs'!$A$1,MATCH('$-kW Basis'!D$1,'Base Costs'!$A$2:$A$18,0),MATCH($B27,'Base Costs'!$B$1:$BE$1,0)))</f>
        <v>2811</v>
      </c>
      <c r="E27" s="32">
        <f ca="1">+E$10*(OFFSET('Base Costs'!$A$1,MATCH('$-kW Basis'!E$1,'Base Costs'!$A$2:$A$18,0),MATCH($B27,'Base Costs'!$B$1:$BE$1,0)))</f>
        <v>3833</v>
      </c>
      <c r="F27" s="32">
        <f ca="1">+F$10*(OFFSET('Base Costs'!$A$1,MATCH('$-kW Basis'!F$1,'Base Costs'!$A$2:$A$18,0),MATCH($B27,'Base Costs'!$B$1:$BE$1,0)))</f>
        <v>3918</v>
      </c>
      <c r="G27" s="32">
        <f ca="1">+G$10*(OFFSET('Base Costs'!$A$1,MATCH('$-kW Basis'!G$1,'Base Costs'!$A$2:$A$18,0),MATCH($B27,'Base Costs'!$B$1:$BE$1,0)))</f>
        <v>6153</v>
      </c>
      <c r="H27" s="32">
        <f ca="1">+H$10*(OFFSET('Base Costs'!$A$1,MATCH('$-kW Basis'!H$1,'Base Costs'!$A$2:$A$18,0),MATCH($B27,'Base Costs'!$B$1:$BE$1,0)))</f>
        <v>5928</v>
      </c>
      <c r="I27" s="32">
        <f ca="1">+I$10*(OFFSET('Base Costs'!$A$1,MATCH('$-kW Basis'!I$1,'Base Costs'!$A$2:$A$18,0),MATCH($B27,'Base Costs'!$B$1:$BE$1,0)))</f>
        <v>1886.0400000000002</v>
      </c>
      <c r="J27" s="32">
        <f ca="1">+J$10*(OFFSET('Base Costs'!$A$1,MATCH('$-kW Basis'!J$1,'Base Costs'!$A$2:$A$18,0),MATCH($B27,'Base Costs'!$B$1:$BE$1,0)))</f>
        <v>2180.769230769231</v>
      </c>
      <c r="K27" s="32">
        <f ca="1">+K$10*(OFFSET('Base Costs'!$A$1,MATCH('$-kW Basis'!K$1,'Base Costs'!$A$2:$A$18,0),MATCH($B27,'Base Costs'!$B$1:$BE$1,0)))</f>
        <v>2866.5910093253865</v>
      </c>
      <c r="L27" s="32">
        <f ca="1">+L$10*(OFFSET('Base Costs'!$A$1,MATCH('$-kW Basis'!L$1,'Base Costs'!$A$2:$A$18,0),MATCH($B27,'Base Costs'!$B$1:$BE$1,0)))</f>
        <v>6970</v>
      </c>
      <c r="M27" s="32">
        <f ca="1">+M$10*(OFFSET('Base Costs'!$A$1,MATCH('$-kW Basis'!M$1,'Base Costs'!$A$2:$A$18,0),MATCH($B27,'Base Costs'!$B$1:$BE$1,0)))</f>
        <v>1032</v>
      </c>
      <c r="N27" s="32">
        <f ca="1">+N$10*(OFFSET('Base Costs'!$A$1,MATCH('$-kW Basis'!N$1,'Base Costs'!$A$2:$A$18,0),MATCH($B27,'Base Costs'!$B$1:$BE$1,0)))</f>
        <v>910</v>
      </c>
      <c r="O27" s="32">
        <f ca="1">+O$10*(OFFSET('Base Costs'!$A$1,MATCH('$-kW Basis'!O$1,'Base Costs'!$A$2:$A$18,0),MATCH($B27,'Base Costs'!$B$1:$BE$1,0)))</f>
        <v>1001</v>
      </c>
      <c r="P27" s="32">
        <f ca="1">+P$10*(OFFSET('Base Costs'!$A$1,MATCH('$-kW Basis'!P$1,'Base Costs'!$A$2:$A$18,0),MATCH($B27,'Base Costs'!$B$1:$BE$1,0)))</f>
        <v>1122</v>
      </c>
      <c r="Q27" s="32">
        <f ca="1">+Q$10*(OFFSET('Base Costs'!$A$1,MATCH('$-kW Basis'!Q$1,'Base Costs'!$A$2:$A$18,0),MATCH($B27,'Base Costs'!$B$1:$BE$1,0)))</f>
        <v>1114.8074274022988</v>
      </c>
      <c r="R27" s="33">
        <f ca="1">+R$10*(OFFSET('Base Costs'!$A$1,MATCH('$-kW Basis'!R$1,'Base Costs'!$A$2:$A$18,0),MATCH($B27,'Base Costs'!$B$1:$BE$1,0)))</f>
        <v>826.6744703977986</v>
      </c>
      <c r="S27" s="485">
        <v>0.017721914396874094</v>
      </c>
      <c r="T27" s="50">
        <f t="shared" si="18"/>
        <v>1.3135758096372265</v>
      </c>
      <c r="U27" s="31">
        <f t="shared" si="2"/>
        <v>4353.190233137769</v>
      </c>
      <c r="V27" s="32">
        <f t="shared" si="3"/>
        <v>3692.461600890244</v>
      </c>
      <c r="W27" s="32">
        <f t="shared" si="4"/>
        <v>5034.9360783394895</v>
      </c>
      <c r="X27" s="32">
        <f t="shared" si="5"/>
        <v>5146.5900221586535</v>
      </c>
      <c r="Y27" s="32">
        <f t="shared" si="6"/>
        <v>8082.431956697855</v>
      </c>
      <c r="Z27" s="32">
        <f t="shared" si="7"/>
        <v>7786.877399529479</v>
      </c>
      <c r="AA27" s="32">
        <f t="shared" si="8"/>
        <v>2477.456520008195</v>
      </c>
      <c r="AB27" s="32">
        <f t="shared" si="9"/>
        <v>2864.605707939644</v>
      </c>
      <c r="AC27" s="32">
        <f t="shared" si="10"/>
        <v>3765.484605973389</v>
      </c>
      <c r="AD27" s="32">
        <f t="shared" si="11"/>
        <v>9155.623393171469</v>
      </c>
      <c r="AE27" s="32">
        <f t="shared" si="12"/>
        <v>1355.6102355456178</v>
      </c>
      <c r="AF27" s="32">
        <f t="shared" si="13"/>
        <v>1195.3539867698762</v>
      </c>
      <c r="AG27" s="32">
        <f t="shared" si="14"/>
        <v>1314.8893854468638</v>
      </c>
      <c r="AH27" s="32">
        <f t="shared" si="15"/>
        <v>1473.832058412968</v>
      </c>
      <c r="AI27" s="32">
        <f t="shared" si="16"/>
        <v>1464.3840690395682</v>
      </c>
      <c r="AJ27" s="33">
        <f t="shared" si="17"/>
        <v>1085.8995867592137</v>
      </c>
    </row>
    <row r="28" spans="1:36" ht="12.75">
      <c r="A28" s="20">
        <v>32</v>
      </c>
      <c r="B28">
        <v>2028</v>
      </c>
      <c r="C28" s="31">
        <f ca="1">+C$10*(OFFSET('Base Costs'!$A$1,MATCH('$-kW Basis'!C$1,'Base Costs'!$A$2:$A$18,0),MATCH($B28,'Base Costs'!$B$1:$BE$1,0)))</f>
        <v>3314</v>
      </c>
      <c r="D28" s="32">
        <f ca="1">+D$10*(OFFSET('Base Costs'!$A$1,MATCH('$-kW Basis'!D$1,'Base Costs'!$A$2:$A$18,0),MATCH($B28,'Base Costs'!$B$1:$BE$1,0)))</f>
        <v>2811</v>
      </c>
      <c r="E28" s="32">
        <f ca="1">+E$10*(OFFSET('Base Costs'!$A$1,MATCH('$-kW Basis'!E$1,'Base Costs'!$A$2:$A$18,0),MATCH($B28,'Base Costs'!$B$1:$BE$1,0)))</f>
        <v>3833</v>
      </c>
      <c r="F28" s="32">
        <f ca="1">+F$10*(OFFSET('Base Costs'!$A$1,MATCH('$-kW Basis'!F$1,'Base Costs'!$A$2:$A$18,0),MATCH($B28,'Base Costs'!$B$1:$BE$1,0)))</f>
        <v>3918</v>
      </c>
      <c r="G28" s="32">
        <f ca="1">+G$10*(OFFSET('Base Costs'!$A$1,MATCH('$-kW Basis'!G$1,'Base Costs'!$A$2:$A$18,0),MATCH($B28,'Base Costs'!$B$1:$BE$1,0)))</f>
        <v>6153</v>
      </c>
      <c r="H28" s="32">
        <f ca="1">+H$10*(OFFSET('Base Costs'!$A$1,MATCH('$-kW Basis'!H$1,'Base Costs'!$A$2:$A$18,0),MATCH($B28,'Base Costs'!$B$1:$BE$1,0)))</f>
        <v>5928</v>
      </c>
      <c r="I28" s="32">
        <f ca="1">+I$10*(OFFSET('Base Costs'!$A$1,MATCH('$-kW Basis'!I$1,'Base Costs'!$A$2:$A$18,0),MATCH($B28,'Base Costs'!$B$1:$BE$1,0)))</f>
        <v>1886.0400000000002</v>
      </c>
      <c r="J28" s="32">
        <f ca="1">+J$10*(OFFSET('Base Costs'!$A$1,MATCH('$-kW Basis'!J$1,'Base Costs'!$A$2:$A$18,0),MATCH($B28,'Base Costs'!$B$1:$BE$1,0)))</f>
        <v>2180.769230769231</v>
      </c>
      <c r="K28" s="32">
        <f ca="1">+K$10*(OFFSET('Base Costs'!$A$1,MATCH('$-kW Basis'!K$1,'Base Costs'!$A$2:$A$18,0),MATCH($B28,'Base Costs'!$B$1:$BE$1,0)))</f>
        <v>2884.849700638995</v>
      </c>
      <c r="L28" s="32">
        <f ca="1">+L$10*(OFFSET('Base Costs'!$A$1,MATCH('$-kW Basis'!L$1,'Base Costs'!$A$2:$A$18,0),MATCH($B28,'Base Costs'!$B$1:$BE$1,0)))</f>
        <v>6970</v>
      </c>
      <c r="M28" s="32">
        <f ca="1">+M$10*(OFFSET('Base Costs'!$A$1,MATCH('$-kW Basis'!M$1,'Base Costs'!$A$2:$A$18,0),MATCH($B28,'Base Costs'!$B$1:$BE$1,0)))</f>
        <v>1032</v>
      </c>
      <c r="N28" s="32">
        <f ca="1">+N$10*(OFFSET('Base Costs'!$A$1,MATCH('$-kW Basis'!N$1,'Base Costs'!$A$2:$A$18,0),MATCH($B28,'Base Costs'!$B$1:$BE$1,0)))</f>
        <v>910</v>
      </c>
      <c r="O28" s="32">
        <f ca="1">+O$10*(OFFSET('Base Costs'!$A$1,MATCH('$-kW Basis'!O$1,'Base Costs'!$A$2:$A$18,0),MATCH($B28,'Base Costs'!$B$1:$BE$1,0)))</f>
        <v>1001</v>
      </c>
      <c r="P28" s="32">
        <f ca="1">+P$10*(OFFSET('Base Costs'!$A$1,MATCH('$-kW Basis'!P$1,'Base Costs'!$A$2:$A$18,0),MATCH($B28,'Base Costs'!$B$1:$BE$1,0)))</f>
        <v>1122</v>
      </c>
      <c r="Q28" s="32">
        <f ca="1">+Q$10*(OFFSET('Base Costs'!$A$1,MATCH('$-kW Basis'!Q$1,'Base Costs'!$A$2:$A$18,0),MATCH($B28,'Base Costs'!$B$1:$BE$1,0)))</f>
        <v>1114.8074274022988</v>
      </c>
      <c r="R28" s="33">
        <f ca="1">+R$10*(OFFSET('Base Costs'!$A$1,MATCH('$-kW Basis'!R$1,'Base Costs'!$A$2:$A$18,0),MATCH($B28,'Base Costs'!$B$1:$BE$1,0)))</f>
        <v>826.6744703977986</v>
      </c>
      <c r="S28" s="485">
        <v>0.017733704096445146</v>
      </c>
      <c r="T28" s="50">
        <f t="shared" si="18"/>
        <v>1.3368703743535815</v>
      </c>
      <c r="U28" s="31">
        <f t="shared" si="2"/>
        <v>4430.388420607769</v>
      </c>
      <c r="V28" s="32">
        <f t="shared" si="3"/>
        <v>3757.9426223079176</v>
      </c>
      <c r="W28" s="32">
        <f t="shared" si="4"/>
        <v>5124.224144897278</v>
      </c>
      <c r="X28" s="32">
        <f t="shared" si="5"/>
        <v>5237.858126717332</v>
      </c>
      <c r="Y28" s="32">
        <f t="shared" si="6"/>
        <v>8225.763413397586</v>
      </c>
      <c r="Z28" s="32">
        <f t="shared" si="7"/>
        <v>7924.967579168031</v>
      </c>
      <c r="AA28" s="32">
        <f t="shared" si="8"/>
        <v>2521.3910008458292</v>
      </c>
      <c r="AB28" s="32">
        <f t="shared" si="9"/>
        <v>2915.4057779172335</v>
      </c>
      <c r="AC28" s="32">
        <f t="shared" si="10"/>
        <v>3856.6700992470705</v>
      </c>
      <c r="AD28" s="32">
        <f t="shared" si="11"/>
        <v>9317.986509244463</v>
      </c>
      <c r="AE28" s="32">
        <f t="shared" si="12"/>
        <v>1379.6502263328962</v>
      </c>
      <c r="AF28" s="32">
        <f t="shared" si="13"/>
        <v>1216.552040661759</v>
      </c>
      <c r="AG28" s="32">
        <f t="shared" si="14"/>
        <v>1338.207244727935</v>
      </c>
      <c r="AH28" s="32">
        <f t="shared" si="15"/>
        <v>1499.9685600247185</v>
      </c>
      <c r="AI28" s="32">
        <f t="shared" si="16"/>
        <v>1490.3530228034642</v>
      </c>
      <c r="AJ28" s="33">
        <f t="shared" si="17"/>
        <v>1105.1566087092538</v>
      </c>
    </row>
    <row r="29" spans="1:36" ht="12.75">
      <c r="A29" s="20">
        <v>33</v>
      </c>
      <c r="B29">
        <v>2029</v>
      </c>
      <c r="C29" s="31">
        <f ca="1">+C$10*(OFFSET('Base Costs'!$A$1,MATCH('$-kW Basis'!C$1,'Base Costs'!$A$2:$A$18,0),MATCH($B29,'Base Costs'!$B$1:$BE$1,0)))</f>
        <v>3314</v>
      </c>
      <c r="D29" s="32">
        <f ca="1">+D$10*(OFFSET('Base Costs'!$A$1,MATCH('$-kW Basis'!D$1,'Base Costs'!$A$2:$A$18,0),MATCH($B29,'Base Costs'!$B$1:$BE$1,0)))</f>
        <v>2811</v>
      </c>
      <c r="E29" s="32">
        <f ca="1">+E$10*(OFFSET('Base Costs'!$A$1,MATCH('$-kW Basis'!E$1,'Base Costs'!$A$2:$A$18,0),MATCH($B29,'Base Costs'!$B$1:$BE$1,0)))</f>
        <v>3833</v>
      </c>
      <c r="F29" s="32">
        <f ca="1">+F$10*(OFFSET('Base Costs'!$A$1,MATCH('$-kW Basis'!F$1,'Base Costs'!$A$2:$A$18,0),MATCH($B29,'Base Costs'!$B$1:$BE$1,0)))</f>
        <v>3918</v>
      </c>
      <c r="G29" s="32">
        <f ca="1">+G$10*(OFFSET('Base Costs'!$A$1,MATCH('$-kW Basis'!G$1,'Base Costs'!$A$2:$A$18,0),MATCH($B29,'Base Costs'!$B$1:$BE$1,0)))</f>
        <v>6153</v>
      </c>
      <c r="H29" s="32">
        <f ca="1">+H$10*(OFFSET('Base Costs'!$A$1,MATCH('$-kW Basis'!H$1,'Base Costs'!$A$2:$A$18,0),MATCH($B29,'Base Costs'!$B$1:$BE$1,0)))</f>
        <v>5928</v>
      </c>
      <c r="I29" s="32">
        <f ca="1">+I$10*(OFFSET('Base Costs'!$A$1,MATCH('$-kW Basis'!I$1,'Base Costs'!$A$2:$A$18,0),MATCH($B29,'Base Costs'!$B$1:$BE$1,0)))</f>
        <v>1886.0400000000002</v>
      </c>
      <c r="J29" s="32">
        <f ca="1">+J$10*(OFFSET('Base Costs'!$A$1,MATCH('$-kW Basis'!J$1,'Base Costs'!$A$2:$A$18,0),MATCH($B29,'Base Costs'!$B$1:$BE$1,0)))</f>
        <v>2180.769230769231</v>
      </c>
      <c r="K29" s="32">
        <f ca="1">+K$10*(OFFSET('Base Costs'!$A$1,MATCH('$-kW Basis'!K$1,'Base Costs'!$A$2:$A$18,0),MATCH($B29,'Base Costs'!$B$1:$BE$1,0)))</f>
        <v>2903.3769021189796</v>
      </c>
      <c r="L29" s="32">
        <f ca="1">+L$10*(OFFSET('Base Costs'!$A$1,MATCH('$-kW Basis'!L$1,'Base Costs'!$A$2:$A$18,0),MATCH($B29,'Base Costs'!$B$1:$BE$1,0)))</f>
        <v>6970</v>
      </c>
      <c r="M29" s="32">
        <f ca="1">+M$10*(OFFSET('Base Costs'!$A$1,MATCH('$-kW Basis'!M$1,'Base Costs'!$A$2:$A$18,0),MATCH($B29,'Base Costs'!$B$1:$BE$1,0)))</f>
        <v>1032</v>
      </c>
      <c r="N29" s="32">
        <f ca="1">+N$10*(OFFSET('Base Costs'!$A$1,MATCH('$-kW Basis'!N$1,'Base Costs'!$A$2:$A$18,0),MATCH($B29,'Base Costs'!$B$1:$BE$1,0)))</f>
        <v>910</v>
      </c>
      <c r="O29" s="32">
        <f ca="1">+O$10*(OFFSET('Base Costs'!$A$1,MATCH('$-kW Basis'!O$1,'Base Costs'!$A$2:$A$18,0),MATCH($B29,'Base Costs'!$B$1:$BE$1,0)))</f>
        <v>1001</v>
      </c>
      <c r="P29" s="32">
        <f ca="1">+P$10*(OFFSET('Base Costs'!$A$1,MATCH('$-kW Basis'!P$1,'Base Costs'!$A$2:$A$18,0),MATCH($B29,'Base Costs'!$B$1:$BE$1,0)))</f>
        <v>1122</v>
      </c>
      <c r="Q29" s="32">
        <f ca="1">+Q$10*(OFFSET('Base Costs'!$A$1,MATCH('$-kW Basis'!Q$1,'Base Costs'!$A$2:$A$18,0),MATCH($B29,'Base Costs'!$B$1:$BE$1,0)))</f>
        <v>1114.8074274022988</v>
      </c>
      <c r="R29" s="33">
        <f ca="1">+R$10*(OFFSET('Base Costs'!$A$1,MATCH('$-kW Basis'!R$1,'Base Costs'!$A$2:$A$18,0),MATCH($B29,'Base Costs'!$B$1:$BE$1,0)))</f>
        <v>826.6744703977986</v>
      </c>
      <c r="S29" s="485">
        <v>0.01777605831445861</v>
      </c>
      <c r="T29" s="50">
        <f t="shared" si="18"/>
        <v>1.3606346600869628</v>
      </c>
      <c r="U29" s="31">
        <f t="shared" si="2"/>
        <v>4509.143263528194</v>
      </c>
      <c r="V29" s="32">
        <f t="shared" si="3"/>
        <v>3824.7440295044526</v>
      </c>
      <c r="W29" s="32">
        <f t="shared" si="4"/>
        <v>5215.312652113328</v>
      </c>
      <c r="X29" s="32">
        <f t="shared" si="5"/>
        <v>5330.96659822072</v>
      </c>
      <c r="Y29" s="32">
        <f t="shared" si="6"/>
        <v>8371.985063515081</v>
      </c>
      <c r="Z29" s="32">
        <f t="shared" si="7"/>
        <v>8065.8422649955155</v>
      </c>
      <c r="AA29" s="32">
        <f t="shared" si="8"/>
        <v>2566.2113943104155</v>
      </c>
      <c r="AB29" s="32">
        <f t="shared" si="9"/>
        <v>2967.2302010358</v>
      </c>
      <c r="AC29" s="32">
        <f t="shared" si="10"/>
        <v>3950.435244318997</v>
      </c>
      <c r="AD29" s="32">
        <f t="shared" si="11"/>
        <v>9483.62358080613</v>
      </c>
      <c r="AE29" s="32">
        <f t="shared" si="12"/>
        <v>1404.1749692097455</v>
      </c>
      <c r="AF29" s="32">
        <f t="shared" si="13"/>
        <v>1238.1775406791362</v>
      </c>
      <c r="AG29" s="32">
        <f t="shared" si="14"/>
        <v>1361.9952947470497</v>
      </c>
      <c r="AH29" s="32">
        <f t="shared" si="15"/>
        <v>1526.6320886175722</v>
      </c>
      <c r="AI29" s="32">
        <f t="shared" si="16"/>
        <v>1516.8456250459483</v>
      </c>
      <c r="AJ29" s="33">
        <f t="shared" si="17"/>
        <v>1124.8019370322786</v>
      </c>
    </row>
    <row r="30" spans="1:36" ht="13.5" thickBot="1">
      <c r="A30" s="20">
        <v>34</v>
      </c>
      <c r="B30">
        <v>2030</v>
      </c>
      <c r="C30" s="31">
        <f ca="1">+C$10*(OFFSET('Base Costs'!$A$1,MATCH('$-kW Basis'!C$1,'Base Costs'!$A$2:$A$18,0),MATCH($B30,'Base Costs'!$B$1:$BE$1,0)))</f>
        <v>3314</v>
      </c>
      <c r="D30" s="32">
        <f ca="1">+D$10*(OFFSET('Base Costs'!$A$1,MATCH('$-kW Basis'!D$1,'Base Costs'!$A$2:$A$18,0),MATCH($B30,'Base Costs'!$B$1:$BE$1,0)))</f>
        <v>2811</v>
      </c>
      <c r="E30" s="32">
        <f ca="1">+E$10*(OFFSET('Base Costs'!$A$1,MATCH('$-kW Basis'!E$1,'Base Costs'!$A$2:$A$18,0),MATCH($B30,'Base Costs'!$B$1:$BE$1,0)))</f>
        <v>3833</v>
      </c>
      <c r="F30" s="32">
        <f ca="1">+F$10*(OFFSET('Base Costs'!$A$1,MATCH('$-kW Basis'!F$1,'Base Costs'!$A$2:$A$18,0),MATCH($B30,'Base Costs'!$B$1:$BE$1,0)))</f>
        <v>3918</v>
      </c>
      <c r="G30" s="32">
        <f ca="1">+G$10*(OFFSET('Base Costs'!$A$1,MATCH('$-kW Basis'!G$1,'Base Costs'!$A$2:$A$18,0),MATCH($B30,'Base Costs'!$B$1:$BE$1,0)))</f>
        <v>6153</v>
      </c>
      <c r="H30" s="32">
        <f ca="1">+H$10*(OFFSET('Base Costs'!$A$1,MATCH('$-kW Basis'!H$1,'Base Costs'!$A$2:$A$18,0),MATCH($B30,'Base Costs'!$B$1:$BE$1,0)))</f>
        <v>5928</v>
      </c>
      <c r="I30" s="32">
        <f ca="1">+I$10*(OFFSET('Base Costs'!$A$1,MATCH('$-kW Basis'!I$1,'Base Costs'!$A$2:$A$18,0),MATCH($B30,'Base Costs'!$B$1:$BE$1,0)))</f>
        <v>1886.0400000000002</v>
      </c>
      <c r="J30" s="32">
        <f ca="1">+J$10*(OFFSET('Base Costs'!$A$1,MATCH('$-kW Basis'!J$1,'Base Costs'!$A$2:$A$18,0),MATCH($B30,'Base Costs'!$B$1:$BE$1,0)))</f>
        <v>2180.769230769231</v>
      </c>
      <c r="K30" s="32">
        <f ca="1">+K$10*(OFFSET('Base Costs'!$A$1,MATCH('$-kW Basis'!K$1,'Base Costs'!$A$2:$A$18,0),MATCH($B30,'Base Costs'!$B$1:$BE$1,0)))</f>
        <v>2922.176562444259</v>
      </c>
      <c r="L30" s="32">
        <f ca="1">+L$10*(OFFSET('Base Costs'!$A$1,MATCH('$-kW Basis'!L$1,'Base Costs'!$A$2:$A$18,0),MATCH($B30,'Base Costs'!$B$1:$BE$1,0)))</f>
        <v>6970</v>
      </c>
      <c r="M30" s="32">
        <f ca="1">+M$10*(OFFSET('Base Costs'!$A$1,MATCH('$-kW Basis'!M$1,'Base Costs'!$A$2:$A$18,0),MATCH($B30,'Base Costs'!$B$1:$BE$1,0)))</f>
        <v>1032</v>
      </c>
      <c r="N30" s="32">
        <f ca="1">+N$10*(OFFSET('Base Costs'!$A$1,MATCH('$-kW Basis'!N$1,'Base Costs'!$A$2:$A$18,0),MATCH($B30,'Base Costs'!$B$1:$BE$1,0)))</f>
        <v>910</v>
      </c>
      <c r="O30" s="32">
        <f ca="1">+O$10*(OFFSET('Base Costs'!$A$1,MATCH('$-kW Basis'!O$1,'Base Costs'!$A$2:$A$18,0),MATCH($B30,'Base Costs'!$B$1:$BE$1,0)))</f>
        <v>1001</v>
      </c>
      <c r="P30" s="32">
        <f ca="1">+P$10*(OFFSET('Base Costs'!$A$1,MATCH('$-kW Basis'!P$1,'Base Costs'!$A$2:$A$18,0),MATCH($B30,'Base Costs'!$B$1:$BE$1,0)))</f>
        <v>1122</v>
      </c>
      <c r="Q30" s="32">
        <f ca="1">+Q$10*(OFFSET('Base Costs'!$A$1,MATCH('$-kW Basis'!Q$1,'Base Costs'!$A$2:$A$18,0),MATCH($B30,'Base Costs'!$B$1:$BE$1,0)))</f>
        <v>1114.8074274022988</v>
      </c>
      <c r="R30" s="33">
        <f ca="1">+R$10*(OFFSET('Base Costs'!$A$1,MATCH('$-kW Basis'!R$1,'Base Costs'!$A$2:$A$18,0),MATCH($B30,'Base Costs'!$B$1:$BE$1,0)))</f>
        <v>826.6744703977986</v>
      </c>
      <c r="S30" s="485">
        <v>0.017736664765861443</v>
      </c>
      <c r="T30" s="50">
        <f t="shared" si="18"/>
        <v>1.3847677809217371</v>
      </c>
      <c r="U30" s="34">
        <f t="shared" si="2"/>
        <v>4589.120425974636</v>
      </c>
      <c r="V30" s="35">
        <f t="shared" si="3"/>
        <v>3892.582232171003</v>
      </c>
      <c r="W30" s="35">
        <f t="shared" si="4"/>
        <v>5307.814904273018</v>
      </c>
      <c r="X30" s="35">
        <f t="shared" si="5"/>
        <v>5425.520165651366</v>
      </c>
      <c r="Y30" s="35">
        <f t="shared" si="6"/>
        <v>8520.47615601145</v>
      </c>
      <c r="Z30" s="35">
        <f t="shared" si="7"/>
        <v>8208.903405304058</v>
      </c>
      <c r="AA30" s="35">
        <f t="shared" si="8"/>
        <v>2611.7274255296334</v>
      </c>
      <c r="AB30" s="35">
        <f t="shared" si="9"/>
        <v>3019.8589683947116</v>
      </c>
      <c r="AC30" s="35">
        <f t="shared" si="10"/>
        <v>4046.535953837447</v>
      </c>
      <c r="AD30" s="35">
        <f t="shared" si="11"/>
        <v>9651.831433024508</v>
      </c>
      <c r="AE30" s="35">
        <f t="shared" si="12"/>
        <v>1429.0803499112328</v>
      </c>
      <c r="AF30" s="35">
        <f t="shared" si="13"/>
        <v>1260.138680638781</v>
      </c>
      <c r="AG30" s="35">
        <f t="shared" si="14"/>
        <v>1386.1525487026588</v>
      </c>
      <c r="AH30" s="35">
        <f t="shared" si="15"/>
        <v>1553.709450194189</v>
      </c>
      <c r="AI30" s="35">
        <f t="shared" si="16"/>
        <v>1543.749407398952</v>
      </c>
      <c r="AJ30" s="36">
        <f t="shared" si="17"/>
        <v>1144.7521719174117</v>
      </c>
    </row>
    <row r="31" spans="3:21" ht="13.5" thickTop="1">
      <c r="C31" s="478">
        <v>1965.7686048166825</v>
      </c>
      <c r="D31" s="478">
        <v>1712.7547704871945</v>
      </c>
      <c r="E31" s="478">
        <v>2525.399259221753</v>
      </c>
      <c r="F31" s="478">
        <v>2275.311552964985</v>
      </c>
      <c r="G31" s="478">
        <v>3396.4134723930392</v>
      </c>
      <c r="H31" s="478">
        <v>3129.4050960269865</v>
      </c>
      <c r="I31" s="478">
        <v>1350</v>
      </c>
      <c r="J31" s="478">
        <v>4485</v>
      </c>
      <c r="K31" s="478">
        <v>2260.633895539185</v>
      </c>
      <c r="L31" s="478">
        <v>3338.078242093363</v>
      </c>
      <c r="M31" s="478">
        <v>777.106327491395</v>
      </c>
      <c r="N31" s="478">
        <v>703.1010995810256</v>
      </c>
      <c r="O31" s="478">
        <v>1043.4036313013166</v>
      </c>
      <c r="P31" s="478">
        <v>1404.149818918255</v>
      </c>
      <c r="Q31" s="478">
        <v>1200.2325127575616</v>
      </c>
      <c r="R31" s="478">
        <v>828.0890956367823</v>
      </c>
      <c r="U31" s="22"/>
    </row>
    <row r="32" spans="3:18" ht="12.75">
      <c r="C32">
        <f>+C30/C31</f>
        <v>1.6858545771255955</v>
      </c>
      <c r="D32">
        <f aca="true" t="shared" si="19" ref="D32:R32">+D30/D31</f>
        <v>1.6412156885719307</v>
      </c>
      <c r="E32">
        <f t="shared" si="19"/>
        <v>1.5177798068972301</v>
      </c>
      <c r="F32">
        <f t="shared" si="19"/>
        <v>1.721961985774831</v>
      </c>
      <c r="G32">
        <f t="shared" si="19"/>
        <v>1.8116168864636877</v>
      </c>
      <c r="H32">
        <f t="shared" si="19"/>
        <v>1.8942897509581098</v>
      </c>
      <c r="I32">
        <f t="shared" si="19"/>
        <v>1.397066666666667</v>
      </c>
      <c r="J32">
        <f t="shared" si="19"/>
        <v>0.486236171854901</v>
      </c>
      <c r="K32">
        <f t="shared" si="19"/>
        <v>1.2926359142939814</v>
      </c>
      <c r="L32">
        <f t="shared" si="19"/>
        <v>2.0880277496518476</v>
      </c>
      <c r="M32">
        <f t="shared" si="19"/>
        <v>1.3280035993677166</v>
      </c>
      <c r="N32">
        <f t="shared" si="19"/>
        <v>1.2942662165402166</v>
      </c>
      <c r="O32">
        <f t="shared" si="19"/>
        <v>0.9593602801166875</v>
      </c>
      <c r="P32">
        <f t="shared" si="19"/>
        <v>0.7990600325429512</v>
      </c>
      <c r="Q32">
        <f t="shared" si="19"/>
        <v>0.928826219547247</v>
      </c>
      <c r="R32">
        <f t="shared" si="19"/>
        <v>0.9982916992308709</v>
      </c>
    </row>
    <row r="36" spans="2:10" ht="12.75">
      <c r="B36" s="161"/>
      <c r="C36" s="173"/>
      <c r="D36" s="173"/>
      <c r="E36" s="173"/>
      <c r="F36" s="173"/>
      <c r="G36" s="173"/>
      <c r="H36" s="173"/>
      <c r="I36" s="173"/>
      <c r="J36" s="173"/>
    </row>
  </sheetData>
  <sheetProtection/>
  <printOptions/>
  <pageMargins left="0.75" right="0.75" top="1" bottom="1" header="0.5" footer="0.5"/>
  <pageSetup horizontalDpi="600" verticalDpi="600" orientation="portrait" r:id="rId2"/>
  <drawing r:id="rId1"/>
</worksheet>
</file>

<file path=xl/worksheets/sheet1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drawing r:id="rId1"/>
</worksheet>
</file>

<file path=xl/worksheets/sheet2.xml><?xml version="1.0" encoding="utf-8"?>
<worksheet xmlns="http://schemas.openxmlformats.org/spreadsheetml/2006/main" xmlns:r="http://schemas.openxmlformats.org/officeDocument/2006/relationships">
  <sheetPr>
    <pageSetUpPr fitToPage="1"/>
  </sheetPr>
  <dimension ref="B2:N31"/>
  <sheetViews>
    <sheetView zoomScalePageLayoutView="0" workbookViewId="0" topLeftCell="A1">
      <selection activeCell="A1" sqref="A1"/>
    </sheetView>
  </sheetViews>
  <sheetFormatPr defaultColWidth="10.28125" defaultRowHeight="12.75"/>
  <cols>
    <col min="1" max="1" width="10.28125" style="335" customWidth="1"/>
    <col min="2" max="2" width="30.57421875" style="335" customWidth="1"/>
    <col min="3" max="11" width="9.8515625" style="335" customWidth="1"/>
    <col min="12" max="12" width="12.28125" style="335" customWidth="1"/>
    <col min="13" max="14" width="11.28125" style="335" customWidth="1"/>
    <col min="15" max="16384" width="10.28125" style="335" customWidth="1"/>
  </cols>
  <sheetData>
    <row r="2" spans="2:12" ht="14.25">
      <c r="B2" s="498" t="s">
        <v>272</v>
      </c>
      <c r="C2" s="498"/>
      <c r="D2" s="498"/>
      <c r="E2" s="498"/>
      <c r="F2" s="498"/>
      <c r="G2" s="498"/>
      <c r="H2" s="498"/>
      <c r="I2" s="498"/>
      <c r="J2" s="498"/>
      <c r="K2" s="498"/>
      <c r="L2" s="498"/>
    </row>
    <row r="3" spans="2:12" ht="6.75" customHeight="1">
      <c r="B3" s="334"/>
      <c r="C3" s="334"/>
      <c r="D3" s="334"/>
      <c r="E3" s="334"/>
      <c r="F3" s="334"/>
      <c r="G3" s="334"/>
      <c r="H3" s="334"/>
      <c r="I3" s="334"/>
      <c r="J3" s="334"/>
      <c r="K3" s="334"/>
      <c r="L3" s="334"/>
    </row>
    <row r="4" spans="2:12" ht="15">
      <c r="B4" s="334"/>
      <c r="C4" s="495" t="s">
        <v>273</v>
      </c>
      <c r="D4" s="496"/>
      <c r="E4" s="496"/>
      <c r="F4" s="496"/>
      <c r="G4" s="496"/>
      <c r="H4" s="496"/>
      <c r="I4" s="496"/>
      <c r="J4" s="496"/>
      <c r="K4" s="496"/>
      <c r="L4" s="497"/>
    </row>
    <row r="5" spans="2:12" ht="14.25">
      <c r="B5" s="334"/>
      <c r="C5" s="501" t="s">
        <v>274</v>
      </c>
      <c r="D5" s="502"/>
      <c r="E5" s="503"/>
      <c r="F5" s="501" t="s">
        <v>275</v>
      </c>
      <c r="G5" s="502"/>
      <c r="H5" s="502"/>
      <c r="I5" s="502"/>
      <c r="J5" s="502"/>
      <c r="K5" s="503"/>
      <c r="L5" s="336" t="s">
        <v>276</v>
      </c>
    </row>
    <row r="6" spans="2:14" ht="7.5" customHeight="1">
      <c r="B6" s="334"/>
      <c r="C6" s="334"/>
      <c r="D6" s="334"/>
      <c r="E6" s="337"/>
      <c r="F6" s="337"/>
      <c r="G6" s="334"/>
      <c r="H6" s="334"/>
      <c r="I6" s="334"/>
      <c r="J6" s="334"/>
      <c r="K6" s="334"/>
      <c r="L6" s="334"/>
      <c r="N6" s="334"/>
    </row>
    <row r="7" spans="2:14" ht="24.75" customHeight="1">
      <c r="B7" s="338" t="s">
        <v>277</v>
      </c>
      <c r="C7" s="499" t="s">
        <v>17</v>
      </c>
      <c r="D7" s="500"/>
      <c r="E7" s="339" t="s">
        <v>278</v>
      </c>
      <c r="F7" s="340" t="s">
        <v>279</v>
      </c>
      <c r="G7" s="499" t="s">
        <v>39</v>
      </c>
      <c r="H7" s="504"/>
      <c r="I7" s="504"/>
      <c r="J7" s="504"/>
      <c r="K7" s="500"/>
      <c r="L7" s="341" t="s">
        <v>280</v>
      </c>
      <c r="N7" s="342"/>
    </row>
    <row r="8" spans="2:14" ht="5.25" customHeight="1">
      <c r="B8" s="338"/>
      <c r="C8" s="343"/>
      <c r="D8" s="343"/>
      <c r="E8" s="344"/>
      <c r="F8" s="345"/>
      <c r="G8" s="343"/>
      <c r="H8" s="343"/>
      <c r="I8" s="343"/>
      <c r="J8" s="343"/>
      <c r="K8" s="343"/>
      <c r="L8" s="338"/>
      <c r="N8" s="342"/>
    </row>
    <row r="9" spans="2:14" ht="52.5" customHeight="1">
      <c r="B9" s="346" t="s">
        <v>281</v>
      </c>
      <c r="C9" s="347" t="s">
        <v>282</v>
      </c>
      <c r="D9" s="347" t="s">
        <v>283</v>
      </c>
      <c r="E9" s="348" t="s">
        <v>284</v>
      </c>
      <c r="F9" s="349" t="s">
        <v>285</v>
      </c>
      <c r="G9" s="350" t="s">
        <v>286</v>
      </c>
      <c r="H9" s="350" t="s">
        <v>287</v>
      </c>
      <c r="I9" s="350" t="s">
        <v>288</v>
      </c>
      <c r="J9" s="350" t="s">
        <v>289</v>
      </c>
      <c r="K9" s="348" t="s">
        <v>290</v>
      </c>
      <c r="L9" s="351"/>
      <c r="N9" s="352"/>
    </row>
    <row r="10" spans="2:14" ht="14.25">
      <c r="B10" s="346" t="s">
        <v>313</v>
      </c>
      <c r="C10" s="352">
        <v>300</v>
      </c>
      <c r="D10" s="352">
        <v>300</v>
      </c>
      <c r="E10" s="352">
        <v>64</v>
      </c>
      <c r="F10" s="353">
        <v>6</v>
      </c>
      <c r="G10" s="354">
        <v>0.015</v>
      </c>
      <c r="H10" s="355">
        <v>0.1</v>
      </c>
      <c r="I10" s="354">
        <f>47/600</f>
        <v>0.07833333333333334</v>
      </c>
      <c r="J10" s="356">
        <f>130/1300</f>
        <v>0.1</v>
      </c>
      <c r="K10" s="343">
        <v>50</v>
      </c>
      <c r="L10" s="357">
        <v>1</v>
      </c>
      <c r="N10" s="352"/>
    </row>
    <row r="11" spans="2:14" ht="14.25">
      <c r="B11" s="346" t="s">
        <v>291</v>
      </c>
      <c r="C11" s="358">
        <v>2002</v>
      </c>
      <c r="D11" s="358">
        <v>2002</v>
      </c>
      <c r="E11" s="358">
        <v>4150</v>
      </c>
      <c r="F11" s="358">
        <v>2438</v>
      </c>
      <c r="G11" s="358">
        <v>209</v>
      </c>
      <c r="H11" s="358">
        <v>275</v>
      </c>
      <c r="I11" s="358">
        <v>664</v>
      </c>
      <c r="J11" s="358">
        <v>734</v>
      </c>
      <c r="K11" s="359">
        <v>2975</v>
      </c>
      <c r="L11" s="360">
        <v>2000</v>
      </c>
      <c r="N11" s="352"/>
    </row>
    <row r="12" spans="2:14" ht="14.25">
      <c r="B12" s="361" t="s">
        <v>292</v>
      </c>
      <c r="C12" s="358" t="s">
        <v>293</v>
      </c>
      <c r="D12" s="358" t="s">
        <v>293</v>
      </c>
      <c r="E12" s="358" t="s">
        <v>293</v>
      </c>
      <c r="F12" s="358" t="s">
        <v>293</v>
      </c>
      <c r="G12" s="358" t="s">
        <v>294</v>
      </c>
      <c r="H12" s="358" t="s">
        <v>294</v>
      </c>
      <c r="I12" s="358" t="s">
        <v>294</v>
      </c>
      <c r="J12" s="358" t="s">
        <v>294</v>
      </c>
      <c r="K12" s="359">
        <v>13864</v>
      </c>
      <c r="L12" s="360">
        <v>4609</v>
      </c>
      <c r="N12" s="352"/>
    </row>
    <row r="13" spans="2:14" ht="14.25">
      <c r="B13" s="361" t="s">
        <v>295</v>
      </c>
      <c r="C13" s="362">
        <v>0.33</v>
      </c>
      <c r="D13" s="362">
        <v>0.43</v>
      </c>
      <c r="E13" s="363">
        <v>0.137</v>
      </c>
      <c r="F13" s="362">
        <v>0.6</v>
      </c>
      <c r="G13" s="362">
        <v>0.37</v>
      </c>
      <c r="H13" s="362">
        <v>0.31</v>
      </c>
      <c r="I13" s="362">
        <v>0.82</v>
      </c>
      <c r="J13" s="362">
        <v>0.82</v>
      </c>
      <c r="K13" s="362">
        <v>0.65</v>
      </c>
      <c r="L13" s="358" t="s">
        <v>294</v>
      </c>
      <c r="N13" s="360"/>
    </row>
    <row r="14" spans="2:14" ht="14.25">
      <c r="B14" s="361" t="s">
        <v>296</v>
      </c>
      <c r="C14" s="358">
        <v>748</v>
      </c>
      <c r="D14" s="358">
        <v>1025</v>
      </c>
      <c r="E14" s="364">
        <v>0.95</v>
      </c>
      <c r="F14" s="358">
        <v>30</v>
      </c>
      <c r="G14" s="358" t="s">
        <v>294</v>
      </c>
      <c r="H14" s="358" t="s">
        <v>294</v>
      </c>
      <c r="I14" s="358" t="s">
        <v>294</v>
      </c>
      <c r="J14" s="358" t="s">
        <v>294</v>
      </c>
      <c r="K14" s="358">
        <v>245</v>
      </c>
      <c r="L14" s="358" t="s">
        <v>294</v>
      </c>
      <c r="N14" s="360"/>
    </row>
    <row r="15" spans="2:13" ht="14.25">
      <c r="B15" s="365" t="s">
        <v>297</v>
      </c>
      <c r="C15" s="366">
        <v>2009</v>
      </c>
      <c r="D15" s="366">
        <v>2009</v>
      </c>
      <c r="E15" s="366">
        <v>2015</v>
      </c>
      <c r="F15" s="366">
        <v>2012</v>
      </c>
      <c r="G15" s="366">
        <v>2012</v>
      </c>
      <c r="H15" s="366">
        <v>2012</v>
      </c>
      <c r="I15" s="366">
        <v>2012</v>
      </c>
      <c r="J15" s="366">
        <v>2012</v>
      </c>
      <c r="K15" s="366">
        <v>2012</v>
      </c>
      <c r="L15" s="366">
        <v>2009</v>
      </c>
      <c r="M15" s="367"/>
    </row>
    <row r="16" spans="2:13" ht="14.25">
      <c r="B16" s="367"/>
      <c r="C16" s="367"/>
      <c r="D16" s="367"/>
      <c r="E16" s="367"/>
      <c r="F16" s="367"/>
      <c r="G16" s="367"/>
      <c r="H16" s="367"/>
      <c r="I16" s="367"/>
      <c r="J16" s="367"/>
      <c r="K16" s="367"/>
      <c r="L16" s="367"/>
      <c r="M16" s="367"/>
    </row>
    <row r="17" spans="2:13" ht="15">
      <c r="B17" s="367"/>
      <c r="C17" s="495" t="s">
        <v>298</v>
      </c>
      <c r="D17" s="496"/>
      <c r="E17" s="496"/>
      <c r="F17" s="496"/>
      <c r="G17" s="496"/>
      <c r="H17" s="497"/>
      <c r="I17" s="367"/>
      <c r="J17" s="367"/>
      <c r="K17" s="367"/>
      <c r="L17" s="367"/>
      <c r="M17" s="367"/>
    </row>
    <row r="18" spans="2:13" ht="14.25">
      <c r="B18" s="367"/>
      <c r="C18" s="501" t="s">
        <v>274</v>
      </c>
      <c r="D18" s="502"/>
      <c r="E18" s="502"/>
      <c r="F18" s="503"/>
      <c r="G18" s="501" t="s">
        <v>275</v>
      </c>
      <c r="H18" s="503"/>
      <c r="I18" s="367"/>
      <c r="J18" s="367"/>
      <c r="K18" s="367"/>
      <c r="L18" s="367"/>
      <c r="M18" s="367"/>
    </row>
    <row r="19" spans="2:13" ht="6" customHeight="1">
      <c r="B19" s="367"/>
      <c r="C19" s="367"/>
      <c r="D19" s="367"/>
      <c r="E19" s="367"/>
      <c r="F19" s="367"/>
      <c r="G19" s="367"/>
      <c r="H19" s="367"/>
      <c r="I19" s="367"/>
      <c r="J19" s="367"/>
      <c r="K19" s="367"/>
      <c r="L19" s="367"/>
      <c r="M19" s="367"/>
    </row>
    <row r="20" spans="2:13" ht="14.25">
      <c r="B20" s="338" t="s">
        <v>277</v>
      </c>
      <c r="C20" s="499" t="s">
        <v>17</v>
      </c>
      <c r="D20" s="500"/>
      <c r="E20" s="505" t="s">
        <v>299</v>
      </c>
      <c r="F20" s="506"/>
      <c r="G20" s="368" t="s">
        <v>300</v>
      </c>
      <c r="H20" s="368" t="s">
        <v>301</v>
      </c>
      <c r="I20" s="369"/>
      <c r="J20" s="367"/>
      <c r="K20" s="367"/>
      <c r="L20" s="367"/>
      <c r="M20" s="367"/>
    </row>
    <row r="21" spans="2:13" ht="4.5" customHeight="1">
      <c r="B21" s="338"/>
      <c r="C21" s="343"/>
      <c r="D21" s="343"/>
      <c r="E21" s="344"/>
      <c r="F21" s="344"/>
      <c r="G21" s="343"/>
      <c r="H21" s="343"/>
      <c r="I21" s="369"/>
      <c r="J21" s="367"/>
      <c r="K21" s="367"/>
      <c r="L21" s="367"/>
      <c r="M21" s="367"/>
    </row>
    <row r="22" spans="2:13" ht="51.75">
      <c r="B22" s="346" t="s">
        <v>281</v>
      </c>
      <c r="C22" s="370" t="s">
        <v>302</v>
      </c>
      <c r="D22" s="370" t="s">
        <v>303</v>
      </c>
      <c r="E22" s="370" t="s">
        <v>304</v>
      </c>
      <c r="F22" s="370" t="s">
        <v>305</v>
      </c>
      <c r="G22" s="370" t="s">
        <v>306</v>
      </c>
      <c r="H22" s="371" t="s">
        <v>307</v>
      </c>
      <c r="I22" s="369"/>
      <c r="J22" s="367"/>
      <c r="K22" s="367"/>
      <c r="L22" s="367"/>
      <c r="M22" s="367"/>
    </row>
    <row r="23" spans="2:13" ht="14.25">
      <c r="B23" s="346" t="s">
        <v>308</v>
      </c>
      <c r="C23" s="353" t="s">
        <v>309</v>
      </c>
      <c r="D23" s="352">
        <v>10</v>
      </c>
      <c r="E23" s="353" t="s">
        <v>310</v>
      </c>
      <c r="F23" s="353" t="s">
        <v>311</v>
      </c>
      <c r="G23" s="353">
        <v>0.8</v>
      </c>
      <c r="H23" s="372">
        <v>1</v>
      </c>
      <c r="I23" s="337"/>
      <c r="J23" s="337"/>
      <c r="K23" s="337"/>
      <c r="L23" s="367"/>
      <c r="M23" s="367"/>
    </row>
    <row r="24" spans="2:13" ht="14.25">
      <c r="B24" s="346" t="s">
        <v>291</v>
      </c>
      <c r="C24" s="358">
        <v>7070</v>
      </c>
      <c r="D24" s="358">
        <v>1802</v>
      </c>
      <c r="E24" s="358">
        <v>8966</v>
      </c>
      <c r="F24" s="358">
        <v>6849</v>
      </c>
      <c r="G24" s="373">
        <v>1385</v>
      </c>
      <c r="H24" s="373">
        <v>2500</v>
      </c>
      <c r="I24" s="337"/>
      <c r="J24" s="337"/>
      <c r="K24" s="337"/>
      <c r="L24" s="337"/>
      <c r="M24" s="367"/>
    </row>
    <row r="25" spans="2:13" ht="14.25">
      <c r="B25" s="361" t="s">
        <v>312</v>
      </c>
      <c r="C25" s="358" t="s">
        <v>293</v>
      </c>
      <c r="D25" s="358" t="s">
        <v>293</v>
      </c>
      <c r="E25" s="358" t="s">
        <v>293</v>
      </c>
      <c r="F25" s="358" t="s">
        <v>293</v>
      </c>
      <c r="G25" s="373">
        <v>13652</v>
      </c>
      <c r="H25" s="373">
        <v>6400</v>
      </c>
      <c r="I25" s="337"/>
      <c r="J25" s="337"/>
      <c r="K25" s="337"/>
      <c r="L25" s="337"/>
      <c r="M25" s="367"/>
    </row>
    <row r="26" spans="2:13" ht="14.25">
      <c r="B26" s="361" t="s">
        <v>295</v>
      </c>
      <c r="C26" s="363">
        <v>0.305</v>
      </c>
      <c r="D26" s="362">
        <v>0.33</v>
      </c>
      <c r="E26" s="363">
        <v>0.137</v>
      </c>
      <c r="F26" s="363">
        <v>0.137</v>
      </c>
      <c r="G26" s="374">
        <v>0.9</v>
      </c>
      <c r="H26" s="374">
        <v>0.8</v>
      </c>
      <c r="I26" s="337"/>
      <c r="J26" s="337"/>
      <c r="K26" s="337"/>
      <c r="L26" s="337"/>
      <c r="M26" s="367"/>
    </row>
    <row r="27" spans="2:13" ht="14.25">
      <c r="B27" s="361" t="s">
        <v>296</v>
      </c>
      <c r="C27" s="375">
        <v>4</v>
      </c>
      <c r="D27" s="358">
        <v>25</v>
      </c>
      <c r="E27" s="375">
        <v>2.1</v>
      </c>
      <c r="F27" s="358">
        <v>52</v>
      </c>
      <c r="G27" s="353">
        <v>5.4</v>
      </c>
      <c r="H27" s="372">
        <v>6</v>
      </c>
      <c r="I27" s="337"/>
      <c r="J27" s="337"/>
      <c r="K27" s="337"/>
      <c r="L27" s="337"/>
      <c r="M27" s="367"/>
    </row>
    <row r="28" spans="2:13" ht="14.25">
      <c r="B28" s="365" t="s">
        <v>297</v>
      </c>
      <c r="C28" s="366">
        <v>2012</v>
      </c>
      <c r="D28" s="366">
        <v>2012</v>
      </c>
      <c r="E28" s="366">
        <v>2015</v>
      </c>
      <c r="F28" s="366">
        <v>2015</v>
      </c>
      <c r="G28" s="366">
        <v>2009</v>
      </c>
      <c r="H28" s="366">
        <v>2012</v>
      </c>
      <c r="I28" s="337"/>
      <c r="J28" s="337"/>
      <c r="K28" s="337"/>
      <c r="L28" s="337"/>
      <c r="M28" s="367"/>
    </row>
    <row r="29" spans="2:13" ht="14.25">
      <c r="B29" s="367"/>
      <c r="C29" s="367"/>
      <c r="D29" s="367"/>
      <c r="E29" s="367"/>
      <c r="F29" s="367"/>
      <c r="G29" s="337"/>
      <c r="H29" s="337"/>
      <c r="I29" s="337"/>
      <c r="J29" s="337"/>
      <c r="K29" s="337"/>
      <c r="L29" s="367"/>
      <c r="M29" s="367"/>
    </row>
    <row r="30" spans="2:13" ht="14.25">
      <c r="B30" s="376" t="s">
        <v>314</v>
      </c>
      <c r="C30" s="376"/>
      <c r="D30" s="376"/>
      <c r="E30" s="376"/>
      <c r="F30" s="376"/>
      <c r="G30" s="376"/>
      <c r="H30" s="376"/>
      <c r="I30" s="376"/>
      <c r="J30" s="376"/>
      <c r="K30" s="376"/>
      <c r="L30" s="376"/>
      <c r="M30" s="376"/>
    </row>
    <row r="31" spans="2:13" ht="14.25">
      <c r="B31" s="367"/>
      <c r="C31" s="367"/>
      <c r="D31" s="367"/>
      <c r="E31" s="367"/>
      <c r="F31" s="367"/>
      <c r="G31" s="367"/>
      <c r="H31" s="367"/>
      <c r="I31" s="367"/>
      <c r="J31" s="367"/>
      <c r="K31" s="367"/>
      <c r="L31" s="367"/>
      <c r="M31" s="367"/>
    </row>
  </sheetData>
  <sheetProtection/>
  <mergeCells count="11">
    <mergeCell ref="E20:F20"/>
    <mergeCell ref="C4:L4"/>
    <mergeCell ref="B2:L2"/>
    <mergeCell ref="C7:D7"/>
    <mergeCell ref="C20:D20"/>
    <mergeCell ref="C17:H17"/>
    <mergeCell ref="C5:E5"/>
    <mergeCell ref="F5:K5"/>
    <mergeCell ref="G7:K7"/>
    <mergeCell ref="G18:H18"/>
    <mergeCell ref="C18:F18"/>
  </mergeCells>
  <printOptions horizontalCentered="1"/>
  <pageMargins left="0.75" right="0.75" top="1" bottom="1" header="0.5" footer="0.5"/>
  <pageSetup fitToHeight="1" fitToWidth="1" horizontalDpi="600" verticalDpi="600" orientation="landscape" scale="96" r:id="rId1"/>
</worksheet>
</file>

<file path=xl/worksheets/sheet3.xml><?xml version="1.0" encoding="utf-8"?>
<worksheet xmlns="http://schemas.openxmlformats.org/spreadsheetml/2006/main" xmlns:r="http://schemas.openxmlformats.org/officeDocument/2006/relationships">
  <sheetPr>
    <pageSetUpPr fitToPage="1"/>
  </sheetPr>
  <dimension ref="B6:U38"/>
  <sheetViews>
    <sheetView zoomScalePageLayoutView="0" workbookViewId="0" topLeftCell="A1">
      <pane xSplit="2" ySplit="16" topLeftCell="C17" activePane="bottomRight" state="frozen"/>
      <selection pane="topLeft" activeCell="A1" sqref="A1"/>
      <selection pane="topRight" activeCell="C1" sqref="C1"/>
      <selection pane="bottomLeft" activeCell="A20" sqref="A20"/>
      <selection pane="bottomRight" activeCell="C17" sqref="C17"/>
    </sheetView>
  </sheetViews>
  <sheetFormatPr defaultColWidth="9.140625" defaultRowHeight="12.75"/>
  <cols>
    <col min="2" max="2" width="36.7109375" style="0" customWidth="1"/>
    <col min="3" max="3" width="9.7109375" style="0" customWidth="1"/>
    <col min="4" max="10" width="10.421875" style="0" customWidth="1"/>
    <col min="17" max="17" width="8.421875" style="0" customWidth="1"/>
    <col min="19" max="19" width="10.57421875" style="0" bestFit="1" customWidth="1"/>
  </cols>
  <sheetData>
    <row r="6" spans="2:17" ht="15.75">
      <c r="B6" s="51" t="s">
        <v>44</v>
      </c>
      <c r="C6" s="51"/>
      <c r="D6" s="51"/>
      <c r="E6" s="51"/>
      <c r="F6" s="51"/>
      <c r="G6" s="51"/>
      <c r="H6" s="51"/>
      <c r="I6" s="51"/>
      <c r="J6" s="51"/>
      <c r="K6" s="51"/>
      <c r="L6" s="51"/>
      <c r="M6" s="51"/>
      <c r="N6" s="51"/>
      <c r="O6" s="51"/>
      <c r="P6" s="51"/>
      <c r="Q6" s="51"/>
    </row>
    <row r="7" spans="2:17" ht="15.75">
      <c r="B7" s="51" t="s">
        <v>45</v>
      </c>
      <c r="C7" s="51"/>
      <c r="D7" s="51"/>
      <c r="E7" s="51"/>
      <c r="F7" s="51"/>
      <c r="G7" s="51"/>
      <c r="H7" s="51"/>
      <c r="I7" s="51"/>
      <c r="J7" s="51"/>
      <c r="K7" s="51"/>
      <c r="L7" s="51"/>
      <c r="M7" s="51"/>
      <c r="N7" s="51"/>
      <c r="O7" s="51"/>
      <c r="P7" s="51"/>
      <c r="Q7" s="51"/>
    </row>
    <row r="8" spans="2:17" ht="15.75">
      <c r="B8" s="51" t="s">
        <v>46</v>
      </c>
      <c r="C8" s="51"/>
      <c r="D8" s="51"/>
      <c r="E8" s="51"/>
      <c r="F8" s="51"/>
      <c r="G8" s="51"/>
      <c r="H8" s="51"/>
      <c r="I8" s="51"/>
      <c r="J8" s="51"/>
      <c r="K8" s="51"/>
      <c r="L8" s="51"/>
      <c r="M8" s="51"/>
      <c r="N8" s="51"/>
      <c r="O8" s="51"/>
      <c r="P8" s="51"/>
      <c r="Q8" s="51"/>
    </row>
    <row r="11" ht="13.5" thickBot="1"/>
    <row r="12" spans="3:21" ht="12.75">
      <c r="C12" s="52" t="s">
        <v>47</v>
      </c>
      <c r="D12" s="53"/>
      <c r="E12" s="53"/>
      <c r="F12" s="53"/>
      <c r="G12" s="53"/>
      <c r="H12" s="53"/>
      <c r="I12" s="53"/>
      <c r="J12" s="54"/>
      <c r="K12" s="53" t="s">
        <v>48</v>
      </c>
      <c r="L12" s="53"/>
      <c r="M12" s="53"/>
      <c r="N12" s="53"/>
      <c r="O12" s="53"/>
      <c r="P12" s="53"/>
      <c r="Q12" s="55" t="s">
        <v>13</v>
      </c>
      <c r="R12" s="117" t="s">
        <v>17</v>
      </c>
      <c r="S12" s="117" t="s">
        <v>31</v>
      </c>
      <c r="T12" s="117" t="s">
        <v>18</v>
      </c>
      <c r="U12" s="117" t="s">
        <v>39</v>
      </c>
    </row>
    <row r="13" spans="3:21" ht="12.75">
      <c r="C13" s="56" t="s">
        <v>49</v>
      </c>
      <c r="D13" s="57"/>
      <c r="E13" s="57"/>
      <c r="F13" s="58"/>
      <c r="G13" s="59" t="s">
        <v>50</v>
      </c>
      <c r="H13" s="57"/>
      <c r="I13" s="57"/>
      <c r="J13" s="60"/>
      <c r="K13" s="57" t="s">
        <v>51</v>
      </c>
      <c r="L13" s="57"/>
      <c r="M13" s="58"/>
      <c r="N13" s="59" t="s">
        <v>52</v>
      </c>
      <c r="O13" s="57"/>
      <c r="P13" s="57"/>
      <c r="Q13" s="61" t="s">
        <v>53</v>
      </c>
      <c r="R13" s="118"/>
      <c r="S13" s="118"/>
      <c r="T13" s="118"/>
      <c r="U13" s="118"/>
    </row>
    <row r="14" spans="3:21" ht="12.75">
      <c r="C14" s="62" t="s">
        <v>54</v>
      </c>
      <c r="D14" s="58"/>
      <c r="E14" s="63" t="s">
        <v>55</v>
      </c>
      <c r="F14" s="58"/>
      <c r="G14" s="63" t="s">
        <v>54</v>
      </c>
      <c r="H14" s="58"/>
      <c r="I14" s="63" t="s">
        <v>55</v>
      </c>
      <c r="J14" s="64"/>
      <c r="K14" s="65" t="s">
        <v>56</v>
      </c>
      <c r="L14" s="65" t="s">
        <v>57</v>
      </c>
      <c r="M14" s="66" t="s">
        <v>58</v>
      </c>
      <c r="N14" s="67" t="s">
        <v>59</v>
      </c>
      <c r="O14" s="68" t="s">
        <v>60</v>
      </c>
      <c r="P14" s="69" t="s">
        <v>61</v>
      </c>
      <c r="Q14" s="70"/>
      <c r="R14" s="119"/>
      <c r="S14" s="119"/>
      <c r="T14" s="119"/>
      <c r="U14" s="119"/>
    </row>
    <row r="15" spans="2:21" ht="12.75">
      <c r="B15" s="507" t="s">
        <v>62</v>
      </c>
      <c r="C15" s="71" t="s">
        <v>63</v>
      </c>
      <c r="D15" s="72" t="s">
        <v>64</v>
      </c>
      <c r="E15" s="72" t="s">
        <v>63</v>
      </c>
      <c r="F15" s="72" t="s">
        <v>64</v>
      </c>
      <c r="G15" s="72" t="s">
        <v>63</v>
      </c>
      <c r="H15" s="72" t="s">
        <v>64</v>
      </c>
      <c r="I15" s="72" t="s">
        <v>63</v>
      </c>
      <c r="J15" s="73" t="s">
        <v>64</v>
      </c>
      <c r="K15" s="74"/>
      <c r="L15" s="75" t="s">
        <v>65</v>
      </c>
      <c r="M15" s="76"/>
      <c r="N15" s="72" t="s">
        <v>66</v>
      </c>
      <c r="O15" s="77" t="s">
        <v>67</v>
      </c>
      <c r="P15" s="78" t="s">
        <v>68</v>
      </c>
      <c r="Q15" s="79"/>
      <c r="R15" s="120"/>
      <c r="S15" s="120"/>
      <c r="T15" s="120"/>
      <c r="U15" s="120"/>
    </row>
    <row r="16" spans="2:21" ht="6.75" customHeight="1">
      <c r="B16" s="508"/>
      <c r="C16" s="81"/>
      <c r="D16" s="82"/>
      <c r="E16" s="82"/>
      <c r="F16" s="82"/>
      <c r="G16" s="82"/>
      <c r="H16" s="82"/>
      <c r="I16" s="82"/>
      <c r="J16" s="83"/>
      <c r="K16" s="84"/>
      <c r="L16" s="84"/>
      <c r="M16" s="82"/>
      <c r="N16" s="82"/>
      <c r="O16" s="2"/>
      <c r="P16" s="2"/>
      <c r="Q16" s="70"/>
      <c r="R16" s="119"/>
      <c r="S16" s="119"/>
      <c r="T16" s="119"/>
      <c r="U16" s="119"/>
    </row>
    <row r="17" spans="2:21" ht="6.75" customHeight="1">
      <c r="B17" s="80"/>
      <c r="C17" s="81"/>
      <c r="D17" s="82"/>
      <c r="E17" s="82"/>
      <c r="F17" s="82"/>
      <c r="G17" s="82"/>
      <c r="H17" s="82"/>
      <c r="I17" s="82"/>
      <c r="J17" s="83"/>
      <c r="K17" s="84"/>
      <c r="L17" s="84"/>
      <c r="M17" s="82"/>
      <c r="N17" s="82"/>
      <c r="O17" s="2"/>
      <c r="P17" s="2"/>
      <c r="Q17" s="70"/>
      <c r="R17" s="119"/>
      <c r="S17" s="119"/>
      <c r="T17" s="119"/>
      <c r="U17" s="119"/>
    </row>
    <row r="18" spans="2:21" ht="15" customHeight="1">
      <c r="B18" s="85" t="s">
        <v>69</v>
      </c>
      <c r="C18" s="286">
        <v>2400</v>
      </c>
      <c r="D18" s="285">
        <v>4310</v>
      </c>
      <c r="E18" s="285">
        <v>2092</v>
      </c>
      <c r="F18" s="285">
        <v>3876</v>
      </c>
      <c r="G18" s="285">
        <v>3079</v>
      </c>
      <c r="H18" s="285">
        <v>4139</v>
      </c>
      <c r="I18" s="285">
        <v>2775</v>
      </c>
      <c r="J18" s="287">
        <v>3815</v>
      </c>
      <c r="K18" s="290">
        <v>1156</v>
      </c>
      <c r="L18" s="290">
        <v>988</v>
      </c>
      <c r="M18" s="285">
        <v>859</v>
      </c>
      <c r="N18" s="285">
        <v>656</v>
      </c>
      <c r="O18" s="288">
        <v>593</v>
      </c>
      <c r="P18" s="288">
        <v>698</v>
      </c>
      <c r="Q18" s="289">
        <v>4027</v>
      </c>
      <c r="R18" s="121"/>
      <c r="S18" s="121"/>
      <c r="T18" s="121"/>
      <c r="U18" s="121"/>
    </row>
    <row r="19" spans="2:21" ht="15" customHeight="1">
      <c r="B19" s="85" t="s">
        <v>70</v>
      </c>
      <c r="C19" s="86">
        <v>2621.0248064222433</v>
      </c>
      <c r="D19" s="87">
        <v>4712.848243434481</v>
      </c>
      <c r="E19" s="87">
        <v>2283.6730273162593</v>
      </c>
      <c r="F19" s="87">
        <v>4250.176891931552</v>
      </c>
      <c r="G19" s="87">
        <v>3367.1990122956704</v>
      </c>
      <c r="H19" s="87">
        <v>4528.551296524052</v>
      </c>
      <c r="I19" s="87">
        <v>3033.7487372866462</v>
      </c>
      <c r="J19" s="88">
        <v>4172.540128035982</v>
      </c>
      <c r="K19" s="89">
        <v>1220.9998425376132</v>
      </c>
      <c r="L19" s="89">
        <v>1043.6804458761405</v>
      </c>
      <c r="M19" s="87">
        <v>907.3075054794058</v>
      </c>
      <c r="N19" s="87">
        <v>675.7446326012131</v>
      </c>
      <c r="O19" s="90">
        <v>611.3922605052396</v>
      </c>
      <c r="P19" s="90">
        <v>720.0774744667673</v>
      </c>
      <c r="Q19" s="91">
        <v>4450.770989457817</v>
      </c>
      <c r="R19" s="160">
        <v>1800</v>
      </c>
      <c r="S19" s="121">
        <v>2175</v>
      </c>
      <c r="T19" s="121">
        <v>3900</v>
      </c>
      <c r="U19" s="121">
        <f>+C19*1.15</f>
        <v>3014.1785273855794</v>
      </c>
    </row>
    <row r="20" spans="2:21" ht="15" customHeight="1">
      <c r="B20" s="85" t="s">
        <v>71</v>
      </c>
      <c r="C20" s="92">
        <f aca="true" t="shared" si="0" ref="C20:U20">1000*C19*$C$28/52</f>
        <v>6860.028387578218</v>
      </c>
      <c r="D20" s="87">
        <f t="shared" si="0"/>
        <v>12334.973960219864</v>
      </c>
      <c r="E20" s="89">
        <f t="shared" si="0"/>
        <v>5977.074981110441</v>
      </c>
      <c r="F20" s="87">
        <f t="shared" si="0"/>
        <v>11124.02067292085</v>
      </c>
      <c r="G20" s="89">
        <f t="shared" si="0"/>
        <v>8812.995876412322</v>
      </c>
      <c r="H20" s="87">
        <f t="shared" si="0"/>
        <v>11852.612143402375</v>
      </c>
      <c r="I20" s="87">
        <f t="shared" si="0"/>
        <v>7940.253906629087</v>
      </c>
      <c r="J20" s="89">
        <f t="shared" si="0"/>
        <v>10920.8213735711</v>
      </c>
      <c r="K20" s="86">
        <f t="shared" si="0"/>
        <v>3195.732280180176</v>
      </c>
      <c r="L20" s="87">
        <f t="shared" si="0"/>
        <v>2731.6328593027447</v>
      </c>
      <c r="M20" s="89">
        <f t="shared" si="0"/>
        <v>2374.7029133797523</v>
      </c>
      <c r="N20" s="87">
        <f t="shared" si="0"/>
        <v>1768.6316249427905</v>
      </c>
      <c r="O20" s="87">
        <f t="shared" si="0"/>
        <v>1600.201666437752</v>
      </c>
      <c r="P20" s="89">
        <f t="shared" si="0"/>
        <v>1884.664312979366</v>
      </c>
      <c r="Q20" s="91">
        <f t="shared" si="0"/>
        <v>11649.037147407866</v>
      </c>
      <c r="R20" s="121">
        <f t="shared" si="0"/>
        <v>4711.153846153846</v>
      </c>
      <c r="S20" s="121">
        <f t="shared" si="0"/>
        <v>5692.6442307692305</v>
      </c>
      <c r="T20" s="121">
        <f t="shared" si="0"/>
        <v>10207.5</v>
      </c>
      <c r="U20" s="121">
        <f t="shared" si="0"/>
        <v>7889.0326457149495</v>
      </c>
    </row>
    <row r="21" spans="2:21" ht="5.25" customHeight="1">
      <c r="B21" s="93"/>
      <c r="C21" s="81"/>
      <c r="D21" s="82"/>
      <c r="E21" s="82"/>
      <c r="F21" s="82"/>
      <c r="G21" s="82"/>
      <c r="H21" s="82"/>
      <c r="I21" s="82"/>
      <c r="J21" s="83"/>
      <c r="K21" s="84"/>
      <c r="L21" s="84"/>
      <c r="M21" s="82"/>
      <c r="N21" s="82"/>
      <c r="O21" s="2"/>
      <c r="P21" s="2"/>
      <c r="Q21" s="70"/>
      <c r="R21" s="119"/>
      <c r="S21" s="119"/>
      <c r="T21" s="119"/>
      <c r="U21" s="119"/>
    </row>
    <row r="22" spans="2:21" ht="14.25" customHeight="1">
      <c r="B22" s="94" t="s">
        <v>72</v>
      </c>
      <c r="C22" s="81"/>
      <c r="D22" s="82"/>
      <c r="E22" s="82"/>
      <c r="F22" s="82"/>
      <c r="G22" s="82"/>
      <c r="H22" s="82"/>
      <c r="I22" s="82"/>
      <c r="J22" s="83"/>
      <c r="K22" s="84"/>
      <c r="L22" s="84"/>
      <c r="M22" s="82"/>
      <c r="N22" s="82"/>
      <c r="O22" s="2"/>
      <c r="P22" s="2"/>
      <c r="Q22" s="70"/>
      <c r="R22" s="119"/>
      <c r="S22" s="119"/>
      <c r="T22" s="119"/>
      <c r="U22" s="119"/>
    </row>
    <row r="23" spans="2:21" ht="15" customHeight="1">
      <c r="B23" s="95" t="s">
        <v>73</v>
      </c>
      <c r="C23" s="299">
        <v>39.15</v>
      </c>
      <c r="D23" s="300">
        <v>65.79</v>
      </c>
      <c r="E23" s="300">
        <v>36.44</v>
      </c>
      <c r="F23" s="300">
        <v>61.96</v>
      </c>
      <c r="G23" s="300">
        <v>45.02</v>
      </c>
      <c r="H23" s="300">
        <v>59.79</v>
      </c>
      <c r="I23" s="300">
        <v>41.63</v>
      </c>
      <c r="J23" s="308">
        <v>56.16</v>
      </c>
      <c r="K23" s="97">
        <v>16.33</v>
      </c>
      <c r="L23" s="97">
        <v>13.55</v>
      </c>
      <c r="M23" s="96">
        <v>11.64</v>
      </c>
      <c r="N23" s="96">
        <v>11.02</v>
      </c>
      <c r="O23" s="98">
        <v>7.9</v>
      </c>
      <c r="P23" s="98">
        <v>8.54</v>
      </c>
      <c r="Q23" s="99">
        <v>58.69</v>
      </c>
      <c r="R23" s="122"/>
      <c r="S23" s="122"/>
      <c r="T23" s="122"/>
      <c r="U23" s="122"/>
    </row>
    <row r="24" spans="2:21" ht="12.75" customHeight="1">
      <c r="B24" s="100" t="s">
        <v>74</v>
      </c>
      <c r="C24" s="101">
        <f aca="true" t="shared" si="1" ref="C24:U24">C23*1000/52</f>
        <v>752.8846153846154</v>
      </c>
      <c r="D24" s="102">
        <f t="shared" si="1"/>
        <v>1265.1923076923076</v>
      </c>
      <c r="E24" s="102">
        <f t="shared" si="1"/>
        <v>700.7692307692307</v>
      </c>
      <c r="F24" s="102">
        <f t="shared" si="1"/>
        <v>1191.5384615384614</v>
      </c>
      <c r="G24" s="102">
        <f t="shared" si="1"/>
        <v>865.7692307692307</v>
      </c>
      <c r="H24" s="102">
        <f t="shared" si="1"/>
        <v>1149.8076923076924</v>
      </c>
      <c r="I24" s="102">
        <f t="shared" si="1"/>
        <v>800.5769230769231</v>
      </c>
      <c r="J24" s="103">
        <f t="shared" si="1"/>
        <v>1080</v>
      </c>
      <c r="K24" s="104">
        <f t="shared" si="1"/>
        <v>314.0384615384615</v>
      </c>
      <c r="L24" s="104">
        <f t="shared" si="1"/>
        <v>260.5769230769231</v>
      </c>
      <c r="M24" s="102">
        <f t="shared" si="1"/>
        <v>223.84615384615384</v>
      </c>
      <c r="N24" s="102">
        <f t="shared" si="1"/>
        <v>211.92307692307693</v>
      </c>
      <c r="O24" s="105">
        <f t="shared" si="1"/>
        <v>151.92307692307693</v>
      </c>
      <c r="P24" s="105">
        <f t="shared" si="1"/>
        <v>164.23076923076923</v>
      </c>
      <c r="Q24" s="106">
        <f t="shared" si="1"/>
        <v>1128.6538461538462</v>
      </c>
      <c r="R24" s="123">
        <f t="shared" si="1"/>
        <v>0</v>
      </c>
      <c r="S24" s="123">
        <f t="shared" si="1"/>
        <v>0</v>
      </c>
      <c r="T24" s="123">
        <f t="shared" si="1"/>
        <v>0</v>
      </c>
      <c r="U24" s="123">
        <f t="shared" si="1"/>
        <v>0</v>
      </c>
    </row>
    <row r="25" spans="3:21" ht="6.75" customHeight="1" thickBot="1">
      <c r="C25" s="107"/>
      <c r="D25" s="108"/>
      <c r="E25" s="108"/>
      <c r="F25" s="108"/>
      <c r="G25" s="108"/>
      <c r="H25" s="108"/>
      <c r="I25" s="108"/>
      <c r="J25" s="109"/>
      <c r="K25" s="110"/>
      <c r="L25" s="110"/>
      <c r="M25" s="108"/>
      <c r="N25" s="108"/>
      <c r="O25" s="111"/>
      <c r="P25" s="111"/>
      <c r="Q25" s="112"/>
      <c r="R25" s="124"/>
      <c r="S25" s="124"/>
      <c r="T25" s="124"/>
      <c r="U25" s="124"/>
    </row>
    <row r="27" spans="2:18" ht="12.75">
      <c r="B27" t="s">
        <v>75</v>
      </c>
      <c r="R27" s="1" t="e">
        <f>#REF!</f>
        <v>#REF!</v>
      </c>
    </row>
    <row r="28" spans="2:18" ht="12.75">
      <c r="B28" t="s">
        <v>76</v>
      </c>
      <c r="C28" s="113">
        <v>0.1361</v>
      </c>
      <c r="R28" t="e">
        <f>+R27*52/C28/1000</f>
        <v>#REF!</v>
      </c>
    </row>
    <row r="29" ht="12.75">
      <c r="R29">
        <f>1.02</f>
        <v>1.02</v>
      </c>
    </row>
    <row r="30" ht="12.75">
      <c r="R30" t="e">
        <f>+R28/R29</f>
        <v>#REF!</v>
      </c>
    </row>
    <row r="31" ht="12.75">
      <c r="B31" t="s">
        <v>255</v>
      </c>
    </row>
    <row r="32" spans="3:17" ht="12.75">
      <c r="C32" s="114"/>
      <c r="D32" s="114"/>
      <c r="E32" s="114"/>
      <c r="F32" s="114"/>
      <c r="G32" s="114"/>
      <c r="H32" s="114"/>
      <c r="I32" s="114"/>
      <c r="J32" s="114"/>
      <c r="K32" s="114"/>
      <c r="L32" s="114"/>
      <c r="M32" s="114"/>
      <c r="N32" s="114"/>
      <c r="O32" s="114"/>
      <c r="P32" s="114"/>
      <c r="Q32" s="114"/>
    </row>
    <row r="35" spans="3:17" ht="12.75">
      <c r="C35" s="298">
        <v>2400</v>
      </c>
      <c r="D35" s="262">
        <v>4310</v>
      </c>
      <c r="E35" s="262">
        <v>2092</v>
      </c>
      <c r="F35" s="262">
        <v>3876</v>
      </c>
      <c r="G35" s="87">
        <v>3079</v>
      </c>
      <c r="H35" s="87">
        <v>4139</v>
      </c>
      <c r="I35" s="87">
        <v>2775</v>
      </c>
      <c r="J35" s="88">
        <v>3815</v>
      </c>
      <c r="K35" s="89">
        <v>1156</v>
      </c>
      <c r="L35" s="89">
        <v>988</v>
      </c>
      <c r="M35" s="87">
        <v>859</v>
      </c>
      <c r="N35" s="87">
        <v>656</v>
      </c>
      <c r="O35" s="90">
        <v>593</v>
      </c>
      <c r="P35" s="90">
        <v>698</v>
      </c>
      <c r="Q35" s="91">
        <v>4027</v>
      </c>
    </row>
    <row r="36" spans="3:17" ht="12.75">
      <c r="C36" s="86">
        <v>2621.0248064222433</v>
      </c>
      <c r="D36" s="87">
        <v>4712.848243434481</v>
      </c>
      <c r="E36" s="87">
        <v>2283.6730273162593</v>
      </c>
      <c r="F36" s="87">
        <v>4250.176891931552</v>
      </c>
      <c r="G36" s="87">
        <v>3367.1990122956704</v>
      </c>
      <c r="H36" s="87">
        <v>4528.551296524052</v>
      </c>
      <c r="I36" s="87">
        <v>3033.7487372866462</v>
      </c>
      <c r="J36" s="88">
        <v>4172.540128035982</v>
      </c>
      <c r="K36" s="89">
        <v>1220.9998425376132</v>
      </c>
      <c r="L36" s="89">
        <v>1043.6804458761405</v>
      </c>
      <c r="M36" s="87">
        <v>907.3075054794058</v>
      </c>
      <c r="N36" s="87">
        <v>675.7446326012131</v>
      </c>
      <c r="O36" s="90">
        <v>611.3922605052396</v>
      </c>
      <c r="P36" s="90">
        <v>720.0774744667673</v>
      </c>
      <c r="Q36" s="91">
        <v>4450.770989457817</v>
      </c>
    </row>
    <row r="38" spans="3:17" ht="12.75">
      <c r="C38" s="113">
        <f>(C36-C35)/C35</f>
        <v>0.09209366934260137</v>
      </c>
      <c r="D38" s="113">
        <f aca="true" t="shared" si="2" ref="D38:Q38">(D36-D35)/D35</f>
        <v>0.09346826993839477</v>
      </c>
      <c r="E38" s="113">
        <f t="shared" si="2"/>
        <v>0.09162190598291554</v>
      </c>
      <c r="F38" s="113">
        <f t="shared" si="2"/>
        <v>0.09653686582341378</v>
      </c>
      <c r="G38" s="113">
        <f t="shared" si="2"/>
        <v>0.09360149798495304</v>
      </c>
      <c r="H38" s="113">
        <f t="shared" si="2"/>
        <v>0.09411724970380582</v>
      </c>
      <c r="I38" s="113">
        <f t="shared" si="2"/>
        <v>0.09324278821140405</v>
      </c>
      <c r="J38" s="113">
        <f t="shared" si="2"/>
        <v>0.09371956173944482</v>
      </c>
      <c r="K38" s="113">
        <f t="shared" si="2"/>
        <v>0.05622823748928475</v>
      </c>
      <c r="L38" s="113">
        <f t="shared" si="2"/>
        <v>0.05635672659528394</v>
      </c>
      <c r="M38" s="113">
        <f t="shared" si="2"/>
        <v>0.05623690975483794</v>
      </c>
      <c r="N38" s="113">
        <f t="shared" si="2"/>
        <v>0.030098525306727263</v>
      </c>
      <c r="O38" s="113">
        <f t="shared" si="2"/>
        <v>0.03101561636634</v>
      </c>
      <c r="P38" s="113">
        <f t="shared" si="2"/>
        <v>0.031629619579895824</v>
      </c>
      <c r="Q38" s="113">
        <f t="shared" si="2"/>
        <v>0.10523242847226656</v>
      </c>
    </row>
  </sheetData>
  <sheetProtection/>
  <mergeCells count="1">
    <mergeCell ref="B15:B16"/>
  </mergeCells>
  <printOptions/>
  <pageMargins left="0.45" right="0.44" top="1" bottom="1" header="0.5" footer="0.5"/>
  <pageSetup fitToHeight="1" fitToWidth="1" horizontalDpi="600" verticalDpi="600" orientation="landscape" scale="72" r:id="rId1"/>
  <headerFooter alignWithMargins="0">
    <oddFooter>&amp;LResource Planning
February 18, 2008</oddFooter>
  </headerFooter>
</worksheet>
</file>

<file path=xl/worksheets/sheet4.xml><?xml version="1.0" encoding="utf-8"?>
<worksheet xmlns="http://schemas.openxmlformats.org/spreadsheetml/2006/main" xmlns:r="http://schemas.openxmlformats.org/officeDocument/2006/relationships">
  <dimension ref="B1:U52"/>
  <sheetViews>
    <sheetView zoomScalePageLayoutView="0" workbookViewId="0" topLeftCell="A1">
      <pane xSplit="2" ySplit="11" topLeftCell="C12" activePane="bottomRight" state="frozen"/>
      <selection pane="topLeft" activeCell="A1" sqref="A1"/>
      <selection pane="topRight" activeCell="C1" sqref="C1"/>
      <selection pane="bottomLeft" activeCell="A14" sqref="A14"/>
      <selection pane="bottomRight" activeCell="C12" sqref="C12"/>
    </sheetView>
  </sheetViews>
  <sheetFormatPr defaultColWidth="9.140625" defaultRowHeight="12.75"/>
  <cols>
    <col min="1" max="1" width="5.28125" style="0" customWidth="1"/>
    <col min="2" max="2" width="36.7109375" style="0" customWidth="1"/>
    <col min="3" max="3" width="9.7109375" style="0" customWidth="1"/>
    <col min="4" max="10" width="10.421875" style="0" customWidth="1"/>
    <col min="11" max="11" width="9.8515625" style="0" customWidth="1"/>
    <col min="14" max="14" width="10.421875" style="0" customWidth="1"/>
    <col min="17" max="17" width="8.421875" style="0" customWidth="1"/>
    <col min="19" max="19" width="10.57421875" style="0" bestFit="1" customWidth="1"/>
  </cols>
  <sheetData>
    <row r="1" spans="2:17" ht="15.75">
      <c r="B1" s="51" t="s">
        <v>44</v>
      </c>
      <c r="C1" s="51"/>
      <c r="D1" s="51"/>
      <c r="E1" s="51"/>
      <c r="F1" s="51"/>
      <c r="G1" s="51"/>
      <c r="H1" s="51"/>
      <c r="I1" s="51"/>
      <c r="J1" s="51"/>
      <c r="K1" s="51"/>
      <c r="L1" s="51"/>
      <c r="M1" s="51"/>
      <c r="N1" s="51"/>
      <c r="O1" s="51"/>
      <c r="P1" s="51"/>
      <c r="Q1" s="51"/>
    </row>
    <row r="2" spans="2:17" ht="15.75">
      <c r="B2" s="51" t="s">
        <v>45</v>
      </c>
      <c r="C2" s="51"/>
      <c r="D2" s="51"/>
      <c r="E2" s="51"/>
      <c r="F2" s="51"/>
      <c r="G2" s="51"/>
      <c r="H2" s="51"/>
      <c r="I2" s="51"/>
      <c r="J2" s="51"/>
      <c r="K2" s="51"/>
      <c r="L2" s="51"/>
      <c r="M2" s="51"/>
      <c r="N2" s="51"/>
      <c r="O2" s="51"/>
      <c r="P2" s="51"/>
      <c r="Q2" s="51"/>
    </row>
    <row r="3" spans="2:17" ht="15.75">
      <c r="B3" s="51" t="s">
        <v>46</v>
      </c>
      <c r="C3" s="51"/>
      <c r="D3" s="51"/>
      <c r="E3" s="51"/>
      <c r="F3" s="51"/>
      <c r="G3" s="51"/>
      <c r="H3" s="51"/>
      <c r="I3" s="51"/>
      <c r="J3" s="51"/>
      <c r="K3" s="51"/>
      <c r="L3" s="51"/>
      <c r="M3" s="51"/>
      <c r="N3" s="51"/>
      <c r="O3" s="51"/>
      <c r="P3" s="51"/>
      <c r="Q3" s="51"/>
    </row>
    <row r="5" spans="3:21" ht="13.5" thickBot="1">
      <c r="C5" s="5"/>
      <c r="D5" s="5"/>
      <c r="E5" s="5"/>
      <c r="F5" s="5"/>
      <c r="G5" s="5"/>
      <c r="H5" s="5"/>
      <c r="I5" s="5"/>
      <c r="J5" s="5"/>
      <c r="K5" s="5"/>
      <c r="L5" s="5">
        <v>500</v>
      </c>
      <c r="M5" s="5">
        <v>600</v>
      </c>
      <c r="N5" s="5"/>
      <c r="O5" s="5"/>
      <c r="P5" s="5"/>
      <c r="Q5" s="5"/>
      <c r="R5" s="5"/>
      <c r="S5" s="5"/>
      <c r="T5" s="5"/>
      <c r="U5" s="5"/>
    </row>
    <row r="6" spans="3:21" ht="12.75">
      <c r="C6" s="52" t="s">
        <v>47</v>
      </c>
      <c r="D6" s="53"/>
      <c r="E6" s="53"/>
      <c r="F6" s="53"/>
      <c r="G6" s="53"/>
      <c r="H6" s="53"/>
      <c r="I6" s="53"/>
      <c r="J6" s="54"/>
      <c r="K6" s="53" t="s">
        <v>48</v>
      </c>
      <c r="L6" s="53"/>
      <c r="M6" s="53"/>
      <c r="N6" s="53"/>
      <c r="O6" s="53"/>
      <c r="P6" s="53"/>
      <c r="Q6" s="55" t="s">
        <v>13</v>
      </c>
      <c r="R6" s="117" t="s">
        <v>17</v>
      </c>
      <c r="S6" s="117" t="s">
        <v>31</v>
      </c>
      <c r="T6" s="117" t="s">
        <v>18</v>
      </c>
      <c r="U6" s="117" t="s">
        <v>39</v>
      </c>
    </row>
    <row r="7" spans="3:21" ht="12.75">
      <c r="C7" s="425" t="s">
        <v>344</v>
      </c>
      <c r="D7" s="57"/>
      <c r="E7" s="57"/>
      <c r="F7" s="58"/>
      <c r="G7" s="431" t="s">
        <v>50</v>
      </c>
      <c r="H7" s="57"/>
      <c r="I7" s="57"/>
      <c r="J7" s="60"/>
      <c r="K7" s="57" t="s">
        <v>81</v>
      </c>
      <c r="L7" s="57"/>
      <c r="M7" s="58"/>
      <c r="N7" s="59" t="s">
        <v>52</v>
      </c>
      <c r="O7" s="57"/>
      <c r="P7" s="57"/>
      <c r="Q7" s="61" t="s">
        <v>53</v>
      </c>
      <c r="R7" s="118"/>
      <c r="S7" s="118"/>
      <c r="T7" s="118"/>
      <c r="U7" s="118"/>
    </row>
    <row r="8" spans="3:21" ht="12.75">
      <c r="C8" s="426" t="s">
        <v>54</v>
      </c>
      <c r="D8" s="427"/>
      <c r="E8" s="428" t="s">
        <v>55</v>
      </c>
      <c r="F8" s="427"/>
      <c r="G8" s="428" t="s">
        <v>54</v>
      </c>
      <c r="H8" s="427"/>
      <c r="I8" s="428" t="s">
        <v>55</v>
      </c>
      <c r="J8" s="432"/>
      <c r="K8" s="65" t="s">
        <v>56</v>
      </c>
      <c r="L8" s="65" t="s">
        <v>57</v>
      </c>
      <c r="M8" s="66" t="s">
        <v>58</v>
      </c>
      <c r="N8" s="67" t="s">
        <v>59</v>
      </c>
      <c r="O8" s="68" t="s">
        <v>60</v>
      </c>
      <c r="P8" s="69" t="s">
        <v>61</v>
      </c>
      <c r="Q8" s="70"/>
      <c r="R8" s="119"/>
      <c r="S8" s="119"/>
      <c r="T8" s="119"/>
      <c r="U8" s="119"/>
    </row>
    <row r="9" spans="2:21" ht="12.75">
      <c r="B9" s="507" t="s">
        <v>62</v>
      </c>
      <c r="C9" s="429" t="s">
        <v>63</v>
      </c>
      <c r="D9" s="430" t="s">
        <v>64</v>
      </c>
      <c r="E9" s="430" t="s">
        <v>63</v>
      </c>
      <c r="F9" s="430" t="s">
        <v>64</v>
      </c>
      <c r="G9" s="430" t="s">
        <v>63</v>
      </c>
      <c r="H9" s="430" t="s">
        <v>64</v>
      </c>
      <c r="I9" s="430" t="s">
        <v>63</v>
      </c>
      <c r="J9" s="433" t="s">
        <v>64</v>
      </c>
      <c r="K9" s="74"/>
      <c r="L9" s="75" t="s">
        <v>65</v>
      </c>
      <c r="M9" s="76"/>
      <c r="N9" s="72" t="s">
        <v>66</v>
      </c>
      <c r="O9" s="77" t="s">
        <v>67</v>
      </c>
      <c r="P9" s="78" t="s">
        <v>68</v>
      </c>
      <c r="Q9" s="79"/>
      <c r="R9" s="120"/>
      <c r="S9" s="120"/>
      <c r="T9" s="120"/>
      <c r="U9" s="120"/>
    </row>
    <row r="10" spans="2:21" ht="6.75" customHeight="1">
      <c r="B10" s="508"/>
      <c r="C10" s="81"/>
      <c r="D10" s="82"/>
      <c r="E10" s="82"/>
      <c r="F10" s="82"/>
      <c r="G10" s="82"/>
      <c r="H10" s="82"/>
      <c r="I10" s="82"/>
      <c r="J10" s="83"/>
      <c r="K10" s="84"/>
      <c r="L10" s="84"/>
      <c r="M10" s="82"/>
      <c r="N10" s="82"/>
      <c r="O10" s="2"/>
      <c r="P10" s="2"/>
      <c r="Q10" s="70"/>
      <c r="R10" s="119"/>
      <c r="S10" s="119"/>
      <c r="T10" s="119"/>
      <c r="U10" s="119"/>
    </row>
    <row r="11" spans="2:21" ht="6.75" customHeight="1">
      <c r="B11" s="80"/>
      <c r="C11" s="81"/>
      <c r="D11" s="82"/>
      <c r="E11" s="82"/>
      <c r="F11" s="82"/>
      <c r="G11" s="82"/>
      <c r="H11" s="82"/>
      <c r="I11" s="82"/>
      <c r="J11" s="83"/>
      <c r="K11" s="84"/>
      <c r="L11" s="84"/>
      <c r="M11" s="82"/>
      <c r="N11" s="82"/>
      <c r="O11" s="2"/>
      <c r="P11" s="2"/>
      <c r="Q11" s="70"/>
      <c r="R11" s="119"/>
      <c r="S11" s="119"/>
      <c r="T11" s="119"/>
      <c r="U11" s="119"/>
    </row>
    <row r="12" spans="2:21" ht="15" customHeight="1">
      <c r="B12" s="85" t="s">
        <v>253</v>
      </c>
      <c r="C12" s="435">
        <v>2753</v>
      </c>
      <c r="D12" s="436">
        <v>4468.563327766983</v>
      </c>
      <c r="E12" s="435">
        <v>2099.0111904573646</v>
      </c>
      <c r="F12" s="437">
        <v>4237.684150466047</v>
      </c>
      <c r="G12" s="435">
        <v>3342.737142852219</v>
      </c>
      <c r="H12" s="436">
        <v>4351.736598948832</v>
      </c>
      <c r="I12" s="435">
        <v>3298.661515231129</v>
      </c>
      <c r="J12" s="436">
        <v>4288.300401311323</v>
      </c>
      <c r="K12" s="290">
        <v>1156</v>
      </c>
      <c r="L12" s="435">
        <v>1057.1921552623658</v>
      </c>
      <c r="M12" s="445">
        <v>885.8517717800149</v>
      </c>
      <c r="N12" s="443">
        <v>851.2298652668694</v>
      </c>
      <c r="O12" s="440">
        <v>730.2816881508992</v>
      </c>
      <c r="P12" s="441">
        <v>793.693551413088</v>
      </c>
      <c r="Q12" s="446">
        <v>4200.523038605231</v>
      </c>
      <c r="R12" s="121"/>
      <c r="S12" s="121"/>
      <c r="T12" s="121"/>
      <c r="U12" s="121"/>
    </row>
    <row r="13" spans="2:21" ht="15" customHeight="1" thickBot="1">
      <c r="B13" s="85" t="s">
        <v>254</v>
      </c>
      <c r="C13" s="434">
        <v>3021.1979563531086</v>
      </c>
      <c r="D13" s="434">
        <v>5753.287074436488</v>
      </c>
      <c r="E13" s="434">
        <v>2412.550300408484</v>
      </c>
      <c r="F13" s="434">
        <v>5110.263012706797</v>
      </c>
      <c r="G13" s="438">
        <v>3676.0456896676933</v>
      </c>
      <c r="H13" s="439">
        <v>5328.975809412698</v>
      </c>
      <c r="I13" s="438">
        <v>3627.5289005653553</v>
      </c>
      <c r="J13" s="439">
        <v>5255.851469293186</v>
      </c>
      <c r="K13" s="290">
        <v>1220.9998425376132</v>
      </c>
      <c r="L13" s="438">
        <v>1114.8074274022988</v>
      </c>
      <c r="M13" s="442">
        <v>935.2353190726036</v>
      </c>
      <c r="N13" s="444">
        <v>887.491017515758</v>
      </c>
      <c r="O13" s="438">
        <v>757.1754893670155</v>
      </c>
      <c r="P13" s="442">
        <v>826.6744703977986</v>
      </c>
      <c r="Q13" s="447">
        <v>5179.352428393525</v>
      </c>
      <c r="R13" s="301">
        <f>'Abbrev Summary'!C11</f>
        <v>2002</v>
      </c>
      <c r="S13" s="302">
        <v>2175</v>
      </c>
      <c r="T13" s="302">
        <f>+'Abbrev Summary'!E11</f>
        <v>4150</v>
      </c>
      <c r="U13" s="302">
        <f>'Abbrev Summary'!K11</f>
        <v>2975</v>
      </c>
    </row>
    <row r="14" spans="2:21" ht="15" customHeight="1">
      <c r="B14" s="85" t="s">
        <v>71</v>
      </c>
      <c r="C14" s="282">
        <f aca="true" t="shared" si="0" ref="C14:U14">1000*C13*$C$22/52</f>
        <v>7907.40465114727</v>
      </c>
      <c r="D14" s="262">
        <f t="shared" si="0"/>
        <v>15058.12251597704</v>
      </c>
      <c r="E14" s="263">
        <f t="shared" si="0"/>
        <v>6314.386459338359</v>
      </c>
      <c r="F14" s="262">
        <f t="shared" si="0"/>
        <v>13375.13069287298</v>
      </c>
      <c r="G14" s="263">
        <f t="shared" si="0"/>
        <v>9621.34266084179</v>
      </c>
      <c r="H14" s="262">
        <f t="shared" si="0"/>
        <v>13947.569378097465</v>
      </c>
      <c r="I14" s="262">
        <f t="shared" si="0"/>
        <v>9494.35929551817</v>
      </c>
      <c r="J14" s="263">
        <f t="shared" si="0"/>
        <v>13756.180480207742</v>
      </c>
      <c r="K14" s="333">
        <f>+L14/AnnualCosts07!L20*AnnualCosts07!K20</f>
        <v>3413.5219223575846</v>
      </c>
      <c r="L14" s="262">
        <f t="shared" si="0"/>
        <v>2917.794055181786</v>
      </c>
      <c r="M14" s="263">
        <f t="shared" si="0"/>
        <v>2447.7985947265643</v>
      </c>
      <c r="N14" s="262">
        <f t="shared" si="0"/>
        <v>2322.8370669979745</v>
      </c>
      <c r="O14" s="262">
        <f t="shared" si="0"/>
        <v>1981.761232747131</v>
      </c>
      <c r="P14" s="263">
        <f t="shared" si="0"/>
        <v>2163.661450406546</v>
      </c>
      <c r="Q14" s="277">
        <f t="shared" si="0"/>
        <v>13555.9589520069</v>
      </c>
      <c r="R14" s="302">
        <f t="shared" si="0"/>
        <v>5239.85</v>
      </c>
      <c r="S14" s="302">
        <f t="shared" si="0"/>
        <v>5692.6442307692305</v>
      </c>
      <c r="T14" s="302">
        <f t="shared" si="0"/>
        <v>10861.826923076924</v>
      </c>
      <c r="U14" s="302">
        <f t="shared" si="0"/>
        <v>7786.490384615385</v>
      </c>
    </row>
    <row r="15" spans="2:21" ht="5.25" customHeight="1">
      <c r="B15" s="93"/>
      <c r="C15" s="283"/>
      <c r="D15" s="264"/>
      <c r="E15" s="264"/>
      <c r="F15" s="264"/>
      <c r="G15" s="264"/>
      <c r="H15" s="264"/>
      <c r="I15" s="264"/>
      <c r="J15" s="266"/>
      <c r="K15" s="305"/>
      <c r="L15" s="305"/>
      <c r="M15" s="264"/>
      <c r="N15" s="264"/>
      <c r="O15" s="149"/>
      <c r="P15" s="149"/>
      <c r="Q15" s="278"/>
      <c r="R15" s="303"/>
      <c r="S15" s="303"/>
      <c r="T15" s="303"/>
      <c r="U15" s="303"/>
    </row>
    <row r="16" spans="2:21" ht="14.25" customHeight="1">
      <c r="B16" s="94" t="s">
        <v>258</v>
      </c>
      <c r="C16" s="283"/>
      <c r="D16" s="264"/>
      <c r="E16" s="264"/>
      <c r="F16" s="264"/>
      <c r="G16" s="264"/>
      <c r="H16" s="264"/>
      <c r="I16" s="264"/>
      <c r="J16" s="266"/>
      <c r="K16" s="305"/>
      <c r="L16" s="305"/>
      <c r="M16" s="264"/>
      <c r="N16" s="264"/>
      <c r="O16" s="149"/>
      <c r="P16" s="149"/>
      <c r="Q16" s="278"/>
      <c r="R16" s="303"/>
      <c r="S16" s="303"/>
      <c r="T16" s="303"/>
      <c r="U16" s="303"/>
    </row>
    <row r="17" spans="2:21" ht="15" customHeight="1">
      <c r="B17" s="95" t="s">
        <v>259</v>
      </c>
      <c r="C17" s="448">
        <v>48.4447133568219</v>
      </c>
      <c r="D17" s="449">
        <v>88.73612049856969</v>
      </c>
      <c r="E17" s="450">
        <v>41.174741219686304</v>
      </c>
      <c r="F17" s="451">
        <v>82.1176176495899</v>
      </c>
      <c r="G17" s="449">
        <v>64.16</v>
      </c>
      <c r="H17" s="449">
        <v>85.9</v>
      </c>
      <c r="I17" s="449">
        <v>63.75</v>
      </c>
      <c r="J17" s="452">
        <v>85.41</v>
      </c>
      <c r="K17" s="333">
        <f>+L17/AnnualCosts07!L23*AnnualCosts07!K23</f>
        <v>20.174479704797044</v>
      </c>
      <c r="L17" s="453">
        <v>16.74</v>
      </c>
      <c r="M17" s="449">
        <v>14.13</v>
      </c>
      <c r="N17" s="449">
        <v>15.49</v>
      </c>
      <c r="O17" s="454">
        <v>13.85</v>
      </c>
      <c r="P17" s="454">
        <v>14.5</v>
      </c>
      <c r="Q17" s="455">
        <v>123.67</v>
      </c>
      <c r="R17" s="304"/>
      <c r="S17" s="304"/>
      <c r="T17" s="304"/>
      <c r="U17" s="304"/>
    </row>
    <row r="18" spans="2:21" ht="12.75" customHeight="1">
      <c r="B18" s="100" t="s">
        <v>74</v>
      </c>
      <c r="C18" s="284">
        <f aca="true" t="shared" si="1" ref="C18:Q18">C17*1000/52</f>
        <v>931.6291030158058</v>
      </c>
      <c r="D18" s="265">
        <f t="shared" si="1"/>
        <v>1706.463855741725</v>
      </c>
      <c r="E18" s="265">
        <f t="shared" si="1"/>
        <v>791.8219465324289</v>
      </c>
      <c r="F18" s="265">
        <f t="shared" si="1"/>
        <v>1579.1849547998058</v>
      </c>
      <c r="G18" s="265">
        <f t="shared" si="1"/>
        <v>1233.8461538461538</v>
      </c>
      <c r="H18" s="265">
        <f t="shared" si="1"/>
        <v>1651.923076923077</v>
      </c>
      <c r="I18" s="265">
        <f t="shared" si="1"/>
        <v>1225.9615384615386</v>
      </c>
      <c r="J18" s="267">
        <f t="shared" si="1"/>
        <v>1642.5</v>
      </c>
      <c r="K18" s="306">
        <f t="shared" si="1"/>
        <v>387.97076355378925</v>
      </c>
      <c r="L18" s="306">
        <f t="shared" si="1"/>
        <v>321.9230769230769</v>
      </c>
      <c r="M18" s="265">
        <f t="shared" si="1"/>
        <v>271.7307692307692</v>
      </c>
      <c r="N18" s="265">
        <f t="shared" si="1"/>
        <v>297.88461538461536</v>
      </c>
      <c r="O18" s="307">
        <f t="shared" si="1"/>
        <v>266.34615384615387</v>
      </c>
      <c r="P18" s="307">
        <f t="shared" si="1"/>
        <v>278.84615384615387</v>
      </c>
      <c r="Q18" s="279">
        <f t="shared" si="1"/>
        <v>2378.269230769231</v>
      </c>
      <c r="R18" s="304">
        <v>40</v>
      </c>
      <c r="S18" s="304">
        <v>150</v>
      </c>
      <c r="T18" s="304">
        <v>50</v>
      </c>
      <c r="U18" s="304">
        <v>60</v>
      </c>
    </row>
    <row r="19" spans="3:21" ht="6.75" customHeight="1" thickBot="1">
      <c r="C19" s="107"/>
      <c r="D19" s="108"/>
      <c r="E19" s="108"/>
      <c r="F19" s="108"/>
      <c r="G19" s="108"/>
      <c r="H19" s="108"/>
      <c r="I19" s="108"/>
      <c r="J19" s="109"/>
      <c r="K19" s="110"/>
      <c r="L19" s="110"/>
      <c r="M19" s="108"/>
      <c r="N19" s="108"/>
      <c r="O19" s="111"/>
      <c r="P19" s="111"/>
      <c r="Q19" s="112"/>
      <c r="R19" s="124"/>
      <c r="S19" s="124"/>
      <c r="T19" s="124"/>
      <c r="U19" s="124"/>
    </row>
    <row r="20" spans="3:17" ht="12.75">
      <c r="C20" s="5"/>
      <c r="D20" s="5"/>
      <c r="E20" s="5"/>
      <c r="F20" s="5"/>
      <c r="G20" s="5"/>
      <c r="H20" s="5"/>
      <c r="I20" s="5"/>
      <c r="J20" s="5"/>
      <c r="K20" s="5"/>
      <c r="L20" s="5"/>
      <c r="M20" s="5"/>
      <c r="N20" s="5"/>
      <c r="O20" s="5"/>
      <c r="P20" s="5"/>
      <c r="Q20" s="5"/>
    </row>
    <row r="21" spans="2:18" ht="12.75">
      <c r="B21" t="s">
        <v>75</v>
      </c>
      <c r="R21" s="1" t="e">
        <f>#REF!</f>
        <v>#REF!</v>
      </c>
    </row>
    <row r="22" spans="2:18" ht="12.75">
      <c r="B22" t="s">
        <v>76</v>
      </c>
      <c r="C22" s="272">
        <v>0.1361</v>
      </c>
      <c r="K22" s="237" t="s">
        <v>257</v>
      </c>
      <c r="L22" s="5"/>
      <c r="M22" s="5"/>
      <c r="N22" s="237" t="s">
        <v>257</v>
      </c>
      <c r="R22" t="e">
        <f>+R21*52/C22/1000</f>
        <v>#REF!</v>
      </c>
    </row>
    <row r="23" spans="2:18" ht="12.75">
      <c r="B23" t="s">
        <v>260</v>
      </c>
      <c r="R23">
        <f>1.02</f>
        <v>1.02</v>
      </c>
    </row>
    <row r="24" spans="11:18" ht="12.75">
      <c r="K24">
        <f>+K14/AnnualCosts07!K20</f>
        <v>1.068150152479334</v>
      </c>
      <c r="L24">
        <f>+L14/AnnualCosts07!L20</f>
        <v>1.068150152479334</v>
      </c>
      <c r="M24">
        <f>+M14/AnnualCosts07!M20</f>
        <v>1.030780979353236</v>
      </c>
      <c r="N24">
        <f>+N14/AnnualCosts07!N20</f>
        <v>1.3133526700751552</v>
      </c>
      <c r="O24">
        <f>+O14/AnnualCosts07!O20</f>
        <v>1.23844467501323</v>
      </c>
      <c r="P24">
        <f>+P14/AnnualCosts07!P20</f>
        <v>1.1480354541155013</v>
      </c>
      <c r="R24" t="e">
        <f>+R22/R23</f>
        <v>#REF!</v>
      </c>
    </row>
    <row r="30" spans="2:17" ht="12.75">
      <c r="B30" s="379" t="s">
        <v>318</v>
      </c>
      <c r="C30" s="380">
        <f>1000*C12*$C$22/52</f>
        <v>7205.448076923077</v>
      </c>
      <c r="D30" s="380">
        <f aca="true" t="shared" si="2" ref="D30:Q30">1000*D12*$C$22/52</f>
        <v>11695.605171328583</v>
      </c>
      <c r="E30" s="380">
        <f t="shared" si="2"/>
        <v>5493.758135023987</v>
      </c>
      <c r="F30" s="380">
        <f t="shared" si="2"/>
        <v>11091.323324585175</v>
      </c>
      <c r="G30" s="380">
        <f t="shared" si="2"/>
        <v>8748.97163734975</v>
      </c>
      <c r="H30" s="380">
        <f t="shared" si="2"/>
        <v>11389.833675325692</v>
      </c>
      <c r="I30" s="380">
        <f t="shared" si="2"/>
        <v>8633.612158133783</v>
      </c>
      <c r="J30" s="380">
        <f t="shared" si="2"/>
        <v>11223.80162727829</v>
      </c>
      <c r="K30" s="380">
        <f t="shared" si="2"/>
        <v>3025.6076923076926</v>
      </c>
      <c r="L30" s="380">
        <f t="shared" si="2"/>
        <v>2766.997160215538</v>
      </c>
      <c r="M30" s="380">
        <f t="shared" si="2"/>
        <v>2318.5466565242314</v>
      </c>
      <c r="N30" s="380">
        <f t="shared" si="2"/>
        <v>2227.9304742850177</v>
      </c>
      <c r="O30" s="380">
        <f t="shared" si="2"/>
        <v>1911.3718799487956</v>
      </c>
      <c r="P30" s="380">
        <f t="shared" si="2"/>
        <v>2077.3402374484863</v>
      </c>
      <c r="Q30" s="380">
        <f t="shared" si="2"/>
        <v>10994.061260657152</v>
      </c>
    </row>
    <row r="31" spans="2:17" ht="15">
      <c r="B31" s="382" t="s">
        <v>319</v>
      </c>
      <c r="C31" s="381">
        <v>2014</v>
      </c>
      <c r="D31" s="383">
        <v>2020</v>
      </c>
      <c r="E31" s="381">
        <v>2014</v>
      </c>
      <c r="F31" s="383">
        <v>2020</v>
      </c>
      <c r="G31" s="381">
        <v>2014</v>
      </c>
      <c r="H31" s="383">
        <v>2020</v>
      </c>
      <c r="I31" s="381">
        <v>2014</v>
      </c>
      <c r="J31" s="383">
        <v>2020</v>
      </c>
      <c r="L31" s="381">
        <v>2011.5</v>
      </c>
      <c r="M31" s="384">
        <v>2011.5</v>
      </c>
      <c r="N31" s="381">
        <v>2010.5</v>
      </c>
      <c r="O31" s="381">
        <v>2010.5</v>
      </c>
      <c r="P31" s="385">
        <v>2010.5</v>
      </c>
      <c r="Q31" s="386">
        <v>2021</v>
      </c>
    </row>
    <row r="32" spans="3:17" ht="12.75">
      <c r="C32" s="5" t="s">
        <v>321</v>
      </c>
      <c r="D32" s="5" t="s">
        <v>320</v>
      </c>
      <c r="E32" s="5" t="s">
        <v>321</v>
      </c>
      <c r="F32" s="5" t="s">
        <v>320</v>
      </c>
      <c r="G32" s="5" t="s">
        <v>321</v>
      </c>
      <c r="H32" s="5" t="s">
        <v>320</v>
      </c>
      <c r="I32" s="5" t="s">
        <v>321</v>
      </c>
      <c r="J32" s="5" t="s">
        <v>320</v>
      </c>
      <c r="L32" s="5">
        <v>4</v>
      </c>
      <c r="M32" s="5">
        <v>4</v>
      </c>
      <c r="N32" s="5">
        <v>3</v>
      </c>
      <c r="O32" s="5">
        <v>3</v>
      </c>
      <c r="P32" s="5">
        <v>3</v>
      </c>
      <c r="Q32" s="5" t="s">
        <v>320</v>
      </c>
    </row>
    <row r="38" spans="2:21" ht="15.75" customHeight="1">
      <c r="B38" s="291">
        <v>2008</v>
      </c>
      <c r="C38" s="81"/>
      <c r="D38" s="82"/>
      <c r="E38" s="82"/>
      <c r="F38" s="82"/>
      <c r="G38" s="82"/>
      <c r="H38" s="82"/>
      <c r="I38" s="82"/>
      <c r="J38" s="83"/>
      <c r="K38" s="84"/>
      <c r="L38" s="84"/>
      <c r="M38" s="82"/>
      <c r="N38" s="82"/>
      <c r="O38" s="2"/>
      <c r="P38" s="2"/>
      <c r="Q38" s="70"/>
      <c r="R38" s="119"/>
      <c r="S38" s="119"/>
      <c r="T38" s="119"/>
      <c r="U38" s="119"/>
    </row>
    <row r="39" spans="2:21" ht="15" customHeight="1">
      <c r="B39" s="85" t="s">
        <v>253</v>
      </c>
      <c r="C39" s="273">
        <v>2527.277348725254</v>
      </c>
      <c r="D39" s="274">
        <v>4106.022923608309</v>
      </c>
      <c r="E39" s="268">
        <v>2127.468101346816</v>
      </c>
      <c r="F39" s="280">
        <v>3577.015618804232</v>
      </c>
      <c r="G39" s="273">
        <v>3439.490809864254</v>
      </c>
      <c r="H39" s="274">
        <v>4974.834169867436</v>
      </c>
      <c r="I39" s="268">
        <v>3807.066993167121</v>
      </c>
      <c r="J39" s="270">
        <v>5115.597596000201</v>
      </c>
      <c r="K39" s="297">
        <v>1156</v>
      </c>
      <c r="L39" s="294">
        <v>1057.1921552623658</v>
      </c>
      <c r="M39" s="295">
        <v>885.8517717800149</v>
      </c>
      <c r="N39" s="262">
        <v>656</v>
      </c>
      <c r="O39" s="294">
        <v>550.8947350254414</v>
      </c>
      <c r="P39" s="295">
        <v>793.693551413088</v>
      </c>
      <c r="Q39" s="275">
        <v>4200.523038605231</v>
      </c>
      <c r="R39" s="121"/>
      <c r="S39" s="121"/>
      <c r="T39" s="121"/>
      <c r="U39" s="121"/>
    </row>
    <row r="40" spans="2:21" ht="15" customHeight="1">
      <c r="B40" s="85" t="s">
        <v>254</v>
      </c>
      <c r="C40" s="269">
        <v>2772.4893354681826</v>
      </c>
      <c r="D40" s="271">
        <v>4980.114904291415</v>
      </c>
      <c r="E40" s="269">
        <v>2333.8881367760864</v>
      </c>
      <c r="F40" s="281">
        <v>4338.492289866593</v>
      </c>
      <c r="G40" s="269">
        <v>3778.136759095562</v>
      </c>
      <c r="H40" s="271">
        <v>6080.572383742678</v>
      </c>
      <c r="I40" s="269">
        <v>4181.755282865888</v>
      </c>
      <c r="J40" s="271">
        <v>6308.353322311929</v>
      </c>
      <c r="K40" s="297">
        <v>1220.9998425376132</v>
      </c>
      <c r="L40" s="269">
        <v>1114.8074274022988</v>
      </c>
      <c r="M40" s="296">
        <v>935.2353190726036</v>
      </c>
      <c r="N40" s="262">
        <v>675.7446326012131</v>
      </c>
      <c r="O40" s="269">
        <v>571.2052160474504</v>
      </c>
      <c r="P40" s="296">
        <v>826.6744703977986</v>
      </c>
      <c r="Q40" s="276">
        <v>5179.352428393525</v>
      </c>
      <c r="R40" s="260">
        <v>1800</v>
      </c>
      <c r="S40" s="261">
        <v>2175</v>
      </c>
      <c r="T40" s="261">
        <v>3900</v>
      </c>
      <c r="U40" s="261">
        <f>+C40*1.15</f>
        <v>3188.3627357884097</v>
      </c>
    </row>
    <row r="41" spans="2:21" ht="15" customHeight="1">
      <c r="B41" s="85" t="s">
        <v>71</v>
      </c>
      <c r="C41" s="282">
        <f aca="true" t="shared" si="3" ref="C41:U41">1000*C40*$C$22/52</f>
        <v>7256.457664561917</v>
      </c>
      <c r="D41" s="262">
        <f t="shared" si="3"/>
        <v>13034.493047578106</v>
      </c>
      <c r="E41" s="263">
        <f t="shared" si="3"/>
        <v>6108.503373369719</v>
      </c>
      <c r="F41" s="262">
        <f t="shared" si="3"/>
        <v>11355.169243285449</v>
      </c>
      <c r="G41" s="263">
        <f t="shared" si="3"/>
        <v>9888.54640217127</v>
      </c>
      <c r="H41" s="262">
        <f t="shared" si="3"/>
        <v>15914.728873603432</v>
      </c>
      <c r="I41" s="262">
        <f t="shared" si="3"/>
        <v>10944.940269193217</v>
      </c>
      <c r="J41" s="263">
        <f t="shared" si="3"/>
        <v>16510.9016762818</v>
      </c>
      <c r="K41" s="298">
        <f t="shared" si="3"/>
        <v>3195.732280180176</v>
      </c>
      <c r="L41" s="262">
        <f t="shared" si="3"/>
        <v>2917.794055181786</v>
      </c>
      <c r="M41" s="263">
        <f t="shared" si="3"/>
        <v>2447.7985947265643</v>
      </c>
      <c r="N41" s="262">
        <f t="shared" si="3"/>
        <v>1768.6316249427905</v>
      </c>
      <c r="O41" s="262">
        <f t="shared" si="3"/>
        <v>1495.0198058472693</v>
      </c>
      <c r="P41" s="263">
        <f t="shared" si="3"/>
        <v>2163.661450406546</v>
      </c>
      <c r="Q41" s="277">
        <f t="shared" si="3"/>
        <v>13555.9589520069</v>
      </c>
      <c r="R41" s="261">
        <f t="shared" si="3"/>
        <v>4711.153846153846</v>
      </c>
      <c r="S41" s="261">
        <f t="shared" si="3"/>
        <v>5692.6442307692305</v>
      </c>
      <c r="T41" s="261">
        <f t="shared" si="3"/>
        <v>10207.5</v>
      </c>
      <c r="U41" s="261">
        <f t="shared" si="3"/>
        <v>8344.926314246202</v>
      </c>
    </row>
    <row r="44" spans="2:21" ht="17.25" customHeight="1">
      <c r="B44" s="291">
        <v>2007</v>
      </c>
      <c r="C44" s="81"/>
      <c r="D44" s="82"/>
      <c r="E44" s="82"/>
      <c r="F44" s="82"/>
      <c r="G44" s="82"/>
      <c r="H44" s="82"/>
      <c r="I44" s="82"/>
      <c r="J44" s="83"/>
      <c r="K44" s="84"/>
      <c r="L44" s="84"/>
      <c r="M44" s="82"/>
      <c r="N44" s="82"/>
      <c r="O44" s="2"/>
      <c r="P44" s="2"/>
      <c r="Q44" s="70"/>
      <c r="R44" s="119"/>
      <c r="S44" s="119"/>
      <c r="T44" s="119"/>
      <c r="U44" s="119"/>
    </row>
    <row r="45" spans="2:21" ht="15" customHeight="1">
      <c r="B45" s="85" t="s">
        <v>69</v>
      </c>
      <c r="C45" s="286">
        <v>2400</v>
      </c>
      <c r="D45" s="285">
        <v>4310</v>
      </c>
      <c r="E45" s="285">
        <v>2092</v>
      </c>
      <c r="F45" s="285">
        <v>3876</v>
      </c>
      <c r="G45" s="285">
        <v>3079</v>
      </c>
      <c r="H45" s="285">
        <v>4139</v>
      </c>
      <c r="I45" s="285">
        <v>2775</v>
      </c>
      <c r="J45" s="287">
        <v>3815</v>
      </c>
      <c r="K45" s="290">
        <v>1156</v>
      </c>
      <c r="L45" s="290">
        <v>988</v>
      </c>
      <c r="M45" s="285">
        <v>859</v>
      </c>
      <c r="N45" s="285">
        <v>656</v>
      </c>
      <c r="O45" s="288">
        <v>593</v>
      </c>
      <c r="P45" s="288">
        <v>698</v>
      </c>
      <c r="Q45" s="289">
        <v>4027</v>
      </c>
      <c r="R45" s="121"/>
      <c r="S45" s="121"/>
      <c r="T45" s="121"/>
      <c r="U45" s="121"/>
    </row>
    <row r="46" spans="2:21" ht="15" customHeight="1">
      <c r="B46" s="85" t="s">
        <v>70</v>
      </c>
      <c r="C46" s="86">
        <v>2621.0248064222433</v>
      </c>
      <c r="D46" s="87">
        <v>4712.848243434481</v>
      </c>
      <c r="E46" s="87">
        <v>2283.6730273162593</v>
      </c>
      <c r="F46" s="87">
        <v>4250.176891931552</v>
      </c>
      <c r="G46" s="87">
        <v>3367.1990122956704</v>
      </c>
      <c r="H46" s="87">
        <v>4528.551296524052</v>
      </c>
      <c r="I46" s="87">
        <v>3033.7487372866462</v>
      </c>
      <c r="J46" s="88">
        <v>4172.540128035982</v>
      </c>
      <c r="K46" s="89">
        <v>1220.9998425376132</v>
      </c>
      <c r="L46" s="89">
        <v>1043.6804458761405</v>
      </c>
      <c r="M46" s="87">
        <v>907.3075054794058</v>
      </c>
      <c r="N46" s="87">
        <v>675.7446326012131</v>
      </c>
      <c r="O46" s="90">
        <v>611.3922605052396</v>
      </c>
      <c r="P46" s="90">
        <v>720.0774744667673</v>
      </c>
      <c r="Q46" s="91">
        <v>4450.770989457817</v>
      </c>
      <c r="R46" s="160">
        <v>1800</v>
      </c>
      <c r="S46" s="121">
        <v>2175</v>
      </c>
      <c r="T46" s="121">
        <v>3900</v>
      </c>
      <c r="U46" s="121">
        <f>+C46*1.15</f>
        <v>3014.1785273855794</v>
      </c>
    </row>
    <row r="47" spans="2:21" ht="15" customHeight="1">
      <c r="B47" s="85" t="s">
        <v>71</v>
      </c>
      <c r="C47" s="92">
        <v>6860.028387578218</v>
      </c>
      <c r="D47" s="87">
        <v>12334.973960219864</v>
      </c>
      <c r="E47" s="89">
        <v>5977.074981110441</v>
      </c>
      <c r="F47" s="87">
        <v>11124.02067292085</v>
      </c>
      <c r="G47" s="89">
        <v>8812.995876412322</v>
      </c>
      <c r="H47" s="87">
        <v>11852.612143402375</v>
      </c>
      <c r="I47" s="87">
        <v>7940.253906629087</v>
      </c>
      <c r="J47" s="89">
        <v>10920.8213735711</v>
      </c>
      <c r="K47" s="86">
        <v>3195.732280180176</v>
      </c>
      <c r="L47" s="87">
        <v>2731.6328593027447</v>
      </c>
      <c r="M47" s="89">
        <v>2374.7029133797523</v>
      </c>
      <c r="N47" s="87">
        <v>1768.6316249427905</v>
      </c>
      <c r="O47" s="87">
        <v>1600.201666437752</v>
      </c>
      <c r="P47" s="89">
        <v>1884.664312979366</v>
      </c>
      <c r="Q47" s="91">
        <v>11649.037147407866</v>
      </c>
      <c r="R47" s="121">
        <v>4711.153846153846</v>
      </c>
      <c r="S47" s="121">
        <v>5692.6442307692305</v>
      </c>
      <c r="T47" s="121">
        <v>10207.5</v>
      </c>
      <c r="U47" s="121">
        <v>7889.0326457149495</v>
      </c>
    </row>
    <row r="49" ht="12.75">
      <c r="B49" s="292" t="s">
        <v>256</v>
      </c>
    </row>
    <row r="50" spans="2:21" ht="12.75">
      <c r="B50" s="85" t="s">
        <v>69</v>
      </c>
      <c r="C50" s="293">
        <f>C39-C45</f>
        <v>127.27734872525389</v>
      </c>
      <c r="D50" s="293">
        <f aca="true" t="shared" si="4" ref="D50:U50">D39-D45</f>
        <v>-203.9770763916913</v>
      </c>
      <c r="E50" s="293">
        <f t="shared" si="4"/>
        <v>35.468101346816184</v>
      </c>
      <c r="F50" s="293">
        <f t="shared" si="4"/>
        <v>-298.98438119576804</v>
      </c>
      <c r="G50" s="293">
        <f t="shared" si="4"/>
        <v>360.49080986425406</v>
      </c>
      <c r="H50" s="293">
        <f t="shared" si="4"/>
        <v>835.8341698674358</v>
      </c>
      <c r="I50" s="293">
        <f t="shared" si="4"/>
        <v>1032.066993167121</v>
      </c>
      <c r="J50" s="293">
        <f t="shared" si="4"/>
        <v>1300.5975960002006</v>
      </c>
      <c r="K50" s="293">
        <f t="shared" si="4"/>
        <v>0</v>
      </c>
      <c r="L50" s="293">
        <f t="shared" si="4"/>
        <v>69.19215526236576</v>
      </c>
      <c r="M50" s="293">
        <f t="shared" si="4"/>
        <v>26.85177178001493</v>
      </c>
      <c r="N50" s="293">
        <f t="shared" si="4"/>
        <v>0</v>
      </c>
      <c r="O50" s="293">
        <f t="shared" si="4"/>
        <v>-42.10526497455862</v>
      </c>
      <c r="P50" s="293">
        <f t="shared" si="4"/>
        <v>95.69355141308802</v>
      </c>
      <c r="Q50" s="293">
        <f t="shared" si="4"/>
        <v>173.5230386052308</v>
      </c>
      <c r="R50" s="293">
        <f t="shared" si="4"/>
        <v>0</v>
      </c>
      <c r="S50" s="293">
        <f t="shared" si="4"/>
        <v>0</v>
      </c>
      <c r="T50" s="293">
        <f t="shared" si="4"/>
        <v>0</v>
      </c>
      <c r="U50" s="293">
        <f t="shared" si="4"/>
        <v>0</v>
      </c>
    </row>
    <row r="51" spans="2:21" ht="12.75">
      <c r="B51" s="85" t="s">
        <v>70</v>
      </c>
      <c r="C51" s="293">
        <f>C40-C46</f>
        <v>151.46452904593934</v>
      </c>
      <c r="D51" s="293">
        <f aca="true" t="shared" si="5" ref="D51:U51">D40-D46</f>
        <v>267.2666608569334</v>
      </c>
      <c r="E51" s="293">
        <f t="shared" si="5"/>
        <v>50.21510945982709</v>
      </c>
      <c r="F51" s="293">
        <f t="shared" si="5"/>
        <v>88.31539793504089</v>
      </c>
      <c r="G51" s="293">
        <f t="shared" si="5"/>
        <v>410.93774679989156</v>
      </c>
      <c r="H51" s="293">
        <f t="shared" si="5"/>
        <v>1552.0210872186253</v>
      </c>
      <c r="I51" s="293">
        <f t="shared" si="5"/>
        <v>1148.006545579242</v>
      </c>
      <c r="J51" s="293">
        <f t="shared" si="5"/>
        <v>2135.8131942759474</v>
      </c>
      <c r="K51" s="293">
        <f t="shared" si="5"/>
        <v>0</v>
      </c>
      <c r="L51" s="293">
        <f t="shared" si="5"/>
        <v>71.12698152615826</v>
      </c>
      <c r="M51" s="293">
        <f t="shared" si="5"/>
        <v>27.92781359319781</v>
      </c>
      <c r="N51" s="293">
        <f t="shared" si="5"/>
        <v>0</v>
      </c>
      <c r="O51" s="293">
        <f t="shared" si="5"/>
        <v>-40.18704445778917</v>
      </c>
      <c r="P51" s="293">
        <f t="shared" si="5"/>
        <v>106.5969959310313</v>
      </c>
      <c r="Q51" s="293">
        <f t="shared" si="5"/>
        <v>728.5814389357074</v>
      </c>
      <c r="R51" s="293">
        <f t="shared" si="5"/>
        <v>0</v>
      </c>
      <c r="S51" s="293">
        <f t="shared" si="5"/>
        <v>0</v>
      </c>
      <c r="T51" s="293">
        <f t="shared" si="5"/>
        <v>0</v>
      </c>
      <c r="U51" s="293">
        <f t="shared" si="5"/>
        <v>174.18420840283034</v>
      </c>
    </row>
    <row r="52" spans="2:21" ht="12.75">
      <c r="B52" s="85" t="s">
        <v>71</v>
      </c>
      <c r="C52" s="216">
        <f>C41-C47</f>
        <v>396.4292769836993</v>
      </c>
      <c r="D52" s="216">
        <f aca="true" t="shared" si="6" ref="D52:U52">D41-D47</f>
        <v>699.5190873582414</v>
      </c>
      <c r="E52" s="216">
        <f t="shared" si="6"/>
        <v>131.42839225927855</v>
      </c>
      <c r="F52" s="216">
        <f t="shared" si="6"/>
        <v>231.14857036459944</v>
      </c>
      <c r="G52" s="216">
        <f t="shared" si="6"/>
        <v>1075.5505257589484</v>
      </c>
      <c r="H52" s="216">
        <f t="shared" si="6"/>
        <v>4062.1167302010563</v>
      </c>
      <c r="I52" s="216">
        <f t="shared" si="6"/>
        <v>3004.68636256413</v>
      </c>
      <c r="J52" s="216">
        <f t="shared" si="6"/>
        <v>5590.0803027106995</v>
      </c>
      <c r="K52" s="216">
        <f t="shared" si="6"/>
        <v>0</v>
      </c>
      <c r="L52" s="216">
        <f t="shared" si="6"/>
        <v>186.16119587904132</v>
      </c>
      <c r="M52" s="216">
        <f t="shared" si="6"/>
        <v>73.09568134681194</v>
      </c>
      <c r="N52" s="216">
        <f t="shared" si="6"/>
        <v>0</v>
      </c>
      <c r="O52" s="216">
        <f t="shared" si="6"/>
        <v>-105.18186059048276</v>
      </c>
      <c r="P52" s="216">
        <f t="shared" si="6"/>
        <v>278.99713742717995</v>
      </c>
      <c r="Q52" s="216">
        <f t="shared" si="6"/>
        <v>1906.9218045990347</v>
      </c>
      <c r="R52" s="216">
        <f t="shared" si="6"/>
        <v>0</v>
      </c>
      <c r="S52" s="216">
        <f t="shared" si="6"/>
        <v>0</v>
      </c>
      <c r="T52" s="216">
        <f t="shared" si="6"/>
        <v>0</v>
      </c>
      <c r="U52" s="216">
        <f t="shared" si="6"/>
        <v>455.89366853125284</v>
      </c>
    </row>
  </sheetData>
  <sheetProtection/>
  <mergeCells count="1">
    <mergeCell ref="B9:B10"/>
  </mergeCells>
  <printOptions/>
  <pageMargins left="0.75" right="0.75" top="1" bottom="1" header="0.5" footer="0.5"/>
  <pageSetup horizontalDpi="600" verticalDpi="600" orientation="portrait" r:id="rId3"/>
  <legacyDrawing r:id="rId2"/>
</worksheet>
</file>

<file path=xl/worksheets/sheet5.xml><?xml version="1.0" encoding="utf-8"?>
<worksheet xmlns="http://schemas.openxmlformats.org/spreadsheetml/2006/main" xmlns:r="http://schemas.openxmlformats.org/officeDocument/2006/relationships">
  <dimension ref="B1:V55"/>
  <sheetViews>
    <sheetView zoomScalePageLayoutView="0" workbookViewId="0" topLeftCell="B1">
      <pane xSplit="1" topLeftCell="C1" activePane="topRight" state="frozen"/>
      <selection pane="topLeft" activeCell="B1" sqref="B1"/>
      <selection pane="topRight" activeCell="C1" sqref="C1"/>
    </sheetView>
  </sheetViews>
  <sheetFormatPr defaultColWidth="9.140625" defaultRowHeight="12.75"/>
  <cols>
    <col min="1" max="1" width="5.28125" style="0" customWidth="1"/>
    <col min="2" max="2" width="36.7109375" style="0" customWidth="1"/>
    <col min="3" max="3" width="9.7109375" style="0" customWidth="1"/>
    <col min="4" max="10" width="10.421875" style="0" customWidth="1"/>
    <col min="11" max="11" width="9.8515625" style="0" customWidth="1"/>
    <col min="14" max="14" width="10.421875" style="0" customWidth="1"/>
    <col min="17" max="17" width="8.421875" style="0" customWidth="1"/>
    <col min="19" max="19" width="10.57421875" style="0" bestFit="1" customWidth="1"/>
  </cols>
  <sheetData>
    <row r="1" spans="2:17" ht="15.75">
      <c r="B1" s="51" t="s">
        <v>44</v>
      </c>
      <c r="C1" s="51"/>
      <c r="D1" s="51"/>
      <c r="E1" s="51"/>
      <c r="F1" s="51"/>
      <c r="G1" s="51"/>
      <c r="H1" s="51"/>
      <c r="I1" s="51"/>
      <c r="J1" s="51"/>
      <c r="K1" s="51"/>
      <c r="L1" s="51"/>
      <c r="M1" s="51"/>
      <c r="N1" s="51"/>
      <c r="O1" s="51"/>
      <c r="P1" s="51"/>
      <c r="Q1" s="51"/>
    </row>
    <row r="2" spans="2:17" ht="15.75">
      <c r="B2" s="51" t="s">
        <v>45</v>
      </c>
      <c r="C2" s="51"/>
      <c r="D2" s="51"/>
      <c r="E2" s="51"/>
      <c r="F2" s="51"/>
      <c r="G2" s="51"/>
      <c r="H2" s="51"/>
      <c r="I2" s="51"/>
      <c r="J2" s="51"/>
      <c r="K2" s="51"/>
      <c r="L2" s="51"/>
      <c r="M2" s="51"/>
      <c r="N2" s="51"/>
      <c r="O2" s="51"/>
      <c r="P2" s="51"/>
      <c r="Q2" s="51"/>
    </row>
    <row r="3" spans="2:17" ht="15.75">
      <c r="B3" s="51" t="s">
        <v>46</v>
      </c>
      <c r="C3" s="51"/>
      <c r="D3" s="51"/>
      <c r="E3" s="51"/>
      <c r="F3" s="51"/>
      <c r="G3" s="51"/>
      <c r="H3" s="51"/>
      <c r="I3" s="51"/>
      <c r="J3" s="51"/>
      <c r="K3" s="51"/>
      <c r="L3" s="51"/>
      <c r="M3" s="51"/>
      <c r="N3" s="51"/>
      <c r="O3" s="51"/>
      <c r="P3" s="51"/>
      <c r="Q3" s="51"/>
    </row>
    <row r="5" spans="3:21" ht="13.5" thickBot="1">
      <c r="C5" s="5"/>
      <c r="D5" s="5"/>
      <c r="E5" s="5"/>
      <c r="F5" s="5"/>
      <c r="G5" s="5"/>
      <c r="H5" s="5"/>
      <c r="I5" s="5"/>
      <c r="J5" s="5"/>
      <c r="K5" s="5">
        <v>250</v>
      </c>
      <c r="L5" s="5">
        <v>390</v>
      </c>
      <c r="M5" s="458">
        <v>620</v>
      </c>
      <c r="N5" s="5">
        <v>50</v>
      </c>
      <c r="O5" s="5">
        <v>166</v>
      </c>
      <c r="P5" s="5">
        <v>200</v>
      </c>
      <c r="Q5" s="5"/>
      <c r="R5" s="5"/>
      <c r="S5" s="5"/>
      <c r="T5" s="5"/>
      <c r="U5" s="5"/>
    </row>
    <row r="6" spans="3:21" ht="12.75">
      <c r="C6" s="52" t="s">
        <v>47</v>
      </c>
      <c r="D6" s="53"/>
      <c r="E6" s="53"/>
      <c r="F6" s="53"/>
      <c r="G6" s="53"/>
      <c r="H6" s="53"/>
      <c r="I6" s="53"/>
      <c r="J6" s="54"/>
      <c r="K6" s="53" t="s">
        <v>48</v>
      </c>
      <c r="L6" s="53"/>
      <c r="M6" s="53"/>
      <c r="N6" s="53"/>
      <c r="O6" s="53"/>
      <c r="P6" s="53"/>
      <c r="Q6" s="55" t="s">
        <v>13</v>
      </c>
      <c r="R6" s="461" t="s">
        <v>17</v>
      </c>
      <c r="S6" s="117" t="s">
        <v>31</v>
      </c>
      <c r="T6" s="461" t="s">
        <v>18</v>
      </c>
      <c r="U6" s="461" t="s">
        <v>39</v>
      </c>
    </row>
    <row r="7" spans="3:21" ht="12.75">
      <c r="C7" s="425" t="s">
        <v>344</v>
      </c>
      <c r="D7" s="57"/>
      <c r="E7" s="57"/>
      <c r="F7" s="58"/>
      <c r="G7" s="59" t="s">
        <v>50</v>
      </c>
      <c r="H7" s="57"/>
      <c r="I7" s="57"/>
      <c r="J7" s="60"/>
      <c r="K7" s="57" t="s">
        <v>51</v>
      </c>
      <c r="L7" s="57"/>
      <c r="M7" s="58"/>
      <c r="N7" s="59" t="s">
        <v>52</v>
      </c>
      <c r="O7" s="57"/>
      <c r="P7" s="57"/>
      <c r="Q7" s="61" t="s">
        <v>53</v>
      </c>
      <c r="R7" s="462">
        <v>300</v>
      </c>
      <c r="S7" s="118"/>
      <c r="T7" s="462"/>
      <c r="U7" s="462"/>
    </row>
    <row r="8" spans="3:21" ht="12.75">
      <c r="C8" s="62" t="s">
        <v>54</v>
      </c>
      <c r="D8" s="58"/>
      <c r="E8" s="63" t="s">
        <v>55</v>
      </c>
      <c r="F8" s="58"/>
      <c r="G8" s="63" t="s">
        <v>54</v>
      </c>
      <c r="H8" s="58"/>
      <c r="I8" s="63" t="s">
        <v>55</v>
      </c>
      <c r="J8" s="64"/>
      <c r="K8" s="65" t="s">
        <v>56</v>
      </c>
      <c r="L8" s="65" t="s">
        <v>57</v>
      </c>
      <c r="M8" s="66" t="s">
        <v>347</v>
      </c>
      <c r="N8" s="67">
        <v>50</v>
      </c>
      <c r="O8" s="68" t="s">
        <v>60</v>
      </c>
      <c r="P8" s="69" t="s">
        <v>61</v>
      </c>
      <c r="Q8" s="70"/>
      <c r="R8" s="278"/>
      <c r="S8" s="119"/>
      <c r="T8" s="278"/>
      <c r="U8" s="278"/>
    </row>
    <row r="9" spans="2:21" ht="12.75">
      <c r="B9" s="507" t="s">
        <v>62</v>
      </c>
      <c r="C9" s="71" t="s">
        <v>63</v>
      </c>
      <c r="D9" s="72" t="s">
        <v>64</v>
      </c>
      <c r="E9" s="72" t="s">
        <v>63</v>
      </c>
      <c r="F9" s="72" t="s">
        <v>64</v>
      </c>
      <c r="G9" s="72" t="s">
        <v>63</v>
      </c>
      <c r="H9" s="72" t="s">
        <v>64</v>
      </c>
      <c r="I9" s="72" t="s">
        <v>63</v>
      </c>
      <c r="J9" s="73" t="s">
        <v>64</v>
      </c>
      <c r="K9" s="74"/>
      <c r="L9" s="75"/>
      <c r="M9" s="76"/>
      <c r="N9" s="72"/>
      <c r="O9" s="77" t="s">
        <v>67</v>
      </c>
      <c r="P9" s="78" t="s">
        <v>68</v>
      </c>
      <c r="Q9" s="79"/>
      <c r="R9" s="463"/>
      <c r="S9" s="120"/>
      <c r="T9" s="463"/>
      <c r="U9" s="463"/>
    </row>
    <row r="10" spans="2:21" ht="6.75" customHeight="1">
      <c r="B10" s="508"/>
      <c r="C10" s="81"/>
      <c r="D10" s="82"/>
      <c r="E10" s="82"/>
      <c r="F10" s="82"/>
      <c r="G10" s="82"/>
      <c r="H10" s="82"/>
      <c r="I10" s="82"/>
      <c r="J10" s="83"/>
      <c r="K10" s="84"/>
      <c r="L10" s="84"/>
      <c r="M10" s="82"/>
      <c r="N10" s="82"/>
      <c r="O10" s="2"/>
      <c r="P10" s="2"/>
      <c r="Q10" s="70"/>
      <c r="R10" s="278"/>
      <c r="S10" s="119"/>
      <c r="T10" s="278"/>
      <c r="U10" s="278"/>
    </row>
    <row r="11" spans="2:21" ht="6.75" customHeight="1">
      <c r="B11" s="80"/>
      <c r="C11" s="81"/>
      <c r="D11" s="82"/>
      <c r="E11" s="82"/>
      <c r="F11" s="82"/>
      <c r="G11" s="82"/>
      <c r="H11" s="82"/>
      <c r="I11" s="82"/>
      <c r="J11" s="83"/>
      <c r="K11" s="84"/>
      <c r="L11" s="84"/>
      <c r="M11" s="82"/>
      <c r="N11" s="82"/>
      <c r="O11" s="2"/>
      <c r="P11" s="2"/>
      <c r="Q11" s="70"/>
      <c r="R11" s="278"/>
      <c r="S11" s="119"/>
      <c r="T11" s="278"/>
      <c r="U11" s="278"/>
    </row>
    <row r="12" spans="2:21" ht="15" customHeight="1">
      <c r="B12" s="85" t="s">
        <v>342</v>
      </c>
      <c r="C12" s="435">
        <v>2972</v>
      </c>
      <c r="D12" s="436">
        <v>4485</v>
      </c>
      <c r="E12" s="435">
        <v>2521</v>
      </c>
      <c r="F12" s="437">
        <v>3907</v>
      </c>
      <c r="G12" s="435">
        <v>3438</v>
      </c>
      <c r="H12" s="436">
        <v>5073</v>
      </c>
      <c r="I12" s="435">
        <v>3514</v>
      </c>
      <c r="J12" s="436">
        <v>4848</v>
      </c>
      <c r="K12" s="297">
        <v>1064</v>
      </c>
      <c r="L12" s="435">
        <v>915</v>
      </c>
      <c r="M12" s="445">
        <v>950</v>
      </c>
      <c r="N12" s="443">
        <v>1193</v>
      </c>
      <c r="O12" s="435">
        <v>877</v>
      </c>
      <c r="P12" s="441">
        <v>1199</v>
      </c>
      <c r="Q12" s="446">
        <v>5991</v>
      </c>
      <c r="R12" s="468">
        <v>1953</v>
      </c>
      <c r="S12" s="467"/>
      <c r="T12" s="470">
        <v>3000</v>
      </c>
      <c r="U12" s="470">
        <v>3130</v>
      </c>
    </row>
    <row r="13" spans="2:22" ht="15" customHeight="1" thickBot="1">
      <c r="B13" s="85" t="s">
        <v>343</v>
      </c>
      <c r="C13" s="444">
        <v>3314</v>
      </c>
      <c r="D13" s="444">
        <v>5485</v>
      </c>
      <c r="E13" s="444">
        <v>2811</v>
      </c>
      <c r="F13" s="444">
        <v>4852</v>
      </c>
      <c r="G13" s="438">
        <v>3833</v>
      </c>
      <c r="H13" s="439">
        <v>6153</v>
      </c>
      <c r="I13" s="438">
        <v>3918</v>
      </c>
      <c r="J13" s="439">
        <v>5928</v>
      </c>
      <c r="K13" s="297">
        <v>1122</v>
      </c>
      <c r="L13" s="438">
        <v>1012</v>
      </c>
      <c r="M13" s="442">
        <v>1001</v>
      </c>
      <c r="N13" s="444">
        <v>1032</v>
      </c>
      <c r="O13" s="438">
        <v>910</v>
      </c>
      <c r="P13" s="442">
        <v>1244</v>
      </c>
      <c r="Q13" s="447">
        <v>6970</v>
      </c>
      <c r="R13" s="464">
        <v>2028</v>
      </c>
      <c r="S13" s="466">
        <v>2175</v>
      </c>
      <c r="T13" s="469">
        <f>T12*V13</f>
        <v>3115.3846153846157</v>
      </c>
      <c r="U13" s="469">
        <v>3250</v>
      </c>
      <c r="V13">
        <v>1.0384615384615385</v>
      </c>
    </row>
    <row r="14" spans="2:21" ht="15" customHeight="1">
      <c r="B14" s="85" t="s">
        <v>71</v>
      </c>
      <c r="C14" s="282">
        <f aca="true" t="shared" si="0" ref="C14:U14">1000*C13*$C$22/52</f>
        <v>8673.757692307692</v>
      </c>
      <c r="D14" s="262">
        <f t="shared" si="0"/>
        <v>14355.932692307691</v>
      </c>
      <c r="E14" s="263">
        <f t="shared" si="0"/>
        <v>7357.251923076923</v>
      </c>
      <c r="F14" s="262">
        <f t="shared" si="0"/>
        <v>12699.176923076922</v>
      </c>
      <c r="G14" s="263">
        <f t="shared" si="0"/>
        <v>10032.140384615384</v>
      </c>
      <c r="H14" s="262">
        <f t="shared" si="0"/>
        <v>16104.294230769232</v>
      </c>
      <c r="I14" s="262">
        <f t="shared" si="0"/>
        <v>10254.611538461539</v>
      </c>
      <c r="J14" s="460">
        <f t="shared" si="0"/>
        <v>15515.400000000001</v>
      </c>
      <c r="K14" s="263">
        <f t="shared" si="0"/>
        <v>2936.619230769231</v>
      </c>
      <c r="L14" s="262">
        <f t="shared" si="0"/>
        <v>2648.7153846153847</v>
      </c>
      <c r="M14" s="263">
        <f t="shared" si="0"/>
        <v>2619.925</v>
      </c>
      <c r="N14" s="262">
        <f t="shared" si="0"/>
        <v>2701.0615384615385</v>
      </c>
      <c r="O14" s="262">
        <f t="shared" si="0"/>
        <v>2381.75</v>
      </c>
      <c r="P14" s="263">
        <f t="shared" si="0"/>
        <v>3255.9307692307693</v>
      </c>
      <c r="Q14" s="277">
        <f t="shared" si="0"/>
        <v>18242.634615384617</v>
      </c>
      <c r="R14" s="277">
        <f t="shared" si="0"/>
        <v>5307.9</v>
      </c>
      <c r="S14" s="302">
        <f t="shared" si="0"/>
        <v>5692.6442307692305</v>
      </c>
      <c r="T14" s="277">
        <f t="shared" si="0"/>
        <v>8153.920118343196</v>
      </c>
      <c r="U14" s="277">
        <f t="shared" si="0"/>
        <v>8506.25</v>
      </c>
    </row>
    <row r="15" spans="2:21" ht="5.25" customHeight="1">
      <c r="B15" s="93"/>
      <c r="C15" s="283"/>
      <c r="D15" s="264"/>
      <c r="E15" s="264"/>
      <c r="F15" s="264"/>
      <c r="G15" s="264"/>
      <c r="H15" s="264"/>
      <c r="I15" s="264"/>
      <c r="J15" s="266"/>
      <c r="K15" s="305"/>
      <c r="L15" s="305"/>
      <c r="M15" s="264"/>
      <c r="N15" s="264"/>
      <c r="O15" s="149"/>
      <c r="P15" s="149"/>
      <c r="Q15" s="278"/>
      <c r="R15" s="278"/>
      <c r="S15" s="278"/>
      <c r="T15" s="278"/>
      <c r="U15" s="278"/>
    </row>
    <row r="16" spans="2:21" ht="14.25" customHeight="1">
      <c r="B16" s="94" t="s">
        <v>258</v>
      </c>
      <c r="C16" s="283"/>
      <c r="D16" s="264"/>
      <c r="E16" s="264"/>
      <c r="F16" s="264"/>
      <c r="G16" s="264"/>
      <c r="H16" s="264"/>
      <c r="I16" s="264"/>
      <c r="J16" s="266"/>
      <c r="K16" s="305"/>
      <c r="L16" s="305"/>
      <c r="M16" s="264"/>
      <c r="N16" s="264"/>
      <c r="O16" s="149"/>
      <c r="P16" s="149"/>
      <c r="Q16" s="278"/>
      <c r="R16" s="278"/>
      <c r="S16" s="278"/>
      <c r="T16" s="278"/>
      <c r="U16" s="278"/>
    </row>
    <row r="17" spans="2:21" ht="15" customHeight="1">
      <c r="B17" s="95" t="s">
        <v>355</v>
      </c>
      <c r="C17" s="448">
        <v>31.54</v>
      </c>
      <c r="D17" s="449">
        <v>46.31</v>
      </c>
      <c r="E17" s="456">
        <v>28.02</v>
      </c>
      <c r="F17" s="457">
        <v>41.54</v>
      </c>
      <c r="G17" s="449">
        <v>41.85</v>
      </c>
      <c r="H17" s="449">
        <v>59.82</v>
      </c>
      <c r="I17" s="449">
        <v>43.68</v>
      </c>
      <c r="J17" s="452">
        <v>57.83</v>
      </c>
      <c r="K17" s="459">
        <v>11.85</v>
      </c>
      <c r="L17" s="453">
        <v>13.28</v>
      </c>
      <c r="M17" s="449">
        <v>5.36</v>
      </c>
      <c r="N17" s="449">
        <v>2.75</v>
      </c>
      <c r="O17" s="454">
        <v>8.07</v>
      </c>
      <c r="P17" s="454">
        <v>9.88</v>
      </c>
      <c r="Q17" s="455">
        <v>67.3</v>
      </c>
      <c r="R17" s="455"/>
      <c r="S17" s="455"/>
      <c r="T17" s="455"/>
      <c r="U17" s="455"/>
    </row>
    <row r="18" spans="2:21" ht="12.75" customHeight="1">
      <c r="B18" s="100" t="s">
        <v>74</v>
      </c>
      <c r="C18" s="284">
        <f aca="true" t="shared" si="1" ref="C18:Q18">C17*1000/52</f>
        <v>606.5384615384615</v>
      </c>
      <c r="D18" s="265">
        <f t="shared" si="1"/>
        <v>890.5769230769231</v>
      </c>
      <c r="E18" s="265">
        <f t="shared" si="1"/>
        <v>538.8461538461538</v>
      </c>
      <c r="F18" s="265">
        <f t="shared" si="1"/>
        <v>798.8461538461538</v>
      </c>
      <c r="G18" s="265">
        <f t="shared" si="1"/>
        <v>804.8076923076923</v>
      </c>
      <c r="H18" s="265">
        <f t="shared" si="1"/>
        <v>1150.3846153846155</v>
      </c>
      <c r="I18" s="265">
        <f t="shared" si="1"/>
        <v>840</v>
      </c>
      <c r="J18" s="267">
        <f t="shared" si="1"/>
        <v>1112.1153846153845</v>
      </c>
      <c r="K18" s="306">
        <f t="shared" si="1"/>
        <v>227.8846153846154</v>
      </c>
      <c r="L18" s="306">
        <f t="shared" si="1"/>
        <v>255.3846153846154</v>
      </c>
      <c r="M18" s="265">
        <f t="shared" si="1"/>
        <v>103.07692307692308</v>
      </c>
      <c r="N18" s="265">
        <f t="shared" si="1"/>
        <v>52.88461538461539</v>
      </c>
      <c r="O18" s="307">
        <f t="shared" si="1"/>
        <v>155.19230769230768</v>
      </c>
      <c r="P18" s="307">
        <f t="shared" si="1"/>
        <v>190</v>
      </c>
      <c r="Q18" s="279">
        <f t="shared" si="1"/>
        <v>1294.2307692307693</v>
      </c>
      <c r="R18" s="455">
        <v>40</v>
      </c>
      <c r="S18" s="455">
        <v>150</v>
      </c>
      <c r="T18" s="455">
        <v>50</v>
      </c>
      <c r="U18" s="455">
        <v>60</v>
      </c>
    </row>
    <row r="19" spans="3:21" ht="6.75" customHeight="1" thickBot="1">
      <c r="C19" s="107"/>
      <c r="D19" s="108"/>
      <c r="E19" s="108"/>
      <c r="F19" s="108"/>
      <c r="G19" s="108"/>
      <c r="H19" s="108"/>
      <c r="I19" s="108"/>
      <c r="J19" s="109"/>
      <c r="K19" s="110"/>
      <c r="L19" s="110"/>
      <c r="M19" s="108"/>
      <c r="N19" s="108"/>
      <c r="O19" s="111"/>
      <c r="P19" s="111"/>
      <c r="Q19" s="112"/>
      <c r="R19" s="465"/>
      <c r="S19" s="465"/>
      <c r="T19" s="465"/>
      <c r="U19" s="465"/>
    </row>
    <row r="20" spans="3:17" ht="12.75">
      <c r="C20" s="5"/>
      <c r="D20" s="5"/>
      <c r="E20" s="5"/>
      <c r="F20" s="5"/>
      <c r="G20" s="5"/>
      <c r="H20" s="5"/>
      <c r="I20" s="5"/>
      <c r="J20" s="5"/>
      <c r="K20" s="5"/>
      <c r="L20" s="5"/>
      <c r="M20" s="5"/>
      <c r="N20" s="5"/>
      <c r="O20" s="5"/>
      <c r="P20" s="5"/>
      <c r="Q20" s="5"/>
    </row>
    <row r="21" spans="2:18" ht="12.75">
      <c r="B21" t="s">
        <v>356</v>
      </c>
      <c r="R21" s="1"/>
    </row>
    <row r="22" spans="2:14" ht="12.75">
      <c r="B22" t="s">
        <v>76</v>
      </c>
      <c r="C22" s="272">
        <v>0.1361</v>
      </c>
      <c r="K22" s="237"/>
      <c r="L22" s="5"/>
      <c r="M22" s="5"/>
      <c r="N22" s="237"/>
    </row>
    <row r="25" ht="12.75">
      <c r="B25" s="326" t="s">
        <v>346</v>
      </c>
    </row>
    <row r="26" ht="12.75">
      <c r="B26" s="326" t="s">
        <v>345</v>
      </c>
    </row>
    <row r="27" ht="12.75">
      <c r="B27" s="326" t="s">
        <v>350</v>
      </c>
    </row>
    <row r="28" ht="12.75">
      <c r="B28" s="326" t="s">
        <v>353</v>
      </c>
    </row>
    <row r="29" ht="12.75">
      <c r="B29" s="326" t="s">
        <v>354</v>
      </c>
    </row>
    <row r="30" ht="12.75">
      <c r="B30" s="326"/>
    </row>
    <row r="33" spans="2:17" ht="12.75">
      <c r="B33" s="379" t="s">
        <v>318</v>
      </c>
      <c r="C33" s="380">
        <f>1000*C12*$C$22/52</f>
        <v>7778.638461538461</v>
      </c>
      <c r="D33" s="380">
        <f aca="true" t="shared" si="2" ref="D33:Q33">1000*D12*$C$22/52</f>
        <v>11738.625</v>
      </c>
      <c r="E33" s="380">
        <f t="shared" si="2"/>
        <v>6598.232692307692</v>
      </c>
      <c r="F33" s="380">
        <f t="shared" si="2"/>
        <v>10225.821153846153</v>
      </c>
      <c r="G33" s="380">
        <f t="shared" si="2"/>
        <v>8998.303846153845</v>
      </c>
      <c r="H33" s="380">
        <f t="shared" si="2"/>
        <v>13277.601923076923</v>
      </c>
      <c r="I33" s="380">
        <f t="shared" si="2"/>
        <v>9197.219230769231</v>
      </c>
      <c r="J33" s="380">
        <f t="shared" si="2"/>
        <v>12688.707692307693</v>
      </c>
      <c r="K33" s="380">
        <f t="shared" si="2"/>
        <v>2784.8153846153846</v>
      </c>
      <c r="L33" s="380">
        <f t="shared" si="2"/>
        <v>2394.8365384615386</v>
      </c>
      <c r="M33" s="380">
        <f t="shared" si="2"/>
        <v>2486.4423076923076</v>
      </c>
      <c r="N33" s="380">
        <f t="shared" si="2"/>
        <v>3122.4480769230768</v>
      </c>
      <c r="O33" s="380">
        <f t="shared" si="2"/>
        <v>2295.378846153846</v>
      </c>
      <c r="P33" s="380">
        <f t="shared" si="2"/>
        <v>3138.151923076923</v>
      </c>
      <c r="Q33" s="380">
        <f t="shared" si="2"/>
        <v>15680.290384615384</v>
      </c>
    </row>
    <row r="34" spans="2:17" ht="15">
      <c r="B34" s="382" t="s">
        <v>319</v>
      </c>
      <c r="C34" s="381">
        <v>2014</v>
      </c>
      <c r="D34" s="383">
        <v>2020</v>
      </c>
      <c r="E34" s="381">
        <v>2014</v>
      </c>
      <c r="F34" s="383">
        <v>2020</v>
      </c>
      <c r="G34" s="381">
        <v>2014</v>
      </c>
      <c r="H34" s="383">
        <v>2020</v>
      </c>
      <c r="I34" s="381">
        <v>2014</v>
      </c>
      <c r="J34" s="383">
        <v>2020</v>
      </c>
      <c r="L34" s="381">
        <v>2011.5</v>
      </c>
      <c r="M34" s="384">
        <v>2011.5</v>
      </c>
      <c r="N34" s="381">
        <v>2010.5</v>
      </c>
      <c r="O34" s="381">
        <v>2010.5</v>
      </c>
      <c r="P34" s="385">
        <v>2010.5</v>
      </c>
      <c r="Q34" s="386">
        <v>2021</v>
      </c>
    </row>
    <row r="35" spans="3:17" ht="12.75">
      <c r="C35" s="5" t="s">
        <v>321</v>
      </c>
      <c r="D35" s="5" t="s">
        <v>320</v>
      </c>
      <c r="E35" s="5" t="s">
        <v>321</v>
      </c>
      <c r="F35" s="5" t="s">
        <v>320</v>
      </c>
      <c r="G35" s="5" t="s">
        <v>321</v>
      </c>
      <c r="H35" s="5" t="s">
        <v>320</v>
      </c>
      <c r="I35" s="5" t="s">
        <v>321</v>
      </c>
      <c r="J35" s="5" t="s">
        <v>320</v>
      </c>
      <c r="L35" s="5">
        <v>4</v>
      </c>
      <c r="M35" s="5">
        <v>4</v>
      </c>
      <c r="N35" s="5">
        <v>3</v>
      </c>
      <c r="O35" s="5">
        <v>3</v>
      </c>
      <c r="P35" s="5">
        <v>3</v>
      </c>
      <c r="Q35" s="5" t="s">
        <v>320</v>
      </c>
    </row>
    <row r="41" spans="2:21" ht="15.75" customHeight="1">
      <c r="B41" s="291">
        <v>2008</v>
      </c>
      <c r="C41" s="81"/>
      <c r="D41" s="82"/>
      <c r="E41" s="82"/>
      <c r="F41" s="82"/>
      <c r="G41" s="82"/>
      <c r="H41" s="82"/>
      <c r="I41" s="82"/>
      <c r="J41" s="83"/>
      <c r="K41" s="84"/>
      <c r="L41" s="84"/>
      <c r="M41" s="82"/>
      <c r="N41" s="82"/>
      <c r="O41" s="2"/>
      <c r="P41" s="2"/>
      <c r="Q41" s="70"/>
      <c r="R41" s="119"/>
      <c r="S41" s="119"/>
      <c r="T41" s="119"/>
      <c r="U41" s="119"/>
    </row>
    <row r="42" spans="2:21" ht="15" customHeight="1">
      <c r="B42" s="85" t="s">
        <v>253</v>
      </c>
      <c r="C42" s="273">
        <v>2527.277348725254</v>
      </c>
      <c r="D42" s="274">
        <v>4106.022923608309</v>
      </c>
      <c r="E42" s="268">
        <v>2127.468101346816</v>
      </c>
      <c r="F42" s="280">
        <v>3577.015618804232</v>
      </c>
      <c r="G42" s="273">
        <v>3439.490809864254</v>
      </c>
      <c r="H42" s="274">
        <v>4974.834169867436</v>
      </c>
      <c r="I42" s="268">
        <v>3807.066993167121</v>
      </c>
      <c r="J42" s="270">
        <v>5115.597596000201</v>
      </c>
      <c r="K42" s="297">
        <v>1156</v>
      </c>
      <c r="L42" s="294">
        <v>1057.1921552623658</v>
      </c>
      <c r="M42" s="295">
        <v>885.8517717800149</v>
      </c>
      <c r="N42" s="262">
        <v>656</v>
      </c>
      <c r="O42" s="294">
        <v>550.8947350254414</v>
      </c>
      <c r="P42" s="295">
        <v>793.693551413088</v>
      </c>
      <c r="Q42" s="275">
        <v>4200.523038605231</v>
      </c>
      <c r="R42" s="121"/>
      <c r="S42" s="121"/>
      <c r="T42" s="121"/>
      <c r="U42" s="121"/>
    </row>
    <row r="43" spans="2:21" ht="15" customHeight="1">
      <c r="B43" s="85" t="s">
        <v>254</v>
      </c>
      <c r="C43" s="269">
        <v>2772.4893354681826</v>
      </c>
      <c r="D43" s="271">
        <v>4980.114904291415</v>
      </c>
      <c r="E43" s="269">
        <v>2333.8881367760864</v>
      </c>
      <c r="F43" s="281">
        <v>4338.492289866593</v>
      </c>
      <c r="G43" s="269">
        <v>3778.136759095562</v>
      </c>
      <c r="H43" s="271">
        <v>6080.572383742678</v>
      </c>
      <c r="I43" s="269">
        <v>4181.755282865888</v>
      </c>
      <c r="J43" s="271">
        <v>6308.353322311929</v>
      </c>
      <c r="K43" s="297">
        <v>1220.9998425376132</v>
      </c>
      <c r="L43" s="269">
        <v>1114.8074274022988</v>
      </c>
      <c r="M43" s="296">
        <v>935.2353190726036</v>
      </c>
      <c r="N43" s="262">
        <v>675.7446326012131</v>
      </c>
      <c r="O43" s="269">
        <v>571.2052160474504</v>
      </c>
      <c r="P43" s="296">
        <v>826.6744703977986</v>
      </c>
      <c r="Q43" s="276">
        <v>5179.352428393525</v>
      </c>
      <c r="R43" s="260">
        <v>1800</v>
      </c>
      <c r="S43" s="261">
        <v>2175</v>
      </c>
      <c r="T43" s="261">
        <v>3900</v>
      </c>
      <c r="U43" s="261">
        <f>+C43*1.15</f>
        <v>3188.3627357884097</v>
      </c>
    </row>
    <row r="44" spans="2:21" ht="15" customHeight="1">
      <c r="B44" s="85" t="s">
        <v>71</v>
      </c>
      <c r="C44" s="282">
        <f aca="true" t="shared" si="3" ref="C44:U44">1000*C43*$C$22/52</f>
        <v>7256.457664561917</v>
      </c>
      <c r="D44" s="262">
        <f t="shared" si="3"/>
        <v>13034.493047578106</v>
      </c>
      <c r="E44" s="263">
        <f t="shared" si="3"/>
        <v>6108.503373369719</v>
      </c>
      <c r="F44" s="262">
        <f t="shared" si="3"/>
        <v>11355.169243285449</v>
      </c>
      <c r="G44" s="263">
        <f t="shared" si="3"/>
        <v>9888.54640217127</v>
      </c>
      <c r="H44" s="262">
        <f t="shared" si="3"/>
        <v>15914.728873603432</v>
      </c>
      <c r="I44" s="262">
        <f t="shared" si="3"/>
        <v>10944.940269193217</v>
      </c>
      <c r="J44" s="263">
        <f t="shared" si="3"/>
        <v>16510.9016762818</v>
      </c>
      <c r="K44" s="298">
        <f t="shared" si="3"/>
        <v>3195.732280180176</v>
      </c>
      <c r="L44" s="262">
        <f t="shared" si="3"/>
        <v>2917.794055181786</v>
      </c>
      <c r="M44" s="263">
        <f t="shared" si="3"/>
        <v>2447.7985947265643</v>
      </c>
      <c r="N44" s="262">
        <f t="shared" si="3"/>
        <v>1768.6316249427905</v>
      </c>
      <c r="O44" s="262">
        <f t="shared" si="3"/>
        <v>1495.0198058472693</v>
      </c>
      <c r="P44" s="263">
        <f t="shared" si="3"/>
        <v>2163.661450406546</v>
      </c>
      <c r="Q44" s="277">
        <f t="shared" si="3"/>
        <v>13555.9589520069</v>
      </c>
      <c r="R44" s="261">
        <f t="shared" si="3"/>
        <v>4711.153846153846</v>
      </c>
      <c r="S44" s="261">
        <f t="shared" si="3"/>
        <v>5692.6442307692305</v>
      </c>
      <c r="T44" s="261">
        <f t="shared" si="3"/>
        <v>10207.5</v>
      </c>
      <c r="U44" s="261">
        <f t="shared" si="3"/>
        <v>8344.926314246202</v>
      </c>
    </row>
    <row r="47" spans="2:21" ht="17.25" customHeight="1">
      <c r="B47" s="291">
        <v>2007</v>
      </c>
      <c r="C47" s="81"/>
      <c r="D47" s="82"/>
      <c r="E47" s="82"/>
      <c r="F47" s="82"/>
      <c r="G47" s="82"/>
      <c r="H47" s="82"/>
      <c r="I47" s="82"/>
      <c r="J47" s="83"/>
      <c r="K47" s="84"/>
      <c r="L47" s="84"/>
      <c r="M47" s="82"/>
      <c r="N47" s="82"/>
      <c r="O47" s="2"/>
      <c r="P47" s="2"/>
      <c r="Q47" s="70"/>
      <c r="R47" s="119"/>
      <c r="S47" s="119"/>
      <c r="T47" s="119"/>
      <c r="U47" s="119"/>
    </row>
    <row r="48" spans="2:21" ht="15" customHeight="1">
      <c r="B48" s="85" t="s">
        <v>69</v>
      </c>
      <c r="C48" s="286">
        <v>2400</v>
      </c>
      <c r="D48" s="285">
        <v>4310</v>
      </c>
      <c r="E48" s="285">
        <v>2092</v>
      </c>
      <c r="F48" s="285">
        <v>3876</v>
      </c>
      <c r="G48" s="285">
        <v>3079</v>
      </c>
      <c r="H48" s="285">
        <v>4139</v>
      </c>
      <c r="I48" s="285">
        <v>2775</v>
      </c>
      <c r="J48" s="287">
        <v>3815</v>
      </c>
      <c r="K48" s="290">
        <v>1156</v>
      </c>
      <c r="L48" s="290">
        <v>988</v>
      </c>
      <c r="M48" s="285">
        <v>859</v>
      </c>
      <c r="N48" s="285">
        <v>656</v>
      </c>
      <c r="O48" s="288">
        <v>593</v>
      </c>
      <c r="P48" s="288">
        <v>698</v>
      </c>
      <c r="Q48" s="289">
        <v>4027</v>
      </c>
      <c r="R48" s="121"/>
      <c r="S48" s="121"/>
      <c r="T48" s="121"/>
      <c r="U48" s="121"/>
    </row>
    <row r="49" spans="2:21" ht="15" customHeight="1">
      <c r="B49" s="85" t="s">
        <v>70</v>
      </c>
      <c r="C49" s="86">
        <v>2621.0248064222433</v>
      </c>
      <c r="D49" s="87">
        <v>4712.848243434481</v>
      </c>
      <c r="E49" s="87">
        <v>2283.6730273162593</v>
      </c>
      <c r="F49" s="87">
        <v>4250.176891931552</v>
      </c>
      <c r="G49" s="87">
        <v>3367.1990122956704</v>
      </c>
      <c r="H49" s="87">
        <v>4528.551296524052</v>
      </c>
      <c r="I49" s="87">
        <v>3033.7487372866462</v>
      </c>
      <c r="J49" s="88">
        <v>4172.540128035982</v>
      </c>
      <c r="K49" s="89">
        <v>1220.9998425376132</v>
      </c>
      <c r="L49" s="89">
        <v>1043.6804458761405</v>
      </c>
      <c r="M49" s="87">
        <v>907.3075054794058</v>
      </c>
      <c r="N49" s="87">
        <v>675.7446326012131</v>
      </c>
      <c r="O49" s="90">
        <v>611.3922605052396</v>
      </c>
      <c r="P49" s="90">
        <v>720.0774744667673</v>
      </c>
      <c r="Q49" s="91">
        <v>4450.770989457817</v>
      </c>
      <c r="R49" s="160">
        <v>1800</v>
      </c>
      <c r="S49" s="121">
        <v>2175</v>
      </c>
      <c r="T49" s="121">
        <v>3900</v>
      </c>
      <c r="U49" s="121">
        <f>+C49*1.15</f>
        <v>3014.1785273855794</v>
      </c>
    </row>
    <row r="50" spans="2:21" ht="15" customHeight="1">
      <c r="B50" s="85" t="s">
        <v>71</v>
      </c>
      <c r="C50" s="92">
        <v>6860.028387578218</v>
      </c>
      <c r="D50" s="87">
        <v>12334.973960219864</v>
      </c>
      <c r="E50" s="89">
        <v>5977.074981110441</v>
      </c>
      <c r="F50" s="87">
        <v>11124.02067292085</v>
      </c>
      <c r="G50" s="89">
        <v>8812.995876412322</v>
      </c>
      <c r="H50" s="87">
        <v>11852.612143402375</v>
      </c>
      <c r="I50" s="87">
        <v>7940.253906629087</v>
      </c>
      <c r="J50" s="89">
        <v>10920.8213735711</v>
      </c>
      <c r="K50" s="86">
        <v>3195.732280180176</v>
      </c>
      <c r="L50" s="87">
        <v>2731.6328593027447</v>
      </c>
      <c r="M50" s="89">
        <v>2374.7029133797523</v>
      </c>
      <c r="N50" s="87">
        <v>1768.6316249427905</v>
      </c>
      <c r="O50" s="87">
        <v>1600.201666437752</v>
      </c>
      <c r="P50" s="89">
        <v>1884.664312979366</v>
      </c>
      <c r="Q50" s="91">
        <v>11649.037147407866</v>
      </c>
      <c r="R50" s="121">
        <v>4711.153846153846</v>
      </c>
      <c r="S50" s="121">
        <v>5692.6442307692305</v>
      </c>
      <c r="T50" s="121">
        <v>10207.5</v>
      </c>
      <c r="U50" s="121">
        <v>7889.0326457149495</v>
      </c>
    </row>
    <row r="52" ht="12.75">
      <c r="B52" s="292" t="s">
        <v>256</v>
      </c>
    </row>
    <row r="53" spans="2:21" ht="12.75">
      <c r="B53" s="85" t="s">
        <v>69</v>
      </c>
      <c r="C53" s="293">
        <f>C42-C48</f>
        <v>127.27734872525389</v>
      </c>
      <c r="D53" s="293">
        <f aca="true" t="shared" si="4" ref="D53:U55">D42-D48</f>
        <v>-203.9770763916913</v>
      </c>
      <c r="E53" s="293">
        <f t="shared" si="4"/>
        <v>35.468101346816184</v>
      </c>
      <c r="F53" s="293">
        <f t="shared" si="4"/>
        <v>-298.98438119576804</v>
      </c>
      <c r="G53" s="293">
        <f t="shared" si="4"/>
        <v>360.49080986425406</v>
      </c>
      <c r="H53" s="293">
        <f t="shared" si="4"/>
        <v>835.8341698674358</v>
      </c>
      <c r="I53" s="293">
        <f t="shared" si="4"/>
        <v>1032.066993167121</v>
      </c>
      <c r="J53" s="293">
        <f t="shared" si="4"/>
        <v>1300.5975960002006</v>
      </c>
      <c r="K53" s="293">
        <f t="shared" si="4"/>
        <v>0</v>
      </c>
      <c r="L53" s="293">
        <f t="shared" si="4"/>
        <v>69.19215526236576</v>
      </c>
      <c r="M53" s="293">
        <f t="shared" si="4"/>
        <v>26.85177178001493</v>
      </c>
      <c r="N53" s="293">
        <f t="shared" si="4"/>
        <v>0</v>
      </c>
      <c r="O53" s="293">
        <f t="shared" si="4"/>
        <v>-42.10526497455862</v>
      </c>
      <c r="P53" s="293">
        <f t="shared" si="4"/>
        <v>95.69355141308802</v>
      </c>
      <c r="Q53" s="293">
        <f t="shared" si="4"/>
        <v>173.5230386052308</v>
      </c>
      <c r="R53" s="293">
        <f t="shared" si="4"/>
        <v>0</v>
      </c>
      <c r="S53" s="293">
        <f t="shared" si="4"/>
        <v>0</v>
      </c>
      <c r="T53" s="293">
        <f t="shared" si="4"/>
        <v>0</v>
      </c>
      <c r="U53" s="293">
        <f t="shared" si="4"/>
        <v>0</v>
      </c>
    </row>
    <row r="54" spans="2:21" ht="12.75">
      <c r="B54" s="85" t="s">
        <v>70</v>
      </c>
      <c r="C54" s="293">
        <f>C43-C49</f>
        <v>151.46452904593934</v>
      </c>
      <c r="D54" s="293">
        <f t="shared" si="4"/>
        <v>267.2666608569334</v>
      </c>
      <c r="E54" s="293">
        <f t="shared" si="4"/>
        <v>50.21510945982709</v>
      </c>
      <c r="F54" s="293">
        <f t="shared" si="4"/>
        <v>88.31539793504089</v>
      </c>
      <c r="G54" s="293">
        <f t="shared" si="4"/>
        <v>410.93774679989156</v>
      </c>
      <c r="H54" s="293">
        <f t="shared" si="4"/>
        <v>1552.0210872186253</v>
      </c>
      <c r="I54" s="293">
        <f t="shared" si="4"/>
        <v>1148.006545579242</v>
      </c>
      <c r="J54" s="293">
        <f t="shared" si="4"/>
        <v>2135.8131942759474</v>
      </c>
      <c r="K54" s="293">
        <f t="shared" si="4"/>
        <v>0</v>
      </c>
      <c r="L54" s="293">
        <f t="shared" si="4"/>
        <v>71.12698152615826</v>
      </c>
      <c r="M54" s="293">
        <f t="shared" si="4"/>
        <v>27.92781359319781</v>
      </c>
      <c r="N54" s="293">
        <f t="shared" si="4"/>
        <v>0</v>
      </c>
      <c r="O54" s="293">
        <f t="shared" si="4"/>
        <v>-40.18704445778917</v>
      </c>
      <c r="P54" s="293">
        <f t="shared" si="4"/>
        <v>106.5969959310313</v>
      </c>
      <c r="Q54" s="293">
        <f t="shared" si="4"/>
        <v>728.5814389357074</v>
      </c>
      <c r="R54" s="293">
        <f t="shared" si="4"/>
        <v>0</v>
      </c>
      <c r="S54" s="293">
        <f t="shared" si="4"/>
        <v>0</v>
      </c>
      <c r="T54" s="293">
        <f t="shared" si="4"/>
        <v>0</v>
      </c>
      <c r="U54" s="293">
        <f t="shared" si="4"/>
        <v>174.18420840283034</v>
      </c>
    </row>
    <row r="55" spans="2:21" ht="12.75">
      <c r="B55" s="85" t="s">
        <v>71</v>
      </c>
      <c r="C55" s="216">
        <f>C44-C50</f>
        <v>396.4292769836993</v>
      </c>
      <c r="D55" s="216">
        <f t="shared" si="4"/>
        <v>699.5190873582414</v>
      </c>
      <c r="E55" s="216">
        <f t="shared" si="4"/>
        <v>131.42839225927855</v>
      </c>
      <c r="F55" s="216">
        <f t="shared" si="4"/>
        <v>231.14857036459944</v>
      </c>
      <c r="G55" s="216">
        <f t="shared" si="4"/>
        <v>1075.5505257589484</v>
      </c>
      <c r="H55" s="216">
        <f t="shared" si="4"/>
        <v>4062.1167302010563</v>
      </c>
      <c r="I55" s="216">
        <f t="shared" si="4"/>
        <v>3004.68636256413</v>
      </c>
      <c r="J55" s="216">
        <f t="shared" si="4"/>
        <v>5590.0803027106995</v>
      </c>
      <c r="K55" s="216">
        <f t="shared" si="4"/>
        <v>0</v>
      </c>
      <c r="L55" s="216">
        <f t="shared" si="4"/>
        <v>186.16119587904132</v>
      </c>
      <c r="M55" s="216">
        <f t="shared" si="4"/>
        <v>73.09568134681194</v>
      </c>
      <c r="N55" s="216">
        <f t="shared" si="4"/>
        <v>0</v>
      </c>
      <c r="O55" s="216">
        <f t="shared" si="4"/>
        <v>-105.18186059048276</v>
      </c>
      <c r="P55" s="216">
        <f t="shared" si="4"/>
        <v>278.99713742717995</v>
      </c>
      <c r="Q55" s="216">
        <f t="shared" si="4"/>
        <v>1906.9218045990347</v>
      </c>
      <c r="R55" s="216">
        <f t="shared" si="4"/>
        <v>0</v>
      </c>
      <c r="S55" s="216">
        <f t="shared" si="4"/>
        <v>0</v>
      </c>
      <c r="T55" s="216">
        <f t="shared" si="4"/>
        <v>0</v>
      </c>
      <c r="U55" s="216">
        <f t="shared" si="4"/>
        <v>455.89366853125284</v>
      </c>
    </row>
  </sheetData>
  <sheetProtection/>
  <mergeCells count="1">
    <mergeCell ref="B9:B10"/>
  </mergeCells>
  <printOptions/>
  <pageMargins left="0.75" right="0.75" top="1" bottom="1" header="0.5" footer="0.5"/>
  <pageSetup horizontalDpi="600" verticalDpi="600" orientation="portrait" r:id="rId3"/>
  <legacyDrawing r:id="rId2"/>
</worksheet>
</file>

<file path=xl/worksheets/sheet6.xml><?xml version="1.0" encoding="utf-8"?>
<worksheet xmlns="http://schemas.openxmlformats.org/spreadsheetml/2006/main" xmlns:r="http://schemas.openxmlformats.org/officeDocument/2006/relationships">
  <dimension ref="A1:J136"/>
  <sheetViews>
    <sheetView zoomScalePageLayoutView="0" workbookViewId="0" topLeftCell="A1">
      <pane ySplit="1" topLeftCell="A2" activePane="bottomLeft" state="frozen"/>
      <selection pane="topLeft" activeCell="A1" sqref="A1"/>
      <selection pane="bottomLeft" activeCell="A2" sqref="A2"/>
    </sheetView>
  </sheetViews>
  <sheetFormatPr defaultColWidth="9.140625" defaultRowHeight="12.75"/>
  <sheetData>
    <row r="1" spans="2:5" ht="25.5">
      <c r="B1" s="200" t="s">
        <v>207</v>
      </c>
      <c r="C1" s="207" t="s">
        <v>322</v>
      </c>
      <c r="E1" s="207" t="s">
        <v>317</v>
      </c>
    </row>
    <row r="2" spans="1:3" ht="12.75">
      <c r="A2" s="204">
        <v>1900</v>
      </c>
      <c r="B2" s="201">
        <v>700</v>
      </c>
      <c r="C2" s="208"/>
    </row>
    <row r="3" spans="1:3" ht="12.75">
      <c r="A3" s="204">
        <v>1901</v>
      </c>
      <c r="B3" s="202">
        <v>620</v>
      </c>
      <c r="C3" s="208"/>
    </row>
    <row r="4" spans="1:3" ht="12.75">
      <c r="A4" s="204">
        <v>1902</v>
      </c>
      <c r="B4" s="202">
        <v>660</v>
      </c>
      <c r="C4" s="208"/>
    </row>
    <row r="5" spans="1:3" ht="12.75">
      <c r="A5" s="204">
        <v>1903</v>
      </c>
      <c r="B5" s="202">
        <v>630</v>
      </c>
      <c r="C5" s="208"/>
    </row>
    <row r="6" spans="1:3" ht="12.75">
      <c r="A6" s="204">
        <v>1904</v>
      </c>
      <c r="B6" s="202">
        <v>530</v>
      </c>
      <c r="C6" s="208"/>
    </row>
    <row r="7" spans="1:3" ht="12.75">
      <c r="A7" s="204">
        <v>1905</v>
      </c>
      <c r="B7" s="202">
        <v>590</v>
      </c>
      <c r="C7" s="208"/>
    </row>
    <row r="8" spans="1:3" ht="12.75">
      <c r="A8" s="204">
        <v>1906</v>
      </c>
      <c r="B8" s="202">
        <v>610</v>
      </c>
      <c r="C8" s="208"/>
    </row>
    <row r="9" spans="1:3" ht="12.75">
      <c r="A9" s="204">
        <v>1907</v>
      </c>
      <c r="B9" s="202">
        <v>620</v>
      </c>
      <c r="C9" s="208"/>
    </row>
    <row r="10" spans="1:3" ht="12.75">
      <c r="A10" s="204">
        <v>1908</v>
      </c>
      <c r="B10" s="202">
        <v>590</v>
      </c>
      <c r="C10" s="208"/>
    </row>
    <row r="11" spans="1:3" ht="12.75">
      <c r="A11" s="204">
        <v>1909</v>
      </c>
      <c r="B11" s="202">
        <v>530</v>
      </c>
      <c r="C11" s="208"/>
    </row>
    <row r="12" spans="1:3" ht="12.75">
      <c r="A12" s="204">
        <v>1910</v>
      </c>
      <c r="B12" s="202">
        <v>550</v>
      </c>
      <c r="C12" s="208"/>
    </row>
    <row r="13" spans="1:3" ht="12.75">
      <c r="A13" s="204">
        <v>1911</v>
      </c>
      <c r="B13" s="202">
        <v>490</v>
      </c>
      <c r="C13" s="208"/>
    </row>
    <row r="14" spans="1:3" ht="12.75">
      <c r="A14" s="204">
        <v>1912</v>
      </c>
      <c r="B14" s="202">
        <v>470</v>
      </c>
      <c r="C14" s="208"/>
    </row>
    <row r="15" spans="1:3" ht="12.75">
      <c r="A15" s="204">
        <v>1913</v>
      </c>
      <c r="B15" s="202">
        <v>501</v>
      </c>
      <c r="C15" s="208"/>
    </row>
    <row r="16" spans="1:3" ht="12.75">
      <c r="A16" s="204">
        <v>1914</v>
      </c>
      <c r="B16" s="202">
        <v>414</v>
      </c>
      <c r="C16" s="208"/>
    </row>
    <row r="17" spans="1:3" ht="12.75">
      <c r="A17" s="204">
        <v>1915</v>
      </c>
      <c r="B17" s="202">
        <v>466</v>
      </c>
      <c r="C17" s="208"/>
    </row>
    <row r="18" spans="1:3" ht="12.75">
      <c r="A18" s="204">
        <v>1916</v>
      </c>
      <c r="B18" s="202">
        <v>817</v>
      </c>
      <c r="C18" s="208"/>
    </row>
    <row r="19" spans="1:3" ht="12.75">
      <c r="A19" s="204">
        <v>1917</v>
      </c>
      <c r="B19" s="202">
        <v>980</v>
      </c>
      <c r="C19" s="208"/>
    </row>
    <row r="20" spans="1:3" ht="12.75">
      <c r="A20" s="204">
        <v>1918</v>
      </c>
      <c r="B20" s="202">
        <v>688</v>
      </c>
      <c r="C20" s="208"/>
    </row>
    <row r="21" spans="1:3" ht="12.75">
      <c r="A21" s="204">
        <v>1919</v>
      </c>
      <c r="B21" s="202">
        <v>505</v>
      </c>
      <c r="C21" s="208"/>
    </row>
    <row r="22" spans="1:3" ht="12.75">
      <c r="A22" s="204">
        <v>1920</v>
      </c>
      <c r="B22" s="202">
        <v>536</v>
      </c>
      <c r="C22" s="208"/>
    </row>
    <row r="23" spans="1:3" ht="12.75">
      <c r="A23" s="204">
        <v>1921</v>
      </c>
      <c r="B23" s="202">
        <v>379</v>
      </c>
      <c r="C23" s="208"/>
    </row>
    <row r="24" spans="1:3" ht="12.75">
      <c r="A24" s="204">
        <v>1922</v>
      </c>
      <c r="B24" s="202">
        <v>364</v>
      </c>
      <c r="C24" s="208"/>
    </row>
    <row r="25" spans="1:3" ht="12.75">
      <c r="A25" s="204">
        <v>1923</v>
      </c>
      <c r="B25" s="202">
        <v>489</v>
      </c>
      <c r="C25" s="208"/>
    </row>
    <row r="26" spans="1:3" ht="12.75">
      <c r="A26" s="204">
        <v>1924</v>
      </c>
      <c r="B26" s="202">
        <v>462</v>
      </c>
      <c r="C26" s="208"/>
    </row>
    <row r="27" spans="1:3" ht="12.75">
      <c r="A27" s="204">
        <v>1925</v>
      </c>
      <c r="B27" s="202">
        <v>420</v>
      </c>
      <c r="C27" s="208"/>
    </row>
    <row r="28" spans="1:7" ht="12.75">
      <c r="A28" s="204">
        <v>1926</v>
      </c>
      <c r="B28" s="202">
        <v>403</v>
      </c>
      <c r="C28" s="208"/>
      <c r="G28">
        <f>1987-1929</f>
        <v>58</v>
      </c>
    </row>
    <row r="29" spans="1:7" ht="12.75">
      <c r="A29" s="204">
        <v>1927</v>
      </c>
      <c r="B29" s="202">
        <v>379</v>
      </c>
      <c r="C29" s="208"/>
      <c r="G29">
        <v>803</v>
      </c>
    </row>
    <row r="30" spans="1:8" ht="12.75">
      <c r="A30" s="204">
        <v>1928</v>
      </c>
      <c r="B30" s="202">
        <v>393</v>
      </c>
      <c r="C30" s="208"/>
      <c r="G30">
        <v>403</v>
      </c>
      <c r="H30">
        <v>1000</v>
      </c>
    </row>
    <row r="31" spans="1:8" ht="12.75">
      <c r="A31" s="204">
        <v>1929</v>
      </c>
      <c r="B31" s="202">
        <v>403</v>
      </c>
      <c r="C31" s="208"/>
      <c r="G31">
        <f>+G29/G30</f>
        <v>1.9925558312655087</v>
      </c>
      <c r="H31">
        <v>403</v>
      </c>
    </row>
    <row r="32" spans="1:8" ht="12.75">
      <c r="A32" s="204">
        <v>1930</v>
      </c>
      <c r="B32" s="202">
        <v>374</v>
      </c>
      <c r="C32" s="208"/>
      <c r="G32">
        <f>G31^(1/58)</f>
        <v>1.0119574452794986</v>
      </c>
      <c r="H32">
        <f>1929-2030</f>
        <v>-101</v>
      </c>
    </row>
    <row r="33" spans="1:10" ht="12.75">
      <c r="A33" s="204">
        <v>1931</v>
      </c>
      <c r="B33" s="202">
        <v>385</v>
      </c>
      <c r="C33" s="208"/>
      <c r="H33">
        <f>+H30/H31</f>
        <v>2.4813895781637716</v>
      </c>
      <c r="J33">
        <v>1917</v>
      </c>
    </row>
    <row r="34" spans="1:10" ht="12.75">
      <c r="A34" s="204">
        <v>1932</v>
      </c>
      <c r="B34" s="202">
        <v>415</v>
      </c>
      <c r="C34" s="208"/>
      <c r="H34">
        <f>+H33^(1/101)</f>
        <v>1.0090388106678172</v>
      </c>
      <c r="J34">
        <v>1978</v>
      </c>
    </row>
    <row r="35" spans="1:10" ht="12.75">
      <c r="A35" s="204">
        <v>1933</v>
      </c>
      <c r="B35" s="202">
        <v>453</v>
      </c>
      <c r="C35" s="208"/>
      <c r="J35">
        <f>+J34-J33</f>
        <v>61</v>
      </c>
    </row>
    <row r="36" spans="1:3" ht="12.75">
      <c r="A36" s="204">
        <v>1934</v>
      </c>
      <c r="B36" s="202">
        <v>485</v>
      </c>
      <c r="C36" s="208"/>
    </row>
    <row r="37" spans="1:3" ht="12.75">
      <c r="A37" s="204">
        <v>1935</v>
      </c>
      <c r="B37" s="202">
        <v>472</v>
      </c>
      <c r="C37" s="208"/>
    </row>
    <row r="38" spans="1:3" ht="12.75">
      <c r="A38" s="204">
        <v>1936</v>
      </c>
      <c r="B38" s="202">
        <v>496</v>
      </c>
      <c r="C38" s="208"/>
    </row>
    <row r="39" spans="1:3" ht="12.75">
      <c r="A39" s="204">
        <v>1937</v>
      </c>
      <c r="B39" s="202">
        <v>633</v>
      </c>
      <c r="C39" s="208"/>
    </row>
    <row r="40" spans="1:3" ht="12.75">
      <c r="A40" s="204">
        <v>1938</v>
      </c>
      <c r="B40" s="202">
        <v>627</v>
      </c>
      <c r="C40" s="208"/>
    </row>
    <row r="41" spans="1:3" ht="12.75">
      <c r="A41" s="204">
        <v>1939</v>
      </c>
      <c r="B41" s="202">
        <v>597</v>
      </c>
      <c r="C41" s="208"/>
    </row>
    <row r="42" spans="1:3" ht="12.75">
      <c r="A42" s="204">
        <v>1940</v>
      </c>
      <c r="B42" s="202">
        <v>591</v>
      </c>
      <c r="C42" s="208"/>
    </row>
    <row r="43" spans="1:3" ht="12.75">
      <c r="A43" s="204">
        <v>1941</v>
      </c>
      <c r="B43" s="202">
        <v>586</v>
      </c>
      <c r="C43" s="208"/>
    </row>
    <row r="44" spans="1:3" ht="12.75">
      <c r="A44" s="204">
        <v>1942</v>
      </c>
      <c r="B44" s="202">
        <v>528</v>
      </c>
      <c r="C44" s="208"/>
    </row>
    <row r="45" spans="1:3" ht="12.75">
      <c r="A45" s="204">
        <v>1943</v>
      </c>
      <c r="B45" s="202">
        <v>498</v>
      </c>
      <c r="C45" s="208"/>
    </row>
    <row r="46" spans="1:3" ht="12.75">
      <c r="A46" s="204">
        <v>1944</v>
      </c>
      <c r="B46" s="202">
        <v>489</v>
      </c>
      <c r="C46" s="208"/>
    </row>
    <row r="47" spans="1:3" ht="12.75">
      <c r="A47" s="204">
        <v>1945</v>
      </c>
      <c r="B47" s="202">
        <v>491</v>
      </c>
      <c r="C47" s="208"/>
    </row>
    <row r="48" spans="1:3" ht="12.75">
      <c r="A48" s="204">
        <v>1946</v>
      </c>
      <c r="B48" s="202">
        <v>494</v>
      </c>
      <c r="C48" s="208"/>
    </row>
    <row r="49" spans="1:3" ht="12.75">
      <c r="A49" s="204">
        <v>1947</v>
      </c>
      <c r="B49" s="202">
        <v>485</v>
      </c>
      <c r="C49" s="208"/>
    </row>
    <row r="50" spans="1:3" ht="12.75">
      <c r="A50" s="204">
        <v>1948</v>
      </c>
      <c r="B50" s="202">
        <v>512</v>
      </c>
      <c r="C50" s="208"/>
    </row>
    <row r="51" spans="1:3" ht="12.75">
      <c r="A51" s="204">
        <v>1949</v>
      </c>
      <c r="B51" s="202">
        <v>561</v>
      </c>
      <c r="C51" s="208"/>
    </row>
    <row r="52" spans="1:3" ht="12.75">
      <c r="A52" s="204">
        <v>1950</v>
      </c>
      <c r="B52" s="202">
        <v>575</v>
      </c>
      <c r="C52" s="208"/>
    </row>
    <row r="53" spans="1:3" ht="12.75">
      <c r="A53" s="204">
        <v>1951</v>
      </c>
      <c r="B53" s="202">
        <v>569</v>
      </c>
      <c r="C53" s="208"/>
    </row>
    <row r="54" spans="1:3" ht="12.75">
      <c r="A54" s="204">
        <v>1952</v>
      </c>
      <c r="B54" s="202">
        <v>573</v>
      </c>
      <c r="C54" s="208"/>
    </row>
    <row r="55" spans="1:3" ht="12.75">
      <c r="A55" s="204">
        <v>1953</v>
      </c>
      <c r="B55" s="202">
        <v>607</v>
      </c>
      <c r="C55" s="208"/>
    </row>
    <row r="56" spans="1:3" ht="12.75">
      <c r="A56" s="204">
        <v>1954</v>
      </c>
      <c r="B56" s="202">
        <v>630</v>
      </c>
      <c r="C56" s="208"/>
    </row>
    <row r="57" spans="1:3" ht="12.75">
      <c r="A57" s="204">
        <v>1955</v>
      </c>
      <c r="B57" s="202">
        <v>669</v>
      </c>
      <c r="C57" s="208"/>
    </row>
    <row r="58" spans="1:3" ht="12.75">
      <c r="A58" s="204">
        <v>1956</v>
      </c>
      <c r="B58" s="202">
        <v>707</v>
      </c>
      <c r="C58" s="208"/>
    </row>
    <row r="59" spans="1:8" ht="12.75">
      <c r="A59" s="204">
        <v>1957</v>
      </c>
      <c r="B59" s="202">
        <v>744</v>
      </c>
      <c r="G59" s="208">
        <f>+B59/$B$31</f>
        <v>1.8461538461538463</v>
      </c>
      <c r="H59" s="331">
        <f>G59^(1/(1957-1927))</f>
        <v>1.0206470773988587</v>
      </c>
    </row>
    <row r="60" spans="1:3" ht="12.75">
      <c r="A60" s="204">
        <v>1958</v>
      </c>
      <c r="B60" s="202">
        <v>755</v>
      </c>
      <c r="C60" s="208"/>
    </row>
    <row r="61" spans="1:3" ht="12.75">
      <c r="A61" s="204">
        <v>1959</v>
      </c>
      <c r="B61" s="202">
        <v>763</v>
      </c>
      <c r="C61" s="208"/>
    </row>
    <row r="62" spans="1:3" ht="12.75">
      <c r="A62" s="204">
        <v>1960</v>
      </c>
      <c r="B62" s="202">
        <v>751</v>
      </c>
      <c r="C62" s="208"/>
    </row>
    <row r="63" spans="1:3" ht="12.75">
      <c r="A63" s="204">
        <v>1961</v>
      </c>
      <c r="B63" s="202">
        <v>747</v>
      </c>
      <c r="C63" s="208"/>
    </row>
    <row r="64" spans="1:3" ht="12.75">
      <c r="A64" s="204">
        <v>1962</v>
      </c>
      <c r="B64" s="202">
        <v>738</v>
      </c>
      <c r="C64" s="208"/>
    </row>
    <row r="65" spans="1:3" ht="12.75">
      <c r="A65" s="204">
        <v>1963</v>
      </c>
      <c r="B65" s="202">
        <v>736</v>
      </c>
      <c r="C65" s="208"/>
    </row>
    <row r="66" spans="1:3" ht="12.75">
      <c r="A66" s="204">
        <v>1964</v>
      </c>
      <c r="B66" s="202">
        <v>738</v>
      </c>
      <c r="C66" s="208"/>
    </row>
    <row r="67" spans="1:3" ht="12.75">
      <c r="A67" s="204">
        <v>1965</v>
      </c>
      <c r="B67" s="202">
        <v>731</v>
      </c>
      <c r="C67" s="208"/>
    </row>
    <row r="68" spans="1:3" ht="12.75">
      <c r="A68" s="204">
        <v>1966</v>
      </c>
      <c r="B68" s="202">
        <v>714</v>
      </c>
      <c r="C68" s="208"/>
    </row>
    <row r="69" spans="1:3" ht="12.75">
      <c r="A69" s="204">
        <v>1967</v>
      </c>
      <c r="B69" s="202">
        <v>699</v>
      </c>
      <c r="C69" s="208"/>
    </row>
    <row r="70" spans="1:3" ht="12.75">
      <c r="A70" s="204">
        <v>1968</v>
      </c>
      <c r="B70" s="202">
        <v>683</v>
      </c>
      <c r="C70" s="208"/>
    </row>
    <row r="71" spans="1:3" ht="12.75">
      <c r="A71" s="204">
        <v>1969</v>
      </c>
      <c r="B71" s="202">
        <v>670.1</v>
      </c>
      <c r="C71" s="208"/>
    </row>
    <row r="72" spans="1:3" ht="12.75">
      <c r="A72" s="204">
        <v>1970</v>
      </c>
      <c r="B72" s="202">
        <v>656.7</v>
      </c>
      <c r="C72" s="208"/>
    </row>
    <row r="73" spans="1:3" ht="12.75">
      <c r="A73" s="204">
        <v>1971</v>
      </c>
      <c r="B73" s="202">
        <v>678.9</v>
      </c>
      <c r="C73" s="208"/>
    </row>
    <row r="74" spans="1:3" ht="12.75">
      <c r="A74" s="204">
        <v>1972</v>
      </c>
      <c r="B74" s="202">
        <v>724.7</v>
      </c>
      <c r="C74" s="208"/>
    </row>
    <row r="75" spans="1:3" ht="12.75">
      <c r="A75" s="204">
        <v>1973</v>
      </c>
      <c r="B75" s="202">
        <v>760.7</v>
      </c>
      <c r="C75" s="208"/>
    </row>
    <row r="76" spans="1:3" ht="12.75">
      <c r="A76" s="204">
        <v>1974</v>
      </c>
      <c r="B76" s="202">
        <v>808.9</v>
      </c>
      <c r="C76" s="208"/>
    </row>
    <row r="77" spans="1:3" ht="12.75">
      <c r="A77" s="204">
        <v>1975</v>
      </c>
      <c r="B77" s="202">
        <v>874.9</v>
      </c>
      <c r="C77" s="208"/>
    </row>
    <row r="78" spans="1:3" ht="12.75">
      <c r="A78" s="204">
        <v>1976</v>
      </c>
      <c r="B78" s="202">
        <v>897.5</v>
      </c>
      <c r="C78" s="208"/>
    </row>
    <row r="79" spans="1:3" ht="12.75">
      <c r="A79" s="204">
        <v>1977</v>
      </c>
      <c r="B79" s="202">
        <v>923.6</v>
      </c>
      <c r="C79" s="208"/>
    </row>
    <row r="80" spans="1:3" ht="12.75">
      <c r="A80" s="204">
        <v>1978</v>
      </c>
      <c r="B80" s="202">
        <v>989.8</v>
      </c>
      <c r="C80" s="208"/>
    </row>
    <row r="81" spans="1:3" ht="12.75">
      <c r="A81" s="204">
        <v>1979</v>
      </c>
      <c r="B81" s="202">
        <v>990.4</v>
      </c>
      <c r="C81" s="208"/>
    </row>
    <row r="82" spans="1:3" ht="12.75">
      <c r="A82" s="204">
        <v>1980</v>
      </c>
      <c r="B82" s="202">
        <v>944.4</v>
      </c>
      <c r="C82" s="208"/>
    </row>
    <row r="83" spans="1:3" ht="12.75">
      <c r="A83" s="204">
        <v>1981</v>
      </c>
      <c r="B83" s="202">
        <v>957.5</v>
      </c>
      <c r="C83" s="208"/>
    </row>
    <row r="84" spans="1:3" ht="12.75">
      <c r="A84" s="204">
        <v>1982</v>
      </c>
      <c r="B84" s="202">
        <v>941.1</v>
      </c>
      <c r="C84" s="208"/>
    </row>
    <row r="85" spans="1:3" ht="12.75">
      <c r="A85" s="204">
        <v>1983</v>
      </c>
      <c r="B85" s="202">
        <v>945</v>
      </c>
      <c r="C85" s="208"/>
    </row>
    <row r="86" spans="1:3" ht="12.75">
      <c r="A86" s="204">
        <v>1984</v>
      </c>
      <c r="B86" s="202">
        <v>944.6</v>
      </c>
      <c r="C86" s="208"/>
    </row>
    <row r="87" spans="1:9" ht="12.75">
      <c r="A87" s="204">
        <v>1985</v>
      </c>
      <c r="B87" s="202">
        <v>921.8</v>
      </c>
      <c r="G87" s="208">
        <f>+B87/$B$31</f>
        <v>2.287344913151365</v>
      </c>
      <c r="H87" s="331">
        <f>G87^(1/(1985-1927))</f>
        <v>1.014367610474862</v>
      </c>
      <c r="I87" s="331">
        <f>+H87+1.02</f>
        <v>2.0343676104748623</v>
      </c>
    </row>
    <row r="88" spans="1:3" ht="12.75">
      <c r="A88" s="204">
        <v>1986</v>
      </c>
      <c r="B88" s="202">
        <v>813.1</v>
      </c>
      <c r="C88" s="208"/>
    </row>
    <row r="89" spans="1:3" ht="12.75">
      <c r="A89" s="204">
        <v>1987</v>
      </c>
      <c r="B89" s="202">
        <v>803.6</v>
      </c>
      <c r="C89" s="208"/>
    </row>
    <row r="90" spans="1:3" ht="12.75">
      <c r="A90" s="204">
        <v>1988</v>
      </c>
      <c r="B90" s="202">
        <v>771.6</v>
      </c>
      <c r="C90" s="208"/>
    </row>
    <row r="91" spans="1:3" ht="12.75">
      <c r="A91" s="204">
        <v>1989</v>
      </c>
      <c r="B91" s="202">
        <v>730.4</v>
      </c>
      <c r="C91" s="208"/>
    </row>
    <row r="92" spans="1:3" ht="12.75">
      <c r="A92" s="204">
        <v>1990</v>
      </c>
      <c r="B92" s="202">
        <v>720.3</v>
      </c>
      <c r="C92" s="208"/>
    </row>
    <row r="93" spans="1:3" ht="12.75">
      <c r="A93" s="204">
        <v>1991</v>
      </c>
      <c r="B93" s="202">
        <v>718.3</v>
      </c>
      <c r="C93" s="208"/>
    </row>
    <row r="94" spans="1:3" ht="12.75">
      <c r="A94" s="204">
        <v>1992</v>
      </c>
      <c r="B94" s="202">
        <v>617.2</v>
      </c>
      <c r="C94" s="208"/>
    </row>
    <row r="95" spans="1:3" ht="12.75">
      <c r="A95" s="204">
        <v>1993</v>
      </c>
      <c r="B95" s="202">
        <v>608.9</v>
      </c>
      <c r="C95" s="208"/>
    </row>
    <row r="96" spans="1:3" ht="12.75">
      <c r="A96" s="204">
        <v>1994</v>
      </c>
      <c r="B96" s="202">
        <v>627.3</v>
      </c>
      <c r="C96" s="208"/>
    </row>
    <row r="97" spans="1:3" ht="12.75">
      <c r="A97" s="204">
        <v>1995</v>
      </c>
      <c r="B97" s="202">
        <v>633.5</v>
      </c>
      <c r="C97" s="208"/>
    </row>
    <row r="98" spans="1:3" ht="12.75">
      <c r="A98" s="204">
        <v>1996</v>
      </c>
      <c r="B98" s="202">
        <v>658.5</v>
      </c>
      <c r="C98" s="208"/>
    </row>
    <row r="99" spans="1:3" ht="12.75">
      <c r="A99" s="204">
        <v>1997</v>
      </c>
      <c r="B99" s="202">
        <v>666.1</v>
      </c>
      <c r="C99" s="208"/>
    </row>
    <row r="100" spans="1:3" ht="12.75">
      <c r="A100" s="204">
        <v>1998</v>
      </c>
      <c r="B100" s="202">
        <v>625.2</v>
      </c>
      <c r="C100" s="208"/>
    </row>
    <row r="101" spans="1:3" ht="12.75">
      <c r="A101" s="204">
        <v>1999</v>
      </c>
      <c r="B101" s="202">
        <v>568.9</v>
      </c>
      <c r="C101" s="208"/>
    </row>
    <row r="102" spans="1:3" ht="12.75">
      <c r="A102" s="204">
        <v>2000</v>
      </c>
      <c r="B102" s="202">
        <v>562.4</v>
      </c>
      <c r="C102" s="208"/>
    </row>
    <row r="103" spans="1:3" ht="12.75">
      <c r="A103" s="204">
        <v>2001</v>
      </c>
      <c r="B103" s="202">
        <v>511</v>
      </c>
      <c r="C103" s="208"/>
    </row>
    <row r="104" spans="1:3" ht="12.75">
      <c r="A104" s="204">
        <v>2002</v>
      </c>
      <c r="B104" s="202">
        <v>520.1</v>
      </c>
      <c r="C104" s="208"/>
    </row>
    <row r="105" spans="1:3" ht="12.75">
      <c r="A105" s="204">
        <v>2003</v>
      </c>
      <c r="B105" s="203">
        <v>531.4</v>
      </c>
      <c r="C105" s="209"/>
    </row>
    <row r="106" spans="1:3" ht="12.75">
      <c r="A106" s="204">
        <v>2004</v>
      </c>
      <c r="B106" s="203">
        <v>709.2</v>
      </c>
      <c r="C106" s="209"/>
    </row>
    <row r="107" spans="1:3" ht="12.75">
      <c r="A107" s="204">
        <v>2005</v>
      </c>
      <c r="B107" s="205">
        <v>700</v>
      </c>
      <c r="C107" s="210"/>
    </row>
    <row r="108" spans="1:7" ht="12.75">
      <c r="A108" s="204">
        <v>2006</v>
      </c>
      <c r="B108" s="205">
        <v>700</v>
      </c>
      <c r="C108" s="210"/>
      <c r="E108" s="5"/>
      <c r="F108" s="377">
        <f>+B108/B29</f>
        <v>1.8469656992084433</v>
      </c>
      <c r="G108" s="377">
        <f>+F108^(1/(2006-1927))</f>
        <v>1.0077966179574203</v>
      </c>
    </row>
    <row r="109" spans="1:4" ht="12.75">
      <c r="A109" s="204">
        <v>2007</v>
      </c>
      <c r="B109">
        <f>+D109+250</f>
        <v>704.3581093688535</v>
      </c>
      <c r="D109">
        <v>454.35810936885355</v>
      </c>
    </row>
    <row r="110" spans="1:5" ht="12.75">
      <c r="A110" s="204">
        <v>2008</v>
      </c>
      <c r="B110">
        <f>+D110+250</f>
        <v>984.211728388264</v>
      </c>
      <c r="D110">
        <f>+E110/(1.02^(A110-1998))</f>
        <v>734.211728388264</v>
      </c>
      <c r="E110">
        <v>895</v>
      </c>
    </row>
    <row r="111" spans="1:5" ht="12.75">
      <c r="A111" s="204">
        <v>2009</v>
      </c>
      <c r="C111">
        <f>+D111+250</f>
        <v>792.8775513879705</v>
      </c>
      <c r="D111">
        <f aca="true" t="shared" si="0" ref="D111:D132">+E111/(1.02^(A111-1998))</f>
        <v>542.8775513879705</v>
      </c>
      <c r="E111">
        <v>675</v>
      </c>
    </row>
    <row r="112" spans="1:5" ht="12.75">
      <c r="A112" s="204">
        <v>2010</v>
      </c>
      <c r="C112">
        <f aca="true" t="shared" si="1" ref="C112:C132">+D112+250</f>
        <v>762.5205641280767</v>
      </c>
      <c r="D112">
        <f t="shared" si="0"/>
        <v>512.5205641280767</v>
      </c>
      <c r="E112">
        <v>650</v>
      </c>
    </row>
    <row r="113" spans="1:5" ht="12.75">
      <c r="A113" s="204">
        <v>2011</v>
      </c>
      <c r="C113">
        <f t="shared" si="1"/>
        <v>733.1453281750346</v>
      </c>
      <c r="D113">
        <f t="shared" si="0"/>
        <v>483.1453281750346</v>
      </c>
      <c r="E113">
        <v>625</v>
      </c>
    </row>
    <row r="114" spans="1:5" ht="12.75">
      <c r="A114" s="204">
        <v>2012</v>
      </c>
      <c r="C114">
        <f t="shared" si="1"/>
        <v>704.7250147529737</v>
      </c>
      <c r="D114">
        <f t="shared" si="0"/>
        <v>454.72501475297366</v>
      </c>
      <c r="E114">
        <v>600</v>
      </c>
    </row>
    <row r="115" spans="1:5" ht="12.75">
      <c r="A115" s="204">
        <v>2013</v>
      </c>
      <c r="C115">
        <f t="shared" si="1"/>
        <v>706.9540589429394</v>
      </c>
      <c r="D115">
        <f t="shared" si="0"/>
        <v>456.95405894293935</v>
      </c>
      <c r="E115" s="377">
        <f>+E114*1.025</f>
        <v>615</v>
      </c>
    </row>
    <row r="116" spans="1:5" ht="12.75">
      <c r="A116" s="204">
        <v>2014</v>
      </c>
      <c r="C116">
        <f t="shared" si="1"/>
        <v>713.6739715744532</v>
      </c>
      <c r="D116">
        <f t="shared" si="0"/>
        <v>463.6739715744531</v>
      </c>
      <c r="E116">
        <f>+E115*1.035</f>
        <v>636.525</v>
      </c>
    </row>
    <row r="117" spans="1:5" ht="12.75">
      <c r="A117" s="204">
        <v>2015</v>
      </c>
      <c r="C117">
        <f t="shared" si="1"/>
        <v>720.492706450548</v>
      </c>
      <c r="D117">
        <f t="shared" si="0"/>
        <v>470.4927064505479</v>
      </c>
      <c r="E117">
        <f aca="true" t="shared" si="2" ref="E117:E132">+E116*1.035</f>
        <v>658.803375</v>
      </c>
    </row>
    <row r="118" spans="1:5" ht="12.75">
      <c r="A118" s="204">
        <v>2016</v>
      </c>
      <c r="C118">
        <f t="shared" si="1"/>
        <v>727.4117168395267</v>
      </c>
      <c r="D118">
        <f t="shared" si="0"/>
        <v>477.4117168395266</v>
      </c>
      <c r="E118">
        <f t="shared" si="2"/>
        <v>681.8614931249999</v>
      </c>
    </row>
    <row r="119" spans="1:5" ht="12.75">
      <c r="A119" s="204">
        <v>2017</v>
      </c>
      <c r="C119">
        <f t="shared" si="1"/>
        <v>734.4324773812843</v>
      </c>
      <c r="D119">
        <f t="shared" si="0"/>
        <v>484.4324773812843</v>
      </c>
      <c r="E119">
        <f t="shared" si="2"/>
        <v>705.7266453843748</v>
      </c>
    </row>
    <row r="120" spans="1:5" ht="12.75">
      <c r="A120" s="204">
        <v>2018</v>
      </c>
      <c r="C120">
        <f t="shared" si="1"/>
        <v>741.5564844015972</v>
      </c>
      <c r="D120">
        <f t="shared" si="0"/>
        <v>491.55648440159723</v>
      </c>
      <c r="E120">
        <f t="shared" si="2"/>
        <v>730.4270779728279</v>
      </c>
    </row>
    <row r="121" spans="1:5" ht="12.75">
      <c r="A121" s="204">
        <v>2019</v>
      </c>
      <c r="C121">
        <f t="shared" si="1"/>
        <v>748.7852562310325</v>
      </c>
      <c r="D121">
        <f t="shared" si="0"/>
        <v>498.7852562310324</v>
      </c>
      <c r="E121">
        <f t="shared" si="2"/>
        <v>755.9920257018767</v>
      </c>
    </row>
    <row r="122" spans="1:5" ht="12.75">
      <c r="A122" s="204">
        <v>2020</v>
      </c>
      <c r="C122">
        <f t="shared" si="1"/>
        <v>756.1203335285475</v>
      </c>
      <c r="D122">
        <f t="shared" si="0"/>
        <v>506.1203335285475</v>
      </c>
      <c r="E122">
        <f t="shared" si="2"/>
        <v>782.4517466014423</v>
      </c>
    </row>
    <row r="123" spans="1:5" ht="12.75">
      <c r="A123" s="204">
        <v>2021</v>
      </c>
      <c r="C123">
        <f t="shared" si="1"/>
        <v>763.5632796098497</v>
      </c>
      <c r="D123">
        <f t="shared" si="0"/>
        <v>513.5632796098497</v>
      </c>
      <c r="E123">
        <f t="shared" si="2"/>
        <v>809.8375577324928</v>
      </c>
    </row>
    <row r="124" spans="1:5" ht="12.75">
      <c r="A124" s="204">
        <v>2022</v>
      </c>
      <c r="C124">
        <f t="shared" si="1"/>
        <v>771.1156807805828</v>
      </c>
      <c r="D124">
        <f t="shared" si="0"/>
        <v>521.1156807805828</v>
      </c>
      <c r="E124">
        <f t="shared" si="2"/>
        <v>838.18187225313</v>
      </c>
    </row>
    <row r="125" spans="1:5" ht="12.75">
      <c r="A125" s="204">
        <v>2023</v>
      </c>
      <c r="C125">
        <f t="shared" si="1"/>
        <v>778.7791466744148</v>
      </c>
      <c r="D125">
        <f t="shared" si="0"/>
        <v>528.7791466744148</v>
      </c>
      <c r="E125">
        <f t="shared" si="2"/>
        <v>867.5182377819895</v>
      </c>
    </row>
    <row r="126" spans="1:5" ht="12.75">
      <c r="A126" s="204">
        <v>2024</v>
      </c>
      <c r="C126">
        <f t="shared" si="1"/>
        <v>786.5553105960973</v>
      </c>
      <c r="D126">
        <f t="shared" si="0"/>
        <v>536.5553105960973</v>
      </c>
      <c r="E126">
        <f t="shared" si="2"/>
        <v>897.881376104359</v>
      </c>
    </row>
    <row r="127" spans="1:5" ht="12.75">
      <c r="A127" s="204">
        <v>2025</v>
      </c>
      <c r="C127">
        <f t="shared" si="1"/>
        <v>794.4458298695694</v>
      </c>
      <c r="D127">
        <f t="shared" si="0"/>
        <v>544.4458298695694</v>
      </c>
      <c r="E127">
        <f t="shared" si="2"/>
        <v>929.3072242680115</v>
      </c>
    </row>
    <row r="128" spans="1:5" ht="12.75">
      <c r="A128" s="204">
        <v>2026</v>
      </c>
      <c r="C128">
        <f t="shared" si="1"/>
        <v>802.4523861911805</v>
      </c>
      <c r="D128">
        <f t="shared" si="0"/>
        <v>552.4523861911805</v>
      </c>
      <c r="E128">
        <f t="shared" si="2"/>
        <v>961.8329771173918</v>
      </c>
    </row>
    <row r="129" spans="1:5" ht="12.75">
      <c r="A129" s="204">
        <v>2027</v>
      </c>
      <c r="C129">
        <f t="shared" si="1"/>
        <v>810.5766859881097</v>
      </c>
      <c r="D129">
        <f t="shared" si="0"/>
        <v>560.5766859881097</v>
      </c>
      <c r="E129">
        <f t="shared" si="2"/>
        <v>995.4971313165005</v>
      </c>
    </row>
    <row r="130" spans="1:5" ht="12.75">
      <c r="A130" s="204">
        <v>2028</v>
      </c>
      <c r="C130">
        <f t="shared" si="1"/>
        <v>818.8204607820524</v>
      </c>
      <c r="D130">
        <f t="shared" si="0"/>
        <v>568.8204607820524</v>
      </c>
      <c r="E130">
        <f t="shared" si="2"/>
        <v>1030.3395309125779</v>
      </c>
    </row>
    <row r="131" spans="1:5" ht="12.75">
      <c r="A131" s="204">
        <v>2029</v>
      </c>
      <c r="C131">
        <f t="shared" si="1"/>
        <v>827.1854675582591</v>
      </c>
      <c r="D131">
        <f t="shared" si="0"/>
        <v>577.1854675582591</v>
      </c>
      <c r="E131">
        <f t="shared" si="2"/>
        <v>1066.401414494518</v>
      </c>
    </row>
    <row r="132" spans="1:5" ht="12.75">
      <c r="A132" s="204">
        <v>2030</v>
      </c>
      <c r="C132">
        <f t="shared" si="1"/>
        <v>835.673489139998</v>
      </c>
      <c r="D132">
        <f t="shared" si="0"/>
        <v>585.673489139998</v>
      </c>
      <c r="E132">
        <f t="shared" si="2"/>
        <v>1103.725464001826</v>
      </c>
    </row>
    <row r="133" ht="12.75">
      <c r="C133">
        <f>C132/B29</f>
        <v>2.2049432431134512</v>
      </c>
    </row>
    <row r="134" ht="12.75">
      <c r="C134">
        <f>C133^(1/(2030-1927))</f>
        <v>1.0077062577302622</v>
      </c>
    </row>
    <row r="135" ht="12.75">
      <c r="C135">
        <f>+C132/C114</f>
        <v>1.1858149939986526</v>
      </c>
    </row>
    <row r="136" ht="12.75">
      <c r="C136">
        <f>+C135^(1/(2030-2011))</f>
        <v>1.0090103667731083</v>
      </c>
    </row>
  </sheetData>
  <sheetProtection/>
  <printOptions/>
  <pageMargins left="0.75" right="0.75" top="1" bottom="1" header="0.5" footer="0.5"/>
  <pageSetup orientation="portrait" paperSize="9"/>
  <drawing r:id="rId1"/>
</worksheet>
</file>

<file path=xl/worksheets/sheet7.xml><?xml version="1.0" encoding="utf-8"?>
<worksheet xmlns="http://schemas.openxmlformats.org/spreadsheetml/2006/main" xmlns:r="http://schemas.openxmlformats.org/officeDocument/2006/relationships">
  <dimension ref="A1:BE240"/>
  <sheetViews>
    <sheetView zoomScalePageLayoutView="0" workbookViewId="0" topLeftCell="A1">
      <selection activeCell="A1" sqref="A1"/>
    </sheetView>
  </sheetViews>
  <sheetFormatPr defaultColWidth="9.140625" defaultRowHeight="12.75"/>
  <cols>
    <col min="1" max="1" width="15.140625" style="0" customWidth="1"/>
    <col min="2" max="2" width="17.28125" style="0" customWidth="1"/>
    <col min="3" max="5" width="21.421875" style="0" customWidth="1"/>
    <col min="6" max="6" width="22.140625" style="0" customWidth="1"/>
    <col min="7" max="7" width="0.85546875" style="9" customWidth="1"/>
    <col min="8" max="8" width="22.421875" style="5" customWidth="1"/>
    <col min="9" max="9" width="9.28125" style="0" bestFit="1" customWidth="1"/>
  </cols>
  <sheetData>
    <row r="1" spans="1:57" ht="12.75">
      <c r="A1" s="12" t="s">
        <v>16</v>
      </c>
      <c r="B1" s="13" t="s">
        <v>0</v>
      </c>
      <c r="C1" s="13" t="s">
        <v>9</v>
      </c>
      <c r="D1" s="13" t="s">
        <v>10</v>
      </c>
      <c r="E1" s="13" t="s">
        <v>11</v>
      </c>
      <c r="F1" s="13" t="s">
        <v>12</v>
      </c>
      <c r="G1" s="136"/>
      <c r="H1" s="130" t="s">
        <v>29</v>
      </c>
      <c r="I1" s="329">
        <v>2005</v>
      </c>
      <c r="J1" s="329">
        <v>2006</v>
      </c>
      <c r="K1" s="25">
        <v>2007</v>
      </c>
      <c r="L1" s="25">
        <v>2008</v>
      </c>
      <c r="M1" s="25">
        <v>2009</v>
      </c>
      <c r="N1" s="25">
        <v>2010</v>
      </c>
      <c r="O1" s="25">
        <v>2011</v>
      </c>
      <c r="P1" s="25">
        <v>2012</v>
      </c>
      <c r="Q1" s="25">
        <v>2013</v>
      </c>
      <c r="R1" s="25">
        <v>2014</v>
      </c>
      <c r="S1" s="25">
        <v>2015</v>
      </c>
      <c r="T1" s="25">
        <v>2016</v>
      </c>
      <c r="U1" s="25">
        <v>2017</v>
      </c>
      <c r="V1" s="25">
        <v>2018</v>
      </c>
      <c r="W1" s="25">
        <v>2019</v>
      </c>
      <c r="X1" s="25">
        <v>2020</v>
      </c>
      <c r="Y1" s="25">
        <v>2021</v>
      </c>
      <c r="Z1" s="25">
        <v>2022</v>
      </c>
      <c r="AA1" s="25">
        <v>2023</v>
      </c>
      <c r="AB1" s="25">
        <v>2024</v>
      </c>
      <c r="AC1" s="25">
        <v>2025</v>
      </c>
      <c r="AD1" s="25">
        <v>2026</v>
      </c>
      <c r="AE1" s="25">
        <v>2027</v>
      </c>
      <c r="AF1" s="25">
        <v>2028</v>
      </c>
      <c r="AG1" s="25">
        <v>2029</v>
      </c>
      <c r="AH1" s="25">
        <v>2030</v>
      </c>
      <c r="AI1" s="25">
        <v>2031</v>
      </c>
      <c r="AJ1" s="25">
        <v>2032</v>
      </c>
      <c r="AK1" s="25">
        <v>2033</v>
      </c>
      <c r="AL1" s="25">
        <v>2034</v>
      </c>
      <c r="AM1" s="25">
        <v>2035</v>
      </c>
      <c r="AN1" s="25">
        <v>2036</v>
      </c>
      <c r="AO1" s="25">
        <v>2037</v>
      </c>
      <c r="AP1" s="25">
        <v>2038</v>
      </c>
      <c r="AQ1" s="25">
        <v>2039</v>
      </c>
      <c r="AR1" s="25">
        <v>2040</v>
      </c>
      <c r="AS1" s="25">
        <v>2041</v>
      </c>
      <c r="AT1" s="25">
        <v>2042</v>
      </c>
      <c r="AU1" s="25">
        <v>2043</v>
      </c>
      <c r="AV1" s="25">
        <v>2044</v>
      </c>
      <c r="AW1" s="25">
        <v>2045</v>
      </c>
      <c r="AX1" s="25">
        <v>2046</v>
      </c>
      <c r="AY1" s="25">
        <v>2047</v>
      </c>
      <c r="AZ1" s="25">
        <v>2048</v>
      </c>
      <c r="BA1" s="25">
        <v>2049</v>
      </c>
      <c r="BB1" s="25">
        <v>2050</v>
      </c>
      <c r="BC1" s="25">
        <v>2051</v>
      </c>
      <c r="BD1" s="25">
        <v>2052</v>
      </c>
      <c r="BE1" s="26">
        <v>2053</v>
      </c>
    </row>
    <row r="2" spans="1:57" ht="12.75">
      <c r="A2" s="6" t="s">
        <v>351</v>
      </c>
      <c r="B2" s="7" t="s">
        <v>352</v>
      </c>
      <c r="C2" s="8"/>
      <c r="D2" s="310">
        <f>+AnnualCosts2010!$N$14/1.1035</f>
        <v>2447.722282248789</v>
      </c>
      <c r="E2" s="115"/>
      <c r="F2" s="316">
        <f>AnnualCosts2010!N18/1.1035</f>
        <v>47.92443623435921</v>
      </c>
      <c r="G2" s="137"/>
      <c r="H2" s="153">
        <f>+F2+D2</f>
        <v>2495.646718483148</v>
      </c>
      <c r="I2" s="11">
        <v>1</v>
      </c>
      <c r="J2" s="11">
        <v>1</v>
      </c>
      <c r="K2" s="11">
        <v>1</v>
      </c>
      <c r="L2" s="11">
        <v>1</v>
      </c>
      <c r="M2" s="11">
        <v>1</v>
      </c>
      <c r="N2" s="11">
        <v>1</v>
      </c>
      <c r="O2" s="11">
        <v>1</v>
      </c>
      <c r="P2" s="11">
        <v>1</v>
      </c>
      <c r="Q2" s="11">
        <v>1</v>
      </c>
      <c r="R2" s="11">
        <v>1</v>
      </c>
      <c r="S2" s="11">
        <v>1</v>
      </c>
      <c r="T2" s="11">
        <v>1</v>
      </c>
      <c r="U2" s="11">
        <v>1</v>
      </c>
      <c r="V2" s="11">
        <v>1</v>
      </c>
      <c r="W2" s="11">
        <v>1</v>
      </c>
      <c r="X2" s="11">
        <v>1</v>
      </c>
      <c r="Y2" s="11">
        <v>1</v>
      </c>
      <c r="Z2" s="11">
        <v>1</v>
      </c>
      <c r="AA2" s="11">
        <v>1</v>
      </c>
      <c r="AB2" s="11">
        <v>1</v>
      </c>
      <c r="AC2" s="11">
        <v>1</v>
      </c>
      <c r="AD2" s="11">
        <v>1</v>
      </c>
      <c r="AE2" s="11">
        <v>1</v>
      </c>
      <c r="AF2" s="11">
        <v>1</v>
      </c>
      <c r="AG2" s="11">
        <v>1</v>
      </c>
      <c r="AH2" s="11">
        <v>1</v>
      </c>
      <c r="AI2" s="484">
        <f aca="true" t="shared" si="0" ref="AI2:AJ6">+AH2</f>
        <v>1</v>
      </c>
      <c r="AJ2" s="484">
        <f t="shared" si="0"/>
        <v>1</v>
      </c>
      <c r="AK2" s="484">
        <f aca="true" t="shared" si="1" ref="AK2:BE5">+AJ2</f>
        <v>1</v>
      </c>
      <c r="AL2" s="484">
        <f t="shared" si="1"/>
        <v>1</v>
      </c>
      <c r="AM2" s="484">
        <f t="shared" si="1"/>
        <v>1</v>
      </c>
      <c r="AN2" s="484">
        <f t="shared" si="1"/>
        <v>1</v>
      </c>
      <c r="AO2" s="484">
        <f t="shared" si="1"/>
        <v>1</v>
      </c>
      <c r="AP2" s="484">
        <f t="shared" si="1"/>
        <v>1</v>
      </c>
      <c r="AQ2" s="484">
        <f t="shared" si="1"/>
        <v>1</v>
      </c>
      <c r="AR2" s="484">
        <f t="shared" si="1"/>
        <v>1</v>
      </c>
      <c r="AS2" s="484">
        <f t="shared" si="1"/>
        <v>1</v>
      </c>
      <c r="AT2" s="484">
        <f t="shared" si="1"/>
        <v>1</v>
      </c>
      <c r="AU2" s="484">
        <f t="shared" si="1"/>
        <v>1</v>
      </c>
      <c r="AV2" s="484">
        <f t="shared" si="1"/>
        <v>1</v>
      </c>
      <c r="AW2" s="484">
        <f t="shared" si="1"/>
        <v>1</v>
      </c>
      <c r="AX2" s="484">
        <f t="shared" si="1"/>
        <v>1</v>
      </c>
      <c r="AY2" s="484">
        <f t="shared" si="1"/>
        <v>1</v>
      </c>
      <c r="AZ2" s="484">
        <f t="shared" si="1"/>
        <v>1</v>
      </c>
      <c r="BA2" s="484">
        <f t="shared" si="1"/>
        <v>1</v>
      </c>
      <c r="BB2" s="484">
        <f t="shared" si="1"/>
        <v>1</v>
      </c>
      <c r="BC2" s="484">
        <f t="shared" si="1"/>
        <v>1</v>
      </c>
      <c r="BD2" s="484">
        <f t="shared" si="1"/>
        <v>1</v>
      </c>
      <c r="BE2" s="484">
        <f t="shared" si="1"/>
        <v>1</v>
      </c>
    </row>
    <row r="3" spans="1:57" ht="12.75">
      <c r="A3" s="2" t="s">
        <v>26</v>
      </c>
      <c r="B3" s="3" t="s">
        <v>2</v>
      </c>
      <c r="C3" s="4"/>
      <c r="D3" s="310">
        <f>+AnnualCosts2010!$O$14/1.1035</f>
        <v>2158.3597643860444</v>
      </c>
      <c r="E3" s="116"/>
      <c r="F3" s="317">
        <f>AnnualCosts2010!O18/1.1035</f>
        <v>140.63643651319228</v>
      </c>
      <c r="G3" s="138"/>
      <c r="H3" s="154">
        <f>+F3+D3</f>
        <v>2298.9962008992366</v>
      </c>
      <c r="I3" s="11">
        <v>1</v>
      </c>
      <c r="J3" s="11">
        <v>1</v>
      </c>
      <c r="K3" s="11">
        <v>1</v>
      </c>
      <c r="L3" s="11">
        <v>1</v>
      </c>
      <c r="M3" s="11">
        <v>1</v>
      </c>
      <c r="N3" s="11">
        <v>1</v>
      </c>
      <c r="O3" s="11">
        <v>1</v>
      </c>
      <c r="P3" s="11">
        <v>1</v>
      </c>
      <c r="Q3" s="11">
        <v>1</v>
      </c>
      <c r="R3" s="11">
        <v>1</v>
      </c>
      <c r="S3" s="11">
        <v>1</v>
      </c>
      <c r="T3" s="11">
        <v>1</v>
      </c>
      <c r="U3" s="11">
        <v>1</v>
      </c>
      <c r="V3" s="11">
        <v>1</v>
      </c>
      <c r="W3" s="11">
        <v>1</v>
      </c>
      <c r="X3" s="11">
        <v>1</v>
      </c>
      <c r="Y3" s="11">
        <v>1</v>
      </c>
      <c r="Z3" s="11">
        <v>1</v>
      </c>
      <c r="AA3" s="11">
        <v>1</v>
      </c>
      <c r="AB3" s="11">
        <v>1</v>
      </c>
      <c r="AC3" s="11">
        <v>1</v>
      </c>
      <c r="AD3" s="11">
        <v>1</v>
      </c>
      <c r="AE3" s="11">
        <v>1</v>
      </c>
      <c r="AF3" s="11">
        <v>1</v>
      </c>
      <c r="AG3" s="11">
        <v>1</v>
      </c>
      <c r="AH3" s="11">
        <v>1</v>
      </c>
      <c r="AI3" s="484">
        <f t="shared" si="0"/>
        <v>1</v>
      </c>
      <c r="AJ3" s="484">
        <f t="shared" si="0"/>
        <v>1</v>
      </c>
      <c r="AK3" s="484">
        <f t="shared" si="1"/>
        <v>1</v>
      </c>
      <c r="AL3" s="484">
        <f t="shared" si="1"/>
        <v>1</v>
      </c>
      <c r="AM3" s="484">
        <f t="shared" si="1"/>
        <v>1</v>
      </c>
      <c r="AN3" s="484">
        <f t="shared" si="1"/>
        <v>1</v>
      </c>
      <c r="AO3" s="484">
        <f t="shared" si="1"/>
        <v>1</v>
      </c>
      <c r="AP3" s="484">
        <f t="shared" si="1"/>
        <v>1</v>
      </c>
      <c r="AQ3" s="484">
        <f t="shared" si="1"/>
        <v>1</v>
      </c>
      <c r="AR3" s="484">
        <f t="shared" si="1"/>
        <v>1</v>
      </c>
      <c r="AS3" s="484">
        <f t="shared" si="1"/>
        <v>1</v>
      </c>
      <c r="AT3" s="484">
        <f t="shared" si="1"/>
        <v>1</v>
      </c>
      <c r="AU3" s="484">
        <f t="shared" si="1"/>
        <v>1</v>
      </c>
      <c r="AV3" s="484">
        <f t="shared" si="1"/>
        <v>1</v>
      </c>
      <c r="AW3" s="484">
        <f t="shared" si="1"/>
        <v>1</v>
      </c>
      <c r="AX3" s="484">
        <f t="shared" si="1"/>
        <v>1</v>
      </c>
      <c r="AY3" s="484">
        <f t="shared" si="1"/>
        <v>1</v>
      </c>
      <c r="AZ3" s="484">
        <f t="shared" si="1"/>
        <v>1</v>
      </c>
      <c r="BA3" s="484">
        <f t="shared" si="1"/>
        <v>1</v>
      </c>
      <c r="BB3" s="484">
        <f t="shared" si="1"/>
        <v>1</v>
      </c>
      <c r="BC3" s="484">
        <f t="shared" si="1"/>
        <v>1</v>
      </c>
      <c r="BD3" s="484">
        <f t="shared" si="1"/>
        <v>1</v>
      </c>
      <c r="BE3" s="484">
        <f t="shared" si="1"/>
        <v>1</v>
      </c>
    </row>
    <row r="4" spans="1:57" ht="12.75">
      <c r="A4" s="2" t="s">
        <v>41</v>
      </c>
      <c r="B4" s="3" t="s">
        <v>42</v>
      </c>
      <c r="C4" s="4"/>
      <c r="D4" s="310">
        <f>+AnnualCosts2010!$P$14/1.1035</f>
        <v>2950.5489526332303</v>
      </c>
      <c r="E4" s="116"/>
      <c r="F4" s="317">
        <f>AnnualCosts2010!P18/1.1035</f>
        <v>172.17942908926145</v>
      </c>
      <c r="G4" s="138"/>
      <c r="H4" s="154">
        <f>+F4+D4</f>
        <v>3122.7283817224916</v>
      </c>
      <c r="I4" s="11">
        <v>1</v>
      </c>
      <c r="J4" s="11">
        <v>1</v>
      </c>
      <c r="K4" s="11">
        <v>1</v>
      </c>
      <c r="L4" s="11">
        <v>1</v>
      </c>
      <c r="M4" s="11">
        <v>1</v>
      </c>
      <c r="N4" s="11">
        <v>1</v>
      </c>
      <c r="O4" s="11">
        <v>1</v>
      </c>
      <c r="P4" s="11">
        <v>1</v>
      </c>
      <c r="Q4" s="11">
        <v>1</v>
      </c>
      <c r="R4" s="11">
        <v>1</v>
      </c>
      <c r="S4" s="11">
        <v>1</v>
      </c>
      <c r="T4" s="11">
        <v>1</v>
      </c>
      <c r="U4" s="11">
        <v>1</v>
      </c>
      <c r="V4" s="11">
        <v>1</v>
      </c>
      <c r="W4" s="11">
        <v>1</v>
      </c>
      <c r="X4" s="11">
        <v>1</v>
      </c>
      <c r="Y4" s="11">
        <v>1</v>
      </c>
      <c r="Z4" s="11">
        <v>1</v>
      </c>
      <c r="AA4" s="11">
        <v>1</v>
      </c>
      <c r="AB4" s="11">
        <v>1</v>
      </c>
      <c r="AC4" s="11">
        <v>1</v>
      </c>
      <c r="AD4" s="11">
        <v>1</v>
      </c>
      <c r="AE4" s="11">
        <v>1</v>
      </c>
      <c r="AF4" s="11">
        <v>1</v>
      </c>
      <c r="AG4" s="11">
        <v>1</v>
      </c>
      <c r="AH4" s="11">
        <v>1</v>
      </c>
      <c r="AI4" s="484">
        <f t="shared" si="0"/>
        <v>1</v>
      </c>
      <c r="AJ4" s="484">
        <f t="shared" si="0"/>
        <v>1</v>
      </c>
      <c r="AK4" s="484">
        <f t="shared" si="1"/>
        <v>1</v>
      </c>
      <c r="AL4" s="484">
        <f t="shared" si="1"/>
        <v>1</v>
      </c>
      <c r="AM4" s="484">
        <f t="shared" si="1"/>
        <v>1</v>
      </c>
      <c r="AN4" s="484">
        <f t="shared" si="1"/>
        <v>1</v>
      </c>
      <c r="AO4" s="484">
        <f t="shared" si="1"/>
        <v>1</v>
      </c>
      <c r="AP4" s="484">
        <f t="shared" si="1"/>
        <v>1</v>
      </c>
      <c r="AQ4" s="484">
        <f t="shared" si="1"/>
        <v>1</v>
      </c>
      <c r="AR4" s="484">
        <f t="shared" si="1"/>
        <v>1</v>
      </c>
      <c r="AS4" s="484">
        <f t="shared" si="1"/>
        <v>1</v>
      </c>
      <c r="AT4" s="484">
        <f t="shared" si="1"/>
        <v>1</v>
      </c>
      <c r="AU4" s="484">
        <f t="shared" si="1"/>
        <v>1</v>
      </c>
      <c r="AV4" s="484">
        <f t="shared" si="1"/>
        <v>1</v>
      </c>
      <c r="AW4" s="484">
        <f t="shared" si="1"/>
        <v>1</v>
      </c>
      <c r="AX4" s="484">
        <f t="shared" si="1"/>
        <v>1</v>
      </c>
      <c r="AY4" s="484">
        <f t="shared" si="1"/>
        <v>1</v>
      </c>
      <c r="AZ4" s="484">
        <f t="shared" si="1"/>
        <v>1</v>
      </c>
      <c r="BA4" s="484">
        <f t="shared" si="1"/>
        <v>1</v>
      </c>
      <c r="BB4" s="484">
        <f t="shared" si="1"/>
        <v>1</v>
      </c>
      <c r="BC4" s="484">
        <f t="shared" si="1"/>
        <v>1</v>
      </c>
      <c r="BD4" s="484">
        <f t="shared" si="1"/>
        <v>1</v>
      </c>
      <c r="BE4" s="484">
        <f t="shared" si="1"/>
        <v>1</v>
      </c>
    </row>
    <row r="5" spans="1:57" ht="12.75">
      <c r="A5" s="2" t="s">
        <v>27</v>
      </c>
      <c r="B5" s="3" t="s">
        <v>3</v>
      </c>
      <c r="C5" s="4"/>
      <c r="D5" s="310">
        <f>+AnnualCosts2010!$K$14/1.1035</f>
        <v>2661.186434770486</v>
      </c>
      <c r="E5" s="116"/>
      <c r="F5" s="317">
        <f>AnnualCosts2010!K18/1.1035</f>
        <v>206.51075250078424</v>
      </c>
      <c r="G5" s="138"/>
      <c r="H5" s="154">
        <f aca="true" t="shared" si="2" ref="H5:H18">+F5+D5</f>
        <v>2867.69718727127</v>
      </c>
      <c r="I5" s="11">
        <v>1</v>
      </c>
      <c r="J5" s="11">
        <v>1</v>
      </c>
      <c r="K5" s="11">
        <v>1</v>
      </c>
      <c r="L5" s="11">
        <v>1</v>
      </c>
      <c r="M5" s="11">
        <v>1</v>
      </c>
      <c r="N5" s="11">
        <v>1</v>
      </c>
      <c r="O5" s="11">
        <v>1</v>
      </c>
      <c r="P5" s="11">
        <v>1</v>
      </c>
      <c r="Q5" s="11">
        <v>1</v>
      </c>
      <c r="R5" s="11">
        <v>1</v>
      </c>
      <c r="S5" s="11">
        <v>1</v>
      </c>
      <c r="T5" s="11">
        <v>1</v>
      </c>
      <c r="U5" s="11">
        <v>1</v>
      </c>
      <c r="V5" s="11">
        <v>1</v>
      </c>
      <c r="W5" s="11">
        <v>1</v>
      </c>
      <c r="X5" s="11">
        <v>1</v>
      </c>
      <c r="Y5" s="11">
        <v>1</v>
      </c>
      <c r="Z5" s="11">
        <v>1</v>
      </c>
      <c r="AA5" s="11">
        <v>1</v>
      </c>
      <c r="AB5" s="11">
        <v>1</v>
      </c>
      <c r="AC5" s="11">
        <v>1</v>
      </c>
      <c r="AD5" s="11">
        <v>1</v>
      </c>
      <c r="AE5" s="11">
        <v>1</v>
      </c>
      <c r="AF5" s="11">
        <v>1</v>
      </c>
      <c r="AG5" s="11">
        <v>1</v>
      </c>
      <c r="AH5" s="11">
        <v>1</v>
      </c>
      <c r="AI5" s="484">
        <f t="shared" si="0"/>
        <v>1</v>
      </c>
      <c r="AJ5" s="484">
        <f t="shared" si="0"/>
        <v>1</v>
      </c>
      <c r="AK5" s="484">
        <f t="shared" si="1"/>
        <v>1</v>
      </c>
      <c r="AL5" s="484">
        <f t="shared" si="1"/>
        <v>1</v>
      </c>
      <c r="AM5" s="484">
        <f t="shared" si="1"/>
        <v>1</v>
      </c>
      <c r="AN5" s="484">
        <f t="shared" si="1"/>
        <v>1</v>
      </c>
      <c r="AO5" s="484">
        <f t="shared" si="1"/>
        <v>1</v>
      </c>
      <c r="AP5" s="484">
        <f t="shared" si="1"/>
        <v>1</v>
      </c>
      <c r="AQ5" s="484">
        <f t="shared" si="1"/>
        <v>1</v>
      </c>
      <c r="AR5" s="484">
        <f t="shared" si="1"/>
        <v>1</v>
      </c>
      <c r="AS5" s="484">
        <f t="shared" si="1"/>
        <v>1</v>
      </c>
      <c r="AT5" s="484">
        <f t="shared" si="1"/>
        <v>1</v>
      </c>
      <c r="AU5" s="484">
        <f t="shared" si="1"/>
        <v>1</v>
      </c>
      <c r="AV5" s="484">
        <f t="shared" si="1"/>
        <v>1</v>
      </c>
      <c r="AW5" s="484">
        <f t="shared" si="1"/>
        <v>1</v>
      </c>
      <c r="AX5" s="484">
        <f t="shared" si="1"/>
        <v>1</v>
      </c>
      <c r="AY5" s="484">
        <f t="shared" si="1"/>
        <v>1</v>
      </c>
      <c r="AZ5" s="484">
        <f t="shared" si="1"/>
        <v>1</v>
      </c>
      <c r="BA5" s="484">
        <f t="shared" si="1"/>
        <v>1</v>
      </c>
      <c r="BB5" s="484">
        <f t="shared" si="1"/>
        <v>1</v>
      </c>
      <c r="BC5" s="484">
        <f t="shared" si="1"/>
        <v>1</v>
      </c>
      <c r="BD5" s="484">
        <f t="shared" si="1"/>
        <v>1</v>
      </c>
      <c r="BE5" s="484">
        <f t="shared" si="1"/>
        <v>1</v>
      </c>
    </row>
    <row r="6" spans="1:57" ht="12.75">
      <c r="A6" s="2" t="s">
        <v>348</v>
      </c>
      <c r="B6" s="3" t="s">
        <v>349</v>
      </c>
      <c r="C6" s="4"/>
      <c r="D6" s="310">
        <f>+AnnualCosts2010!$M$14/1.1035</f>
        <v>2374.195740824649</v>
      </c>
      <c r="E6" s="116"/>
      <c r="F6" s="317">
        <f>AnnualCosts2010!M18/1.1035</f>
        <v>93.4090829876965</v>
      </c>
      <c r="G6" s="138"/>
      <c r="H6" s="154">
        <f t="shared" si="2"/>
        <v>2467.6048238123453</v>
      </c>
      <c r="I6" s="11">
        <v>1</v>
      </c>
      <c r="J6" s="11">
        <v>1</v>
      </c>
      <c r="K6" s="11">
        <v>1</v>
      </c>
      <c r="L6" s="11">
        <v>1</v>
      </c>
      <c r="M6" s="11">
        <v>1</v>
      </c>
      <c r="N6" s="11">
        <v>1</v>
      </c>
      <c r="O6" s="11">
        <v>1</v>
      </c>
      <c r="P6" s="11">
        <v>1</v>
      </c>
      <c r="Q6" s="11">
        <v>1</v>
      </c>
      <c r="R6" s="11">
        <v>1</v>
      </c>
      <c r="S6" s="11">
        <v>1</v>
      </c>
      <c r="T6" s="11">
        <v>1</v>
      </c>
      <c r="U6" s="11">
        <v>1</v>
      </c>
      <c r="V6" s="11">
        <v>1</v>
      </c>
      <c r="W6" s="11">
        <v>1</v>
      </c>
      <c r="X6" s="11">
        <v>1</v>
      </c>
      <c r="Y6" s="11">
        <v>1</v>
      </c>
      <c r="Z6" s="11">
        <v>1</v>
      </c>
      <c r="AA6" s="11">
        <v>1</v>
      </c>
      <c r="AB6" s="11">
        <v>1</v>
      </c>
      <c r="AC6" s="11">
        <v>1</v>
      </c>
      <c r="AD6" s="11">
        <v>1</v>
      </c>
      <c r="AE6" s="11">
        <v>1</v>
      </c>
      <c r="AF6" s="11">
        <v>1</v>
      </c>
      <c r="AG6" s="11">
        <v>1</v>
      </c>
      <c r="AH6" s="11">
        <v>1</v>
      </c>
      <c r="AI6" s="484">
        <f t="shared" si="0"/>
        <v>1</v>
      </c>
      <c r="AJ6" s="484">
        <f t="shared" si="0"/>
        <v>1</v>
      </c>
      <c r="AK6" s="484">
        <f aca="true" t="shared" si="3" ref="AK6:BE6">+AJ6</f>
        <v>1</v>
      </c>
      <c r="AL6" s="484">
        <f t="shared" si="3"/>
        <v>1</v>
      </c>
      <c r="AM6" s="484">
        <f t="shared" si="3"/>
        <v>1</v>
      </c>
      <c r="AN6" s="484">
        <f t="shared" si="3"/>
        <v>1</v>
      </c>
      <c r="AO6" s="484">
        <f t="shared" si="3"/>
        <v>1</v>
      </c>
      <c r="AP6" s="484">
        <f t="shared" si="3"/>
        <v>1</v>
      </c>
      <c r="AQ6" s="484">
        <f t="shared" si="3"/>
        <v>1</v>
      </c>
      <c r="AR6" s="484">
        <f t="shared" si="3"/>
        <v>1</v>
      </c>
      <c r="AS6" s="484">
        <f t="shared" si="3"/>
        <v>1</v>
      </c>
      <c r="AT6" s="484">
        <f t="shared" si="3"/>
        <v>1</v>
      </c>
      <c r="AU6" s="484">
        <f t="shared" si="3"/>
        <v>1</v>
      </c>
      <c r="AV6" s="484">
        <f t="shared" si="3"/>
        <v>1</v>
      </c>
      <c r="AW6" s="484">
        <f t="shared" si="3"/>
        <v>1</v>
      </c>
      <c r="AX6" s="484">
        <f t="shared" si="3"/>
        <v>1</v>
      </c>
      <c r="AY6" s="484">
        <f t="shared" si="3"/>
        <v>1</v>
      </c>
      <c r="AZ6" s="484">
        <f t="shared" si="3"/>
        <v>1</v>
      </c>
      <c r="BA6" s="484">
        <f t="shared" si="3"/>
        <v>1</v>
      </c>
      <c r="BB6" s="484">
        <f t="shared" si="3"/>
        <v>1</v>
      </c>
      <c r="BC6" s="484">
        <f t="shared" si="3"/>
        <v>1</v>
      </c>
      <c r="BD6" s="484">
        <f t="shared" si="3"/>
        <v>1</v>
      </c>
      <c r="BE6" s="484">
        <f t="shared" si="3"/>
        <v>1</v>
      </c>
    </row>
    <row r="7" spans="1:57" s="129" customFormat="1" ht="12.75">
      <c r="A7" s="149" t="s">
        <v>20</v>
      </c>
      <c r="B7" s="23" t="s">
        <v>5</v>
      </c>
      <c r="C7" s="150"/>
      <c r="D7" s="310">
        <f>+AnnualCosts2010!$C$14/1.1035</f>
        <v>7860.224460632255</v>
      </c>
      <c r="E7" s="152"/>
      <c r="F7" s="318">
        <f>AnnualCosts2010!C18/1.1035</f>
        <v>549.6497159387961</v>
      </c>
      <c r="G7" s="138"/>
      <c r="H7" s="155">
        <f t="shared" si="2"/>
        <v>8409.874176571051</v>
      </c>
      <c r="I7" s="128">
        <v>1</v>
      </c>
      <c r="J7" s="128">
        <v>1</v>
      </c>
      <c r="K7" s="128">
        <v>1</v>
      </c>
      <c r="L7" s="128">
        <v>1</v>
      </c>
      <c r="M7" s="128">
        <v>1</v>
      </c>
      <c r="N7" s="128">
        <v>1</v>
      </c>
      <c r="O7" s="128">
        <v>1</v>
      </c>
      <c r="P7" s="128">
        <v>1</v>
      </c>
      <c r="Q7" s="128">
        <v>1</v>
      </c>
      <c r="R7" s="128">
        <v>1</v>
      </c>
      <c r="S7" s="128">
        <v>1</v>
      </c>
      <c r="T7" s="128">
        <v>1</v>
      </c>
      <c r="U7" s="128">
        <v>1</v>
      </c>
      <c r="V7" s="128">
        <v>1</v>
      </c>
      <c r="W7" s="128">
        <v>1</v>
      </c>
      <c r="X7" s="128">
        <v>1</v>
      </c>
      <c r="Y7" s="128">
        <v>1</v>
      </c>
      <c r="Z7" s="128">
        <v>1</v>
      </c>
      <c r="AA7" s="128">
        <v>1</v>
      </c>
      <c r="AB7" s="128">
        <v>1</v>
      </c>
      <c r="AC7" s="128">
        <v>1</v>
      </c>
      <c r="AD7" s="128">
        <v>1</v>
      </c>
      <c r="AE7" s="128">
        <v>1</v>
      </c>
      <c r="AF7" s="128">
        <v>1</v>
      </c>
      <c r="AG7" s="128">
        <v>1</v>
      </c>
      <c r="AH7" s="128">
        <v>1</v>
      </c>
      <c r="AI7" s="128" t="e">
        <f aca="true" t="shared" si="4" ref="AI7:AI12">+$L7*VLOOKUP(AI$1,$J$31:$Q$53,8,FALSE)</f>
        <v>#N/A</v>
      </c>
      <c r="AJ7" s="128" t="e">
        <f aca="true" t="shared" si="5" ref="AJ7:AJ13">+AI7</f>
        <v>#N/A</v>
      </c>
      <c r="AK7" s="128" t="e">
        <f aca="true" t="shared" si="6" ref="AK7:BE7">+AJ7</f>
        <v>#N/A</v>
      </c>
      <c r="AL7" s="128" t="e">
        <f t="shared" si="6"/>
        <v>#N/A</v>
      </c>
      <c r="AM7" s="128" t="e">
        <f t="shared" si="6"/>
        <v>#N/A</v>
      </c>
      <c r="AN7" s="128" t="e">
        <f t="shared" si="6"/>
        <v>#N/A</v>
      </c>
      <c r="AO7" s="128" t="e">
        <f t="shared" si="6"/>
        <v>#N/A</v>
      </c>
      <c r="AP7" s="128" t="e">
        <f t="shared" si="6"/>
        <v>#N/A</v>
      </c>
      <c r="AQ7" s="128" t="e">
        <f t="shared" si="6"/>
        <v>#N/A</v>
      </c>
      <c r="AR7" s="128" t="e">
        <f t="shared" si="6"/>
        <v>#N/A</v>
      </c>
      <c r="AS7" s="128" t="e">
        <f t="shared" si="6"/>
        <v>#N/A</v>
      </c>
      <c r="AT7" s="128" t="e">
        <f t="shared" si="6"/>
        <v>#N/A</v>
      </c>
      <c r="AU7" s="128" t="e">
        <f t="shared" si="6"/>
        <v>#N/A</v>
      </c>
      <c r="AV7" s="128" t="e">
        <f t="shared" si="6"/>
        <v>#N/A</v>
      </c>
      <c r="AW7" s="128" t="e">
        <f t="shared" si="6"/>
        <v>#N/A</v>
      </c>
      <c r="AX7" s="128" t="e">
        <f t="shared" si="6"/>
        <v>#N/A</v>
      </c>
      <c r="AY7" s="128" t="e">
        <f t="shared" si="6"/>
        <v>#N/A</v>
      </c>
      <c r="AZ7" s="128" t="e">
        <f t="shared" si="6"/>
        <v>#N/A</v>
      </c>
      <c r="BA7" s="128" t="e">
        <f t="shared" si="6"/>
        <v>#N/A</v>
      </c>
      <c r="BB7" s="128" t="e">
        <f t="shared" si="6"/>
        <v>#N/A</v>
      </c>
      <c r="BC7" s="128" t="e">
        <f t="shared" si="6"/>
        <v>#N/A</v>
      </c>
      <c r="BD7" s="128" t="e">
        <f t="shared" si="6"/>
        <v>#N/A</v>
      </c>
      <c r="BE7" s="128" t="e">
        <f t="shared" si="6"/>
        <v>#N/A</v>
      </c>
    </row>
    <row r="8" spans="1:57" s="129" customFormat="1" ht="12.75">
      <c r="A8" s="149" t="s">
        <v>19</v>
      </c>
      <c r="B8" s="23" t="s">
        <v>6</v>
      </c>
      <c r="C8" s="150"/>
      <c r="D8" s="310">
        <f>+AnnualCosts2010!$E$14/1.1035</f>
        <v>6667.197030427661</v>
      </c>
      <c r="E8" s="152"/>
      <c r="F8" s="318">
        <f>AnnualCosts2010!E18/1.1035</f>
        <v>488.30643755881636</v>
      </c>
      <c r="G8" s="138"/>
      <c r="H8" s="155">
        <f t="shared" si="2"/>
        <v>7155.5034679864775</v>
      </c>
      <c r="I8" s="128">
        <v>1</v>
      </c>
      <c r="J8" s="128">
        <v>1</v>
      </c>
      <c r="K8" s="128">
        <v>1</v>
      </c>
      <c r="L8" s="128">
        <v>1</v>
      </c>
      <c r="M8" s="128">
        <v>1</v>
      </c>
      <c r="N8" s="128">
        <v>1</v>
      </c>
      <c r="O8" s="128">
        <v>1</v>
      </c>
      <c r="P8" s="128">
        <v>1</v>
      </c>
      <c r="Q8" s="128">
        <v>1</v>
      </c>
      <c r="R8" s="128">
        <v>1</v>
      </c>
      <c r="S8" s="128">
        <v>1</v>
      </c>
      <c r="T8" s="128">
        <v>1</v>
      </c>
      <c r="U8" s="128">
        <v>1</v>
      </c>
      <c r="V8" s="128">
        <v>1</v>
      </c>
      <c r="W8" s="128">
        <v>1</v>
      </c>
      <c r="X8" s="128">
        <v>1</v>
      </c>
      <c r="Y8" s="128">
        <v>1</v>
      </c>
      <c r="Z8" s="128">
        <v>1</v>
      </c>
      <c r="AA8" s="128">
        <v>1</v>
      </c>
      <c r="AB8" s="128">
        <v>1</v>
      </c>
      <c r="AC8" s="128">
        <v>1</v>
      </c>
      <c r="AD8" s="128">
        <v>1</v>
      </c>
      <c r="AE8" s="128">
        <v>1</v>
      </c>
      <c r="AF8" s="128">
        <v>1</v>
      </c>
      <c r="AG8" s="128">
        <v>1</v>
      </c>
      <c r="AH8" s="128">
        <v>1</v>
      </c>
      <c r="AI8" s="128" t="e">
        <f t="shared" si="4"/>
        <v>#N/A</v>
      </c>
      <c r="AJ8" s="128" t="e">
        <f t="shared" si="5"/>
        <v>#N/A</v>
      </c>
      <c r="AK8" s="128" t="e">
        <f aca="true" t="shared" si="7" ref="AK8:BE8">+AJ8</f>
        <v>#N/A</v>
      </c>
      <c r="AL8" s="128" t="e">
        <f t="shared" si="7"/>
        <v>#N/A</v>
      </c>
      <c r="AM8" s="128" t="e">
        <f t="shared" si="7"/>
        <v>#N/A</v>
      </c>
      <c r="AN8" s="128" t="e">
        <f t="shared" si="7"/>
        <v>#N/A</v>
      </c>
      <c r="AO8" s="128" t="e">
        <f t="shared" si="7"/>
        <v>#N/A</v>
      </c>
      <c r="AP8" s="128" t="e">
        <f t="shared" si="7"/>
        <v>#N/A</v>
      </c>
      <c r="AQ8" s="128" t="e">
        <f t="shared" si="7"/>
        <v>#N/A</v>
      </c>
      <c r="AR8" s="128" t="e">
        <f t="shared" si="7"/>
        <v>#N/A</v>
      </c>
      <c r="AS8" s="128" t="e">
        <f t="shared" si="7"/>
        <v>#N/A</v>
      </c>
      <c r="AT8" s="128" t="e">
        <f t="shared" si="7"/>
        <v>#N/A</v>
      </c>
      <c r="AU8" s="128" t="e">
        <f t="shared" si="7"/>
        <v>#N/A</v>
      </c>
      <c r="AV8" s="128" t="e">
        <f t="shared" si="7"/>
        <v>#N/A</v>
      </c>
      <c r="AW8" s="128" t="e">
        <f t="shared" si="7"/>
        <v>#N/A</v>
      </c>
      <c r="AX8" s="128" t="e">
        <f t="shared" si="7"/>
        <v>#N/A</v>
      </c>
      <c r="AY8" s="128" t="e">
        <f t="shared" si="7"/>
        <v>#N/A</v>
      </c>
      <c r="AZ8" s="128" t="e">
        <f t="shared" si="7"/>
        <v>#N/A</v>
      </c>
      <c r="BA8" s="128" t="e">
        <f t="shared" si="7"/>
        <v>#N/A</v>
      </c>
      <c r="BB8" s="128" t="e">
        <f t="shared" si="7"/>
        <v>#N/A</v>
      </c>
      <c r="BC8" s="128" t="e">
        <f t="shared" si="7"/>
        <v>#N/A</v>
      </c>
      <c r="BD8" s="128" t="e">
        <f t="shared" si="7"/>
        <v>#N/A</v>
      </c>
      <c r="BE8" s="128" t="e">
        <f t="shared" si="7"/>
        <v>#N/A</v>
      </c>
    </row>
    <row r="9" spans="1:57" s="129" customFormat="1" ht="12.75">
      <c r="A9" s="149" t="s">
        <v>22</v>
      </c>
      <c r="B9" s="23" t="s">
        <v>7</v>
      </c>
      <c r="C9" s="150"/>
      <c r="D9" s="310">
        <f>+AnnualCosts2010!$G$14/1.1035</f>
        <v>9091.201073507373</v>
      </c>
      <c r="E9" s="152"/>
      <c r="F9" s="318">
        <f>AnnualCosts2010!G18/1.1035</f>
        <v>729.3227841483392</v>
      </c>
      <c r="G9" s="138"/>
      <c r="H9" s="155">
        <f t="shared" si="2"/>
        <v>9820.523857655711</v>
      </c>
      <c r="I9" s="128">
        <v>1</v>
      </c>
      <c r="J9" s="128">
        <v>1</v>
      </c>
      <c r="K9" s="128">
        <v>1</v>
      </c>
      <c r="L9" s="128">
        <v>1</v>
      </c>
      <c r="M9" s="128">
        <v>1</v>
      </c>
      <c r="N9" s="128">
        <v>1</v>
      </c>
      <c r="O9" s="128">
        <v>1</v>
      </c>
      <c r="P9" s="128">
        <v>1</v>
      </c>
      <c r="Q9" s="128">
        <v>1</v>
      </c>
      <c r="R9" s="128">
        <v>1</v>
      </c>
      <c r="S9" s="128">
        <v>1</v>
      </c>
      <c r="T9" s="128">
        <v>1</v>
      </c>
      <c r="U9" s="128">
        <v>1</v>
      </c>
      <c r="V9" s="128">
        <v>1</v>
      </c>
      <c r="W9" s="128">
        <v>1</v>
      </c>
      <c r="X9" s="128">
        <v>1</v>
      </c>
      <c r="Y9" s="128">
        <v>1</v>
      </c>
      <c r="Z9" s="128">
        <v>1</v>
      </c>
      <c r="AA9" s="128">
        <v>1</v>
      </c>
      <c r="AB9" s="128">
        <v>1</v>
      </c>
      <c r="AC9" s="128">
        <v>1</v>
      </c>
      <c r="AD9" s="128">
        <v>1</v>
      </c>
      <c r="AE9" s="128">
        <v>1</v>
      </c>
      <c r="AF9" s="128">
        <v>1</v>
      </c>
      <c r="AG9" s="128">
        <v>1</v>
      </c>
      <c r="AH9" s="128">
        <v>1</v>
      </c>
      <c r="AI9" s="128" t="e">
        <f t="shared" si="4"/>
        <v>#N/A</v>
      </c>
      <c r="AJ9" s="128" t="e">
        <f t="shared" si="5"/>
        <v>#N/A</v>
      </c>
      <c r="AK9" s="128" t="e">
        <f aca="true" t="shared" si="8" ref="AK9:BE9">+AJ9</f>
        <v>#N/A</v>
      </c>
      <c r="AL9" s="128" t="e">
        <f t="shared" si="8"/>
        <v>#N/A</v>
      </c>
      <c r="AM9" s="128" t="e">
        <f t="shared" si="8"/>
        <v>#N/A</v>
      </c>
      <c r="AN9" s="128" t="e">
        <f t="shared" si="8"/>
        <v>#N/A</v>
      </c>
      <c r="AO9" s="128" t="e">
        <f t="shared" si="8"/>
        <v>#N/A</v>
      </c>
      <c r="AP9" s="128" t="e">
        <f t="shared" si="8"/>
        <v>#N/A</v>
      </c>
      <c r="AQ9" s="128" t="e">
        <f t="shared" si="8"/>
        <v>#N/A</v>
      </c>
      <c r="AR9" s="128" t="e">
        <f t="shared" si="8"/>
        <v>#N/A</v>
      </c>
      <c r="AS9" s="128" t="e">
        <f t="shared" si="8"/>
        <v>#N/A</v>
      </c>
      <c r="AT9" s="128" t="e">
        <f t="shared" si="8"/>
        <v>#N/A</v>
      </c>
      <c r="AU9" s="128" t="e">
        <f t="shared" si="8"/>
        <v>#N/A</v>
      </c>
      <c r="AV9" s="128" t="e">
        <f t="shared" si="8"/>
        <v>#N/A</v>
      </c>
      <c r="AW9" s="128" t="e">
        <f t="shared" si="8"/>
        <v>#N/A</v>
      </c>
      <c r="AX9" s="128" t="e">
        <f t="shared" si="8"/>
        <v>#N/A</v>
      </c>
      <c r="AY9" s="128" t="e">
        <f t="shared" si="8"/>
        <v>#N/A</v>
      </c>
      <c r="AZ9" s="128" t="e">
        <f t="shared" si="8"/>
        <v>#N/A</v>
      </c>
      <c r="BA9" s="128" t="e">
        <f t="shared" si="8"/>
        <v>#N/A</v>
      </c>
      <c r="BB9" s="128" t="e">
        <f t="shared" si="8"/>
        <v>#N/A</v>
      </c>
      <c r="BC9" s="128" t="e">
        <f t="shared" si="8"/>
        <v>#N/A</v>
      </c>
      <c r="BD9" s="128" t="e">
        <f t="shared" si="8"/>
        <v>#N/A</v>
      </c>
      <c r="BE9" s="128" t="e">
        <f t="shared" si="8"/>
        <v>#N/A</v>
      </c>
    </row>
    <row r="10" spans="1:57" s="129" customFormat="1" ht="12.75">
      <c r="A10" s="149" t="s">
        <v>21</v>
      </c>
      <c r="B10" s="23" t="s">
        <v>8</v>
      </c>
      <c r="C10" s="150"/>
      <c r="D10" s="310">
        <f>+AnnualCosts2010!$I$14/1.1035</f>
        <v>9292.80610644453</v>
      </c>
      <c r="E10" s="152"/>
      <c r="F10" s="318">
        <f>AnnualCosts2010!I18/1.1035</f>
        <v>761.21431807884</v>
      </c>
      <c r="G10" s="138"/>
      <c r="H10" s="155">
        <f t="shared" si="2"/>
        <v>10054.02042452337</v>
      </c>
      <c r="I10" s="128">
        <v>1</v>
      </c>
      <c r="J10" s="128">
        <v>1</v>
      </c>
      <c r="K10" s="128">
        <v>1</v>
      </c>
      <c r="L10" s="128">
        <v>1</v>
      </c>
      <c r="M10" s="128">
        <v>1</v>
      </c>
      <c r="N10" s="128">
        <v>1</v>
      </c>
      <c r="O10" s="128">
        <v>1</v>
      </c>
      <c r="P10" s="128">
        <v>1</v>
      </c>
      <c r="Q10" s="128">
        <v>1</v>
      </c>
      <c r="R10" s="128">
        <v>1</v>
      </c>
      <c r="S10" s="128">
        <v>1</v>
      </c>
      <c r="T10" s="128">
        <v>1</v>
      </c>
      <c r="U10" s="128">
        <v>1</v>
      </c>
      <c r="V10" s="128">
        <v>1</v>
      </c>
      <c r="W10" s="128">
        <v>1</v>
      </c>
      <c r="X10" s="128">
        <v>1</v>
      </c>
      <c r="Y10" s="128">
        <v>1</v>
      </c>
      <c r="Z10" s="128">
        <v>1</v>
      </c>
      <c r="AA10" s="128">
        <v>1</v>
      </c>
      <c r="AB10" s="128">
        <v>1</v>
      </c>
      <c r="AC10" s="128">
        <v>1</v>
      </c>
      <c r="AD10" s="128">
        <v>1</v>
      </c>
      <c r="AE10" s="128">
        <v>1</v>
      </c>
      <c r="AF10" s="128">
        <v>1</v>
      </c>
      <c r="AG10" s="128">
        <v>1</v>
      </c>
      <c r="AH10" s="128">
        <v>1</v>
      </c>
      <c r="AI10" s="128" t="e">
        <f t="shared" si="4"/>
        <v>#N/A</v>
      </c>
      <c r="AJ10" s="128" t="e">
        <f t="shared" si="5"/>
        <v>#N/A</v>
      </c>
      <c r="AK10" s="128" t="e">
        <f aca="true" t="shared" si="9" ref="AK10:BE10">+AJ10</f>
        <v>#N/A</v>
      </c>
      <c r="AL10" s="128" t="e">
        <f t="shared" si="9"/>
        <v>#N/A</v>
      </c>
      <c r="AM10" s="128" t="e">
        <f t="shared" si="9"/>
        <v>#N/A</v>
      </c>
      <c r="AN10" s="128" t="e">
        <f t="shared" si="9"/>
        <v>#N/A</v>
      </c>
      <c r="AO10" s="128" t="e">
        <f t="shared" si="9"/>
        <v>#N/A</v>
      </c>
      <c r="AP10" s="128" t="e">
        <f t="shared" si="9"/>
        <v>#N/A</v>
      </c>
      <c r="AQ10" s="128" t="e">
        <f t="shared" si="9"/>
        <v>#N/A</v>
      </c>
      <c r="AR10" s="128" t="e">
        <f t="shared" si="9"/>
        <v>#N/A</v>
      </c>
      <c r="AS10" s="128" t="e">
        <f t="shared" si="9"/>
        <v>#N/A</v>
      </c>
      <c r="AT10" s="128" t="e">
        <f t="shared" si="9"/>
        <v>#N/A</v>
      </c>
      <c r="AU10" s="128" t="e">
        <f t="shared" si="9"/>
        <v>#N/A</v>
      </c>
      <c r="AV10" s="128" t="e">
        <f t="shared" si="9"/>
        <v>#N/A</v>
      </c>
      <c r="AW10" s="128" t="e">
        <f t="shared" si="9"/>
        <v>#N/A</v>
      </c>
      <c r="AX10" s="128" t="e">
        <f t="shared" si="9"/>
        <v>#N/A</v>
      </c>
      <c r="AY10" s="128" t="e">
        <f t="shared" si="9"/>
        <v>#N/A</v>
      </c>
      <c r="AZ10" s="128" t="e">
        <f t="shared" si="9"/>
        <v>#N/A</v>
      </c>
      <c r="BA10" s="128" t="e">
        <f t="shared" si="9"/>
        <v>#N/A</v>
      </c>
      <c r="BB10" s="128" t="e">
        <f t="shared" si="9"/>
        <v>#N/A</v>
      </c>
      <c r="BC10" s="128" t="e">
        <f t="shared" si="9"/>
        <v>#N/A</v>
      </c>
      <c r="BD10" s="128" t="e">
        <f t="shared" si="9"/>
        <v>#N/A</v>
      </c>
      <c r="BE10" s="128" t="e">
        <f t="shared" si="9"/>
        <v>#N/A</v>
      </c>
    </row>
    <row r="11" spans="1:57" s="129" customFormat="1" ht="12.75">
      <c r="A11" s="149" t="s">
        <v>23</v>
      </c>
      <c r="B11" s="23" t="s">
        <v>14</v>
      </c>
      <c r="C11" s="150"/>
      <c r="D11" s="310">
        <f>+AnnualCosts2010!$H$14/1.1035</f>
        <v>14593.832560733334</v>
      </c>
      <c r="E11" s="152"/>
      <c r="F11" s="318">
        <f>AnnualCosts2010!H18/1.1035</f>
        <v>1042.4871911052248</v>
      </c>
      <c r="G11" s="138"/>
      <c r="H11" s="155">
        <f t="shared" si="2"/>
        <v>15636.319751838559</v>
      </c>
      <c r="I11" s="128">
        <v>1</v>
      </c>
      <c r="J11" s="128">
        <v>1</v>
      </c>
      <c r="K11" s="128">
        <v>1</v>
      </c>
      <c r="L11" s="128">
        <v>1</v>
      </c>
      <c r="M11" s="128">
        <v>1</v>
      </c>
      <c r="N11" s="128">
        <v>1</v>
      </c>
      <c r="O11" s="128">
        <v>1</v>
      </c>
      <c r="P11" s="128">
        <v>1</v>
      </c>
      <c r="Q11" s="128">
        <v>1</v>
      </c>
      <c r="R11" s="128">
        <v>1</v>
      </c>
      <c r="S11" s="128">
        <v>1</v>
      </c>
      <c r="T11" s="128">
        <v>1</v>
      </c>
      <c r="U11" s="128">
        <v>1</v>
      </c>
      <c r="V11" s="128">
        <v>1</v>
      </c>
      <c r="W11" s="128">
        <v>1</v>
      </c>
      <c r="X11" s="128">
        <v>1</v>
      </c>
      <c r="Y11" s="128">
        <v>1</v>
      </c>
      <c r="Z11" s="128">
        <v>1</v>
      </c>
      <c r="AA11" s="128">
        <v>1</v>
      </c>
      <c r="AB11" s="128">
        <v>1</v>
      </c>
      <c r="AC11" s="128">
        <v>1</v>
      </c>
      <c r="AD11" s="128">
        <v>1</v>
      </c>
      <c r="AE11" s="128">
        <v>1</v>
      </c>
      <c r="AF11" s="128">
        <v>1</v>
      </c>
      <c r="AG11" s="128">
        <v>1</v>
      </c>
      <c r="AH11" s="128">
        <v>1</v>
      </c>
      <c r="AI11" s="128" t="e">
        <f t="shared" si="4"/>
        <v>#N/A</v>
      </c>
      <c r="AJ11" s="128" t="e">
        <f t="shared" si="5"/>
        <v>#N/A</v>
      </c>
      <c r="AK11" s="128" t="e">
        <f aca="true" t="shared" si="10" ref="AK11:BE11">+AJ11</f>
        <v>#N/A</v>
      </c>
      <c r="AL11" s="128" t="e">
        <f t="shared" si="10"/>
        <v>#N/A</v>
      </c>
      <c r="AM11" s="128" t="e">
        <f t="shared" si="10"/>
        <v>#N/A</v>
      </c>
      <c r="AN11" s="128" t="e">
        <f t="shared" si="10"/>
        <v>#N/A</v>
      </c>
      <c r="AO11" s="128" t="e">
        <f t="shared" si="10"/>
        <v>#N/A</v>
      </c>
      <c r="AP11" s="128" t="e">
        <f t="shared" si="10"/>
        <v>#N/A</v>
      </c>
      <c r="AQ11" s="128" t="e">
        <f t="shared" si="10"/>
        <v>#N/A</v>
      </c>
      <c r="AR11" s="128" t="e">
        <f t="shared" si="10"/>
        <v>#N/A</v>
      </c>
      <c r="AS11" s="128" t="e">
        <f t="shared" si="10"/>
        <v>#N/A</v>
      </c>
      <c r="AT11" s="128" t="e">
        <f t="shared" si="10"/>
        <v>#N/A</v>
      </c>
      <c r="AU11" s="128" t="e">
        <f t="shared" si="10"/>
        <v>#N/A</v>
      </c>
      <c r="AV11" s="128" t="e">
        <f t="shared" si="10"/>
        <v>#N/A</v>
      </c>
      <c r="AW11" s="128" t="e">
        <f t="shared" si="10"/>
        <v>#N/A</v>
      </c>
      <c r="AX11" s="128" t="e">
        <f t="shared" si="10"/>
        <v>#N/A</v>
      </c>
      <c r="AY11" s="128" t="e">
        <f t="shared" si="10"/>
        <v>#N/A</v>
      </c>
      <c r="AZ11" s="128" t="e">
        <f t="shared" si="10"/>
        <v>#N/A</v>
      </c>
      <c r="BA11" s="128" t="e">
        <f t="shared" si="10"/>
        <v>#N/A</v>
      </c>
      <c r="BB11" s="128" t="e">
        <f t="shared" si="10"/>
        <v>#N/A</v>
      </c>
      <c r="BC11" s="128" t="e">
        <f t="shared" si="10"/>
        <v>#N/A</v>
      </c>
      <c r="BD11" s="128" t="e">
        <f t="shared" si="10"/>
        <v>#N/A</v>
      </c>
      <c r="BE11" s="128" t="e">
        <f t="shared" si="10"/>
        <v>#N/A</v>
      </c>
    </row>
    <row r="12" spans="1:57" s="129" customFormat="1" ht="12.75">
      <c r="A12" s="149" t="s">
        <v>24</v>
      </c>
      <c r="B12" s="23" t="s">
        <v>15</v>
      </c>
      <c r="C12" s="150"/>
      <c r="D12" s="310">
        <f>+AnnualCosts2010!$J$14/1.1035</f>
        <v>14060.172179429092</v>
      </c>
      <c r="E12" s="152"/>
      <c r="F12" s="318">
        <f>AnnualCosts2010!J18/1.1035</f>
        <v>1007.8073263392702</v>
      </c>
      <c r="G12" s="138"/>
      <c r="H12" s="155">
        <f t="shared" si="2"/>
        <v>15067.979505768362</v>
      </c>
      <c r="I12" s="128">
        <v>1</v>
      </c>
      <c r="J12" s="128">
        <v>1</v>
      </c>
      <c r="K12" s="128">
        <v>1</v>
      </c>
      <c r="L12" s="128">
        <v>1</v>
      </c>
      <c r="M12" s="128">
        <v>1</v>
      </c>
      <c r="N12" s="128">
        <v>1</v>
      </c>
      <c r="O12" s="128">
        <v>1</v>
      </c>
      <c r="P12" s="128">
        <v>1</v>
      </c>
      <c r="Q12" s="128">
        <v>1</v>
      </c>
      <c r="R12" s="128">
        <v>1</v>
      </c>
      <c r="S12" s="128">
        <v>1</v>
      </c>
      <c r="T12" s="128">
        <v>1</v>
      </c>
      <c r="U12" s="128">
        <v>1</v>
      </c>
      <c r="V12" s="128">
        <v>1</v>
      </c>
      <c r="W12" s="128">
        <v>1</v>
      </c>
      <c r="X12" s="128">
        <v>1</v>
      </c>
      <c r="Y12" s="128">
        <v>1</v>
      </c>
      <c r="Z12" s="128">
        <v>1</v>
      </c>
      <c r="AA12" s="128">
        <v>1</v>
      </c>
      <c r="AB12" s="128">
        <v>1</v>
      </c>
      <c r="AC12" s="128">
        <v>1</v>
      </c>
      <c r="AD12" s="128">
        <v>1</v>
      </c>
      <c r="AE12" s="128">
        <v>1</v>
      </c>
      <c r="AF12" s="128">
        <v>1</v>
      </c>
      <c r="AG12" s="128">
        <v>1</v>
      </c>
      <c r="AH12" s="128">
        <v>1</v>
      </c>
      <c r="AI12" s="128" t="e">
        <f t="shared" si="4"/>
        <v>#N/A</v>
      </c>
      <c r="AJ12" s="128" t="e">
        <f t="shared" si="5"/>
        <v>#N/A</v>
      </c>
      <c r="AK12" s="128" t="e">
        <f aca="true" t="shared" si="11" ref="AK12:BE12">+AJ12</f>
        <v>#N/A</v>
      </c>
      <c r="AL12" s="128" t="e">
        <f t="shared" si="11"/>
        <v>#N/A</v>
      </c>
      <c r="AM12" s="128" t="e">
        <f t="shared" si="11"/>
        <v>#N/A</v>
      </c>
      <c r="AN12" s="128" t="e">
        <f t="shared" si="11"/>
        <v>#N/A</v>
      </c>
      <c r="AO12" s="128" t="e">
        <f t="shared" si="11"/>
        <v>#N/A</v>
      </c>
      <c r="AP12" s="128" t="e">
        <f t="shared" si="11"/>
        <v>#N/A</v>
      </c>
      <c r="AQ12" s="128" t="e">
        <f t="shared" si="11"/>
        <v>#N/A</v>
      </c>
      <c r="AR12" s="128" t="e">
        <f t="shared" si="11"/>
        <v>#N/A</v>
      </c>
      <c r="AS12" s="128" t="e">
        <f t="shared" si="11"/>
        <v>#N/A</v>
      </c>
      <c r="AT12" s="128" t="e">
        <f t="shared" si="11"/>
        <v>#N/A</v>
      </c>
      <c r="AU12" s="128" t="e">
        <f t="shared" si="11"/>
        <v>#N/A</v>
      </c>
      <c r="AV12" s="128" t="e">
        <f t="shared" si="11"/>
        <v>#N/A</v>
      </c>
      <c r="AW12" s="128" t="e">
        <f t="shared" si="11"/>
        <v>#N/A</v>
      </c>
      <c r="AX12" s="128" t="e">
        <f t="shared" si="11"/>
        <v>#N/A</v>
      </c>
      <c r="AY12" s="128" t="e">
        <f t="shared" si="11"/>
        <v>#N/A</v>
      </c>
      <c r="AZ12" s="128" t="e">
        <f t="shared" si="11"/>
        <v>#N/A</v>
      </c>
      <c r="BA12" s="128" t="e">
        <f t="shared" si="11"/>
        <v>#N/A</v>
      </c>
      <c r="BB12" s="128" t="e">
        <f t="shared" si="11"/>
        <v>#N/A</v>
      </c>
      <c r="BC12" s="128" t="e">
        <f t="shared" si="11"/>
        <v>#N/A</v>
      </c>
      <c r="BD12" s="128" t="e">
        <f t="shared" si="11"/>
        <v>#N/A</v>
      </c>
      <c r="BE12" s="128" t="e">
        <f t="shared" si="11"/>
        <v>#N/A</v>
      </c>
    </row>
    <row r="13" spans="1:57" ht="12.75">
      <c r="A13" s="2" t="s">
        <v>13</v>
      </c>
      <c r="B13" s="3" t="s">
        <v>13</v>
      </c>
      <c r="C13" s="4"/>
      <c r="D13" s="310">
        <f>+AnnualCosts2010!$Q$14/1.1035</f>
        <v>16531.61270084696</v>
      </c>
      <c r="E13" s="116"/>
      <c r="F13" s="317">
        <f>AnnualCosts2010!Q18/1.1035</f>
        <v>1172.8416576626819</v>
      </c>
      <c r="G13" s="138"/>
      <c r="H13" s="154">
        <f t="shared" si="2"/>
        <v>17704.45435850964</v>
      </c>
      <c r="I13" s="481">
        <v>1</v>
      </c>
      <c r="J13" s="481">
        <v>1</v>
      </c>
      <c r="K13" s="481">
        <v>1</v>
      </c>
      <c r="L13" s="481">
        <v>1</v>
      </c>
      <c r="M13" s="481">
        <v>1</v>
      </c>
      <c r="N13" s="481">
        <v>1</v>
      </c>
      <c r="O13" s="481">
        <v>1</v>
      </c>
      <c r="P13" s="481">
        <v>1</v>
      </c>
      <c r="Q13" s="481">
        <v>1</v>
      </c>
      <c r="R13" s="481">
        <v>1</v>
      </c>
      <c r="S13" s="481">
        <v>1</v>
      </c>
      <c r="T13" s="481">
        <v>1</v>
      </c>
      <c r="U13" s="481">
        <v>1</v>
      </c>
      <c r="V13" s="481">
        <v>1</v>
      </c>
      <c r="W13" s="481">
        <v>1</v>
      </c>
      <c r="X13" s="481">
        <v>1</v>
      </c>
      <c r="Y13" s="481">
        <v>1</v>
      </c>
      <c r="Z13" s="481">
        <v>1</v>
      </c>
      <c r="AA13" s="481">
        <v>1</v>
      </c>
      <c r="AB13" s="481">
        <v>1</v>
      </c>
      <c r="AC13" s="481">
        <v>1</v>
      </c>
      <c r="AD13" s="481">
        <v>1</v>
      </c>
      <c r="AE13" s="481">
        <v>1</v>
      </c>
      <c r="AF13" s="481">
        <v>1</v>
      </c>
      <c r="AG13" s="481">
        <v>1</v>
      </c>
      <c r="AH13" s="481">
        <v>1</v>
      </c>
      <c r="AI13" s="482">
        <v>0.68</v>
      </c>
      <c r="AJ13" s="481">
        <f t="shared" si="5"/>
        <v>0.68</v>
      </c>
      <c r="AK13" s="481">
        <f aca="true" t="shared" si="12" ref="AK13:BE13">+AJ13</f>
        <v>0.68</v>
      </c>
      <c r="AL13" s="481">
        <f t="shared" si="12"/>
        <v>0.68</v>
      </c>
      <c r="AM13" s="481">
        <f t="shared" si="12"/>
        <v>0.68</v>
      </c>
      <c r="AN13" s="481">
        <f t="shared" si="12"/>
        <v>0.68</v>
      </c>
      <c r="AO13" s="481">
        <f t="shared" si="12"/>
        <v>0.68</v>
      </c>
      <c r="AP13" s="481">
        <f t="shared" si="12"/>
        <v>0.68</v>
      </c>
      <c r="AQ13" s="481">
        <f t="shared" si="12"/>
        <v>0.68</v>
      </c>
      <c r="AR13" s="481">
        <f t="shared" si="12"/>
        <v>0.68</v>
      </c>
      <c r="AS13" s="481">
        <f t="shared" si="12"/>
        <v>0.68</v>
      </c>
      <c r="AT13" s="481">
        <f t="shared" si="12"/>
        <v>0.68</v>
      </c>
      <c r="AU13" s="481">
        <f t="shared" si="12"/>
        <v>0.68</v>
      </c>
      <c r="AV13" s="481">
        <f t="shared" si="12"/>
        <v>0.68</v>
      </c>
      <c r="AW13" s="481">
        <f t="shared" si="12"/>
        <v>0.68</v>
      </c>
      <c r="AX13" s="481">
        <f t="shared" si="12"/>
        <v>0.68</v>
      </c>
      <c r="AY13" s="481">
        <f t="shared" si="12"/>
        <v>0.68</v>
      </c>
      <c r="AZ13" s="481">
        <f t="shared" si="12"/>
        <v>0.68</v>
      </c>
      <c r="BA13" s="481">
        <f t="shared" si="12"/>
        <v>0.68</v>
      </c>
      <c r="BB13" s="481">
        <f t="shared" si="12"/>
        <v>0.68</v>
      </c>
      <c r="BC13" s="481">
        <f t="shared" si="12"/>
        <v>0.68</v>
      </c>
      <c r="BD13" s="481">
        <f t="shared" si="12"/>
        <v>0.68</v>
      </c>
      <c r="BE13" s="481">
        <f t="shared" si="12"/>
        <v>0.68</v>
      </c>
    </row>
    <row r="14" spans="1:57" ht="12.75">
      <c r="A14" s="2" t="s">
        <v>32</v>
      </c>
      <c r="B14" s="23" t="s">
        <v>33</v>
      </c>
      <c r="C14" s="4"/>
      <c r="D14" s="310">
        <f>+AnnualCosts2010!$L$14/1.1035</f>
        <v>2400.285803910634</v>
      </c>
      <c r="E14" s="116"/>
      <c r="F14" s="317">
        <f>AnnualCosts2010!L18/1.1035</f>
        <v>231.431459342651</v>
      </c>
      <c r="G14" s="138"/>
      <c r="H14" s="154">
        <f t="shared" si="2"/>
        <v>2631.717263253285</v>
      </c>
      <c r="I14" s="11">
        <v>1</v>
      </c>
      <c r="J14" s="11">
        <v>1</v>
      </c>
      <c r="K14" s="11">
        <v>1</v>
      </c>
      <c r="L14" s="11">
        <v>1</v>
      </c>
      <c r="M14" s="481">
        <f aca="true" t="shared" si="13" ref="M14:O15">+M6</f>
        <v>1</v>
      </c>
      <c r="N14" s="481">
        <f t="shared" si="13"/>
        <v>1</v>
      </c>
      <c r="O14" s="481">
        <f aca="true" t="shared" si="14" ref="O14:AH14">+O6</f>
        <v>1</v>
      </c>
      <c r="P14" s="481">
        <f t="shared" si="14"/>
        <v>1</v>
      </c>
      <c r="Q14" s="481">
        <f t="shared" si="14"/>
        <v>1</v>
      </c>
      <c r="R14" s="481">
        <f t="shared" si="14"/>
        <v>1</v>
      </c>
      <c r="S14" s="481">
        <f t="shared" si="14"/>
        <v>1</v>
      </c>
      <c r="T14" s="481">
        <f t="shared" si="14"/>
        <v>1</v>
      </c>
      <c r="U14" s="481">
        <f t="shared" si="14"/>
        <v>1</v>
      </c>
      <c r="V14" s="481">
        <f t="shared" si="14"/>
        <v>1</v>
      </c>
      <c r="W14" s="481">
        <f t="shared" si="14"/>
        <v>1</v>
      </c>
      <c r="X14" s="481">
        <f t="shared" si="14"/>
        <v>1</v>
      </c>
      <c r="Y14" s="481">
        <f t="shared" si="14"/>
        <v>1</v>
      </c>
      <c r="Z14" s="481">
        <f t="shared" si="14"/>
        <v>1</v>
      </c>
      <c r="AA14" s="481">
        <f t="shared" si="14"/>
        <v>1</v>
      </c>
      <c r="AB14" s="481">
        <f t="shared" si="14"/>
        <v>1</v>
      </c>
      <c r="AC14" s="481">
        <f t="shared" si="14"/>
        <v>1</v>
      </c>
      <c r="AD14" s="481">
        <f t="shared" si="14"/>
        <v>1</v>
      </c>
      <c r="AE14" s="481">
        <f t="shared" si="14"/>
        <v>1</v>
      </c>
      <c r="AF14" s="481">
        <f t="shared" si="14"/>
        <v>1</v>
      </c>
      <c r="AG14" s="481">
        <f t="shared" si="14"/>
        <v>1</v>
      </c>
      <c r="AH14" s="481">
        <f t="shared" si="14"/>
        <v>1</v>
      </c>
      <c r="AI14" s="378">
        <f>+AI6</f>
        <v>1</v>
      </c>
      <c r="AJ14" s="378">
        <f>+AJ6</f>
        <v>1</v>
      </c>
      <c r="AK14" s="378">
        <f aca="true" t="shared" si="15" ref="AK14:BE14">+AK6</f>
        <v>1</v>
      </c>
      <c r="AL14" s="378">
        <f t="shared" si="15"/>
        <v>1</v>
      </c>
      <c r="AM14" s="378">
        <f t="shared" si="15"/>
        <v>1</v>
      </c>
      <c r="AN14" s="378">
        <f t="shared" si="15"/>
        <v>1</v>
      </c>
      <c r="AO14" s="378">
        <f t="shared" si="15"/>
        <v>1</v>
      </c>
      <c r="AP14" s="378">
        <f t="shared" si="15"/>
        <v>1</v>
      </c>
      <c r="AQ14" s="378">
        <f t="shared" si="15"/>
        <v>1</v>
      </c>
      <c r="AR14" s="378">
        <f t="shared" si="15"/>
        <v>1</v>
      </c>
      <c r="AS14" s="378">
        <f t="shared" si="15"/>
        <v>1</v>
      </c>
      <c r="AT14" s="378">
        <f t="shared" si="15"/>
        <v>1</v>
      </c>
      <c r="AU14" s="378">
        <f t="shared" si="15"/>
        <v>1</v>
      </c>
      <c r="AV14" s="378">
        <f t="shared" si="15"/>
        <v>1</v>
      </c>
      <c r="AW14" s="378">
        <f t="shared" si="15"/>
        <v>1</v>
      </c>
      <c r="AX14" s="378">
        <f t="shared" si="15"/>
        <v>1</v>
      </c>
      <c r="AY14" s="378">
        <f t="shared" si="15"/>
        <v>1</v>
      </c>
      <c r="AZ14" s="378">
        <f t="shared" si="15"/>
        <v>1</v>
      </c>
      <c r="BA14" s="378">
        <f t="shared" si="15"/>
        <v>1</v>
      </c>
      <c r="BB14" s="378">
        <f t="shared" si="15"/>
        <v>1</v>
      </c>
      <c r="BC14" s="378">
        <f t="shared" si="15"/>
        <v>1</v>
      </c>
      <c r="BD14" s="378">
        <f t="shared" si="15"/>
        <v>1</v>
      </c>
      <c r="BE14" s="378">
        <f t="shared" si="15"/>
        <v>1</v>
      </c>
    </row>
    <row r="15" spans="1:57" ht="12.75">
      <c r="A15" s="18" t="s">
        <v>18</v>
      </c>
      <c r="B15" s="19" t="s">
        <v>18</v>
      </c>
      <c r="C15" s="150"/>
      <c r="D15" s="480">
        <f>+AnnualCosts2010!$T$14/1.1035</f>
        <v>7389.1437411356565</v>
      </c>
      <c r="E15" s="150"/>
      <c r="F15" s="317">
        <f>AnnualCosts2010!T18/1.1035</f>
        <v>45.310376076121436</v>
      </c>
      <c r="G15" s="137"/>
      <c r="H15" s="154">
        <f t="shared" si="2"/>
        <v>7434.454117211778</v>
      </c>
      <c r="I15" s="11">
        <v>1</v>
      </c>
      <c r="J15" s="11">
        <v>1</v>
      </c>
      <c r="K15" s="11">
        <v>1</v>
      </c>
      <c r="L15" s="11">
        <v>1</v>
      </c>
      <c r="M15" s="481">
        <f t="shared" si="13"/>
        <v>1</v>
      </c>
      <c r="N15" s="481">
        <f t="shared" si="13"/>
        <v>1</v>
      </c>
      <c r="O15" s="481">
        <f t="shared" si="13"/>
        <v>1</v>
      </c>
      <c r="P15" s="481">
        <v>0.95</v>
      </c>
      <c r="Q15" s="481">
        <v>0.9</v>
      </c>
      <c r="R15" s="481">
        <v>0.85</v>
      </c>
      <c r="S15" s="483">
        <v>0.82</v>
      </c>
      <c r="T15" s="483">
        <v>0.8</v>
      </c>
      <c r="U15" s="483">
        <v>0.78</v>
      </c>
      <c r="V15" s="483">
        <v>0.76</v>
      </c>
      <c r="W15" s="483">
        <v>0.74</v>
      </c>
      <c r="X15" s="483">
        <v>0.72</v>
      </c>
      <c r="Y15" s="483">
        <v>0.7</v>
      </c>
      <c r="Z15" s="483">
        <f aca="true" t="shared" si="16" ref="Z15:AJ15">Y15</f>
        <v>0.7</v>
      </c>
      <c r="AA15" s="483">
        <f t="shared" si="16"/>
        <v>0.7</v>
      </c>
      <c r="AB15" s="483">
        <f t="shared" si="16"/>
        <v>0.7</v>
      </c>
      <c r="AC15" s="483">
        <f t="shared" si="16"/>
        <v>0.7</v>
      </c>
      <c r="AD15" s="483">
        <f t="shared" si="16"/>
        <v>0.7</v>
      </c>
      <c r="AE15" s="483">
        <f t="shared" si="16"/>
        <v>0.7</v>
      </c>
      <c r="AF15" s="483">
        <f t="shared" si="16"/>
        <v>0.7</v>
      </c>
      <c r="AG15" s="483">
        <f t="shared" si="16"/>
        <v>0.7</v>
      </c>
      <c r="AH15" s="483">
        <f t="shared" si="16"/>
        <v>0.7</v>
      </c>
      <c r="AI15" s="483">
        <f t="shared" si="16"/>
        <v>0.7</v>
      </c>
      <c r="AJ15" s="483">
        <f t="shared" si="16"/>
        <v>0.7</v>
      </c>
      <c r="AK15" s="483">
        <f aca="true" t="shared" si="17" ref="AK15:BE15">AJ15</f>
        <v>0.7</v>
      </c>
      <c r="AL15" s="483">
        <f t="shared" si="17"/>
        <v>0.7</v>
      </c>
      <c r="AM15" s="483">
        <f t="shared" si="17"/>
        <v>0.7</v>
      </c>
      <c r="AN15" s="483">
        <f t="shared" si="17"/>
        <v>0.7</v>
      </c>
      <c r="AO15" s="483">
        <f t="shared" si="17"/>
        <v>0.7</v>
      </c>
      <c r="AP15" s="483">
        <f t="shared" si="17"/>
        <v>0.7</v>
      </c>
      <c r="AQ15" s="483">
        <f t="shared" si="17"/>
        <v>0.7</v>
      </c>
      <c r="AR15" s="483">
        <f t="shared" si="17"/>
        <v>0.7</v>
      </c>
      <c r="AS15" s="483">
        <f t="shared" si="17"/>
        <v>0.7</v>
      </c>
      <c r="AT15" s="483">
        <f t="shared" si="17"/>
        <v>0.7</v>
      </c>
      <c r="AU15" s="483">
        <f t="shared" si="17"/>
        <v>0.7</v>
      </c>
      <c r="AV15" s="483">
        <f t="shared" si="17"/>
        <v>0.7</v>
      </c>
      <c r="AW15" s="483">
        <f t="shared" si="17"/>
        <v>0.7</v>
      </c>
      <c r="AX15" s="483">
        <f t="shared" si="17"/>
        <v>0.7</v>
      </c>
      <c r="AY15" s="483">
        <f t="shared" si="17"/>
        <v>0.7</v>
      </c>
      <c r="AZ15" s="483">
        <f t="shared" si="17"/>
        <v>0.7</v>
      </c>
      <c r="BA15" s="483">
        <f t="shared" si="17"/>
        <v>0.7</v>
      </c>
      <c r="BB15" s="483">
        <f t="shared" si="17"/>
        <v>0.7</v>
      </c>
      <c r="BC15" s="483">
        <f t="shared" si="17"/>
        <v>0.7</v>
      </c>
      <c r="BD15" s="483">
        <f t="shared" si="17"/>
        <v>0.7</v>
      </c>
      <c r="BE15" s="483">
        <f t="shared" si="17"/>
        <v>0.7</v>
      </c>
    </row>
    <row r="16" spans="1:57" ht="12.75">
      <c r="A16" s="14" t="s">
        <v>30</v>
      </c>
      <c r="B16" s="15" t="s">
        <v>30</v>
      </c>
      <c r="C16" s="150"/>
      <c r="D16" s="480">
        <f>+AnnualCosts2010!$U$14/1.1035</f>
        <v>7708.427729950159</v>
      </c>
      <c r="E16" s="150"/>
      <c r="F16" s="317">
        <f>AnnualCosts2010!U18/1.1035</f>
        <v>54.37245129134572</v>
      </c>
      <c r="G16" s="138"/>
      <c r="H16" s="154">
        <f t="shared" si="2"/>
        <v>7762.800181241505</v>
      </c>
      <c r="I16" s="481">
        <v>1</v>
      </c>
      <c r="J16" s="481">
        <v>1</v>
      </c>
      <c r="K16" s="481">
        <v>1</v>
      </c>
      <c r="L16" s="11">
        <v>1</v>
      </c>
      <c r="M16" s="481">
        <f>M15</f>
        <v>1</v>
      </c>
      <c r="N16" s="481">
        <f>N15</f>
        <v>1</v>
      </c>
      <c r="O16" s="481">
        <f>O15</f>
        <v>1</v>
      </c>
      <c r="P16" s="128">
        <f aca="true" t="shared" si="18" ref="P16:U16">+$L16*VLOOKUP(P$1,$J$31:$Q$40,8,FALSE)</f>
        <v>0.8083675532841177</v>
      </c>
      <c r="Q16" s="128">
        <f t="shared" si="18"/>
        <v>0.8138781396553244</v>
      </c>
      <c r="R16" s="128">
        <f t="shared" si="18"/>
        <v>0.817515935558983</v>
      </c>
      <c r="S16" s="128">
        <f t="shared" si="18"/>
        <v>0.8211537314626417</v>
      </c>
      <c r="T16" s="128">
        <f t="shared" si="18"/>
        <v>0.8256450682492444</v>
      </c>
      <c r="U16" s="128">
        <f t="shared" si="18"/>
        <v>0.8301364050358471</v>
      </c>
      <c r="V16" s="128">
        <f aca="true" t="shared" si="19" ref="V16:AI16">+$L16*VLOOKUP(V$1,$J$31:$Q$53,8,FALSE)</f>
        <v>0.8349913521687271</v>
      </c>
      <c r="W16" s="128">
        <f t="shared" si="19"/>
        <v>0.8399176955829731</v>
      </c>
      <c r="X16" s="128">
        <f t="shared" si="19"/>
        <v>0.8449164852238993</v>
      </c>
      <c r="Y16" s="128">
        <f t="shared" si="19"/>
        <v>0.8499887864771918</v>
      </c>
      <c r="Z16" s="128">
        <f t="shared" si="19"/>
        <v>0.8551356803959741</v>
      </c>
      <c r="AA16" s="128">
        <f t="shared" si="19"/>
        <v>0.8603582639312088</v>
      </c>
      <c r="AB16" s="128">
        <f t="shared" si="19"/>
        <v>0.8656576501654912</v>
      </c>
      <c r="AC16" s="128">
        <f t="shared" si="19"/>
        <v>0.871034968550278</v>
      </c>
      <c r="AD16" s="128">
        <f t="shared" si="19"/>
        <v>0.8764913651466055</v>
      </c>
      <c r="AE16" s="128">
        <f t="shared" si="19"/>
        <v>0.8820280028693497</v>
      </c>
      <c r="AF16" s="128">
        <f t="shared" si="19"/>
        <v>0.8876460617350753</v>
      </c>
      <c r="AG16" s="128">
        <f t="shared" si="19"/>
        <v>0.8933467391135322</v>
      </c>
      <c r="AH16" s="128">
        <f t="shared" si="19"/>
        <v>0.899131249982849</v>
      </c>
      <c r="AI16" s="128" t="e">
        <f t="shared" si="19"/>
        <v>#N/A</v>
      </c>
      <c r="AJ16" s="128" t="e">
        <f>+AI16</f>
        <v>#N/A</v>
      </c>
      <c r="AK16" s="128" t="e">
        <f aca="true" t="shared" si="20" ref="AK16:BE16">+AJ16</f>
        <v>#N/A</v>
      </c>
      <c r="AL16" s="128" t="e">
        <f t="shared" si="20"/>
        <v>#N/A</v>
      </c>
      <c r="AM16" s="128" t="e">
        <f t="shared" si="20"/>
        <v>#N/A</v>
      </c>
      <c r="AN16" s="128" t="e">
        <f t="shared" si="20"/>
        <v>#N/A</v>
      </c>
      <c r="AO16" s="128" t="e">
        <f t="shared" si="20"/>
        <v>#N/A</v>
      </c>
      <c r="AP16" s="128" t="e">
        <f t="shared" si="20"/>
        <v>#N/A</v>
      </c>
      <c r="AQ16" s="128" t="e">
        <f t="shared" si="20"/>
        <v>#N/A</v>
      </c>
      <c r="AR16" s="128" t="e">
        <f t="shared" si="20"/>
        <v>#N/A</v>
      </c>
      <c r="AS16" s="128" t="e">
        <f t="shared" si="20"/>
        <v>#N/A</v>
      </c>
      <c r="AT16" s="128" t="e">
        <f t="shared" si="20"/>
        <v>#N/A</v>
      </c>
      <c r="AU16" s="128" t="e">
        <f t="shared" si="20"/>
        <v>#N/A</v>
      </c>
      <c r="AV16" s="128" t="e">
        <f t="shared" si="20"/>
        <v>#N/A</v>
      </c>
      <c r="AW16" s="128" t="e">
        <f t="shared" si="20"/>
        <v>#N/A</v>
      </c>
      <c r="AX16" s="128" t="e">
        <f t="shared" si="20"/>
        <v>#N/A</v>
      </c>
      <c r="AY16" s="128" t="e">
        <f t="shared" si="20"/>
        <v>#N/A</v>
      </c>
      <c r="AZ16" s="128" t="e">
        <f t="shared" si="20"/>
        <v>#N/A</v>
      </c>
      <c r="BA16" s="128" t="e">
        <f t="shared" si="20"/>
        <v>#N/A</v>
      </c>
      <c r="BB16" s="128" t="e">
        <f t="shared" si="20"/>
        <v>#N/A</v>
      </c>
      <c r="BC16" s="128" t="e">
        <f t="shared" si="20"/>
        <v>#N/A</v>
      </c>
      <c r="BD16" s="128" t="e">
        <f t="shared" si="20"/>
        <v>#N/A</v>
      </c>
      <c r="BE16" s="128" t="e">
        <f t="shared" si="20"/>
        <v>#N/A</v>
      </c>
    </row>
    <row r="17" spans="1:57" ht="12.75">
      <c r="A17" s="14" t="s">
        <v>31</v>
      </c>
      <c r="B17" s="15" t="s">
        <v>31</v>
      </c>
      <c r="C17" s="150"/>
      <c r="D17" s="480">
        <f>+AnnualCosts2010!$S$14/1.1035</f>
        <v>5158.717019274337</v>
      </c>
      <c r="E17" s="150"/>
      <c r="F17" s="317">
        <f>AnnualCosts2010!S18/1.1035</f>
        <v>135.93112822836432</v>
      </c>
      <c r="G17" s="138"/>
      <c r="H17" s="154">
        <f t="shared" si="2"/>
        <v>5294.648147502701</v>
      </c>
      <c r="I17" s="481">
        <v>1</v>
      </c>
      <c r="J17" s="481">
        <v>1</v>
      </c>
      <c r="K17" s="481">
        <v>1</v>
      </c>
      <c r="L17" s="481">
        <v>1</v>
      </c>
      <c r="M17" s="481">
        <v>1</v>
      </c>
      <c r="N17" s="481">
        <v>1</v>
      </c>
      <c r="O17" s="481">
        <v>1</v>
      </c>
      <c r="P17" s="11">
        <v>1.1</v>
      </c>
      <c r="Q17" s="11">
        <v>1.15</v>
      </c>
      <c r="R17" s="11">
        <f aca="true" t="shared" si="21" ref="R17:AJ17">+Q17</f>
        <v>1.15</v>
      </c>
      <c r="S17" s="11">
        <f t="shared" si="21"/>
        <v>1.15</v>
      </c>
      <c r="T17" s="11">
        <f t="shared" si="21"/>
        <v>1.15</v>
      </c>
      <c r="U17" s="11">
        <f t="shared" si="21"/>
        <v>1.15</v>
      </c>
      <c r="V17" s="11">
        <f t="shared" si="21"/>
        <v>1.15</v>
      </c>
      <c r="W17" s="11">
        <f t="shared" si="21"/>
        <v>1.15</v>
      </c>
      <c r="X17" s="11">
        <f t="shared" si="21"/>
        <v>1.15</v>
      </c>
      <c r="Y17" s="11">
        <f t="shared" si="21"/>
        <v>1.15</v>
      </c>
      <c r="Z17" s="11">
        <f t="shared" si="21"/>
        <v>1.15</v>
      </c>
      <c r="AA17" s="11">
        <f t="shared" si="21"/>
        <v>1.15</v>
      </c>
      <c r="AB17" s="11">
        <f t="shared" si="21"/>
        <v>1.15</v>
      </c>
      <c r="AC17" s="11">
        <f t="shared" si="21"/>
        <v>1.15</v>
      </c>
      <c r="AD17" s="11">
        <f t="shared" si="21"/>
        <v>1.15</v>
      </c>
      <c r="AE17" s="11">
        <f t="shared" si="21"/>
        <v>1.15</v>
      </c>
      <c r="AF17" s="11">
        <f t="shared" si="21"/>
        <v>1.15</v>
      </c>
      <c r="AG17" s="11">
        <f t="shared" si="21"/>
        <v>1.15</v>
      </c>
      <c r="AH17" s="11">
        <f t="shared" si="21"/>
        <v>1.15</v>
      </c>
      <c r="AI17" s="11">
        <f t="shared" si="21"/>
        <v>1.15</v>
      </c>
      <c r="AJ17" s="11">
        <f t="shared" si="21"/>
        <v>1.15</v>
      </c>
      <c r="AK17" s="11">
        <f aca="true" t="shared" si="22" ref="AK17:BE17">+AJ17</f>
        <v>1.15</v>
      </c>
      <c r="AL17" s="11">
        <f t="shared" si="22"/>
        <v>1.15</v>
      </c>
      <c r="AM17" s="11">
        <f t="shared" si="22"/>
        <v>1.15</v>
      </c>
      <c r="AN17" s="11">
        <f t="shared" si="22"/>
        <v>1.15</v>
      </c>
      <c r="AO17" s="11">
        <f t="shared" si="22"/>
        <v>1.15</v>
      </c>
      <c r="AP17" s="11">
        <f t="shared" si="22"/>
        <v>1.15</v>
      </c>
      <c r="AQ17" s="11">
        <f t="shared" si="22"/>
        <v>1.15</v>
      </c>
      <c r="AR17" s="11">
        <f t="shared" si="22"/>
        <v>1.15</v>
      </c>
      <c r="AS17" s="11">
        <f t="shared" si="22"/>
        <v>1.15</v>
      </c>
      <c r="AT17" s="11">
        <f t="shared" si="22"/>
        <v>1.15</v>
      </c>
      <c r="AU17" s="11">
        <f t="shared" si="22"/>
        <v>1.15</v>
      </c>
      <c r="AV17" s="11">
        <f t="shared" si="22"/>
        <v>1.15</v>
      </c>
      <c r="AW17" s="11">
        <f t="shared" si="22"/>
        <v>1.15</v>
      </c>
      <c r="AX17" s="11">
        <f t="shared" si="22"/>
        <v>1.15</v>
      </c>
      <c r="AY17" s="11">
        <f t="shared" si="22"/>
        <v>1.15</v>
      </c>
      <c r="AZ17" s="11">
        <f t="shared" si="22"/>
        <v>1.15</v>
      </c>
      <c r="BA17" s="11">
        <f t="shared" si="22"/>
        <v>1.15</v>
      </c>
      <c r="BB17" s="11">
        <f t="shared" si="22"/>
        <v>1.15</v>
      </c>
      <c r="BC17" s="11">
        <f t="shared" si="22"/>
        <v>1.15</v>
      </c>
      <c r="BD17" s="11">
        <f t="shared" si="22"/>
        <v>1.15</v>
      </c>
      <c r="BE17" s="11">
        <f t="shared" si="22"/>
        <v>1.15</v>
      </c>
    </row>
    <row r="18" spans="1:57" ht="12.75">
      <c r="A18" s="16" t="s">
        <v>17</v>
      </c>
      <c r="B18" s="17" t="s">
        <v>17</v>
      </c>
      <c r="C18" s="150"/>
      <c r="D18" s="480">
        <f>+AnnualCosts2010!$R$14/1.1035</f>
        <v>4810.058903488899</v>
      </c>
      <c r="E18" s="150"/>
      <c r="F18" s="317">
        <f>AnnualCosts2010!R18/1.1035</f>
        <v>36.248300860897146</v>
      </c>
      <c r="G18" s="479"/>
      <c r="H18" s="154">
        <f t="shared" si="2"/>
        <v>4846.307204349796</v>
      </c>
      <c r="I18" s="481">
        <v>1</v>
      </c>
      <c r="J18" s="481">
        <v>1</v>
      </c>
      <c r="K18" s="481">
        <v>1</v>
      </c>
      <c r="L18" s="481">
        <v>1</v>
      </c>
      <c r="M18" s="481">
        <v>1</v>
      </c>
      <c r="N18" s="481">
        <v>1</v>
      </c>
      <c r="O18" s="481">
        <v>1</v>
      </c>
      <c r="P18" s="483">
        <v>0.97</v>
      </c>
      <c r="Q18" s="483">
        <v>0.95</v>
      </c>
      <c r="R18" s="483">
        <v>0.93</v>
      </c>
      <c r="S18" s="483">
        <v>0.93</v>
      </c>
      <c r="T18" s="483">
        <v>0.93</v>
      </c>
      <c r="U18" s="483">
        <f>T18</f>
        <v>0.93</v>
      </c>
      <c r="V18" s="483">
        <f aca="true" t="shared" si="23" ref="V18:AJ18">U18</f>
        <v>0.93</v>
      </c>
      <c r="W18" s="483">
        <f t="shared" si="23"/>
        <v>0.93</v>
      </c>
      <c r="X18" s="483">
        <f t="shared" si="23"/>
        <v>0.93</v>
      </c>
      <c r="Y18" s="483">
        <f t="shared" si="23"/>
        <v>0.93</v>
      </c>
      <c r="Z18" s="483">
        <f t="shared" si="23"/>
        <v>0.93</v>
      </c>
      <c r="AA18" s="483">
        <f t="shared" si="23"/>
        <v>0.93</v>
      </c>
      <c r="AB18" s="483">
        <f t="shared" si="23"/>
        <v>0.93</v>
      </c>
      <c r="AC18" s="483">
        <f t="shared" si="23"/>
        <v>0.93</v>
      </c>
      <c r="AD18" s="483">
        <f t="shared" si="23"/>
        <v>0.93</v>
      </c>
      <c r="AE18" s="483">
        <f t="shared" si="23"/>
        <v>0.93</v>
      </c>
      <c r="AF18" s="483">
        <f t="shared" si="23"/>
        <v>0.93</v>
      </c>
      <c r="AG18" s="483">
        <f t="shared" si="23"/>
        <v>0.93</v>
      </c>
      <c r="AH18" s="483">
        <f t="shared" si="23"/>
        <v>0.93</v>
      </c>
      <c r="AI18" s="483">
        <f t="shared" si="23"/>
        <v>0.93</v>
      </c>
      <c r="AJ18" s="483">
        <f t="shared" si="23"/>
        <v>0.93</v>
      </c>
      <c r="AK18" s="483">
        <f aca="true" t="shared" si="24" ref="AK18:BE18">AJ18</f>
        <v>0.93</v>
      </c>
      <c r="AL18" s="483">
        <f t="shared" si="24"/>
        <v>0.93</v>
      </c>
      <c r="AM18" s="483">
        <f t="shared" si="24"/>
        <v>0.93</v>
      </c>
      <c r="AN18" s="483">
        <f t="shared" si="24"/>
        <v>0.93</v>
      </c>
      <c r="AO18" s="483">
        <f t="shared" si="24"/>
        <v>0.93</v>
      </c>
      <c r="AP18" s="483">
        <f t="shared" si="24"/>
        <v>0.93</v>
      </c>
      <c r="AQ18" s="483">
        <f t="shared" si="24"/>
        <v>0.93</v>
      </c>
      <c r="AR18" s="483">
        <f t="shared" si="24"/>
        <v>0.93</v>
      </c>
      <c r="AS18" s="483">
        <f t="shared" si="24"/>
        <v>0.93</v>
      </c>
      <c r="AT18" s="483">
        <f t="shared" si="24"/>
        <v>0.93</v>
      </c>
      <c r="AU18" s="483">
        <f t="shared" si="24"/>
        <v>0.93</v>
      </c>
      <c r="AV18" s="483">
        <f t="shared" si="24"/>
        <v>0.93</v>
      </c>
      <c r="AW18" s="483">
        <f t="shared" si="24"/>
        <v>0.93</v>
      </c>
      <c r="AX18" s="483">
        <f t="shared" si="24"/>
        <v>0.93</v>
      </c>
      <c r="AY18" s="483">
        <f t="shared" si="24"/>
        <v>0.93</v>
      </c>
      <c r="AZ18" s="483">
        <f t="shared" si="24"/>
        <v>0.93</v>
      </c>
      <c r="BA18" s="483">
        <f t="shared" si="24"/>
        <v>0.93</v>
      </c>
      <c r="BB18" s="483">
        <f t="shared" si="24"/>
        <v>0.93</v>
      </c>
      <c r="BC18" s="483">
        <f t="shared" si="24"/>
        <v>0.93</v>
      </c>
      <c r="BD18" s="483">
        <f t="shared" si="24"/>
        <v>0.93</v>
      </c>
      <c r="BE18" s="483">
        <f t="shared" si="24"/>
        <v>0.93</v>
      </c>
    </row>
    <row r="19" spans="13:19" ht="12.75">
      <c r="M19" s="157"/>
      <c r="N19" s="157"/>
      <c r="O19" s="157"/>
      <c r="P19" s="157"/>
      <c r="Q19" s="157"/>
      <c r="R19" s="157"/>
      <c r="S19" s="157"/>
    </row>
    <row r="20" spans="3:13" ht="12.75">
      <c r="C20" s="3" t="s">
        <v>1</v>
      </c>
      <c r="D20" s="125">
        <v>1415.4923201935717</v>
      </c>
      <c r="E20" s="126">
        <f>+D2/D20</f>
        <v>1.7292374160772963</v>
      </c>
      <c r="F20" s="125">
        <v>197.52504200011956</v>
      </c>
      <c r="I20" s="512"/>
      <c r="J20" s="141"/>
      <c r="K20" s="142"/>
      <c r="L20" s="142"/>
      <c r="M20" s="143"/>
    </row>
    <row r="21" spans="3:19" ht="12.75">
      <c r="C21" s="3" t="s">
        <v>2</v>
      </c>
      <c r="D21" s="125">
        <v>1263.9782169895866</v>
      </c>
      <c r="E21" s="126">
        <f aca="true" t="shared" si="25" ref="E21:E36">+D3/D21</f>
        <v>1.7075925323512329</v>
      </c>
      <c r="F21" s="125">
        <v>141.61784920514415</v>
      </c>
      <c r="I21" s="512"/>
      <c r="J21" s="144"/>
      <c r="K21" s="139"/>
      <c r="L21" s="139"/>
      <c r="M21" s="145"/>
      <c r="O21">
        <v>1800</v>
      </c>
      <c r="S21" t="s">
        <v>339</v>
      </c>
    </row>
    <row r="22" spans="3:15" ht="12.75">
      <c r="C22" s="3" t="s">
        <v>42</v>
      </c>
      <c r="D22" s="125">
        <v>1516.7738603875039</v>
      </c>
      <c r="E22" s="126">
        <f t="shared" si="25"/>
        <v>1.9452794049862034</v>
      </c>
      <c r="F22" s="125">
        <v>0</v>
      </c>
      <c r="I22" s="512"/>
      <c r="J22" s="144"/>
      <c r="K22" s="139"/>
      <c r="L22" s="139"/>
      <c r="M22" s="145"/>
      <c r="O22">
        <v>2100</v>
      </c>
    </row>
    <row r="23" spans="1:15" ht="12.75">
      <c r="A23" t="s">
        <v>339</v>
      </c>
      <c r="C23" s="3" t="s">
        <v>3</v>
      </c>
      <c r="D23" s="125">
        <v>2399.889885951947</v>
      </c>
      <c r="E23" s="126">
        <f t="shared" si="25"/>
        <v>1.1088785574488524</v>
      </c>
      <c r="F23" s="125">
        <v>238.3223794373834</v>
      </c>
      <c r="H23" s="21"/>
      <c r="I23" s="512"/>
      <c r="J23" s="144"/>
      <c r="K23" s="139"/>
      <c r="L23" s="140"/>
      <c r="M23" s="145"/>
      <c r="O23">
        <f>+O22/O21</f>
        <v>1.1666666666666667</v>
      </c>
    </row>
    <row r="24" spans="3:13" ht="12.75">
      <c r="C24" s="3" t="s">
        <v>349</v>
      </c>
      <c r="D24" s="125">
        <v>1995.326127591932</v>
      </c>
      <c r="E24" s="126">
        <f t="shared" si="25"/>
        <v>1.1898785406523782</v>
      </c>
      <c r="F24" s="125">
        <v>170.68103990662428</v>
      </c>
      <c r="H24" s="21"/>
      <c r="I24" s="512"/>
      <c r="J24" s="144"/>
      <c r="K24" s="139"/>
      <c r="L24" s="140"/>
      <c r="M24" s="145"/>
    </row>
    <row r="25" spans="3:13" ht="12.75">
      <c r="C25" s="3" t="s">
        <v>5</v>
      </c>
      <c r="D25" s="125">
        <v>4810.549435256147</v>
      </c>
      <c r="E25" s="126">
        <f t="shared" si="25"/>
        <v>1.6339556565046964</v>
      </c>
      <c r="F25" s="125">
        <v>713.2235891836312</v>
      </c>
      <c r="H25" s="21"/>
      <c r="I25" s="512"/>
      <c r="J25" s="144"/>
      <c r="K25" s="139"/>
      <c r="L25" s="140"/>
      <c r="M25" s="145"/>
    </row>
    <row r="26" spans="3:13" ht="12.75">
      <c r="C26" s="3" t="s">
        <v>6</v>
      </c>
      <c r="D26" s="125">
        <v>4292.670655703775</v>
      </c>
      <c r="E26" s="126">
        <f t="shared" si="25"/>
        <v>1.55315829355993</v>
      </c>
      <c r="F26" s="125">
        <v>643.9170599990005</v>
      </c>
      <c r="H26" s="21"/>
      <c r="I26" s="512"/>
      <c r="J26" s="144"/>
      <c r="K26" s="139"/>
      <c r="L26" s="140"/>
      <c r="M26" s="145"/>
    </row>
    <row r="27" spans="3:13" ht="12.75">
      <c r="C27" s="3" t="s">
        <v>7</v>
      </c>
      <c r="D27" s="125">
        <v>6286.67112864529</v>
      </c>
      <c r="E27" s="126">
        <f t="shared" si="25"/>
        <v>1.4461073098103079</v>
      </c>
      <c r="F27" s="125">
        <v>791.8115345038451</v>
      </c>
      <c r="H27" s="21"/>
      <c r="I27" s="512"/>
      <c r="J27" s="144"/>
      <c r="K27" s="139"/>
      <c r="L27" s="140"/>
      <c r="M27" s="145"/>
    </row>
    <row r="28" spans="3:13" ht="12.75">
      <c r="C28" s="3" t="s">
        <v>8</v>
      </c>
      <c r="D28" s="125">
        <v>6111.889180722088</v>
      </c>
      <c r="E28" s="126">
        <f t="shared" si="25"/>
        <v>1.5204474151389364</v>
      </c>
      <c r="F28" s="125">
        <v>641.8783157402055</v>
      </c>
      <c r="H28" s="21"/>
      <c r="I28" s="512"/>
      <c r="J28" s="144"/>
      <c r="K28" s="139"/>
      <c r="L28" s="140"/>
      <c r="M28" s="145"/>
    </row>
    <row r="29" spans="2:19" ht="12.75">
      <c r="B29" s="325"/>
      <c r="C29" s="3" t="s">
        <v>14</v>
      </c>
      <c r="D29" s="125">
        <v>8449.411412958005</v>
      </c>
      <c r="E29" s="126">
        <f t="shared" si="25"/>
        <v>1.7272010850782167</v>
      </c>
      <c r="F29" s="125">
        <v>1050.9418628197884</v>
      </c>
      <c r="H29" s="21"/>
      <c r="I29" s="512"/>
      <c r="J29" s="146"/>
      <c r="K29" s="147"/>
      <c r="L29" s="259"/>
      <c r="M29" s="148"/>
      <c r="S29" t="s">
        <v>206</v>
      </c>
    </row>
    <row r="30" spans="1:20" ht="12.75">
      <c r="A30" s="157"/>
      <c r="B30">
        <v>543</v>
      </c>
      <c r="C30" s="3" t="s">
        <v>15</v>
      </c>
      <c r="D30" s="125">
        <v>8307.250029050434</v>
      </c>
      <c r="E30" s="126">
        <f t="shared" si="25"/>
        <v>1.6925182377153332</v>
      </c>
      <c r="F30" s="125">
        <v>910.9113865755794</v>
      </c>
      <c r="H30" s="21" t="s">
        <v>271</v>
      </c>
      <c r="I30" s="156"/>
      <c r="J30" s="157" t="s">
        <v>268</v>
      </c>
      <c r="K30" s="157"/>
      <c r="L30" s="330">
        <v>877</v>
      </c>
      <c r="M30" s="158"/>
      <c r="O30" t="s">
        <v>315</v>
      </c>
      <c r="R30" t="s">
        <v>203</v>
      </c>
      <c r="S30" t="s">
        <v>204</v>
      </c>
      <c r="T30" t="s">
        <v>205</v>
      </c>
    </row>
    <row r="31" spans="1:20" ht="12.75" customHeight="1">
      <c r="A31">
        <v>1</v>
      </c>
      <c r="B31" s="327">
        <f>D118</f>
        <v>888</v>
      </c>
      <c r="C31" s="3" t="s">
        <v>13</v>
      </c>
      <c r="D31" s="125">
        <v>6610.327309970122</v>
      </c>
      <c r="E31" s="126">
        <f t="shared" si="25"/>
        <v>2.5008765717111943</v>
      </c>
      <c r="F31" s="125">
        <v>1342.1082874831786</v>
      </c>
      <c r="H31" s="21">
        <f>B31/1.02^A31</f>
        <v>870.5882352941177</v>
      </c>
      <c r="I31" s="513"/>
      <c r="J31" s="141">
        <v>2008</v>
      </c>
      <c r="K31" s="142"/>
      <c r="L31" s="193">
        <f>H31</f>
        <v>870.5882352941177</v>
      </c>
      <c r="M31" s="143">
        <f>+L31/$L$30</f>
        <v>0.9926889798108526</v>
      </c>
      <c r="N31" s="1">
        <v>877</v>
      </c>
      <c r="O31">
        <f>+N31*0.5+L31*0.5</f>
        <v>873.7941176470588</v>
      </c>
      <c r="P31">
        <f>+O31/$L$30</f>
        <v>0.9963444899054262</v>
      </c>
      <c r="Q31">
        <f>+P31</f>
        <v>0.9963444899054262</v>
      </c>
      <c r="R31">
        <v>1.03</v>
      </c>
      <c r="S31">
        <v>1.03</v>
      </c>
      <c r="T31">
        <f>+R31-S31+1</f>
        <v>1</v>
      </c>
    </row>
    <row r="32" spans="1:20" ht="12.75">
      <c r="A32">
        <v>2</v>
      </c>
      <c r="B32" s="327">
        <f aca="true" t="shared" si="26" ref="B32:B53">D119</f>
        <v>540</v>
      </c>
      <c r="C32" s="23" t="s">
        <v>33</v>
      </c>
      <c r="D32" s="125">
        <v>2430.954589738529</v>
      </c>
      <c r="E32" s="126">
        <f t="shared" si="25"/>
        <v>0.987384056470099</v>
      </c>
      <c r="F32" s="125">
        <v>215.68390111190627</v>
      </c>
      <c r="H32" s="21">
        <f aca="true" t="shared" si="27" ref="H32:H53">B32/1.02^A32</f>
        <v>519.0311418685121</v>
      </c>
      <c r="I32" s="514"/>
      <c r="J32" s="144">
        <v>2009</v>
      </c>
      <c r="K32" s="139"/>
      <c r="L32" s="193">
        <f aca="true" t="shared" si="28" ref="L32:L53">H32</f>
        <v>519.0311418685121</v>
      </c>
      <c r="M32" s="145">
        <f aca="true" t="shared" si="29" ref="M32:M53">+L32/$L$30</f>
        <v>0.5918257033848485</v>
      </c>
      <c r="N32" s="1">
        <f>+N31*T32</f>
        <v>877</v>
      </c>
      <c r="O32" s="326">
        <f>+N32*0.5+L32*0.48</f>
        <v>687.6349480968859</v>
      </c>
      <c r="P32">
        <f aca="true" t="shared" si="30" ref="P32:P53">+O32/$L$30</f>
        <v>0.7840763376247273</v>
      </c>
      <c r="Q32">
        <f>+P32</f>
        <v>0.7840763376247273</v>
      </c>
      <c r="R32">
        <v>1.03</v>
      </c>
      <c r="S32">
        <v>1.03</v>
      </c>
      <c r="T32">
        <f aca="true" t="shared" si="31" ref="T32:T40">+R32-S32+1</f>
        <v>1</v>
      </c>
    </row>
    <row r="33" spans="1:20" ht="12.75">
      <c r="A33">
        <v>3</v>
      </c>
      <c r="B33" s="327">
        <f t="shared" si="26"/>
        <v>550</v>
      </c>
      <c r="C33" s="127" t="s">
        <v>18</v>
      </c>
      <c r="D33" s="125">
        <v>7712</v>
      </c>
      <c r="E33" s="126">
        <f t="shared" si="25"/>
        <v>0.958135858549748</v>
      </c>
      <c r="F33" s="125"/>
      <c r="H33" s="21">
        <f t="shared" si="27"/>
        <v>518.2772840008745</v>
      </c>
      <c r="I33" s="514"/>
      <c r="J33" s="144">
        <v>2010</v>
      </c>
      <c r="K33" s="139"/>
      <c r="L33" s="193">
        <f t="shared" si="28"/>
        <v>518.2772840008745</v>
      </c>
      <c r="M33" s="145">
        <f t="shared" si="29"/>
        <v>0.5909661163065844</v>
      </c>
      <c r="N33" s="1">
        <f aca="true" t="shared" si="32" ref="N33:N40">+N32*T33</f>
        <v>877</v>
      </c>
      <c r="O33" s="326">
        <f>+N33*0.5+L33*0.48</f>
        <v>687.2730963204198</v>
      </c>
      <c r="P33">
        <f t="shared" si="30"/>
        <v>0.7836637358271605</v>
      </c>
      <c r="Q33" s="159">
        <f>+Q32-(Q32-Q34)/2</f>
        <v>0.7934666522688191</v>
      </c>
      <c r="R33">
        <v>1.03</v>
      </c>
      <c r="S33">
        <v>1.03</v>
      </c>
      <c r="T33">
        <f t="shared" si="31"/>
        <v>1</v>
      </c>
    </row>
    <row r="34" spans="1:20" ht="12.75">
      <c r="A34">
        <v>4</v>
      </c>
      <c r="B34" s="327">
        <f t="shared" si="26"/>
        <v>575</v>
      </c>
      <c r="C34" s="3" t="s">
        <v>30</v>
      </c>
      <c r="D34" s="125">
        <v>6352.338978105745</v>
      </c>
      <c r="E34" s="126">
        <f t="shared" si="25"/>
        <v>1.2134786503866324</v>
      </c>
      <c r="F34" s="125"/>
      <c r="H34" s="21">
        <f t="shared" si="27"/>
        <v>531.2111199652456</v>
      </c>
      <c r="I34" s="514"/>
      <c r="J34" s="144">
        <v>2011</v>
      </c>
      <c r="K34" s="139"/>
      <c r="L34" s="193">
        <f t="shared" si="28"/>
        <v>531.2111199652456</v>
      </c>
      <c r="M34" s="145">
        <f t="shared" si="29"/>
        <v>0.6057139338258217</v>
      </c>
      <c r="N34" s="1">
        <f t="shared" si="32"/>
        <v>877</v>
      </c>
      <c r="O34">
        <f>+N34*0.5+L34*0.5</f>
        <v>704.1055599826228</v>
      </c>
      <c r="P34">
        <f t="shared" si="30"/>
        <v>0.8028569669129109</v>
      </c>
      <c r="Q34">
        <f>+P34</f>
        <v>0.8028569669129109</v>
      </c>
      <c r="R34">
        <v>1.03</v>
      </c>
      <c r="S34">
        <v>1.03</v>
      </c>
      <c r="T34">
        <f t="shared" si="31"/>
        <v>1</v>
      </c>
    </row>
    <row r="35" spans="1:20" ht="12.75">
      <c r="A35">
        <v>5</v>
      </c>
      <c r="B35" s="327">
        <f t="shared" si="26"/>
        <v>605</v>
      </c>
      <c r="C35" s="3" t="s">
        <v>31</v>
      </c>
      <c r="D35" s="125">
        <v>6309</v>
      </c>
      <c r="E35" s="126">
        <f t="shared" si="25"/>
        <v>0.8176758629377614</v>
      </c>
      <c r="F35" s="125"/>
      <c r="H35" s="21">
        <f t="shared" si="27"/>
        <v>547.9671399470991</v>
      </c>
      <c r="I35" s="514"/>
      <c r="J35" s="144">
        <v>2012</v>
      </c>
      <c r="K35" s="139"/>
      <c r="L35" s="193">
        <f t="shared" si="28"/>
        <v>547.9671399470991</v>
      </c>
      <c r="M35" s="145">
        <f t="shared" si="29"/>
        <v>0.6248199999396797</v>
      </c>
      <c r="N35" s="1">
        <f t="shared" si="32"/>
        <v>877</v>
      </c>
      <c r="O35">
        <f aca="true" t="shared" si="33" ref="O35:O53">+N35*0.5+L35*0.5</f>
        <v>712.4835699735495</v>
      </c>
      <c r="P35">
        <f t="shared" si="30"/>
        <v>0.8124099999698398</v>
      </c>
      <c r="Q35" s="159">
        <f>+Q34-(Q34-Q36)/2</f>
        <v>0.8083675532841177</v>
      </c>
      <c r="R35">
        <v>1.03</v>
      </c>
      <c r="S35">
        <v>1.03</v>
      </c>
      <c r="T35">
        <f t="shared" si="31"/>
        <v>1</v>
      </c>
    </row>
    <row r="36" spans="1:20" ht="12.75">
      <c r="A36">
        <v>6</v>
      </c>
      <c r="B36" s="327">
        <f t="shared" si="26"/>
        <v>620</v>
      </c>
      <c r="C36" s="3" t="s">
        <v>17</v>
      </c>
      <c r="D36" s="125">
        <v>3126</v>
      </c>
      <c r="E36" s="126">
        <f t="shared" si="25"/>
        <v>1.5387264566503196</v>
      </c>
      <c r="F36" s="125"/>
      <c r="H36" s="21">
        <f t="shared" si="27"/>
        <v>550.542256955439</v>
      </c>
      <c r="I36" s="514"/>
      <c r="J36" s="144">
        <v>2013</v>
      </c>
      <c r="K36" s="139"/>
      <c r="L36" s="193">
        <f t="shared" si="28"/>
        <v>550.542256955439</v>
      </c>
      <c r="M36" s="145">
        <f t="shared" si="29"/>
        <v>0.6277562793106488</v>
      </c>
      <c r="N36" s="1">
        <f t="shared" si="32"/>
        <v>877</v>
      </c>
      <c r="O36">
        <f t="shared" si="33"/>
        <v>713.7711284777195</v>
      </c>
      <c r="P36">
        <f t="shared" si="30"/>
        <v>0.8138781396553244</v>
      </c>
      <c r="Q36">
        <f>+P36</f>
        <v>0.8138781396553244</v>
      </c>
      <c r="R36">
        <v>1.03</v>
      </c>
      <c r="S36">
        <v>1.03</v>
      </c>
      <c r="T36">
        <f t="shared" si="31"/>
        <v>1</v>
      </c>
    </row>
    <row r="37" spans="1:20" ht="12.75">
      <c r="A37">
        <v>7</v>
      </c>
      <c r="B37" s="327">
        <f t="shared" si="26"/>
        <v>640</v>
      </c>
      <c r="H37" s="21">
        <f t="shared" si="27"/>
        <v>557.1585143129049</v>
      </c>
      <c r="I37" s="514"/>
      <c r="J37" s="144">
        <v>2014</v>
      </c>
      <c r="K37" s="139"/>
      <c r="L37" s="193">
        <f t="shared" si="28"/>
        <v>557.1585143129049</v>
      </c>
      <c r="M37" s="145">
        <f t="shared" si="29"/>
        <v>0.6353004724206441</v>
      </c>
      <c r="N37" s="1">
        <f t="shared" si="32"/>
        <v>877</v>
      </c>
      <c r="O37">
        <f t="shared" si="33"/>
        <v>717.0792571564525</v>
      </c>
      <c r="P37">
        <f t="shared" si="30"/>
        <v>0.8176502362103222</v>
      </c>
      <c r="Q37" s="159">
        <f>+Q36-(Q36-Q38)/2</f>
        <v>0.817515935558983</v>
      </c>
      <c r="R37">
        <v>1.03</v>
      </c>
      <c r="S37">
        <v>1.03</v>
      </c>
      <c r="T37">
        <f t="shared" si="31"/>
        <v>1</v>
      </c>
    </row>
    <row r="38" spans="1:20" ht="12.75">
      <c r="A38">
        <v>8</v>
      </c>
      <c r="B38" s="327">
        <f t="shared" si="26"/>
        <v>660</v>
      </c>
      <c r="H38" s="21">
        <f t="shared" si="27"/>
        <v>563.3036449854736</v>
      </c>
      <c r="I38" s="514"/>
      <c r="J38" s="144">
        <v>2015</v>
      </c>
      <c r="K38" s="139"/>
      <c r="L38" s="193">
        <f t="shared" si="28"/>
        <v>563.3036449854736</v>
      </c>
      <c r="M38" s="145">
        <f t="shared" si="29"/>
        <v>0.6423074629252835</v>
      </c>
      <c r="N38" s="1">
        <f t="shared" si="32"/>
        <v>877</v>
      </c>
      <c r="O38">
        <f t="shared" si="33"/>
        <v>720.1518224927368</v>
      </c>
      <c r="P38">
        <f t="shared" si="30"/>
        <v>0.8211537314626417</v>
      </c>
      <c r="Q38">
        <f>+P38</f>
        <v>0.8211537314626417</v>
      </c>
      <c r="R38">
        <v>1.03</v>
      </c>
      <c r="S38">
        <v>1.03</v>
      </c>
      <c r="T38">
        <f t="shared" si="31"/>
        <v>1</v>
      </c>
    </row>
    <row r="39" spans="1:20" ht="12.75">
      <c r="A39">
        <v>9</v>
      </c>
      <c r="B39" s="327">
        <f t="shared" si="26"/>
        <v>682</v>
      </c>
      <c r="H39" s="21">
        <f t="shared" si="27"/>
        <v>570.667091325153</v>
      </c>
      <c r="I39" s="514"/>
      <c r="J39" s="144">
        <v>2016</v>
      </c>
      <c r="K39" s="139"/>
      <c r="L39" s="193">
        <f t="shared" si="28"/>
        <v>570.667091325153</v>
      </c>
      <c r="M39" s="145">
        <f t="shared" si="29"/>
        <v>0.650703638911235</v>
      </c>
      <c r="N39" s="1">
        <f t="shared" si="32"/>
        <v>877</v>
      </c>
      <c r="O39">
        <f t="shared" si="33"/>
        <v>723.8335456625765</v>
      </c>
      <c r="P39">
        <f t="shared" si="30"/>
        <v>0.8253518194556174</v>
      </c>
      <c r="Q39" s="159">
        <f>+Q38-(Q38-Q40)/2</f>
        <v>0.8256450682492444</v>
      </c>
      <c r="R39">
        <v>1.03</v>
      </c>
      <c r="S39">
        <v>1.03</v>
      </c>
      <c r="T39">
        <f t="shared" si="31"/>
        <v>1</v>
      </c>
    </row>
    <row r="40" spans="1:20" ht="12.75">
      <c r="A40">
        <v>10</v>
      </c>
      <c r="B40" s="327">
        <f t="shared" si="26"/>
        <v>705.8699999999999</v>
      </c>
      <c r="H40" s="21">
        <f t="shared" si="27"/>
        <v>579.0592544328758</v>
      </c>
      <c r="I40" s="514"/>
      <c r="J40" s="146">
        <v>2017</v>
      </c>
      <c r="K40" s="147"/>
      <c r="L40" s="193">
        <f t="shared" si="28"/>
        <v>579.0592544328758</v>
      </c>
      <c r="M40" s="148">
        <f t="shared" si="29"/>
        <v>0.6602728100716942</v>
      </c>
      <c r="N40" s="1">
        <f t="shared" si="32"/>
        <v>877</v>
      </c>
      <c r="O40">
        <f t="shared" si="33"/>
        <v>728.0296272164379</v>
      </c>
      <c r="P40">
        <f t="shared" si="30"/>
        <v>0.8301364050358471</v>
      </c>
      <c r="Q40">
        <f>+P40</f>
        <v>0.8301364050358471</v>
      </c>
      <c r="R40">
        <v>1.03</v>
      </c>
      <c r="S40">
        <v>1.03</v>
      </c>
      <c r="T40">
        <f t="shared" si="31"/>
        <v>1</v>
      </c>
    </row>
    <row r="41" spans="1:22" ht="12.75">
      <c r="A41">
        <v>11</v>
      </c>
      <c r="B41" s="327">
        <f t="shared" si="26"/>
        <v>730.5754499999998</v>
      </c>
      <c r="H41" s="21">
        <f t="shared" si="27"/>
        <v>587.5748317039476</v>
      </c>
      <c r="I41" s="515"/>
      <c r="J41" s="194">
        <v>2018</v>
      </c>
      <c r="K41" s="195"/>
      <c r="L41" s="193">
        <f t="shared" si="28"/>
        <v>587.5748317039476</v>
      </c>
      <c r="M41" s="145">
        <f t="shared" si="29"/>
        <v>0.6699827043374544</v>
      </c>
      <c r="N41" s="1">
        <f aca="true" t="shared" si="34" ref="N41:N53">+N40*T41</f>
        <v>877</v>
      </c>
      <c r="O41">
        <f t="shared" si="33"/>
        <v>732.2874158519737</v>
      </c>
      <c r="P41">
        <f t="shared" si="30"/>
        <v>0.8349913521687271</v>
      </c>
      <c r="Q41">
        <f aca="true" t="shared" si="35" ref="Q41:Q53">+P41</f>
        <v>0.8349913521687271</v>
      </c>
      <c r="R41">
        <v>1.03</v>
      </c>
      <c r="S41">
        <v>1.03</v>
      </c>
      <c r="T41">
        <f aca="true" t="shared" si="36" ref="T41:T53">+R41-S41+1</f>
        <v>1</v>
      </c>
      <c r="U41" s="5"/>
      <c r="V41" s="5"/>
    </row>
    <row r="42" spans="1:22" ht="12.75">
      <c r="A42">
        <v>12</v>
      </c>
      <c r="B42" s="327">
        <f t="shared" si="26"/>
        <v>756.1455907499998</v>
      </c>
      <c r="H42" s="21">
        <f t="shared" si="27"/>
        <v>596.2156380525348</v>
      </c>
      <c r="I42" s="515"/>
      <c r="J42" s="196">
        <v>2019</v>
      </c>
      <c r="K42" s="197"/>
      <c r="L42" s="193">
        <f t="shared" si="28"/>
        <v>596.2156380525348</v>
      </c>
      <c r="M42" s="145">
        <f t="shared" si="29"/>
        <v>0.6798353911659462</v>
      </c>
      <c r="N42" s="1">
        <f t="shared" si="34"/>
        <v>877</v>
      </c>
      <c r="O42">
        <f t="shared" si="33"/>
        <v>736.6078190262674</v>
      </c>
      <c r="P42">
        <f t="shared" si="30"/>
        <v>0.8399176955829731</v>
      </c>
      <c r="Q42">
        <f t="shared" si="35"/>
        <v>0.8399176955829731</v>
      </c>
      <c r="R42">
        <v>1.03</v>
      </c>
      <c r="S42">
        <v>1.03</v>
      </c>
      <c r="T42">
        <f t="shared" si="36"/>
        <v>1</v>
      </c>
      <c r="U42" s="5"/>
      <c r="V42" s="5"/>
    </row>
    <row r="43" spans="1:22" ht="12.75">
      <c r="A43">
        <v>13</v>
      </c>
      <c r="B43" s="327">
        <f t="shared" si="26"/>
        <v>782.6106864262497</v>
      </c>
      <c r="H43" s="21">
        <f t="shared" si="27"/>
        <v>604.9835150827192</v>
      </c>
      <c r="I43" s="515"/>
      <c r="J43" s="144">
        <v>2020</v>
      </c>
      <c r="K43" s="197"/>
      <c r="L43" s="193">
        <f t="shared" si="28"/>
        <v>604.9835150827192</v>
      </c>
      <c r="M43" s="145">
        <f t="shared" si="29"/>
        <v>0.6898329704477985</v>
      </c>
      <c r="N43" s="1">
        <f t="shared" si="34"/>
        <v>877</v>
      </c>
      <c r="O43">
        <f t="shared" si="33"/>
        <v>740.9917575413597</v>
      </c>
      <c r="P43">
        <f t="shared" si="30"/>
        <v>0.8449164852238993</v>
      </c>
      <c r="Q43">
        <f t="shared" si="35"/>
        <v>0.8449164852238993</v>
      </c>
      <c r="R43">
        <v>1.03</v>
      </c>
      <c r="S43">
        <v>1.03</v>
      </c>
      <c r="T43">
        <f t="shared" si="36"/>
        <v>1</v>
      </c>
      <c r="U43" s="5"/>
      <c r="V43" s="5"/>
    </row>
    <row r="44" spans="1:20" ht="12.75">
      <c r="A44">
        <v>14</v>
      </c>
      <c r="B44" s="327">
        <f t="shared" si="26"/>
        <v>810.0020604511684</v>
      </c>
      <c r="H44" s="21">
        <f t="shared" si="27"/>
        <v>613.8803314809944</v>
      </c>
      <c r="I44" s="515"/>
      <c r="J44" s="144">
        <v>2021</v>
      </c>
      <c r="K44" s="198"/>
      <c r="L44" s="193">
        <f t="shared" si="28"/>
        <v>613.8803314809944</v>
      </c>
      <c r="M44" s="145">
        <f t="shared" si="29"/>
        <v>0.6999775729543836</v>
      </c>
      <c r="N44" s="1">
        <f t="shared" si="34"/>
        <v>877</v>
      </c>
      <c r="O44">
        <f t="shared" si="33"/>
        <v>745.4401657404972</v>
      </c>
      <c r="P44">
        <f t="shared" si="30"/>
        <v>0.8499887864771918</v>
      </c>
      <c r="Q44">
        <f t="shared" si="35"/>
        <v>0.8499887864771918</v>
      </c>
      <c r="R44">
        <v>1.03</v>
      </c>
      <c r="S44">
        <v>1.03</v>
      </c>
      <c r="T44">
        <f t="shared" si="36"/>
        <v>1</v>
      </c>
    </row>
    <row r="45" spans="1:20" ht="12.75">
      <c r="A45">
        <v>15</v>
      </c>
      <c r="B45" s="327">
        <f t="shared" si="26"/>
        <v>838.3521325669592</v>
      </c>
      <c r="H45" s="21">
        <f t="shared" si="27"/>
        <v>622.9079834145385</v>
      </c>
      <c r="I45" s="515"/>
      <c r="J45" s="144">
        <v>2022</v>
      </c>
      <c r="K45" s="198"/>
      <c r="L45" s="193">
        <f t="shared" si="28"/>
        <v>622.9079834145385</v>
      </c>
      <c r="M45" s="145">
        <f t="shared" si="29"/>
        <v>0.7102713607919482</v>
      </c>
      <c r="N45" s="1">
        <f t="shared" si="34"/>
        <v>877</v>
      </c>
      <c r="O45">
        <f t="shared" si="33"/>
        <v>749.9539917072693</v>
      </c>
      <c r="P45">
        <f t="shared" si="30"/>
        <v>0.8551356803959741</v>
      </c>
      <c r="Q45">
        <f t="shared" si="35"/>
        <v>0.8551356803959741</v>
      </c>
      <c r="R45">
        <v>1.03</v>
      </c>
      <c r="S45">
        <v>1.03</v>
      </c>
      <c r="T45">
        <f t="shared" si="36"/>
        <v>1</v>
      </c>
    </row>
    <row r="46" spans="1:20" ht="12.75">
      <c r="A46">
        <v>16</v>
      </c>
      <c r="B46" s="327">
        <f t="shared" si="26"/>
        <v>867.6944572068027</v>
      </c>
      <c r="H46" s="21">
        <f t="shared" si="27"/>
        <v>632.0683949353404</v>
      </c>
      <c r="I46" s="515"/>
      <c r="J46" s="144">
        <v>2023</v>
      </c>
      <c r="K46" s="198"/>
      <c r="L46" s="193">
        <f t="shared" si="28"/>
        <v>632.0683949353404</v>
      </c>
      <c r="M46" s="145">
        <f t="shared" si="29"/>
        <v>0.7207165278624178</v>
      </c>
      <c r="N46" s="1">
        <f t="shared" si="34"/>
        <v>877</v>
      </c>
      <c r="O46">
        <f t="shared" si="33"/>
        <v>754.5341974676702</v>
      </c>
      <c r="P46">
        <f t="shared" si="30"/>
        <v>0.8603582639312088</v>
      </c>
      <c r="Q46">
        <f t="shared" si="35"/>
        <v>0.8603582639312088</v>
      </c>
      <c r="R46">
        <v>1.03</v>
      </c>
      <c r="S46">
        <v>1.03</v>
      </c>
      <c r="T46">
        <f t="shared" si="36"/>
        <v>1</v>
      </c>
    </row>
    <row r="47" spans="1:20" ht="12.75">
      <c r="A47">
        <v>17</v>
      </c>
      <c r="B47" s="327">
        <f t="shared" si="26"/>
        <v>898.0637632090406</v>
      </c>
      <c r="H47" s="21">
        <f t="shared" si="27"/>
        <v>641.3635183902717</v>
      </c>
      <c r="I47" s="515"/>
      <c r="J47" s="144">
        <v>2024</v>
      </c>
      <c r="K47" s="198"/>
      <c r="L47" s="193">
        <f t="shared" si="28"/>
        <v>641.3635183902717</v>
      </c>
      <c r="M47" s="145">
        <f t="shared" si="29"/>
        <v>0.7313153003309826</v>
      </c>
      <c r="N47" s="1">
        <f t="shared" si="34"/>
        <v>877</v>
      </c>
      <c r="O47">
        <f t="shared" si="33"/>
        <v>759.1817591951358</v>
      </c>
      <c r="P47">
        <f t="shared" si="30"/>
        <v>0.8656576501654912</v>
      </c>
      <c r="Q47">
        <f t="shared" si="35"/>
        <v>0.8656576501654912</v>
      </c>
      <c r="R47">
        <v>1.03</v>
      </c>
      <c r="S47">
        <v>1.03</v>
      </c>
      <c r="T47">
        <f t="shared" si="36"/>
        <v>1</v>
      </c>
    </row>
    <row r="48" spans="1:20" ht="12.75">
      <c r="A48">
        <v>18</v>
      </c>
      <c r="B48" s="327">
        <f t="shared" si="26"/>
        <v>929.495994921357</v>
      </c>
      <c r="H48" s="21">
        <f t="shared" si="27"/>
        <v>650.7953348371875</v>
      </c>
      <c r="I48" s="515"/>
      <c r="J48" s="144">
        <v>2025</v>
      </c>
      <c r="K48" s="198"/>
      <c r="L48" s="193">
        <f t="shared" si="28"/>
        <v>650.7953348371875</v>
      </c>
      <c r="M48" s="145">
        <f t="shared" si="29"/>
        <v>0.7420699371005559</v>
      </c>
      <c r="N48" s="1">
        <f t="shared" si="34"/>
        <v>877</v>
      </c>
      <c r="O48">
        <f t="shared" si="33"/>
        <v>763.8976674185938</v>
      </c>
      <c r="P48">
        <f t="shared" si="30"/>
        <v>0.871034968550278</v>
      </c>
      <c r="Q48">
        <f t="shared" si="35"/>
        <v>0.871034968550278</v>
      </c>
      <c r="R48">
        <v>1.03</v>
      </c>
      <c r="S48">
        <v>1.03</v>
      </c>
      <c r="T48">
        <f t="shared" si="36"/>
        <v>1</v>
      </c>
    </row>
    <row r="49" spans="1:20" ht="12.75">
      <c r="A49">
        <v>19</v>
      </c>
      <c r="B49" s="327">
        <f t="shared" si="26"/>
        <v>962.0283547436044</v>
      </c>
      <c r="H49" s="21">
        <f t="shared" si="27"/>
        <v>660.365854467146</v>
      </c>
      <c r="I49" s="515"/>
      <c r="J49" s="144">
        <v>2026</v>
      </c>
      <c r="K49" s="198"/>
      <c r="L49" s="193">
        <f t="shared" si="28"/>
        <v>660.365854467146</v>
      </c>
      <c r="M49" s="145">
        <f t="shared" si="29"/>
        <v>0.7529827302932111</v>
      </c>
      <c r="N49" s="1">
        <f t="shared" si="34"/>
        <v>877</v>
      </c>
      <c r="O49">
        <f t="shared" si="33"/>
        <v>768.6829272335731</v>
      </c>
      <c r="P49">
        <f t="shared" si="30"/>
        <v>0.8764913651466055</v>
      </c>
      <c r="Q49">
        <f t="shared" si="35"/>
        <v>0.8764913651466055</v>
      </c>
      <c r="R49">
        <v>1.03</v>
      </c>
      <c r="S49">
        <v>1.03</v>
      </c>
      <c r="T49">
        <f t="shared" si="36"/>
        <v>1</v>
      </c>
    </row>
    <row r="50" spans="1:20" ht="12.75">
      <c r="A50">
        <v>20</v>
      </c>
      <c r="B50" s="327">
        <f t="shared" si="26"/>
        <v>995.6993471596304</v>
      </c>
      <c r="H50" s="21">
        <f t="shared" si="27"/>
        <v>670.0771170328393</v>
      </c>
      <c r="I50" s="515"/>
      <c r="J50" s="144">
        <v>2027</v>
      </c>
      <c r="K50" s="198"/>
      <c r="L50" s="193">
        <f t="shared" si="28"/>
        <v>670.0771170328393</v>
      </c>
      <c r="M50" s="145">
        <f t="shared" si="29"/>
        <v>0.7640560057386993</v>
      </c>
      <c r="N50" s="1">
        <f t="shared" si="34"/>
        <v>877</v>
      </c>
      <c r="O50">
        <f t="shared" si="33"/>
        <v>773.5385585164197</v>
      </c>
      <c r="P50">
        <f t="shared" si="30"/>
        <v>0.8820280028693497</v>
      </c>
      <c r="Q50">
        <f t="shared" si="35"/>
        <v>0.8820280028693497</v>
      </c>
      <c r="R50">
        <v>1.03</v>
      </c>
      <c r="S50">
        <v>1.03</v>
      </c>
      <c r="T50">
        <f t="shared" si="36"/>
        <v>1</v>
      </c>
    </row>
    <row r="51" spans="1:20" ht="12.75">
      <c r="A51">
        <v>21</v>
      </c>
      <c r="B51" s="327">
        <f t="shared" si="26"/>
        <v>1030.5488243102175</v>
      </c>
      <c r="H51" s="21">
        <f t="shared" si="27"/>
        <v>679.9311922833223</v>
      </c>
      <c r="I51" s="515"/>
      <c r="J51" s="144">
        <v>2028</v>
      </c>
      <c r="K51" s="198"/>
      <c r="L51" s="193">
        <f t="shared" si="28"/>
        <v>679.9311922833223</v>
      </c>
      <c r="M51" s="145">
        <f t="shared" si="29"/>
        <v>0.7752921234701509</v>
      </c>
      <c r="N51" s="1">
        <f t="shared" si="34"/>
        <v>877</v>
      </c>
      <c r="O51">
        <f t="shared" si="33"/>
        <v>778.4655961416611</v>
      </c>
      <c r="P51">
        <f t="shared" si="30"/>
        <v>0.8876460617350753</v>
      </c>
      <c r="Q51">
        <f t="shared" si="35"/>
        <v>0.8876460617350753</v>
      </c>
      <c r="R51">
        <v>1.03</v>
      </c>
      <c r="S51">
        <v>1.03</v>
      </c>
      <c r="T51">
        <f t="shared" si="36"/>
        <v>1</v>
      </c>
    </row>
    <row r="52" spans="1:20" ht="12.75">
      <c r="A52">
        <v>22</v>
      </c>
      <c r="B52" s="327">
        <f t="shared" si="26"/>
        <v>1066.618033161075</v>
      </c>
      <c r="H52" s="21">
        <f t="shared" si="27"/>
        <v>689.9301804051356</v>
      </c>
      <c r="I52" s="515"/>
      <c r="J52" s="144">
        <v>2029</v>
      </c>
      <c r="K52" s="198"/>
      <c r="L52" s="193">
        <f t="shared" si="28"/>
        <v>689.9301804051356</v>
      </c>
      <c r="M52" s="145">
        <f t="shared" si="29"/>
        <v>0.7866934782270646</v>
      </c>
      <c r="N52" s="1">
        <f t="shared" si="34"/>
        <v>877</v>
      </c>
      <c r="O52">
        <f t="shared" si="33"/>
        <v>783.4650902025678</v>
      </c>
      <c r="P52">
        <f t="shared" si="30"/>
        <v>0.8933467391135322</v>
      </c>
      <c r="Q52">
        <f t="shared" si="35"/>
        <v>0.8933467391135322</v>
      </c>
      <c r="R52">
        <v>1.03</v>
      </c>
      <c r="S52">
        <v>1.03</v>
      </c>
      <c r="T52">
        <f t="shared" si="36"/>
        <v>1</v>
      </c>
    </row>
    <row r="53" spans="1:20" ht="12.75">
      <c r="A53">
        <v>23</v>
      </c>
      <c r="B53" s="327">
        <f t="shared" si="26"/>
        <v>1103.9496643217124</v>
      </c>
      <c r="H53" s="21">
        <f t="shared" si="27"/>
        <v>700.0762124699171</v>
      </c>
      <c r="I53" s="516"/>
      <c r="J53" s="146">
        <v>2030</v>
      </c>
      <c r="K53" s="199"/>
      <c r="L53" s="193">
        <f t="shared" si="28"/>
        <v>700.0762124699171</v>
      </c>
      <c r="M53" s="148">
        <f t="shared" si="29"/>
        <v>0.798262499965698</v>
      </c>
      <c r="N53" s="1">
        <f t="shared" si="34"/>
        <v>877</v>
      </c>
      <c r="O53">
        <f t="shared" si="33"/>
        <v>788.5381062349586</v>
      </c>
      <c r="P53">
        <f t="shared" si="30"/>
        <v>0.899131249982849</v>
      </c>
      <c r="Q53">
        <f t="shared" si="35"/>
        <v>0.899131249982849</v>
      </c>
      <c r="R53">
        <v>1.03</v>
      </c>
      <c r="S53">
        <v>1.03</v>
      </c>
      <c r="T53">
        <f t="shared" si="36"/>
        <v>1</v>
      </c>
    </row>
    <row r="54" ht="12.75">
      <c r="L54" s="192"/>
    </row>
    <row r="55" spans="11:12" ht="12.75">
      <c r="K55">
        <f>1.02^22</f>
        <v>1.5459796707758797</v>
      </c>
      <c r="L55" s="192">
        <f>L30*1.02^22</f>
        <v>1355.8241712704464</v>
      </c>
    </row>
    <row r="56" spans="2:12" ht="12.75">
      <c r="B56">
        <f>B30/1.02^9</f>
        <v>454.35810936885355</v>
      </c>
      <c r="K56">
        <f>L53/K55</f>
        <v>452.83662243667817</v>
      </c>
      <c r="L56" s="192"/>
    </row>
    <row r="57" spans="1:14" ht="12.75">
      <c r="A57">
        <v>2008</v>
      </c>
      <c r="B57">
        <f>+B31/1.02^(9+A31)</f>
        <v>728.4692902891379</v>
      </c>
      <c r="N57">
        <f>+L30*0.75</f>
        <v>657.75</v>
      </c>
    </row>
    <row r="58" spans="1:2" ht="12.75">
      <c r="A58">
        <v>2009</v>
      </c>
      <c r="B58">
        <f aca="true" t="shared" si="37" ref="B58:B79">+B32/1.02^(9+A32)</f>
        <v>434.3020411103764</v>
      </c>
    </row>
    <row r="59" spans="1:2" ht="12.75">
      <c r="A59">
        <v>2010</v>
      </c>
      <c r="B59">
        <f t="shared" si="37"/>
        <v>433.67124656991103</v>
      </c>
    </row>
    <row r="60" spans="1:22" ht="12.75">
      <c r="A60">
        <v>2011</v>
      </c>
      <c r="B60">
        <f t="shared" si="37"/>
        <v>444.4937019210318</v>
      </c>
      <c r="V60" s="206"/>
    </row>
    <row r="61" spans="1:22" ht="12.75">
      <c r="A61">
        <v>2012</v>
      </c>
      <c r="B61">
        <f t="shared" si="37"/>
        <v>458.5143898759151</v>
      </c>
      <c r="U61" t="s">
        <v>208</v>
      </c>
      <c r="V61" t="s">
        <v>210</v>
      </c>
    </row>
    <row r="62" spans="1:22" ht="12.75">
      <c r="A62">
        <v>2013</v>
      </c>
      <c r="B62">
        <f t="shared" si="37"/>
        <v>460.66913259288197</v>
      </c>
      <c r="V62" t="s">
        <v>209</v>
      </c>
    </row>
    <row r="63" spans="1:2" ht="12.75">
      <c r="A63">
        <v>2014</v>
      </c>
      <c r="B63">
        <f t="shared" si="37"/>
        <v>466.20532077711005</v>
      </c>
    </row>
    <row r="64" spans="1:2" ht="12.75">
      <c r="A64">
        <v>2015</v>
      </c>
      <c r="B64">
        <f t="shared" si="37"/>
        <v>471.3472912268576</v>
      </c>
    </row>
    <row r="65" spans="1:2" ht="12.75">
      <c r="A65">
        <v>2016</v>
      </c>
      <c r="B65">
        <f t="shared" si="37"/>
        <v>477.5086937265551</v>
      </c>
    </row>
    <row r="66" spans="1:2" ht="12.75">
      <c r="A66">
        <v>2017</v>
      </c>
      <c r="B66">
        <f t="shared" si="37"/>
        <v>484.5308803990044</v>
      </c>
    </row>
    <row r="67" spans="1:2" ht="12.75">
      <c r="A67">
        <v>2018</v>
      </c>
      <c r="B67">
        <f t="shared" si="37"/>
        <v>491.65633452251905</v>
      </c>
    </row>
    <row r="68" spans="1:2" ht="12.75">
      <c r="A68">
        <v>2019</v>
      </c>
      <c r="B68">
        <f t="shared" si="37"/>
        <v>498.88657473608555</v>
      </c>
    </row>
    <row r="69" spans="1:2" ht="12.75">
      <c r="A69">
        <v>2020</v>
      </c>
      <c r="B69">
        <f t="shared" si="37"/>
        <v>506.2231420116161</v>
      </c>
    </row>
    <row r="70" spans="1:2" ht="12.75">
      <c r="A70">
        <v>2021</v>
      </c>
      <c r="B70">
        <f t="shared" si="37"/>
        <v>513.6675999823752</v>
      </c>
    </row>
    <row r="71" spans="1:2" ht="12.75">
      <c r="A71">
        <v>2022</v>
      </c>
      <c r="B71">
        <f t="shared" si="37"/>
        <v>521.2215352762337</v>
      </c>
    </row>
    <row r="72" spans="1:2" ht="12.75">
      <c r="A72">
        <v>2023</v>
      </c>
      <c r="B72">
        <f t="shared" si="37"/>
        <v>528.8865578538253</v>
      </c>
    </row>
    <row r="73" spans="1:2" ht="12.75">
      <c r="A73">
        <v>2024</v>
      </c>
      <c r="B73">
        <f t="shared" si="37"/>
        <v>536.6643013516755</v>
      </c>
    </row>
    <row r="74" spans="1:2" ht="12.75">
      <c r="A74">
        <v>2025</v>
      </c>
      <c r="B74">
        <f t="shared" si="37"/>
        <v>544.5564234303766</v>
      </c>
    </row>
    <row r="75" spans="1:2" ht="12.75">
      <c r="A75">
        <v>2026</v>
      </c>
      <c r="B75">
        <f t="shared" si="37"/>
        <v>552.564606127882</v>
      </c>
    </row>
    <row r="76" spans="1:2" ht="12.75">
      <c r="A76">
        <v>2027</v>
      </c>
      <c r="B76">
        <f t="shared" si="37"/>
        <v>560.6905562179979</v>
      </c>
    </row>
    <row r="77" spans="1:2" ht="12.75">
      <c r="A77">
        <v>2028</v>
      </c>
      <c r="B77">
        <f t="shared" si="37"/>
        <v>568.9360055741449</v>
      </c>
    </row>
    <row r="78" spans="1:2" ht="12.75">
      <c r="A78">
        <v>2029</v>
      </c>
      <c r="B78">
        <f t="shared" si="37"/>
        <v>577.3027115384706</v>
      </c>
    </row>
    <row r="79" spans="1:2" ht="12.75">
      <c r="A79">
        <v>2030</v>
      </c>
      <c r="B79">
        <f t="shared" si="37"/>
        <v>585.7924572963891</v>
      </c>
    </row>
    <row r="115" spans="1:21" ht="12.75">
      <c r="A115" s="211" t="s">
        <v>336</v>
      </c>
      <c r="H115"/>
      <c r="U115" s="211"/>
    </row>
    <row r="116" spans="5:28" ht="12.75">
      <c r="E116" s="509" t="s">
        <v>335</v>
      </c>
      <c r="F116" s="509"/>
      <c r="H116"/>
      <c r="I116" s="391" t="s">
        <v>337</v>
      </c>
      <c r="Y116" s="509"/>
      <c r="Z116" s="509"/>
      <c r="AB116" s="391"/>
    </row>
    <row r="117" spans="2:28" ht="29.25" customHeight="1">
      <c r="B117" s="418" t="s">
        <v>332</v>
      </c>
      <c r="D117" s="418" t="s">
        <v>333</v>
      </c>
      <c r="E117" s="418" t="s">
        <v>340</v>
      </c>
      <c r="F117" s="418" t="s">
        <v>334</v>
      </c>
      <c r="H117"/>
      <c r="I117" s="423" t="s">
        <v>338</v>
      </c>
      <c r="V117" s="423"/>
      <c r="X117" s="423"/>
      <c r="Y117" s="423"/>
      <c r="Z117" s="423"/>
      <c r="AB117" s="423"/>
    </row>
    <row r="118" spans="1:28" ht="12.75" customHeight="1">
      <c r="A118">
        <v>2008</v>
      </c>
      <c r="B118" s="256">
        <v>895</v>
      </c>
      <c r="C118" s="320">
        <v>1</v>
      </c>
      <c r="D118" s="9">
        <v>888</v>
      </c>
      <c r="E118" s="422">
        <f>D118/1.02^C118</f>
        <v>870.5882352941177</v>
      </c>
      <c r="F118" s="21">
        <f>B118/1.02^C118</f>
        <v>877.4509803921568</v>
      </c>
      <c r="H118" s="1">
        <v>870.5882352941177</v>
      </c>
      <c r="I118" s="113">
        <f>(F118-E118)/F118</f>
        <v>0.007821229050279214</v>
      </c>
      <c r="V118" s="256"/>
      <c r="W118" s="320"/>
      <c r="X118" s="9"/>
      <c r="Y118" s="422"/>
      <c r="Z118" s="21"/>
      <c r="AB118" s="113"/>
    </row>
    <row r="119" spans="1:28" ht="12.75">
      <c r="A119">
        <v>2009</v>
      </c>
      <c r="B119" s="257">
        <v>675</v>
      </c>
      <c r="C119" s="320">
        <v>2</v>
      </c>
      <c r="D119" s="420">
        <v>540</v>
      </c>
      <c r="E119" s="422">
        <f>D119/1.02^C119</f>
        <v>519.0311418685121</v>
      </c>
      <c r="F119" s="21">
        <f aca="true" t="shared" si="38" ref="F119:F140">B119/1.02^C119</f>
        <v>648.7889273356401</v>
      </c>
      <c r="H119" s="1">
        <v>519.0311418685121</v>
      </c>
      <c r="I119" s="113">
        <f aca="true" t="shared" si="39" ref="I119:I140">(F119-E119)/F119</f>
        <v>0.19999999999999993</v>
      </c>
      <c r="V119" s="257"/>
      <c r="W119" s="320"/>
      <c r="X119" s="420"/>
      <c r="Y119" s="422"/>
      <c r="Z119" s="21"/>
      <c r="AB119" s="113"/>
    </row>
    <row r="120" spans="1:28" ht="12.75">
      <c r="A120">
        <v>2010</v>
      </c>
      <c r="B120" s="258">
        <v>650</v>
      </c>
      <c r="C120" s="320">
        <v>3</v>
      </c>
      <c r="D120" s="420">
        <v>550</v>
      </c>
      <c r="E120" s="422">
        <f aca="true" t="shared" si="40" ref="E120:E140">D120/1.02^C120</f>
        <v>518.2772840008745</v>
      </c>
      <c r="F120" s="21">
        <f t="shared" si="38"/>
        <v>612.5095174555789</v>
      </c>
      <c r="H120" s="1">
        <v>518.2772840008745</v>
      </c>
      <c r="I120" s="113">
        <f t="shared" si="39"/>
        <v>0.15384615384615383</v>
      </c>
      <c r="V120" s="258"/>
      <c r="W120" s="320"/>
      <c r="X120" s="420"/>
      <c r="Y120" s="422"/>
      <c r="Z120" s="21"/>
      <c r="AB120" s="113"/>
    </row>
    <row r="121" spans="1:28" ht="12.75">
      <c r="A121">
        <v>2011</v>
      </c>
      <c r="B121" s="192">
        <v>625</v>
      </c>
      <c r="C121" s="320">
        <v>4</v>
      </c>
      <c r="D121" s="420">
        <v>575</v>
      </c>
      <c r="E121" s="422">
        <f t="shared" si="40"/>
        <v>531.2111199652456</v>
      </c>
      <c r="F121" s="21">
        <f t="shared" si="38"/>
        <v>577.4033912665714</v>
      </c>
      <c r="H121" s="1">
        <v>531.2111199652456</v>
      </c>
      <c r="I121" s="113">
        <f t="shared" si="39"/>
        <v>0.08000000000000002</v>
      </c>
      <c r="V121" s="192"/>
      <c r="W121" s="320"/>
      <c r="X121" s="420"/>
      <c r="Y121" s="422"/>
      <c r="Z121" s="21"/>
      <c r="AB121" s="113"/>
    </row>
    <row r="122" spans="1:28" ht="12.75">
      <c r="A122">
        <v>2012</v>
      </c>
      <c r="B122" s="192">
        <v>600</v>
      </c>
      <c r="C122" s="320">
        <v>5</v>
      </c>
      <c r="D122" s="420">
        <v>605</v>
      </c>
      <c r="E122" s="422">
        <f t="shared" si="40"/>
        <v>547.9671399470991</v>
      </c>
      <c r="F122" s="21">
        <f t="shared" si="38"/>
        <v>543.4384858979495</v>
      </c>
      <c r="H122" s="1">
        <v>547.9671399470991</v>
      </c>
      <c r="I122" s="113">
        <f t="shared" si="39"/>
        <v>-0.008333333333333413</v>
      </c>
      <c r="V122" s="192"/>
      <c r="W122" s="320"/>
      <c r="X122" s="420"/>
      <c r="Y122" s="422"/>
      <c r="Z122" s="21"/>
      <c r="AB122" s="113"/>
    </row>
    <row r="123" spans="1:28" ht="12.75">
      <c r="A123" s="419">
        <v>2013</v>
      </c>
      <c r="B123" s="192">
        <v>615</v>
      </c>
      <c r="C123" s="320">
        <v>6</v>
      </c>
      <c r="D123" s="420">
        <v>620</v>
      </c>
      <c r="E123" s="422">
        <f t="shared" si="40"/>
        <v>550.542256955439</v>
      </c>
      <c r="F123" s="21">
        <f t="shared" si="38"/>
        <v>546.102400044508</v>
      </c>
      <c r="H123" s="1">
        <v>550.542256955439</v>
      </c>
      <c r="I123" s="113">
        <f t="shared" si="39"/>
        <v>-0.008130081300813054</v>
      </c>
      <c r="U123" s="387"/>
      <c r="V123" s="192"/>
      <c r="W123" s="320"/>
      <c r="X123" s="420"/>
      <c r="Y123" s="422"/>
      <c r="Z123" s="21"/>
      <c r="AB123" s="113"/>
    </row>
    <row r="124" spans="1:28" ht="12.75">
      <c r="A124">
        <v>2014</v>
      </c>
      <c r="B124" s="192">
        <v>636.525</v>
      </c>
      <c r="C124" s="320">
        <v>7</v>
      </c>
      <c r="D124" s="424">
        <v>640</v>
      </c>
      <c r="E124" s="422">
        <f t="shared" si="40"/>
        <v>557.1585143129049</v>
      </c>
      <c r="F124" s="21">
        <f t="shared" si="38"/>
        <v>554.1333176922216</v>
      </c>
      <c r="H124" s="1">
        <v>558.6384666165485</v>
      </c>
      <c r="I124" s="113">
        <f t="shared" si="39"/>
        <v>-0.005459329955618388</v>
      </c>
      <c r="V124" s="192"/>
      <c r="W124" s="320"/>
      <c r="X124" s="421"/>
      <c r="Y124" s="422"/>
      <c r="Z124" s="21"/>
      <c r="AB124" s="113"/>
    </row>
    <row r="125" spans="1:28" ht="12.75">
      <c r="A125">
        <v>2015</v>
      </c>
      <c r="B125" s="192">
        <v>658.803375</v>
      </c>
      <c r="C125" s="320">
        <v>8</v>
      </c>
      <c r="D125" s="421">
        <v>660</v>
      </c>
      <c r="E125" s="422">
        <f t="shared" si="40"/>
        <v>563.3036449854736</v>
      </c>
      <c r="F125" s="21">
        <f t="shared" si="38"/>
        <v>562.2823370700482</v>
      </c>
      <c r="H125" s="1">
        <v>566.8537381844388</v>
      </c>
      <c r="I125" s="113">
        <f t="shared" si="39"/>
        <v>-0.001816361368822704</v>
      </c>
      <c r="V125" s="192"/>
      <c r="W125" s="320"/>
      <c r="X125" s="421"/>
      <c r="Y125" s="422"/>
      <c r="Z125" s="21"/>
      <c r="AB125" s="113"/>
    </row>
    <row r="126" spans="1:28" ht="12.75">
      <c r="A126">
        <v>2016</v>
      </c>
      <c r="B126" s="192">
        <v>681.8614931249999</v>
      </c>
      <c r="C126" s="324">
        <v>9</v>
      </c>
      <c r="D126" s="421">
        <v>682</v>
      </c>
      <c r="E126" s="422">
        <f t="shared" si="40"/>
        <v>570.667091325153</v>
      </c>
      <c r="F126" s="21">
        <f t="shared" si="38"/>
        <v>570.5511949681372</v>
      </c>
      <c r="H126" s="1">
        <v>575.189822569504</v>
      </c>
      <c r="I126" s="113">
        <f t="shared" si="39"/>
        <v>-0.00020313051315626755</v>
      </c>
      <c r="V126" s="192"/>
      <c r="W126" s="324"/>
      <c r="X126" s="421"/>
      <c r="Y126" s="422"/>
      <c r="Z126" s="21"/>
      <c r="AB126" s="113"/>
    </row>
    <row r="127" spans="1:28" ht="12.75">
      <c r="A127">
        <v>2017</v>
      </c>
      <c r="B127" s="192">
        <v>705.7266453843748</v>
      </c>
      <c r="C127" s="324">
        <v>10</v>
      </c>
      <c r="D127" s="421">
        <f aca="true" t="shared" si="41" ref="D127:D140">D126*1.035</f>
        <v>705.8699999999999</v>
      </c>
      <c r="E127" s="422">
        <f t="shared" si="40"/>
        <v>579.0592544328758</v>
      </c>
      <c r="F127" s="21">
        <f t="shared" si="38"/>
        <v>578.9416537176685</v>
      </c>
      <c r="H127" s="1">
        <v>583.6484964308202</v>
      </c>
      <c r="I127" s="113">
        <f t="shared" si="39"/>
        <v>-0.0002031305131565044</v>
      </c>
      <c r="V127" s="192"/>
      <c r="W127" s="324"/>
      <c r="X127" s="421"/>
      <c r="Y127" s="422"/>
      <c r="Z127" s="21"/>
      <c r="AB127" s="113"/>
    </row>
    <row r="128" spans="1:28" ht="12.75" customHeight="1">
      <c r="A128">
        <v>2018</v>
      </c>
      <c r="B128" s="192">
        <v>730.4270779728279</v>
      </c>
      <c r="C128" s="324">
        <v>11</v>
      </c>
      <c r="D128" s="421">
        <f t="shared" si="41"/>
        <v>730.5754499999998</v>
      </c>
      <c r="E128" s="422">
        <f t="shared" si="40"/>
        <v>587.5748317039476</v>
      </c>
      <c r="F128" s="21">
        <f t="shared" si="38"/>
        <v>587.4555015664578</v>
      </c>
      <c r="H128" s="1">
        <v>592.231562554803</v>
      </c>
      <c r="I128" s="113">
        <f t="shared" si="39"/>
        <v>-0.00020313051315646455</v>
      </c>
      <c r="V128" s="192"/>
      <c r="W128" s="324"/>
      <c r="X128" s="421"/>
      <c r="Y128" s="422"/>
      <c r="Z128" s="21"/>
      <c r="AB128" s="113"/>
    </row>
    <row r="129" spans="1:28" ht="12.75">
      <c r="A129">
        <v>2019</v>
      </c>
      <c r="B129" s="192">
        <v>755.9920257018767</v>
      </c>
      <c r="C129" s="324">
        <v>12</v>
      </c>
      <c r="D129" s="421">
        <f t="shared" si="41"/>
        <v>756.1455907499998</v>
      </c>
      <c r="E129" s="422">
        <f t="shared" si="40"/>
        <v>596.2156380525348</v>
      </c>
      <c r="F129" s="21">
        <f t="shared" si="38"/>
        <v>596.094553060082</v>
      </c>
      <c r="H129" s="1">
        <v>600.9408502394323</v>
      </c>
      <c r="I129" s="113">
        <f t="shared" si="39"/>
        <v>-0.00020313051315631593</v>
      </c>
      <c r="V129" s="192"/>
      <c r="W129" s="324"/>
      <c r="X129" s="421"/>
      <c r="Y129" s="422"/>
      <c r="Z129" s="21"/>
      <c r="AB129" s="113"/>
    </row>
    <row r="130" spans="1:28" ht="12.75">
      <c r="A130">
        <v>2020</v>
      </c>
      <c r="B130" s="192">
        <v>782.4517466014423</v>
      </c>
      <c r="C130" s="324">
        <v>13</v>
      </c>
      <c r="D130" s="421">
        <f t="shared" si="41"/>
        <v>782.6106864262497</v>
      </c>
      <c r="E130" s="422">
        <f t="shared" si="40"/>
        <v>604.9835150827192</v>
      </c>
      <c r="F130" s="21">
        <f t="shared" si="38"/>
        <v>604.8606494286125</v>
      </c>
      <c r="H130" s="1">
        <v>609.7782156841297</v>
      </c>
      <c r="I130" s="113">
        <f t="shared" si="39"/>
        <v>-0.00020313051315665873</v>
      </c>
      <c r="V130" s="192"/>
      <c r="W130" s="324"/>
      <c r="X130" s="421"/>
      <c r="Y130" s="422"/>
      <c r="Z130" s="21"/>
      <c r="AB130" s="113"/>
    </row>
    <row r="131" spans="1:28" ht="12.75">
      <c r="A131">
        <v>2021</v>
      </c>
      <c r="B131" s="192">
        <v>809.8375577324928</v>
      </c>
      <c r="C131" s="324">
        <v>14</v>
      </c>
      <c r="D131" s="421">
        <f t="shared" si="41"/>
        <v>810.0020604511684</v>
      </c>
      <c r="E131" s="422">
        <f t="shared" si="40"/>
        <v>613.8803314809944</v>
      </c>
      <c r="F131" s="21">
        <f t="shared" si="38"/>
        <v>613.7556589790332</v>
      </c>
      <c r="H131" s="1">
        <v>618.7455423853669</v>
      </c>
      <c r="I131" s="113">
        <f t="shared" si="39"/>
        <v>-0.00020313051315661243</v>
      </c>
      <c r="V131" s="192"/>
      <c r="W131" s="324"/>
      <c r="X131" s="421"/>
      <c r="Y131" s="422"/>
      <c r="Z131" s="21"/>
      <c r="AB131" s="113"/>
    </row>
    <row r="132" spans="1:28" ht="12.75">
      <c r="A132">
        <v>2022</v>
      </c>
      <c r="B132" s="192">
        <v>838.18187225313</v>
      </c>
      <c r="C132" s="324">
        <v>15</v>
      </c>
      <c r="D132" s="421">
        <f t="shared" si="41"/>
        <v>838.3521325669592</v>
      </c>
      <c r="E132" s="422">
        <f t="shared" si="40"/>
        <v>622.9079834145385</v>
      </c>
      <c r="F132" s="21">
        <f t="shared" si="38"/>
        <v>622.781477493431</v>
      </c>
      <c r="H132" s="1">
        <v>627.844741538093</v>
      </c>
      <c r="I132" s="113">
        <f t="shared" si="39"/>
        <v>-0.00020313051315639223</v>
      </c>
      <c r="V132" s="192"/>
      <c r="W132" s="324"/>
      <c r="X132" s="421"/>
      <c r="Y132" s="422"/>
      <c r="Z132" s="21"/>
      <c r="AB132" s="113"/>
    </row>
    <row r="133" spans="1:28" ht="12.75">
      <c r="A133">
        <v>2023</v>
      </c>
      <c r="B133" s="192">
        <v>867.5182377819895</v>
      </c>
      <c r="C133" s="324">
        <v>16</v>
      </c>
      <c r="D133" s="421">
        <f t="shared" si="41"/>
        <v>867.6944572068027</v>
      </c>
      <c r="E133" s="422">
        <f t="shared" si="40"/>
        <v>632.0683949353404</v>
      </c>
      <c r="F133" s="21">
        <f t="shared" si="38"/>
        <v>631.94002863304</v>
      </c>
      <c r="H133" s="1">
        <v>637.0777524430647</v>
      </c>
      <c r="I133" s="113">
        <f t="shared" si="39"/>
        <v>-0.00020313051315652459</v>
      </c>
      <c r="V133" s="192"/>
      <c r="W133" s="324"/>
      <c r="X133" s="421"/>
      <c r="Y133" s="422"/>
      <c r="Z133" s="21"/>
      <c r="AB133" s="113"/>
    </row>
    <row r="134" spans="1:28" ht="12.75">
      <c r="A134">
        <v>2024</v>
      </c>
      <c r="B134" s="192">
        <v>897.881376104359</v>
      </c>
      <c r="C134" s="324">
        <v>17</v>
      </c>
      <c r="D134" s="421">
        <f t="shared" si="41"/>
        <v>898.0637632090406</v>
      </c>
      <c r="E134" s="422">
        <f t="shared" si="40"/>
        <v>641.3635183902717</v>
      </c>
      <c r="F134" s="21">
        <f t="shared" si="38"/>
        <v>641.2332643482317</v>
      </c>
      <c r="H134" s="1">
        <v>646.4465429201686</v>
      </c>
      <c r="I134" s="113">
        <f t="shared" si="39"/>
        <v>-0.0002031305131563082</v>
      </c>
      <c r="V134" s="192"/>
      <c r="W134" s="324"/>
      <c r="X134" s="421"/>
      <c r="Y134" s="422"/>
      <c r="Z134" s="21"/>
      <c r="AB134" s="113"/>
    </row>
    <row r="135" spans="1:28" ht="12.75">
      <c r="A135">
        <v>2025</v>
      </c>
      <c r="B135" s="192">
        <v>929.3072242680115</v>
      </c>
      <c r="C135" s="324">
        <v>18</v>
      </c>
      <c r="D135" s="421">
        <f t="shared" si="41"/>
        <v>929.495994921357</v>
      </c>
      <c r="E135" s="422">
        <f t="shared" si="40"/>
        <v>650.7953348371875</v>
      </c>
      <c r="F135" s="21">
        <f t="shared" si="38"/>
        <v>650.6631652945292</v>
      </c>
      <c r="H135" s="1">
        <v>655.9531097278181</v>
      </c>
      <c r="I135" s="113">
        <f t="shared" si="39"/>
        <v>-0.00020313051315646753</v>
      </c>
      <c r="V135" s="192"/>
      <c r="W135" s="324"/>
      <c r="X135" s="421"/>
      <c r="Y135" s="422"/>
      <c r="Z135" s="21"/>
      <c r="AB135" s="113"/>
    </row>
    <row r="136" spans="1:28" ht="12.75">
      <c r="A136">
        <v>2026</v>
      </c>
      <c r="B136" s="192">
        <v>961.8329771173918</v>
      </c>
      <c r="C136" s="324">
        <v>19</v>
      </c>
      <c r="D136" s="421">
        <f t="shared" si="41"/>
        <v>962.0283547436044</v>
      </c>
      <c r="E136" s="422">
        <v>665</v>
      </c>
      <c r="F136" s="21">
        <f t="shared" si="38"/>
        <v>660.2317412547429</v>
      </c>
      <c r="H136" s="1">
        <v>665.5994789885212</v>
      </c>
      <c r="I136" s="113">
        <f t="shared" si="39"/>
        <v>-0.007222098616760222</v>
      </c>
      <c r="V136" s="192"/>
      <c r="W136" s="324"/>
      <c r="X136" s="421"/>
      <c r="Y136" s="422"/>
      <c r="Z136" s="21"/>
      <c r="AB136" s="113"/>
    </row>
    <row r="137" spans="1:28" ht="12.75">
      <c r="A137">
        <v>2027</v>
      </c>
      <c r="B137" s="192">
        <v>995.4971313165005</v>
      </c>
      <c r="C137" s="324">
        <v>20</v>
      </c>
      <c r="D137" s="421">
        <f t="shared" si="41"/>
        <v>995.6993471596304</v>
      </c>
      <c r="E137" s="422">
        <f t="shared" si="40"/>
        <v>670.0771170328393</v>
      </c>
      <c r="F137" s="21">
        <f t="shared" si="38"/>
        <v>669.9410315673125</v>
      </c>
      <c r="H137" s="1">
        <v>675.3877066207053</v>
      </c>
      <c r="I137" s="113">
        <f t="shared" si="39"/>
        <v>-0.00020313051315636963</v>
      </c>
      <c r="V137" s="192"/>
      <c r="W137" s="324"/>
      <c r="X137" s="421"/>
      <c r="Y137" s="422"/>
      <c r="Z137" s="21"/>
      <c r="AB137" s="113"/>
    </row>
    <row r="138" spans="1:28" ht="12.75">
      <c r="A138">
        <v>2028</v>
      </c>
      <c r="B138" s="192">
        <v>1030.3395309125779</v>
      </c>
      <c r="C138" s="324">
        <v>21</v>
      </c>
      <c r="D138" s="421">
        <f t="shared" si="41"/>
        <v>1030.5488243102175</v>
      </c>
      <c r="E138" s="422">
        <f t="shared" si="40"/>
        <v>679.9311922833223</v>
      </c>
      <c r="F138" s="21">
        <f t="shared" si="38"/>
        <v>679.7931055609495</v>
      </c>
      <c r="H138" s="1">
        <v>685.3198787768922</v>
      </c>
      <c r="I138" s="113">
        <f t="shared" si="39"/>
        <v>-0.00020313051315643847</v>
      </c>
      <c r="V138" s="192"/>
      <c r="W138" s="324"/>
      <c r="X138" s="421"/>
      <c r="Y138" s="422"/>
      <c r="Z138" s="21"/>
      <c r="AB138" s="113"/>
    </row>
    <row r="139" spans="1:28" ht="12.75">
      <c r="A139">
        <v>2029</v>
      </c>
      <c r="B139" s="192">
        <v>1066.401414494518</v>
      </c>
      <c r="C139" s="324">
        <v>22</v>
      </c>
      <c r="D139" s="421">
        <f t="shared" si="41"/>
        <v>1066.618033161075</v>
      </c>
      <c r="E139" s="422">
        <f t="shared" si="40"/>
        <v>689.9301804051356</v>
      </c>
      <c r="F139" s="21">
        <f t="shared" si="38"/>
        <v>689.7900629956691</v>
      </c>
      <c r="H139" s="1">
        <v>695.3981122883171</v>
      </c>
      <c r="I139" s="113">
        <f t="shared" si="39"/>
        <v>-0.00020313051315638277</v>
      </c>
      <c r="V139" s="192"/>
      <c r="W139" s="324"/>
      <c r="X139" s="421"/>
      <c r="Y139" s="422"/>
      <c r="Z139" s="21"/>
      <c r="AB139" s="113"/>
    </row>
    <row r="140" spans="1:28" ht="12.75">
      <c r="A140">
        <v>2030</v>
      </c>
      <c r="B140" s="192">
        <v>1103.725464001826</v>
      </c>
      <c r="C140" s="324">
        <v>23</v>
      </c>
      <c r="D140" s="421">
        <f t="shared" si="41"/>
        <v>1103.9496643217124</v>
      </c>
      <c r="E140" s="422">
        <f t="shared" si="40"/>
        <v>700.0762124699171</v>
      </c>
      <c r="F140" s="21">
        <f t="shared" si="38"/>
        <v>699.9340345103113</v>
      </c>
      <c r="H140" s="1">
        <v>705.6245551160865</v>
      </c>
      <c r="I140" s="113">
        <f t="shared" si="39"/>
        <v>-0.00020313051315647355</v>
      </c>
      <c r="V140" s="192"/>
      <c r="W140" s="324"/>
      <c r="X140" s="421"/>
      <c r="Y140" s="422"/>
      <c r="Z140" s="21"/>
      <c r="AB140" s="113"/>
    </row>
    <row r="152" spans="4:5" ht="12.75">
      <c r="D152" s="5">
        <v>2007</v>
      </c>
      <c r="E152" s="5">
        <v>2008</v>
      </c>
    </row>
    <row r="153" spans="1:6" ht="12.75">
      <c r="A153" s="12" t="s">
        <v>16</v>
      </c>
      <c r="B153" s="13" t="s">
        <v>0</v>
      </c>
      <c r="D153" s="13" t="s">
        <v>10</v>
      </c>
      <c r="E153" s="309" t="s">
        <v>10</v>
      </c>
      <c r="F153" s="309" t="s">
        <v>205</v>
      </c>
    </row>
    <row r="154" spans="1:6" ht="12.75">
      <c r="A154" s="6" t="s">
        <v>25</v>
      </c>
      <c r="B154" s="7" t="s">
        <v>1</v>
      </c>
      <c r="D154" s="131">
        <f>+AnnualCosts07!$N$20</f>
        <v>1768.6316249427905</v>
      </c>
      <c r="E154" s="310">
        <f>+'AnnualCosts08&amp;09'!$N$14</f>
        <v>2322.8370669979745</v>
      </c>
      <c r="F154" s="314">
        <f>E154-D154</f>
        <v>554.205442055184</v>
      </c>
    </row>
    <row r="155" spans="1:6" ht="12.75">
      <c r="A155" s="2" t="s">
        <v>26</v>
      </c>
      <c r="B155" s="3" t="s">
        <v>2</v>
      </c>
      <c r="D155" s="132">
        <f>+AnnualCosts07!$O$20</f>
        <v>1600.201666437752</v>
      </c>
      <c r="E155" s="310">
        <f>+'AnnualCosts08&amp;09'!$O$14</f>
        <v>1981.761232747131</v>
      </c>
      <c r="F155" s="314">
        <f>E155-D155</f>
        <v>381.5595663093791</v>
      </c>
    </row>
    <row r="156" spans="1:6" ht="12.75">
      <c r="A156" s="2" t="s">
        <v>41</v>
      </c>
      <c r="B156" s="3" t="s">
        <v>42</v>
      </c>
      <c r="D156" s="132">
        <f>+AnnualCosts07!$P$20</f>
        <v>1884.664312979366</v>
      </c>
      <c r="E156" s="310">
        <f>+'AnnualCosts08&amp;09'!$P$14</f>
        <v>2163.661450406546</v>
      </c>
      <c r="F156" s="314">
        <f aca="true" t="shared" si="42" ref="F156:F170">E156-D156</f>
        <v>278.99713742717995</v>
      </c>
    </row>
    <row r="157" spans="1:6" ht="12.75">
      <c r="A157" s="2" t="s">
        <v>27</v>
      </c>
      <c r="B157" s="3" t="s">
        <v>3</v>
      </c>
      <c r="D157" s="132">
        <f>+AnnualCosts07!$K$20</f>
        <v>3195.732280180176</v>
      </c>
      <c r="E157" s="310">
        <f>+'AnnualCosts08&amp;09'!$K$14</f>
        <v>3413.5219223575846</v>
      </c>
      <c r="F157" s="314">
        <f t="shared" si="42"/>
        <v>217.7896421774085</v>
      </c>
    </row>
    <row r="158" spans="1:6" ht="12.75">
      <c r="A158" s="2" t="s">
        <v>28</v>
      </c>
      <c r="B158" s="3" t="s">
        <v>4</v>
      </c>
      <c r="D158" s="132">
        <f>+AnnualCosts07!$M$20</f>
        <v>2374.7029133797523</v>
      </c>
      <c r="E158" s="310">
        <f>+'AnnualCosts08&amp;09'!$M$14</f>
        <v>2447.7985947265643</v>
      </c>
      <c r="F158" s="314">
        <f t="shared" si="42"/>
        <v>73.09568134681194</v>
      </c>
    </row>
    <row r="159" spans="1:6" ht="12.75">
      <c r="A159" s="149" t="s">
        <v>20</v>
      </c>
      <c r="B159" s="23" t="s">
        <v>5</v>
      </c>
      <c r="D159" s="151">
        <f>+AnnualCosts07!$C$20</f>
        <v>6860.028387578218</v>
      </c>
      <c r="E159" s="310">
        <f>+'AnnualCosts08&amp;09'!$C$14</f>
        <v>7907.40465114727</v>
      </c>
      <c r="F159" s="314">
        <f t="shared" si="42"/>
        <v>1047.3762635690518</v>
      </c>
    </row>
    <row r="160" spans="1:6" ht="12.75">
      <c r="A160" s="149" t="s">
        <v>19</v>
      </c>
      <c r="B160" s="23" t="s">
        <v>6</v>
      </c>
      <c r="D160" s="151">
        <f>+AnnualCosts07!$E$20</f>
        <v>5977.074981110441</v>
      </c>
      <c r="E160" s="310">
        <f>+'AnnualCosts08&amp;09'!$E$14</f>
        <v>6314.386459338359</v>
      </c>
      <c r="F160" s="314">
        <f t="shared" si="42"/>
        <v>337.3114782279181</v>
      </c>
    </row>
    <row r="161" spans="1:6" ht="12.75">
      <c r="A161" s="149" t="s">
        <v>22</v>
      </c>
      <c r="B161" s="23" t="s">
        <v>7</v>
      </c>
      <c r="D161" s="151">
        <f>+AnnualCosts07!$G$20</f>
        <v>8812.995876412322</v>
      </c>
      <c r="E161" s="310">
        <f>+'AnnualCosts08&amp;09'!$G$14</f>
        <v>9621.34266084179</v>
      </c>
      <c r="F161" s="314">
        <f t="shared" si="42"/>
        <v>808.3467844294682</v>
      </c>
    </row>
    <row r="162" spans="1:6" ht="12.75">
      <c r="A162" s="149" t="s">
        <v>21</v>
      </c>
      <c r="B162" s="23" t="s">
        <v>8</v>
      </c>
      <c r="D162" s="151">
        <f>+AnnualCosts07!$I$20</f>
        <v>7940.253906629087</v>
      </c>
      <c r="E162" s="310">
        <f>+'AnnualCosts08&amp;09'!$I$14</f>
        <v>9494.35929551817</v>
      </c>
      <c r="F162" s="314">
        <f t="shared" si="42"/>
        <v>1554.1053888890829</v>
      </c>
    </row>
    <row r="163" spans="1:6" ht="12.75">
      <c r="A163" s="149" t="s">
        <v>23</v>
      </c>
      <c r="B163" s="23" t="s">
        <v>14</v>
      </c>
      <c r="D163" s="151">
        <f>+AnnualCosts07!$H$20</f>
        <v>11852.612143402375</v>
      </c>
      <c r="E163" s="310">
        <f>+'AnnualCosts08&amp;09'!$H$14</f>
        <v>13947.569378097465</v>
      </c>
      <c r="F163" s="314">
        <f t="shared" si="42"/>
        <v>2094.95723469509</v>
      </c>
    </row>
    <row r="164" spans="1:6" ht="12.75">
      <c r="A164" s="149" t="s">
        <v>24</v>
      </c>
      <c r="B164" s="23" t="s">
        <v>15</v>
      </c>
      <c r="D164" s="151">
        <f>+AnnualCosts07!$J$20</f>
        <v>10920.8213735711</v>
      </c>
      <c r="E164" s="310">
        <f>+'AnnualCosts08&amp;09'!$J$14</f>
        <v>13756.180480207742</v>
      </c>
      <c r="F164" s="314">
        <f t="shared" si="42"/>
        <v>2835.3591066366425</v>
      </c>
    </row>
    <row r="165" spans="1:6" ht="12.75">
      <c r="A165" s="2" t="s">
        <v>13</v>
      </c>
      <c r="B165" s="3" t="s">
        <v>13</v>
      </c>
      <c r="D165" s="132">
        <f>+AnnualCosts07!$Q$20</f>
        <v>11649.037147407866</v>
      </c>
      <c r="E165" s="310">
        <f>+'AnnualCosts08&amp;09'!$Q$14</f>
        <v>13555.9589520069</v>
      </c>
      <c r="F165" s="314">
        <f t="shared" si="42"/>
        <v>1906.9218045990347</v>
      </c>
    </row>
    <row r="166" spans="1:6" ht="12.75">
      <c r="A166" s="2" t="s">
        <v>32</v>
      </c>
      <c r="B166" s="23" t="s">
        <v>33</v>
      </c>
      <c r="D166" s="132">
        <f>+AnnualCosts07!$L$20</f>
        <v>2731.6328593027447</v>
      </c>
      <c r="E166" s="310">
        <f>+'AnnualCosts08&amp;09'!$L$14</f>
        <v>2917.794055181786</v>
      </c>
      <c r="F166" s="314">
        <f t="shared" si="42"/>
        <v>186.16119587904132</v>
      </c>
    </row>
    <row r="167" spans="1:6" ht="12.75">
      <c r="A167" s="18" t="s">
        <v>18</v>
      </c>
      <c r="B167" s="19" t="s">
        <v>18</v>
      </c>
      <c r="D167" s="133">
        <f>+AnnualCosts07!$T$20</f>
        <v>10207.5</v>
      </c>
      <c r="E167" s="311">
        <f>+'AnnualCosts08&amp;09'!$T$14</f>
        <v>10861.826923076924</v>
      </c>
      <c r="F167" s="314">
        <f t="shared" si="42"/>
        <v>654.3269230769238</v>
      </c>
    </row>
    <row r="168" spans="1:6" ht="12.75">
      <c r="A168" s="14" t="s">
        <v>30</v>
      </c>
      <c r="B168" s="15" t="s">
        <v>30</v>
      </c>
      <c r="D168" s="134">
        <f>+AnnualCosts07!$U$20</f>
        <v>7889.0326457149495</v>
      </c>
      <c r="E168" s="312">
        <f>+'AnnualCosts08&amp;09'!$U$14</f>
        <v>7786.490384615385</v>
      </c>
      <c r="F168" s="314">
        <f t="shared" si="42"/>
        <v>-102.54226109956471</v>
      </c>
    </row>
    <row r="169" spans="1:6" ht="12.75">
      <c r="A169" s="14" t="s">
        <v>31</v>
      </c>
      <c r="B169" s="15" t="s">
        <v>31</v>
      </c>
      <c r="D169" s="134">
        <f>+AnnualCosts07!$S$20</f>
        <v>5692.6442307692305</v>
      </c>
      <c r="E169" s="312">
        <f>+'AnnualCosts08&amp;09'!$S$14</f>
        <v>5692.6442307692305</v>
      </c>
      <c r="F169" s="314">
        <f t="shared" si="42"/>
        <v>0</v>
      </c>
    </row>
    <row r="170" spans="1:6" ht="12.75">
      <c r="A170" s="16" t="s">
        <v>17</v>
      </c>
      <c r="B170" s="17" t="s">
        <v>17</v>
      </c>
      <c r="D170" s="135">
        <f>+AnnualCosts07!$R$20</f>
        <v>4711.153846153846</v>
      </c>
      <c r="E170" s="313">
        <f>+'AnnualCosts08&amp;09'!$R$14</f>
        <v>5239.85</v>
      </c>
      <c r="F170" s="314">
        <f t="shared" si="42"/>
        <v>528.6961538461546</v>
      </c>
    </row>
    <row r="174" ht="12.75">
      <c r="F174" s="250"/>
    </row>
    <row r="177" spans="4:5" ht="12.75">
      <c r="D177" s="5">
        <v>2007</v>
      </c>
      <c r="E177" s="5">
        <v>2008</v>
      </c>
    </row>
    <row r="178" spans="4:5" ht="12.75">
      <c r="D178" s="13" t="s">
        <v>10</v>
      </c>
      <c r="E178" s="309" t="s">
        <v>10</v>
      </c>
    </row>
    <row r="179" spans="4:5" ht="12.75">
      <c r="D179" s="131">
        <v>1768.6316249427905</v>
      </c>
      <c r="E179" s="310">
        <v>1768.6316249427905</v>
      </c>
    </row>
    <row r="180" spans="4:5" ht="12.75">
      <c r="D180" s="132">
        <v>1600.201666437752</v>
      </c>
      <c r="E180" s="310">
        <v>1495.0198058472693</v>
      </c>
    </row>
    <row r="181" spans="4:5" ht="12.75">
      <c r="D181" s="132">
        <v>1884.664312979366</v>
      </c>
      <c r="E181" s="310">
        <v>2163.661450406546</v>
      </c>
    </row>
    <row r="182" spans="4:5" ht="12.75">
      <c r="D182" s="132">
        <v>3195.732280180176</v>
      </c>
      <c r="E182" s="310">
        <v>3195.732280180176</v>
      </c>
    </row>
    <row r="183" spans="4:5" ht="12.75">
      <c r="D183" s="132">
        <v>2374.7029133797523</v>
      </c>
      <c r="E183" s="310">
        <v>2447.7985947265643</v>
      </c>
    </row>
    <row r="184" spans="4:5" ht="12.75">
      <c r="D184" s="151">
        <v>6860.028387578218</v>
      </c>
      <c r="E184" s="310">
        <v>7256.457664561917</v>
      </c>
    </row>
    <row r="185" spans="4:5" ht="12.75">
      <c r="D185" s="151">
        <v>5977.074981110441</v>
      </c>
      <c r="E185" s="310">
        <v>6108.503373369719</v>
      </c>
    </row>
    <row r="186" spans="4:5" ht="12.75">
      <c r="D186" s="151">
        <v>8812.995876412322</v>
      </c>
      <c r="E186" s="310">
        <v>9888.54640217127</v>
      </c>
    </row>
    <row r="187" spans="4:5" ht="12.75">
      <c r="D187" s="151">
        <v>7940.253906629087</v>
      </c>
      <c r="E187" s="310">
        <v>10944.940269193217</v>
      </c>
    </row>
    <row r="188" spans="4:5" ht="12.75">
      <c r="D188" s="151">
        <v>11852.612143402375</v>
      </c>
      <c r="E188" s="310">
        <v>15914.728873603432</v>
      </c>
    </row>
    <row r="189" spans="4:5" ht="12.75">
      <c r="D189" s="151">
        <v>10920.8213735711</v>
      </c>
      <c r="E189" s="310">
        <v>16510.9016762818</v>
      </c>
    </row>
    <row r="190" spans="4:5" ht="12.75">
      <c r="D190" s="132">
        <v>11649.037147407866</v>
      </c>
      <c r="E190" s="310">
        <v>13555.9589520069</v>
      </c>
    </row>
    <row r="191" spans="4:5" ht="12.75">
      <c r="D191" s="132">
        <v>2731.6328593027447</v>
      </c>
      <c r="E191" s="310">
        <v>2917.794055181786</v>
      </c>
    </row>
    <row r="192" spans="4:5" ht="12.75">
      <c r="D192" s="133">
        <v>10207.5</v>
      </c>
      <c r="E192" s="311">
        <v>10207.5</v>
      </c>
    </row>
    <row r="193" spans="4:5" ht="12.75">
      <c r="D193" s="134">
        <v>7889.0326457149495</v>
      </c>
      <c r="E193" s="312">
        <v>8344.926314246202</v>
      </c>
    </row>
    <row r="194" spans="4:5" ht="12.75">
      <c r="D194" s="134">
        <v>5692.6442307692305</v>
      </c>
      <c r="E194" s="312">
        <v>5692.6442307692305</v>
      </c>
    </row>
    <row r="195" spans="4:5" ht="12.75">
      <c r="D195" s="135">
        <v>4711.153846153846</v>
      </c>
      <c r="E195" s="313">
        <v>4711.153846153846</v>
      </c>
    </row>
    <row r="215" spans="15:17" ht="12.75">
      <c r="O215" s="390" t="s">
        <v>251</v>
      </c>
      <c r="P215" s="9"/>
      <c r="Q215" s="326" t="s">
        <v>326</v>
      </c>
    </row>
    <row r="216" spans="15:18" ht="12.75">
      <c r="O216" s="510" t="s">
        <v>323</v>
      </c>
      <c r="P216" s="511"/>
      <c r="Q216" s="510" t="s">
        <v>323</v>
      </c>
      <c r="R216" s="511"/>
    </row>
    <row r="217" spans="2:18" ht="12.75">
      <c r="B217" s="255" t="s">
        <v>264</v>
      </c>
      <c r="C217" s="255" t="s">
        <v>265</v>
      </c>
      <c r="E217" s="255" t="s">
        <v>266</v>
      </c>
      <c r="F217" s="255" t="s">
        <v>267</v>
      </c>
      <c r="O217" s="511"/>
      <c r="P217" s="511"/>
      <c r="Q217" s="511"/>
      <c r="R217" s="511"/>
    </row>
    <row r="218" spans="1:18" ht="12.75">
      <c r="A218">
        <v>2008</v>
      </c>
      <c r="B218" s="320">
        <v>900</v>
      </c>
      <c r="C218" s="323">
        <v>915</v>
      </c>
      <c r="D218" s="320">
        <v>1</v>
      </c>
      <c r="E218" s="21">
        <f>B218/1.02^D218</f>
        <v>882.3529411764706</v>
      </c>
      <c r="F218" s="21">
        <f>C218/1.02^D218</f>
        <v>897.0588235294117</v>
      </c>
      <c r="O218" s="391" t="s">
        <v>324</v>
      </c>
      <c r="P218" s="391" t="s">
        <v>325</v>
      </c>
      <c r="Q218" s="391" t="s">
        <v>324</v>
      </c>
      <c r="R218" s="391" t="s">
        <v>325</v>
      </c>
    </row>
    <row r="219" spans="1:18" ht="12.75">
      <c r="A219">
        <v>2009</v>
      </c>
      <c r="B219" s="320">
        <v>710</v>
      </c>
      <c r="C219" s="324">
        <v>800</v>
      </c>
      <c r="D219" s="320">
        <v>2</v>
      </c>
      <c r="E219" s="21">
        <f aca="true" t="shared" si="43" ref="E219:E240">B219/1.02^D219</f>
        <v>682.4298346789697</v>
      </c>
      <c r="F219" s="21">
        <f aca="true" t="shared" si="44" ref="F219:F240">C219/1.02^D219</f>
        <v>768.9350249903883</v>
      </c>
      <c r="N219" s="387">
        <v>1999</v>
      </c>
      <c r="O219" s="388">
        <v>72.93957081116274</v>
      </c>
      <c r="P219" s="389">
        <v>3.955787192066351</v>
      </c>
      <c r="R219" s="393">
        <v>0.03</v>
      </c>
    </row>
    <row r="220" spans="1:18" ht="12.75">
      <c r="A220">
        <v>2010</v>
      </c>
      <c r="B220" s="320">
        <v>750</v>
      </c>
      <c r="C220" s="320">
        <v>825</v>
      </c>
      <c r="D220" s="320">
        <v>3</v>
      </c>
      <c r="E220" s="21">
        <f t="shared" si="43"/>
        <v>706.7417509102834</v>
      </c>
      <c r="F220" s="21">
        <f t="shared" si="44"/>
        <v>777.4159260013117</v>
      </c>
      <c r="N220" s="387">
        <v>2000</v>
      </c>
      <c r="O220" s="388">
        <v>76.16374027125796</v>
      </c>
      <c r="P220" s="389">
        <v>4.4203296293618966</v>
      </c>
      <c r="R220" s="393">
        <v>0.03</v>
      </c>
    </row>
    <row r="221" spans="1:18" ht="12.75">
      <c r="A221">
        <v>2011</v>
      </c>
      <c r="B221" s="320">
        <v>630</v>
      </c>
      <c r="C221" s="321">
        <v>715</v>
      </c>
      <c r="D221" s="320">
        <v>4</v>
      </c>
      <c r="E221" s="21">
        <f t="shared" si="43"/>
        <v>582.0226183967039</v>
      </c>
      <c r="F221" s="21">
        <f t="shared" si="44"/>
        <v>660.5494796089577</v>
      </c>
      <c r="N221" s="387">
        <v>2001</v>
      </c>
      <c r="O221" s="388">
        <v>79.27700256530093</v>
      </c>
      <c r="P221" s="389">
        <v>4.087591133202029</v>
      </c>
      <c r="R221" s="393">
        <v>0.03</v>
      </c>
    </row>
    <row r="222" spans="1:18" ht="12.75">
      <c r="A222">
        <v>2012</v>
      </c>
      <c r="B222" s="320">
        <v>575</v>
      </c>
      <c r="C222" s="321">
        <v>665</v>
      </c>
      <c r="D222" s="320">
        <v>5</v>
      </c>
      <c r="E222" s="21">
        <f t="shared" si="43"/>
        <v>520.7952156522016</v>
      </c>
      <c r="F222" s="21">
        <f t="shared" si="44"/>
        <v>602.3109885368941</v>
      </c>
      <c r="N222" s="387">
        <v>2002</v>
      </c>
      <c r="O222" s="388">
        <v>81.67307415390725</v>
      </c>
      <c r="P222" s="389">
        <v>3.0224043683193758</v>
      </c>
      <c r="R222" s="393">
        <v>0.03</v>
      </c>
    </row>
    <row r="223" spans="1:18" ht="12.75">
      <c r="A223">
        <v>2013</v>
      </c>
      <c r="B223" s="320">
        <v>500</v>
      </c>
      <c r="C223" s="321">
        <v>600</v>
      </c>
      <c r="D223" s="320">
        <v>6</v>
      </c>
      <c r="E223" s="21">
        <f t="shared" si="43"/>
        <v>443.985691093096</v>
      </c>
      <c r="F223" s="21">
        <f t="shared" si="44"/>
        <v>532.7828293117152</v>
      </c>
      <c r="N223" s="387">
        <v>2003</v>
      </c>
      <c r="O223" s="388">
        <v>84.06547910498898</v>
      </c>
      <c r="P223" s="389">
        <v>2.9292456245413323</v>
      </c>
      <c r="R223" s="393">
        <v>0.03</v>
      </c>
    </row>
    <row r="224" spans="1:18" ht="12.75">
      <c r="A224">
        <v>2014</v>
      </c>
      <c r="B224" s="320">
        <v>515</v>
      </c>
      <c r="C224" s="321">
        <v>635</v>
      </c>
      <c r="D224" s="320">
        <v>7</v>
      </c>
      <c r="E224" s="21">
        <f t="shared" si="43"/>
        <v>448.33849198616565</v>
      </c>
      <c r="F224" s="21">
        <f t="shared" si="44"/>
        <v>552.8057134198353</v>
      </c>
      <c r="N224" s="387">
        <v>2004</v>
      </c>
      <c r="O224" s="388">
        <v>86.87042208278082</v>
      </c>
      <c r="P224" s="389">
        <v>3.336616893943778</v>
      </c>
      <c r="R224" s="393">
        <v>0.03</v>
      </c>
    </row>
    <row r="225" spans="1:18" ht="12.75">
      <c r="A225" s="326">
        <v>2015</v>
      </c>
      <c r="B225" s="322">
        <v>495</v>
      </c>
      <c r="C225" s="327">
        <v>585</v>
      </c>
      <c r="D225" s="322">
        <v>8</v>
      </c>
      <c r="E225" s="328">
        <f t="shared" si="43"/>
        <v>422.47773373910525</v>
      </c>
      <c r="F225" s="328">
        <f t="shared" si="44"/>
        <v>499.2918671462153</v>
      </c>
      <c r="N225" s="387">
        <v>2005</v>
      </c>
      <c r="O225" s="388">
        <v>90.33645309790505</v>
      </c>
      <c r="P225" s="389">
        <v>3.9898862374829536</v>
      </c>
      <c r="R225" s="393">
        <v>0.03</v>
      </c>
    </row>
    <row r="226" spans="1:18" ht="12.75">
      <c r="A226">
        <v>2016</v>
      </c>
      <c r="B226" s="321">
        <f>+B225*1.031</f>
        <v>510.34499999999997</v>
      </c>
      <c r="C226" s="321">
        <f>+C225*1.031</f>
        <v>603.135</v>
      </c>
      <c r="D226" s="322">
        <v>9</v>
      </c>
      <c r="E226" s="21">
        <f t="shared" si="43"/>
        <v>427.0338661617819</v>
      </c>
      <c r="F226" s="21">
        <f t="shared" si="44"/>
        <v>504.67638728210585</v>
      </c>
      <c r="N226" s="387">
        <v>2006</v>
      </c>
      <c r="O226" s="388">
        <v>94.70888876676202</v>
      </c>
      <c r="P226" s="389">
        <v>4.840167528072192</v>
      </c>
      <c r="R226" s="393">
        <v>0.03</v>
      </c>
    </row>
    <row r="227" spans="1:18" ht="12.75">
      <c r="A227">
        <v>2017</v>
      </c>
      <c r="B227" s="321">
        <f aca="true" t="shared" si="45" ref="B227:B240">+B226*1.031</f>
        <v>526.1656949999999</v>
      </c>
      <c r="C227" s="321">
        <f aca="true" t="shared" si="46" ref="C227:C240">+C226*1.031</f>
        <v>621.832185</v>
      </c>
      <c r="D227" s="322">
        <v>10</v>
      </c>
      <c r="E227" s="21">
        <f t="shared" si="43"/>
        <v>431.63913334587943</v>
      </c>
      <c r="F227" s="21">
        <f t="shared" si="44"/>
        <v>510.118975772403</v>
      </c>
      <c r="N227" s="387">
        <v>2007</v>
      </c>
      <c r="O227" s="388">
        <v>100</v>
      </c>
      <c r="P227" s="389">
        <v>5.586710288902563</v>
      </c>
      <c r="Q227" s="388">
        <v>100</v>
      </c>
      <c r="R227" s="393">
        <v>0.03</v>
      </c>
    </row>
    <row r="228" spans="1:18" ht="12.75">
      <c r="A228">
        <v>2018</v>
      </c>
      <c r="B228" s="321">
        <f t="shared" si="45"/>
        <v>542.4768315449999</v>
      </c>
      <c r="C228" s="321">
        <f t="shared" si="46"/>
        <v>641.1089827349999</v>
      </c>
      <c r="D228" s="322">
        <v>11</v>
      </c>
      <c r="E228" s="21">
        <f t="shared" si="43"/>
        <v>436.29406517608015</v>
      </c>
      <c r="F228" s="21">
        <f t="shared" si="44"/>
        <v>515.6202588444584</v>
      </c>
      <c r="N228" s="387">
        <v>2008</v>
      </c>
      <c r="O228" s="388">
        <v>106.01425849799435</v>
      </c>
      <c r="P228" s="389">
        <v>6.014258497994351</v>
      </c>
      <c r="Q228" s="392">
        <f>(Q227*R228)+Q227</f>
        <v>103</v>
      </c>
      <c r="R228" s="393">
        <v>0.03</v>
      </c>
    </row>
    <row r="229" spans="1:18" ht="12.75">
      <c r="A229">
        <v>2019</v>
      </c>
      <c r="B229" s="321">
        <f t="shared" si="45"/>
        <v>559.2936133228948</v>
      </c>
      <c r="C229" s="321">
        <f t="shared" si="46"/>
        <v>660.9833611997849</v>
      </c>
      <c r="D229" s="322">
        <v>12</v>
      </c>
      <c r="E229" s="21">
        <f t="shared" si="43"/>
        <v>440.9991972515083</v>
      </c>
      <c r="F229" s="21">
        <f t="shared" si="44"/>
        <v>521.1808694790554</v>
      </c>
      <c r="N229" s="387">
        <v>2009</v>
      </c>
      <c r="O229" s="388">
        <v>112.05572246201572</v>
      </c>
      <c r="P229" s="389">
        <v>5.698727746264121</v>
      </c>
      <c r="Q229" s="392">
        <f aca="true" t="shared" si="47" ref="Q229:Q238">(Q228*R229)+Q228</f>
        <v>106.09</v>
      </c>
      <c r="R229" s="393">
        <v>0.03</v>
      </c>
    </row>
    <row r="230" spans="1:18" ht="12.75">
      <c r="A230">
        <v>2020</v>
      </c>
      <c r="B230" s="321">
        <f t="shared" si="45"/>
        <v>576.6317153359045</v>
      </c>
      <c r="C230" s="321">
        <f t="shared" si="46"/>
        <v>681.4738453969782</v>
      </c>
      <c r="D230" s="322">
        <v>13</v>
      </c>
      <c r="E230" s="21">
        <f t="shared" si="43"/>
        <v>445.75507094735786</v>
      </c>
      <c r="F230" s="21">
        <f t="shared" si="44"/>
        <v>526.8014474832413</v>
      </c>
      <c r="N230" s="387">
        <v>2010</v>
      </c>
      <c r="O230" s="388">
        <v>116.94930495583911</v>
      </c>
      <c r="P230" s="389">
        <v>4.367097356837091</v>
      </c>
      <c r="Q230" s="392">
        <f t="shared" si="47"/>
        <v>109.2727</v>
      </c>
      <c r="R230" s="393">
        <v>0.03</v>
      </c>
    </row>
    <row r="231" spans="1:18" ht="12.75">
      <c r="A231">
        <v>2021</v>
      </c>
      <c r="B231" s="321">
        <f t="shared" si="45"/>
        <v>594.5072985113175</v>
      </c>
      <c r="C231" s="321">
        <f t="shared" si="46"/>
        <v>702.5995346042845</v>
      </c>
      <c r="D231" s="322">
        <v>14</v>
      </c>
      <c r="E231" s="21">
        <f t="shared" si="43"/>
        <v>450.56223347718225</v>
      </c>
      <c r="F231" s="21">
        <f t="shared" si="44"/>
        <v>532.4826395639428</v>
      </c>
      <c r="N231" s="387">
        <v>2011</v>
      </c>
      <c r="O231" s="388">
        <v>120.61374120147684</v>
      </c>
      <c r="P231" s="389">
        <v>3.133354445348302</v>
      </c>
      <c r="Q231" s="392">
        <f t="shared" si="47"/>
        <v>112.550881</v>
      </c>
      <c r="R231" s="393">
        <v>0.03</v>
      </c>
    </row>
    <row r="232" spans="1:18" ht="12.75">
      <c r="A232">
        <v>2022</v>
      </c>
      <c r="B232" s="321">
        <f t="shared" si="45"/>
        <v>612.9370247651683</v>
      </c>
      <c r="C232" s="321">
        <f t="shared" si="46"/>
        <v>724.3801201770173</v>
      </c>
      <c r="D232" s="322">
        <v>15</v>
      </c>
      <c r="E232" s="21">
        <f t="shared" si="43"/>
        <v>455.42123795585786</v>
      </c>
      <c r="F232" s="21">
        <f t="shared" si="44"/>
        <v>538.2250994023776</v>
      </c>
      <c r="N232" s="387">
        <v>2012</v>
      </c>
      <c r="O232" s="388">
        <v>123.68443568369936</v>
      </c>
      <c r="P232" s="389">
        <v>2.5458910830840953</v>
      </c>
      <c r="Q232" s="392">
        <f t="shared" si="47"/>
        <v>115.92740743</v>
      </c>
      <c r="R232" s="393">
        <v>0.03</v>
      </c>
    </row>
    <row r="233" spans="1:18" ht="12.75">
      <c r="A233">
        <v>2023</v>
      </c>
      <c r="B233" s="321">
        <f t="shared" si="45"/>
        <v>631.9380725328884</v>
      </c>
      <c r="C233" s="321">
        <f t="shared" si="46"/>
        <v>746.8359039025047</v>
      </c>
      <c r="D233" s="322">
        <v>16</v>
      </c>
      <c r="E233" s="21">
        <f t="shared" si="43"/>
        <v>460.3326434632248</v>
      </c>
      <c r="F233" s="21">
        <f t="shared" si="44"/>
        <v>544.0294877292658</v>
      </c>
      <c r="N233" s="387">
        <v>2013</v>
      </c>
      <c r="O233" s="388">
        <v>126.77242019421135</v>
      </c>
      <c r="P233" s="389">
        <v>2.4966637826678184</v>
      </c>
      <c r="Q233" s="392">
        <f t="shared" si="47"/>
        <v>119.4052296529</v>
      </c>
      <c r="R233" s="393">
        <v>0.03</v>
      </c>
    </row>
    <row r="234" spans="1:18" ht="12.75">
      <c r="A234">
        <v>2024</v>
      </c>
      <c r="B234" s="321">
        <f t="shared" si="45"/>
        <v>651.5281527814079</v>
      </c>
      <c r="C234" s="321">
        <f t="shared" si="46"/>
        <v>769.9878169234822</v>
      </c>
      <c r="D234" s="322">
        <v>17</v>
      </c>
      <c r="E234" s="21">
        <f t="shared" si="43"/>
        <v>465.2970151084164</v>
      </c>
      <c r="F234" s="21">
        <f t="shared" si="44"/>
        <v>549.8964724008558</v>
      </c>
      <c r="N234" s="387">
        <v>2014</v>
      </c>
      <c r="O234" s="388">
        <v>130.15736257527465</v>
      </c>
      <c r="P234" s="389">
        <v>2.6700936811631992</v>
      </c>
      <c r="Q234" s="392">
        <f t="shared" si="47"/>
        <v>122.987386542487</v>
      </c>
      <c r="R234" s="393">
        <v>0.03</v>
      </c>
    </row>
    <row r="235" spans="1:18" ht="12.75">
      <c r="A235">
        <v>2025</v>
      </c>
      <c r="B235" s="321">
        <f t="shared" si="45"/>
        <v>671.7255255176315</v>
      </c>
      <c r="C235" s="321">
        <f t="shared" si="46"/>
        <v>793.8574392481102</v>
      </c>
      <c r="D235" s="322">
        <v>18</v>
      </c>
      <c r="E235" s="21">
        <f t="shared" si="43"/>
        <v>470.3149240948797</v>
      </c>
      <c r="F235" s="21">
        <f t="shared" si="44"/>
        <v>555.8267284757671</v>
      </c>
      <c r="N235" s="387">
        <v>2015</v>
      </c>
      <c r="O235" s="388">
        <v>133.7611116829737</v>
      </c>
      <c r="P235" s="389">
        <v>2.7687631620646025</v>
      </c>
      <c r="Q235" s="392">
        <f t="shared" si="47"/>
        <v>126.67700813876161</v>
      </c>
      <c r="R235" s="393">
        <v>0.03</v>
      </c>
    </row>
    <row r="236" spans="1:18" ht="12.75">
      <c r="A236">
        <v>2026</v>
      </c>
      <c r="B236" s="321">
        <f t="shared" si="45"/>
        <v>692.549016808678</v>
      </c>
      <c r="C236" s="321">
        <f t="shared" si="46"/>
        <v>818.4670198648015</v>
      </c>
      <c r="D236" s="322">
        <v>19</v>
      </c>
      <c r="E236" s="21">
        <f t="shared" si="43"/>
        <v>475.386947786099</v>
      </c>
      <c r="F236" s="21">
        <f t="shared" si="44"/>
        <v>561.8209382926626</v>
      </c>
      <c r="N236" s="387">
        <v>2016</v>
      </c>
      <c r="O236" s="388">
        <v>137.46508603450886</v>
      </c>
      <c r="P236" s="389">
        <v>2.7690965669558087</v>
      </c>
      <c r="Q236" s="392">
        <f t="shared" si="47"/>
        <v>130.47731838292447</v>
      </c>
      <c r="R236" s="393">
        <v>0.03</v>
      </c>
    </row>
    <row r="237" spans="1:18" ht="12.75">
      <c r="A237">
        <v>2027</v>
      </c>
      <c r="B237" s="321">
        <f t="shared" si="45"/>
        <v>714.0180363297469</v>
      </c>
      <c r="C237" s="321">
        <f t="shared" si="46"/>
        <v>843.8394974806102</v>
      </c>
      <c r="D237" s="322">
        <v>20</v>
      </c>
      <c r="E237" s="21">
        <f t="shared" si="43"/>
        <v>480.51366977202736</v>
      </c>
      <c r="F237" s="21">
        <f t="shared" si="44"/>
        <v>567.8797915487598</v>
      </c>
      <c r="N237" s="387">
        <v>2017</v>
      </c>
      <c r="O237" s="388">
        <v>141.24726306976186</v>
      </c>
      <c r="P237" s="389">
        <v>2.751372835356558</v>
      </c>
      <c r="Q237" s="392">
        <f t="shared" si="47"/>
        <v>134.3916379344122</v>
      </c>
      <c r="R237" s="393">
        <v>0.03</v>
      </c>
    </row>
    <row r="238" spans="1:18" ht="12.75">
      <c r="A238">
        <v>2028</v>
      </c>
      <c r="B238" s="321">
        <f t="shared" si="45"/>
        <v>736.152595455969</v>
      </c>
      <c r="C238" s="321">
        <f t="shared" si="46"/>
        <v>869.9985219025091</v>
      </c>
      <c r="D238" s="322">
        <v>21</v>
      </c>
      <c r="E238" s="21">
        <f t="shared" si="43"/>
        <v>485.69567993623554</v>
      </c>
      <c r="F238" s="21">
        <f t="shared" si="44"/>
        <v>574.0039853791876</v>
      </c>
      <c r="N238" s="387">
        <v>2018</v>
      </c>
      <c r="O238" s="388">
        <v>145.1259811381806</v>
      </c>
      <c r="P238" s="389">
        <v>2.7460483014832393</v>
      </c>
      <c r="Q238" s="392">
        <f t="shared" si="47"/>
        <v>138.42338707244454</v>
      </c>
      <c r="R238" s="393">
        <v>0.03</v>
      </c>
    </row>
    <row r="239" spans="1:6" ht="12.75">
      <c r="A239">
        <v>2029</v>
      </c>
      <c r="B239" s="321">
        <f t="shared" si="45"/>
        <v>758.973325915104</v>
      </c>
      <c r="C239" s="321">
        <f t="shared" si="46"/>
        <v>896.9684760814868</v>
      </c>
      <c r="D239" s="322">
        <v>22</v>
      </c>
      <c r="E239" s="21">
        <f t="shared" si="43"/>
        <v>490.93357452378314</v>
      </c>
      <c r="F239" s="21">
        <f t="shared" si="44"/>
        <v>580.1942244371984</v>
      </c>
    </row>
    <row r="240" spans="1:6" ht="12.75">
      <c r="A240">
        <v>2030</v>
      </c>
      <c r="B240" s="321">
        <f t="shared" si="45"/>
        <v>782.5014990184723</v>
      </c>
      <c r="C240" s="321">
        <f t="shared" si="46"/>
        <v>924.7744988400128</v>
      </c>
      <c r="D240" s="322">
        <v>23</v>
      </c>
      <c r="E240" s="21">
        <f t="shared" si="43"/>
        <v>496.227956209824</v>
      </c>
      <c r="F240" s="21">
        <f t="shared" si="44"/>
        <v>586.4512209752467</v>
      </c>
    </row>
  </sheetData>
  <sheetProtection/>
  <mergeCells count="6">
    <mergeCell ref="E116:F116"/>
    <mergeCell ref="Y116:Z116"/>
    <mergeCell ref="O216:P217"/>
    <mergeCell ref="Q216:R217"/>
    <mergeCell ref="I20:I29"/>
    <mergeCell ref="I31:I53"/>
  </mergeCells>
  <printOptions/>
  <pageMargins left="0.75" right="0.75" top="1" bottom="1" header="0.5" footer="0.5"/>
  <pageSetup horizontalDpi="600" verticalDpi="600" orientation="portrait" r:id="rId4"/>
  <drawing r:id="rId3"/>
  <legacyDrawing r:id="rId2"/>
</worksheet>
</file>

<file path=xl/worksheets/sheet8.xml><?xml version="1.0" encoding="utf-8"?>
<worksheet xmlns="http://schemas.openxmlformats.org/spreadsheetml/2006/main" xmlns:r="http://schemas.openxmlformats.org/officeDocument/2006/relationships">
  <dimension ref="A1:L42"/>
  <sheetViews>
    <sheetView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B8" sqref="B8"/>
    </sheetView>
  </sheetViews>
  <sheetFormatPr defaultColWidth="9.140625" defaultRowHeight="12.75"/>
  <cols>
    <col min="1" max="1" width="44.7109375" style="0" customWidth="1"/>
    <col min="5" max="5" width="12.421875" style="0" customWidth="1"/>
    <col min="6" max="6" width="10.8515625" style="0" customWidth="1"/>
    <col min="7" max="7" width="10.00390625" style="0" customWidth="1"/>
    <col min="8" max="8" width="11.140625" style="0" customWidth="1"/>
    <col min="10" max="11" width="10.8515625" style="0" customWidth="1"/>
    <col min="12" max="12" width="10.28125" style="0" customWidth="1"/>
  </cols>
  <sheetData>
    <row r="1" ht="12.75">
      <c r="A1" t="s">
        <v>105</v>
      </c>
    </row>
    <row r="4" spans="5:8" ht="12.75">
      <c r="E4" t="s">
        <v>106</v>
      </c>
      <c r="H4" t="s">
        <v>107</v>
      </c>
    </row>
    <row r="5" spans="5:12" ht="12.75">
      <c r="E5" t="s">
        <v>108</v>
      </c>
      <c r="F5" t="s">
        <v>109</v>
      </c>
      <c r="G5" t="s">
        <v>110</v>
      </c>
      <c r="H5" t="s">
        <v>77</v>
      </c>
      <c r="I5" t="s">
        <v>111</v>
      </c>
      <c r="J5" t="s">
        <v>112</v>
      </c>
      <c r="K5" t="s">
        <v>113</v>
      </c>
      <c r="L5" t="s">
        <v>114</v>
      </c>
    </row>
    <row r="6" spans="2:12" ht="12.75">
      <c r="B6" t="s">
        <v>115</v>
      </c>
      <c r="C6" t="s">
        <v>116</v>
      </c>
      <c r="D6" t="s">
        <v>117</v>
      </c>
      <c r="E6" t="s">
        <v>118</v>
      </c>
      <c r="F6" t="s">
        <v>119</v>
      </c>
      <c r="G6" t="s">
        <v>120</v>
      </c>
      <c r="H6" t="s">
        <v>121</v>
      </c>
      <c r="I6" t="s">
        <v>122</v>
      </c>
      <c r="J6" t="s">
        <v>123</v>
      </c>
      <c r="K6" t="s">
        <v>124</v>
      </c>
      <c r="L6" t="s">
        <v>113</v>
      </c>
    </row>
    <row r="7" spans="1:12" ht="12.75">
      <c r="A7" t="s">
        <v>125</v>
      </c>
      <c r="B7" t="s">
        <v>126</v>
      </c>
      <c r="C7" t="s">
        <v>127</v>
      </c>
      <c r="D7" t="s">
        <v>128</v>
      </c>
      <c r="E7" t="s">
        <v>129</v>
      </c>
      <c r="F7" t="s">
        <v>130</v>
      </c>
      <c r="G7" t="s">
        <v>131</v>
      </c>
      <c r="H7" t="s">
        <v>129</v>
      </c>
      <c r="I7" t="s">
        <v>132</v>
      </c>
      <c r="J7" t="s">
        <v>133</v>
      </c>
      <c r="K7" t="s">
        <v>134</v>
      </c>
      <c r="L7" t="s">
        <v>134</v>
      </c>
    </row>
    <row r="8" spans="1:12" ht="12.75">
      <c r="A8" t="s">
        <v>135</v>
      </c>
      <c r="B8">
        <v>2011</v>
      </c>
      <c r="C8" s="1">
        <v>600</v>
      </c>
      <c r="D8">
        <v>4</v>
      </c>
      <c r="E8" s="417">
        <v>1433.8451954305183</v>
      </c>
      <c r="F8" s="114">
        <v>1.07</v>
      </c>
      <c r="G8" s="114">
        <v>1</v>
      </c>
      <c r="H8" s="1">
        <v>1534.2143591106546</v>
      </c>
      <c r="I8" s="114">
        <v>4.464991868495945</v>
      </c>
      <c r="J8" s="114">
        <v>26.786766480684303</v>
      </c>
      <c r="K8" s="1">
        <v>9200</v>
      </c>
      <c r="L8">
        <v>8740</v>
      </c>
    </row>
    <row r="9" spans="1:12" ht="12.75">
      <c r="A9" t="s">
        <v>136</v>
      </c>
      <c r="B9">
        <v>2011</v>
      </c>
      <c r="C9" s="1">
        <v>550</v>
      </c>
      <c r="D9">
        <v>4</v>
      </c>
      <c r="E9" s="1">
        <v>1657.2540253698837</v>
      </c>
      <c r="F9" s="114">
        <v>1.07</v>
      </c>
      <c r="G9" s="114">
        <v>1</v>
      </c>
      <c r="H9" s="1">
        <v>1773.2618071457757</v>
      </c>
      <c r="I9" s="114">
        <v>2.8423717850446724</v>
      </c>
      <c r="J9" s="114">
        <v>37.61803420162204</v>
      </c>
      <c r="K9" s="1">
        <v>8765</v>
      </c>
      <c r="L9">
        <v>7450</v>
      </c>
    </row>
    <row r="10" spans="1:12" ht="12.75">
      <c r="A10" t="s">
        <v>137</v>
      </c>
      <c r="B10">
        <v>2011</v>
      </c>
      <c r="C10" s="1">
        <v>380</v>
      </c>
      <c r="D10">
        <v>4</v>
      </c>
      <c r="E10" s="1">
        <v>2301.8434363424794</v>
      </c>
      <c r="F10" s="114">
        <v>1.07</v>
      </c>
      <c r="G10" s="114">
        <v>1.03</v>
      </c>
      <c r="H10" s="1">
        <v>2536.861651193047</v>
      </c>
      <c r="I10" s="114">
        <v>4.320086640238766</v>
      </c>
      <c r="J10" s="114">
        <v>44.27093578028683</v>
      </c>
      <c r="K10" s="1">
        <v>10781</v>
      </c>
      <c r="L10">
        <v>8307</v>
      </c>
    </row>
    <row r="11" spans="1:12" ht="12.75">
      <c r="A11" t="s">
        <v>138</v>
      </c>
      <c r="B11">
        <v>2010</v>
      </c>
      <c r="C11" s="1">
        <v>250</v>
      </c>
      <c r="D11">
        <v>3</v>
      </c>
      <c r="E11" s="1">
        <v>683.0450292408472</v>
      </c>
      <c r="F11" s="114">
        <v>1.05</v>
      </c>
      <c r="G11" s="114">
        <v>1</v>
      </c>
      <c r="H11" s="1">
        <v>717.1972807028895</v>
      </c>
      <c r="I11" s="114">
        <v>2.009564813852312</v>
      </c>
      <c r="J11" s="114">
        <v>12.144968966126452</v>
      </c>
      <c r="K11" s="1">
        <v>7196</v>
      </c>
      <c r="L11">
        <v>6800</v>
      </c>
    </row>
    <row r="12" spans="1:12" ht="12.75">
      <c r="A12" t="s">
        <v>139</v>
      </c>
      <c r="B12">
        <v>2010</v>
      </c>
      <c r="C12" s="1">
        <v>400</v>
      </c>
      <c r="D12">
        <v>3</v>
      </c>
      <c r="E12" s="1">
        <v>653.7455105602746</v>
      </c>
      <c r="F12" s="114">
        <v>1.08</v>
      </c>
      <c r="G12" s="114">
        <v>1</v>
      </c>
      <c r="H12" s="1">
        <v>706.0451514050966</v>
      </c>
      <c r="I12" s="114">
        <v>1.9458702080249801</v>
      </c>
      <c r="J12" s="114">
        <v>11.37904133105279</v>
      </c>
      <c r="K12" s="1">
        <v>6752</v>
      </c>
      <c r="L12">
        <v>6333</v>
      </c>
    </row>
    <row r="13" spans="1:12" ht="12.75">
      <c r="A13" t="s">
        <v>140</v>
      </c>
      <c r="B13">
        <v>2010</v>
      </c>
      <c r="C13" s="1">
        <v>400</v>
      </c>
      <c r="D13">
        <v>3</v>
      </c>
      <c r="E13" s="1">
        <v>1254.3856435120115</v>
      </c>
      <c r="F13" s="114">
        <v>1.08</v>
      </c>
      <c r="G13" s="114">
        <v>1.04</v>
      </c>
      <c r="H13" s="1">
        <v>1408.9259547926913</v>
      </c>
      <c r="I13" s="114">
        <v>2.8614801667928718</v>
      </c>
      <c r="J13" s="114">
        <v>19.359975441217436</v>
      </c>
      <c r="K13" s="1">
        <v>8613</v>
      </c>
      <c r="L13">
        <v>7493</v>
      </c>
    </row>
    <row r="14" spans="1:12" ht="12.75">
      <c r="A14" t="s">
        <v>141</v>
      </c>
      <c r="B14">
        <v>2009</v>
      </c>
      <c r="C14" s="1">
        <v>160</v>
      </c>
      <c r="D14">
        <v>2</v>
      </c>
      <c r="E14" s="1">
        <v>476.1171785593036</v>
      </c>
      <c r="F14" s="114">
        <v>1.05</v>
      </c>
      <c r="G14" s="114">
        <v>1</v>
      </c>
      <c r="H14" s="1">
        <v>499.9230374872688</v>
      </c>
      <c r="I14" s="114">
        <v>3.471356017589572</v>
      </c>
      <c r="J14" s="114">
        <v>11.783502078056346</v>
      </c>
      <c r="K14" s="1">
        <v>10832.947265625</v>
      </c>
      <c r="L14">
        <v>10450</v>
      </c>
    </row>
    <row r="15" spans="1:12" ht="12.75">
      <c r="A15" t="s">
        <v>142</v>
      </c>
      <c r="B15">
        <v>2009</v>
      </c>
      <c r="C15" s="1">
        <v>230</v>
      </c>
      <c r="D15">
        <v>2</v>
      </c>
      <c r="E15" s="1">
        <v>450.4800997138027</v>
      </c>
      <c r="F15" s="114">
        <v>1.05</v>
      </c>
      <c r="G15" s="114">
        <v>1</v>
      </c>
      <c r="H15" s="1">
        <v>473.00410469949287</v>
      </c>
      <c r="I15" s="114">
        <v>3.0844112871885327</v>
      </c>
      <c r="J15" s="114">
        <v>10.243684982180604</v>
      </c>
      <c r="K15" s="1">
        <v>9289</v>
      </c>
      <c r="L15">
        <v>8550</v>
      </c>
    </row>
    <row r="16" spans="1:12" ht="12.75">
      <c r="A16" t="s">
        <v>143</v>
      </c>
      <c r="B16">
        <v>2010</v>
      </c>
      <c r="C16" s="1">
        <v>10</v>
      </c>
      <c r="D16">
        <v>3</v>
      </c>
      <c r="E16" s="1">
        <v>4653.129810458425</v>
      </c>
      <c r="F16" s="114">
        <v>1.05</v>
      </c>
      <c r="G16" s="114">
        <v>1.1</v>
      </c>
      <c r="H16" s="1">
        <v>5374.364931079482</v>
      </c>
      <c r="I16" s="114">
        <v>46.62445146560673</v>
      </c>
      <c r="J16" s="114">
        <v>5.4984368480444</v>
      </c>
      <c r="K16" s="1">
        <v>7930</v>
      </c>
      <c r="L16">
        <v>6960</v>
      </c>
    </row>
    <row r="17" spans="1:12" ht="12.75">
      <c r="A17" t="s">
        <v>144</v>
      </c>
      <c r="B17">
        <v>2014</v>
      </c>
      <c r="C17" s="1">
        <v>1350</v>
      </c>
      <c r="D17">
        <v>6</v>
      </c>
      <c r="E17" s="1">
        <v>2142.5273035168666</v>
      </c>
      <c r="F17" s="114">
        <v>1.1</v>
      </c>
      <c r="G17" s="114">
        <v>1.05</v>
      </c>
      <c r="H17" s="1">
        <v>2474.619035561981</v>
      </c>
      <c r="I17" s="114">
        <v>0.48089427399635354</v>
      </c>
      <c r="J17" s="114">
        <v>66.0481215126515</v>
      </c>
      <c r="K17" s="1">
        <v>10400</v>
      </c>
      <c r="L17">
        <v>10400</v>
      </c>
    </row>
    <row r="18" spans="1:12" ht="12.75">
      <c r="A18" t="s">
        <v>145</v>
      </c>
      <c r="B18">
        <v>2009</v>
      </c>
      <c r="C18" s="1">
        <v>5</v>
      </c>
      <c r="D18">
        <v>2</v>
      </c>
      <c r="E18" s="1">
        <v>972.3777762115009</v>
      </c>
      <c r="F18" s="114">
        <v>1.05</v>
      </c>
      <c r="G18" s="114">
        <v>1</v>
      </c>
      <c r="H18" s="1">
        <v>1020.996665022076</v>
      </c>
      <c r="I18" s="114">
        <v>6.93156547915936</v>
      </c>
      <c r="J18" s="114">
        <v>15.594031871676457</v>
      </c>
      <c r="K18" s="1">
        <v>9200</v>
      </c>
      <c r="L18">
        <v>8900</v>
      </c>
    </row>
    <row r="19" spans="1:12" ht="12.75">
      <c r="A19" t="s">
        <v>146</v>
      </c>
      <c r="B19">
        <v>2010</v>
      </c>
      <c r="C19" s="1">
        <v>2</v>
      </c>
      <c r="D19">
        <v>3</v>
      </c>
      <c r="E19" s="1">
        <v>1168.3183073878297</v>
      </c>
      <c r="F19" s="114">
        <v>1.05</v>
      </c>
      <c r="G19" s="114">
        <v>1</v>
      </c>
      <c r="H19" s="1">
        <v>1226.7342227572212</v>
      </c>
      <c r="I19" s="114">
        <v>6.93156547915936</v>
      </c>
      <c r="J19" s="114">
        <v>15.594031871676457</v>
      </c>
      <c r="K19" s="1">
        <v>10257</v>
      </c>
      <c r="L19">
        <v>9880</v>
      </c>
    </row>
    <row r="20" spans="1:12" ht="12.75">
      <c r="A20" t="s">
        <v>39</v>
      </c>
      <c r="B20">
        <v>2011</v>
      </c>
      <c r="C20" s="1">
        <v>80</v>
      </c>
      <c r="D20">
        <v>4</v>
      </c>
      <c r="E20" s="1">
        <v>2490.459087848665</v>
      </c>
      <c r="F20" s="114">
        <v>1.07</v>
      </c>
      <c r="G20" s="114">
        <v>1.054</v>
      </c>
      <c r="H20" s="1">
        <v>2808.689950093968</v>
      </c>
      <c r="I20" s="114">
        <v>6.52869694544171</v>
      </c>
      <c r="J20" s="114">
        <v>62.69937761127954</v>
      </c>
      <c r="K20">
        <v>8911</v>
      </c>
      <c r="L20">
        <v>8911</v>
      </c>
    </row>
    <row r="21" spans="1:12" ht="12.75">
      <c r="A21" t="s">
        <v>147</v>
      </c>
      <c r="B21">
        <v>2010</v>
      </c>
      <c r="C21" s="1">
        <v>30</v>
      </c>
      <c r="D21">
        <v>3</v>
      </c>
      <c r="E21" s="1">
        <v>1772.6208801746382</v>
      </c>
      <c r="F21" s="114">
        <v>1.07</v>
      </c>
      <c r="G21" s="114">
        <v>1</v>
      </c>
      <c r="H21" s="1">
        <v>1896.7043417868629</v>
      </c>
      <c r="I21" s="114">
        <v>0.01114655601978303</v>
      </c>
      <c r="J21" s="114">
        <v>111.14708716869363</v>
      </c>
      <c r="K21" s="1">
        <v>13648</v>
      </c>
      <c r="L21" s="1">
        <v>13648</v>
      </c>
    </row>
    <row r="22" spans="1:12" ht="12.75">
      <c r="A22" t="s">
        <v>148</v>
      </c>
      <c r="B22">
        <v>2011</v>
      </c>
      <c r="C22" s="1">
        <v>50</v>
      </c>
      <c r="D22">
        <v>4</v>
      </c>
      <c r="E22" s="1">
        <v>1056.9323671972297</v>
      </c>
      <c r="F22" s="114">
        <v>1.05</v>
      </c>
      <c r="G22" s="114">
        <v>1</v>
      </c>
      <c r="H22" s="1">
        <v>1109.7789855570913</v>
      </c>
      <c r="I22" s="114">
        <v>0</v>
      </c>
      <c r="J22" s="114">
        <v>160.176004172867</v>
      </c>
      <c r="K22" s="1">
        <v>35376.25390625</v>
      </c>
      <c r="L22" s="1">
        <v>33675.90234375</v>
      </c>
    </row>
    <row r="23" spans="1:12" ht="12.75">
      <c r="A23" t="s">
        <v>149</v>
      </c>
      <c r="B23">
        <v>2011</v>
      </c>
      <c r="C23" s="1">
        <v>500</v>
      </c>
      <c r="D23">
        <v>4</v>
      </c>
      <c r="E23" s="1">
        <v>1410.35423293029</v>
      </c>
      <c r="F23" s="114">
        <v>1.1</v>
      </c>
      <c r="G23" s="114">
        <v>1</v>
      </c>
      <c r="H23" s="1">
        <v>1551.3896562233192</v>
      </c>
      <c r="I23" s="114">
        <v>3.41379367648929</v>
      </c>
      <c r="J23" s="114">
        <v>13.5867755450697</v>
      </c>
      <c r="K23" s="1">
        <v>10021.9912109375</v>
      </c>
      <c r="L23" s="1">
        <v>10021.9990234375</v>
      </c>
    </row>
    <row r="24" spans="1:12" ht="12.75">
      <c r="A24" t="s">
        <v>17</v>
      </c>
      <c r="B24">
        <v>2010</v>
      </c>
      <c r="C24" s="1">
        <v>50</v>
      </c>
      <c r="D24">
        <v>3</v>
      </c>
      <c r="E24" s="1">
        <v>1340.4529796361933</v>
      </c>
      <c r="F24" s="114">
        <v>1.07</v>
      </c>
      <c r="G24" s="114">
        <v>1</v>
      </c>
      <c r="H24" s="1">
        <v>1434.284688210727</v>
      </c>
      <c r="I24" s="114">
        <v>0</v>
      </c>
      <c r="J24" s="114">
        <v>29.477863576889064</v>
      </c>
      <c r="K24" s="1">
        <v>10022</v>
      </c>
      <c r="L24" s="1">
        <v>10022</v>
      </c>
    </row>
    <row r="25" spans="1:12" ht="12.75">
      <c r="A25" t="s">
        <v>150</v>
      </c>
      <c r="B25">
        <v>2011</v>
      </c>
      <c r="C25" s="1">
        <v>100</v>
      </c>
      <c r="D25">
        <v>4</v>
      </c>
      <c r="E25" s="1">
        <v>2547.2269052922743</v>
      </c>
      <c r="F25" s="114">
        <v>1.1</v>
      </c>
      <c r="G25" s="114">
        <v>1.025</v>
      </c>
      <c r="H25" s="1">
        <v>2871.9983357170395</v>
      </c>
      <c r="I25" s="114">
        <v>0</v>
      </c>
      <c r="J25" s="114">
        <v>87.05460251450546</v>
      </c>
      <c r="K25" s="1">
        <v>10022</v>
      </c>
      <c r="L25" s="1">
        <v>10022</v>
      </c>
    </row>
    <row r="26" spans="1:12" ht="12.75">
      <c r="A26" t="s">
        <v>151</v>
      </c>
      <c r="B26">
        <v>2010</v>
      </c>
      <c r="C26" s="1">
        <v>100</v>
      </c>
      <c r="D26">
        <v>3</v>
      </c>
      <c r="E26" s="1">
        <v>3499.4612624108822</v>
      </c>
      <c r="F26" s="114">
        <v>1.07</v>
      </c>
      <c r="G26" s="114">
        <v>1</v>
      </c>
      <c r="H26" s="1">
        <v>3744.4235507796443</v>
      </c>
      <c r="I26" s="114">
        <v>0</v>
      </c>
      <c r="J26" s="114">
        <v>55.24073926889901</v>
      </c>
      <c r="K26" s="1">
        <v>10022</v>
      </c>
      <c r="L26" s="1">
        <v>10022</v>
      </c>
    </row>
    <row r="27" spans="1:12" ht="12.75">
      <c r="A27" t="s">
        <v>152</v>
      </c>
      <c r="B27">
        <v>2009</v>
      </c>
      <c r="C27" s="1">
        <v>5</v>
      </c>
      <c r="D27">
        <v>2</v>
      </c>
      <c r="E27" s="1">
        <v>5380.124117720131</v>
      </c>
      <c r="F27" s="114">
        <v>1.05</v>
      </c>
      <c r="G27" s="114">
        <v>1</v>
      </c>
      <c r="H27" s="1">
        <v>5649.130323606138</v>
      </c>
      <c r="I27" s="114">
        <v>0</v>
      </c>
      <c r="J27" s="114">
        <v>11.366302409887323</v>
      </c>
      <c r="K27" s="1">
        <v>10022</v>
      </c>
      <c r="L27" s="1">
        <v>10022</v>
      </c>
    </row>
    <row r="29" spans="5:8" ht="12.75">
      <c r="E29" s="114"/>
      <c r="F29" s="114"/>
      <c r="G29" s="114"/>
      <c r="H29" s="114"/>
    </row>
    <row r="32" ht="12.75">
      <c r="A32" t="s">
        <v>153</v>
      </c>
    </row>
    <row r="33" ht="12.75">
      <c r="A33" t="s">
        <v>154</v>
      </c>
    </row>
    <row r="34" ht="12.75">
      <c r="A34" t="s">
        <v>155</v>
      </c>
    </row>
    <row r="35" ht="12.75">
      <c r="A35" t="s">
        <v>156</v>
      </c>
    </row>
    <row r="36" ht="12.75">
      <c r="A36" t="s">
        <v>157</v>
      </c>
    </row>
    <row r="37" ht="12.75">
      <c r="A37" t="s">
        <v>158</v>
      </c>
    </row>
    <row r="38" ht="12.75">
      <c r="A38" t="s">
        <v>159</v>
      </c>
    </row>
    <row r="39" ht="12.75">
      <c r="A39" t="s">
        <v>160</v>
      </c>
    </row>
    <row r="42" ht="12.75">
      <c r="A42" t="s">
        <v>161</v>
      </c>
    </row>
  </sheetData>
  <sheetProtection/>
  <printOptions/>
  <pageMargins left="0.75" right="0.75" top="1" bottom="1" header="0.5" footer="0.5"/>
  <pageSetup horizontalDpi="600" verticalDpi="600" orientation="portrait" r:id="rId1"/>
</worksheet>
</file>

<file path=xl/worksheets/sheet9.xml><?xml version="1.0" encoding="utf-8"?>
<worksheet xmlns="http://schemas.openxmlformats.org/spreadsheetml/2006/main" xmlns:r="http://schemas.openxmlformats.org/officeDocument/2006/relationships">
  <dimension ref="A1:G60"/>
  <sheetViews>
    <sheetView zoomScale="70" zoomScaleNormal="70" zoomScalePageLayoutView="0" workbookViewId="0" topLeftCell="A1">
      <pane xSplit="1" ySplit="1" topLeftCell="B2" activePane="bottomRight" state="frozen"/>
      <selection pane="topLeft" activeCell="A1" sqref="A1"/>
      <selection pane="topRight" activeCell="B1" sqref="B1"/>
      <selection pane="bottomLeft" activeCell="A2" sqref="A2"/>
      <selection pane="bottomRight" activeCell="B2" sqref="B2"/>
    </sheetView>
  </sheetViews>
  <sheetFormatPr defaultColWidth="9.140625" defaultRowHeight="12.75"/>
  <cols>
    <col min="1" max="1" width="16.140625" style="0" bestFit="1" customWidth="1"/>
    <col min="2" max="2" width="31.00390625" style="0" bestFit="1" customWidth="1"/>
    <col min="3" max="3" width="22.57421875" style="0" bestFit="1" customWidth="1"/>
    <col min="4" max="4" width="24.421875" style="0" bestFit="1" customWidth="1"/>
    <col min="5" max="5" width="9.28125" style="0" bestFit="1" customWidth="1"/>
    <col min="6" max="6" width="17.00390625" style="0" bestFit="1" customWidth="1"/>
  </cols>
  <sheetData>
    <row r="1" spans="1:6" ht="12.75">
      <c r="A1" s="129" t="s">
        <v>163</v>
      </c>
      <c r="B1" s="129" t="s">
        <v>164</v>
      </c>
      <c r="C1" s="129" t="s">
        <v>165</v>
      </c>
      <c r="D1" s="129" t="s">
        <v>166</v>
      </c>
      <c r="E1" s="129" t="s">
        <v>167</v>
      </c>
      <c r="F1" s="129" t="s">
        <v>168</v>
      </c>
    </row>
    <row r="2" spans="1:6" ht="12.75">
      <c r="A2" s="129" t="s">
        <v>169</v>
      </c>
      <c r="B2" s="129">
        <v>2500</v>
      </c>
      <c r="C2" s="129">
        <v>200</v>
      </c>
      <c r="D2" s="183">
        <v>0.08</v>
      </c>
      <c r="E2" s="129">
        <v>8700</v>
      </c>
      <c r="F2" s="129">
        <v>6</v>
      </c>
    </row>
    <row r="3" spans="1:6" ht="12.75">
      <c r="A3" s="129" t="s">
        <v>170</v>
      </c>
      <c r="B3" s="129">
        <v>4000</v>
      </c>
      <c r="C3" s="129">
        <v>250</v>
      </c>
      <c r="D3" s="183">
        <v>0.08</v>
      </c>
      <c r="E3" s="129">
        <v>12500</v>
      </c>
      <c r="F3" s="129">
        <v>6</v>
      </c>
    </row>
    <row r="4" spans="1:6" ht="12.75">
      <c r="A4" s="129" t="s">
        <v>13</v>
      </c>
      <c r="B4" s="129">
        <v>3800</v>
      </c>
      <c r="C4" s="129">
        <v>500</v>
      </c>
      <c r="D4" s="183">
        <v>0.08</v>
      </c>
      <c r="E4" s="129">
        <v>10000</v>
      </c>
      <c r="F4" s="129">
        <v>10</v>
      </c>
    </row>
    <row r="5" spans="1:6" ht="12.75">
      <c r="A5" s="129" t="s">
        <v>171</v>
      </c>
      <c r="B5" s="129">
        <v>3000</v>
      </c>
      <c r="C5" s="129">
        <v>200</v>
      </c>
      <c r="D5" s="183">
        <v>0.08</v>
      </c>
      <c r="E5" s="129">
        <v>8900</v>
      </c>
      <c r="F5" s="129">
        <v>5</v>
      </c>
    </row>
    <row r="6" spans="1:6" ht="12.75">
      <c r="A6" s="129" t="s">
        <v>172</v>
      </c>
      <c r="B6" s="129">
        <v>3700</v>
      </c>
      <c r="C6" s="129">
        <v>250</v>
      </c>
      <c r="D6" s="183">
        <v>0.08</v>
      </c>
      <c r="E6" s="129">
        <v>10500</v>
      </c>
      <c r="F6" s="129">
        <v>8</v>
      </c>
    </row>
    <row r="7" spans="1:6" ht="12.75">
      <c r="A7" s="129" t="s">
        <v>17</v>
      </c>
      <c r="B7" s="129">
        <v>2000</v>
      </c>
      <c r="C7" s="129">
        <v>100</v>
      </c>
      <c r="D7" s="183">
        <v>0.08</v>
      </c>
      <c r="E7" s="129" t="s">
        <v>97</v>
      </c>
      <c r="F7" s="129">
        <v>3</v>
      </c>
    </row>
    <row r="8" spans="1:6" ht="12.75">
      <c r="A8" s="9"/>
      <c r="B8" s="9"/>
      <c r="C8" s="9"/>
      <c r="D8" s="218"/>
      <c r="E8" s="9"/>
      <c r="F8" s="9"/>
    </row>
    <row r="9" spans="1:6" ht="12.75">
      <c r="A9" s="9"/>
      <c r="B9" s="9"/>
      <c r="C9" s="9"/>
      <c r="D9" s="218"/>
      <c r="E9" s="9"/>
      <c r="F9" s="9"/>
    </row>
    <row r="10" spans="1:6" ht="12.75">
      <c r="A10" s="219" t="s">
        <v>229</v>
      </c>
      <c r="B10" s="9"/>
      <c r="C10" s="9"/>
      <c r="D10" s="218"/>
      <c r="E10" s="9"/>
      <c r="F10" s="9"/>
    </row>
    <row r="11" spans="1:6" ht="12.75">
      <c r="A11" s="220" t="s">
        <v>163</v>
      </c>
      <c r="B11" s="220" t="s">
        <v>164</v>
      </c>
      <c r="C11" s="220" t="s">
        <v>165</v>
      </c>
      <c r="D11" s="220" t="s">
        <v>166</v>
      </c>
      <c r="E11" s="220" t="s">
        <v>167</v>
      </c>
      <c r="F11" s="220" t="s">
        <v>168</v>
      </c>
    </row>
    <row r="12" spans="1:6" ht="12.75">
      <c r="A12" s="220" t="s">
        <v>169</v>
      </c>
      <c r="B12" s="220">
        <v>2500</v>
      </c>
      <c r="C12" s="220">
        <v>200</v>
      </c>
      <c r="D12" s="221">
        <v>0.08</v>
      </c>
      <c r="E12" s="220">
        <v>8700</v>
      </c>
      <c r="F12" s="220">
        <v>6</v>
      </c>
    </row>
    <row r="13" spans="1:6" ht="12.75">
      <c r="A13" s="220" t="s">
        <v>170</v>
      </c>
      <c r="B13" s="220">
        <v>4000</v>
      </c>
      <c r="C13" s="220">
        <v>250</v>
      </c>
      <c r="D13" s="221">
        <v>0.08</v>
      </c>
      <c r="E13" s="220">
        <v>12500</v>
      </c>
      <c r="F13" s="220">
        <v>6</v>
      </c>
    </row>
    <row r="14" spans="1:6" ht="12.75">
      <c r="A14" s="220" t="s">
        <v>13</v>
      </c>
      <c r="B14" s="220">
        <v>3800</v>
      </c>
      <c r="C14" s="220">
        <v>500</v>
      </c>
      <c r="D14" s="221">
        <v>0.08</v>
      </c>
      <c r="E14" s="220">
        <v>10000</v>
      </c>
      <c r="F14" s="220">
        <v>10</v>
      </c>
    </row>
    <row r="15" spans="1:6" ht="12.75">
      <c r="A15" s="220" t="s">
        <v>171</v>
      </c>
      <c r="B15" s="220">
        <v>3000</v>
      </c>
      <c r="C15" s="220">
        <v>200</v>
      </c>
      <c r="D15" s="221">
        <v>0.08</v>
      </c>
      <c r="E15" s="220">
        <v>8900</v>
      </c>
      <c r="F15" s="220">
        <v>5</v>
      </c>
    </row>
    <row r="16" spans="1:6" ht="12.75">
      <c r="A16" s="220" t="s">
        <v>172</v>
      </c>
      <c r="B16" s="220">
        <v>3700</v>
      </c>
      <c r="C16" s="220">
        <v>250</v>
      </c>
      <c r="D16" s="221">
        <v>0.08</v>
      </c>
      <c r="E16" s="220">
        <v>10500</v>
      </c>
      <c r="F16" s="220">
        <v>8</v>
      </c>
    </row>
    <row r="17" spans="1:6" ht="12.75">
      <c r="A17" s="220" t="s">
        <v>17</v>
      </c>
      <c r="B17" s="220">
        <v>2000</v>
      </c>
      <c r="C17" s="220">
        <v>100</v>
      </c>
      <c r="D17" s="221">
        <v>0.08</v>
      </c>
      <c r="E17" s="222" t="s">
        <v>97</v>
      </c>
      <c r="F17" s="220">
        <v>3</v>
      </c>
    </row>
    <row r="18" spans="1:6" ht="12.75">
      <c r="A18" s="220" t="s">
        <v>230</v>
      </c>
      <c r="B18" s="220">
        <v>800</v>
      </c>
      <c r="C18" s="220">
        <v>150</v>
      </c>
      <c r="D18" s="221">
        <v>0.08</v>
      </c>
      <c r="E18" s="220">
        <v>6900</v>
      </c>
      <c r="F18" s="220">
        <v>3</v>
      </c>
    </row>
    <row r="19" spans="1:6" ht="12.75">
      <c r="A19" s="220" t="s">
        <v>18</v>
      </c>
      <c r="B19" s="9"/>
      <c r="C19" s="9"/>
      <c r="D19" s="218"/>
      <c r="E19" s="9"/>
      <c r="F19" s="9"/>
    </row>
    <row r="20" spans="1:6" ht="12.75">
      <c r="A20" s="9"/>
      <c r="B20" s="9"/>
      <c r="C20" s="9"/>
      <c r="D20" s="218"/>
      <c r="E20" s="9"/>
      <c r="F20" s="9"/>
    </row>
    <row r="21" spans="1:6" ht="12.75">
      <c r="A21" s="9"/>
      <c r="B21" s="9"/>
      <c r="C21" s="9"/>
      <c r="D21" s="218"/>
      <c r="E21" s="9"/>
      <c r="F21" s="9"/>
    </row>
    <row r="23" spans="1:7" ht="12.75">
      <c r="A23" s="129"/>
      <c r="B23" s="129"/>
      <c r="C23" s="129"/>
      <c r="D23" s="129"/>
      <c r="E23" s="129"/>
      <c r="F23" s="129"/>
      <c r="G23" s="129"/>
    </row>
    <row r="24" spans="1:7" ht="12.75">
      <c r="A24" s="129"/>
      <c r="B24" s="129"/>
      <c r="C24" s="129"/>
      <c r="D24" s="129"/>
      <c r="E24" s="129"/>
      <c r="F24" s="129"/>
      <c r="G24" s="129"/>
    </row>
    <row r="25" spans="1:7" ht="12.75">
      <c r="A25" s="129"/>
      <c r="B25" s="129"/>
      <c r="C25" s="129"/>
      <c r="D25" s="129"/>
      <c r="E25" s="129"/>
      <c r="F25" s="129"/>
      <c r="G25" s="129"/>
    </row>
    <row r="26" spans="1:7" ht="12.75">
      <c r="A26" s="129"/>
      <c r="B26" s="129"/>
      <c r="C26" s="129"/>
      <c r="D26" s="129"/>
      <c r="E26" s="129"/>
      <c r="F26" s="129"/>
      <c r="G26" s="129"/>
    </row>
    <row r="27" spans="1:7" ht="18">
      <c r="A27" s="184" t="s">
        <v>174</v>
      </c>
      <c r="B27" s="129"/>
      <c r="C27" s="129"/>
      <c r="D27" s="129"/>
      <c r="E27" s="129"/>
      <c r="F27" s="129"/>
      <c r="G27" s="129"/>
    </row>
    <row r="28" spans="1:7" ht="12.75">
      <c r="A28" s="185" t="s">
        <v>175</v>
      </c>
      <c r="B28" s="129"/>
      <c r="C28" s="129"/>
      <c r="D28" s="129"/>
      <c r="E28" s="129"/>
      <c r="F28" s="129"/>
      <c r="G28" s="129"/>
    </row>
    <row r="29" spans="1:7" ht="12.75">
      <c r="A29" s="129"/>
      <c r="B29" s="129"/>
      <c r="C29" s="129"/>
      <c r="D29" s="129"/>
      <c r="E29" s="129"/>
      <c r="F29" s="129"/>
      <c r="G29" s="129"/>
    </row>
    <row r="30" spans="1:7" ht="15.75">
      <c r="A30" s="186" t="s">
        <v>176</v>
      </c>
      <c r="B30" s="129"/>
      <c r="C30" s="129"/>
      <c r="D30" s="129"/>
      <c r="E30" s="129"/>
      <c r="F30" s="129"/>
      <c r="G30" s="129"/>
    </row>
    <row r="31" spans="1:7" ht="12.75">
      <c r="A31" s="187"/>
      <c r="B31" s="187"/>
      <c r="C31" s="187"/>
      <c r="D31" s="129"/>
      <c r="E31" s="129"/>
      <c r="F31" s="129"/>
      <c r="G31" s="129"/>
    </row>
    <row r="32" spans="1:7" ht="12.75">
      <c r="A32" s="188"/>
      <c r="B32" s="189" t="s">
        <v>81</v>
      </c>
      <c r="C32" s="189" t="s">
        <v>52</v>
      </c>
      <c r="D32" s="190"/>
      <c r="E32" s="190"/>
      <c r="F32" s="190"/>
      <c r="G32" s="190"/>
    </row>
    <row r="33" spans="1:7" ht="12.75">
      <c r="A33" s="187" t="s">
        <v>177</v>
      </c>
      <c r="B33" s="191">
        <v>750</v>
      </c>
      <c r="C33" s="191">
        <v>575</v>
      </c>
      <c r="D33" s="190"/>
      <c r="E33" s="190"/>
      <c r="F33" s="190"/>
      <c r="G33" s="190"/>
    </row>
    <row r="34" spans="1:7" ht="12.75">
      <c r="A34" s="187" t="s">
        <v>178</v>
      </c>
      <c r="B34" s="191">
        <v>750</v>
      </c>
      <c r="C34" s="191">
        <v>575</v>
      </c>
      <c r="D34" s="190"/>
      <c r="E34" s="190"/>
      <c r="F34" s="190"/>
      <c r="G34" s="190"/>
    </row>
    <row r="35" spans="1:7" ht="12.75">
      <c r="A35" s="187" t="s">
        <v>179</v>
      </c>
      <c r="B35" s="191">
        <v>750</v>
      </c>
      <c r="C35" s="191">
        <v>575</v>
      </c>
      <c r="D35" s="190"/>
      <c r="E35" s="190"/>
      <c r="F35" s="190"/>
      <c r="G35" s="190"/>
    </row>
    <row r="36" spans="1:7" ht="12.75">
      <c r="A36" s="187" t="s">
        <v>180</v>
      </c>
      <c r="B36" s="191">
        <v>750</v>
      </c>
      <c r="C36" s="191">
        <v>575</v>
      </c>
      <c r="D36" s="190"/>
      <c r="E36" s="190"/>
      <c r="F36" s="190"/>
      <c r="G36" s="190"/>
    </row>
    <row r="37" spans="1:7" ht="12.75">
      <c r="A37" s="187" t="s">
        <v>181</v>
      </c>
      <c r="B37" s="191">
        <v>750</v>
      </c>
      <c r="C37" s="191">
        <v>575</v>
      </c>
      <c r="D37" s="190"/>
      <c r="E37" s="190"/>
      <c r="F37" s="190"/>
      <c r="G37" s="190"/>
    </row>
    <row r="38" spans="1:7" ht="12.75">
      <c r="A38" s="187" t="s">
        <v>182</v>
      </c>
      <c r="B38" s="191">
        <v>750</v>
      </c>
      <c r="C38" s="191">
        <v>575</v>
      </c>
      <c r="D38" s="190"/>
      <c r="E38" s="190"/>
      <c r="F38" s="190"/>
      <c r="G38" s="190"/>
    </row>
    <row r="39" spans="1:7" ht="12.75">
      <c r="A39" s="187" t="s">
        <v>183</v>
      </c>
      <c r="B39" s="191">
        <v>750</v>
      </c>
      <c r="C39" s="191">
        <v>575</v>
      </c>
      <c r="D39" s="190"/>
      <c r="E39" s="190"/>
      <c r="F39" s="190"/>
      <c r="G39" s="190"/>
    </row>
    <row r="40" spans="1:7" ht="12.75">
      <c r="A40" s="187" t="s">
        <v>184</v>
      </c>
      <c r="B40" s="191">
        <v>937.5</v>
      </c>
      <c r="C40" s="191">
        <v>718.75</v>
      </c>
      <c r="D40" s="190"/>
      <c r="E40" s="190"/>
      <c r="F40" s="190"/>
      <c r="G40" s="190"/>
    </row>
    <row r="41" spans="1:7" ht="12.75">
      <c r="A41" s="187" t="s">
        <v>185</v>
      </c>
      <c r="B41" s="191">
        <v>937.5</v>
      </c>
      <c r="C41" s="191">
        <v>718.75</v>
      </c>
      <c r="D41" s="190"/>
      <c r="E41" s="190"/>
      <c r="F41" s="190"/>
      <c r="G41" s="190"/>
    </row>
    <row r="42" spans="1:7" ht="12.75">
      <c r="A42" s="187" t="s">
        <v>186</v>
      </c>
      <c r="B42" s="191">
        <v>937.5</v>
      </c>
      <c r="C42" s="191">
        <v>718.75</v>
      </c>
      <c r="D42" s="190"/>
      <c r="E42" s="190"/>
      <c r="F42" s="190"/>
      <c r="G42" s="190"/>
    </row>
    <row r="43" spans="1:7" ht="12.75">
      <c r="A43" s="187" t="s">
        <v>187</v>
      </c>
      <c r="B43" s="191">
        <v>1500</v>
      </c>
      <c r="C43" s="191">
        <v>1150</v>
      </c>
      <c r="D43" s="190"/>
      <c r="E43" s="190"/>
      <c r="F43" s="190"/>
      <c r="G43" s="190"/>
    </row>
    <row r="44" spans="1:7" ht="12.75">
      <c r="A44" s="187" t="s">
        <v>188</v>
      </c>
      <c r="B44" s="191">
        <v>937.5</v>
      </c>
      <c r="C44" s="191">
        <v>718.75</v>
      </c>
      <c r="D44" s="190"/>
      <c r="E44" s="190"/>
      <c r="F44" s="190"/>
      <c r="G44" s="190"/>
    </row>
    <row r="45" spans="1:7" ht="12.75">
      <c r="A45" s="187" t="s">
        <v>189</v>
      </c>
      <c r="B45" s="191">
        <v>750</v>
      </c>
      <c r="C45" s="191">
        <v>575</v>
      </c>
      <c r="D45" s="190"/>
      <c r="E45" s="190"/>
      <c r="F45" s="190"/>
      <c r="G45" s="190"/>
    </row>
    <row r="46" spans="1:7" ht="12.75">
      <c r="A46" s="187" t="s">
        <v>190</v>
      </c>
      <c r="B46" s="191">
        <v>750</v>
      </c>
      <c r="C46" s="191">
        <v>575</v>
      </c>
      <c r="D46" s="190"/>
      <c r="E46" s="190"/>
      <c r="F46" s="190"/>
      <c r="G46" s="190"/>
    </row>
    <row r="47" spans="1:7" ht="12.75">
      <c r="A47" s="187" t="s">
        <v>191</v>
      </c>
      <c r="B47" s="191">
        <v>750</v>
      </c>
      <c r="C47" s="191">
        <v>575</v>
      </c>
      <c r="D47" s="190"/>
      <c r="E47" s="190"/>
      <c r="F47" s="190"/>
      <c r="G47" s="190"/>
    </row>
    <row r="48" spans="1:7" ht="12.75">
      <c r="A48" s="187" t="s">
        <v>192</v>
      </c>
      <c r="B48" s="191">
        <v>750</v>
      </c>
      <c r="C48" s="191">
        <v>575</v>
      </c>
      <c r="D48" s="190"/>
      <c r="E48" s="190"/>
      <c r="F48" s="190"/>
      <c r="G48" s="190"/>
    </row>
    <row r="49" spans="1:7" ht="12.75">
      <c r="A49" s="187" t="s">
        <v>193</v>
      </c>
      <c r="B49" s="191">
        <v>750</v>
      </c>
      <c r="C49" s="191">
        <v>575</v>
      </c>
      <c r="D49" s="190"/>
      <c r="E49" s="190"/>
      <c r="F49" s="190"/>
      <c r="G49" s="190"/>
    </row>
    <row r="50" spans="1:7" ht="12.75">
      <c r="A50" s="187" t="s">
        <v>194</v>
      </c>
      <c r="B50" s="191">
        <v>937.5</v>
      </c>
      <c r="C50" s="191">
        <v>718.75</v>
      </c>
      <c r="D50" s="190"/>
      <c r="E50" s="190"/>
      <c r="F50" s="190"/>
      <c r="G50" s="190"/>
    </row>
    <row r="51" spans="1:7" ht="12.75">
      <c r="A51" s="187" t="s">
        <v>92</v>
      </c>
      <c r="B51" s="191">
        <v>937.5</v>
      </c>
      <c r="C51" s="191">
        <v>718.75</v>
      </c>
      <c r="D51" s="190"/>
      <c r="E51" s="190"/>
      <c r="F51" s="190"/>
      <c r="G51" s="190"/>
    </row>
    <row r="52" spans="1:7" ht="12.75">
      <c r="A52" s="187" t="s">
        <v>195</v>
      </c>
      <c r="B52" s="191">
        <v>825</v>
      </c>
      <c r="C52" s="191">
        <v>632.5</v>
      </c>
      <c r="D52" s="190"/>
      <c r="E52" s="190"/>
      <c r="F52" s="190"/>
      <c r="G52" s="190"/>
    </row>
    <row r="53" spans="1:7" ht="12.75">
      <c r="A53" s="187" t="s">
        <v>196</v>
      </c>
      <c r="B53" s="191">
        <v>825</v>
      </c>
      <c r="C53" s="191">
        <v>632.5</v>
      </c>
      <c r="D53" s="190"/>
      <c r="E53" s="190"/>
      <c r="F53" s="190"/>
      <c r="G53" s="190"/>
    </row>
    <row r="54" spans="1:7" ht="12.75">
      <c r="A54" s="187" t="s">
        <v>197</v>
      </c>
      <c r="B54" s="191">
        <v>750</v>
      </c>
      <c r="C54" s="191">
        <v>575</v>
      </c>
      <c r="D54" s="190"/>
      <c r="E54" s="190"/>
      <c r="F54" s="190"/>
      <c r="G54" s="190"/>
    </row>
    <row r="55" spans="1:7" ht="12.75">
      <c r="A55" s="187" t="s">
        <v>198</v>
      </c>
      <c r="B55" s="191">
        <v>750</v>
      </c>
      <c r="C55" s="191">
        <v>575</v>
      </c>
      <c r="D55" s="190"/>
      <c r="E55" s="190"/>
      <c r="F55" s="190"/>
      <c r="G55" s="190"/>
    </row>
    <row r="56" spans="1:7" ht="12.75">
      <c r="A56" s="187" t="s">
        <v>199</v>
      </c>
      <c r="B56" s="191">
        <v>750</v>
      </c>
      <c r="C56" s="191">
        <v>575</v>
      </c>
      <c r="D56" s="190"/>
      <c r="E56" s="190"/>
      <c r="F56" s="190"/>
      <c r="G56" s="190"/>
    </row>
    <row r="57" spans="1:7" ht="12.75">
      <c r="A57" s="187" t="s">
        <v>200</v>
      </c>
      <c r="B57" s="191">
        <v>750</v>
      </c>
      <c r="C57" s="191">
        <v>575</v>
      </c>
      <c r="D57" s="190"/>
      <c r="E57" s="190"/>
      <c r="F57" s="190"/>
      <c r="G57" s="190"/>
    </row>
    <row r="58" spans="1:7" ht="12.75">
      <c r="A58" s="187" t="s">
        <v>201</v>
      </c>
      <c r="B58" s="191">
        <v>750</v>
      </c>
      <c r="C58" s="191">
        <v>575</v>
      </c>
      <c r="D58" s="190"/>
      <c r="E58" s="190"/>
      <c r="F58" s="190"/>
      <c r="G58" s="190"/>
    </row>
    <row r="59" spans="1:7" ht="12.75">
      <c r="A59" s="187" t="s">
        <v>202</v>
      </c>
      <c r="B59" s="191">
        <v>937.5</v>
      </c>
      <c r="C59" s="191">
        <v>718.75</v>
      </c>
      <c r="D59" s="129"/>
      <c r="E59" s="129"/>
      <c r="F59" s="129"/>
      <c r="G59" s="129"/>
    </row>
    <row r="60" spans="1:7" ht="12.75">
      <c r="A60" s="187"/>
      <c r="B60" s="129"/>
      <c r="C60" s="129"/>
      <c r="D60" s="129"/>
      <c r="E60" s="129"/>
      <c r="F60" s="129"/>
      <c r="G60" s="129"/>
    </row>
  </sheetData>
  <sheetProtection/>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AEP-IT-CPS 4/30/3-(8-835-3050)</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American Electric Power</dc:creator>
  <cp:keywords/>
  <dc:description/>
  <cp:lastModifiedBy>American Electric Power</cp:lastModifiedBy>
  <cp:lastPrinted>2009-02-11T15:00:14Z</cp:lastPrinted>
  <dcterms:created xsi:type="dcterms:W3CDTF">2007-06-20T11:50:43Z</dcterms:created>
  <dcterms:modified xsi:type="dcterms:W3CDTF">2012-02-14T16:31:38Z</dcterms:modified>
  <cp:category/>
  <cp:version/>
  <cp:contentType/>
  <cp:contentStatus/>
</cp:coreProperties>
</file>