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65521" windowWidth="12165" windowHeight="15000" tabRatio="628" activeTab="0"/>
  </bookViews>
  <sheets>
    <sheet name="Current Month Analysis" sheetId="1" r:id="rId1"/>
    <sheet name="A" sheetId="2" r:id="rId2"/>
    <sheet name="Month by Month Analysis" sheetId="3" r:id="rId3"/>
  </sheets>
  <definedNames>
    <definedName name="_xlnm.Print_Titles" localSheetId="0">'Current Month Analysis'!$1:$4</definedName>
    <definedName name="_xlnm.Print_Titles" localSheetId="2">'Month by Month Analysis'!$A:$B,'Month by Month Analysis'!$1:$4</definedName>
  </definedNames>
  <calcPr fullCalcOnLoad="1"/>
</workbook>
</file>

<file path=xl/comments1.xml><?xml version="1.0" encoding="utf-8"?>
<comments xmlns="http://schemas.openxmlformats.org/spreadsheetml/2006/main">
  <authors>
    <author>AEP</author>
  </authors>
  <commentList>
    <comment ref="C168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put the formula back in next month</t>
        </r>
      </text>
    </comment>
    <comment ref="E168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put the formula back in next month</t>
        </r>
      </text>
    </comment>
  </commentList>
</comments>
</file>

<file path=xl/sharedStrings.xml><?xml version="1.0" encoding="utf-8"?>
<sst xmlns="http://schemas.openxmlformats.org/spreadsheetml/2006/main" count="209" uniqueCount="153">
  <si>
    <t>Difference</t>
  </si>
  <si>
    <t>Ohio Power Surplus Weighting</t>
  </si>
  <si>
    <t>Kentucky Power Capacity Deficit</t>
  </si>
  <si>
    <t>Surplus Capacity kW</t>
  </si>
  <si>
    <t>I&amp;M</t>
  </si>
  <si>
    <t>OPCo</t>
  </si>
  <si>
    <t>Total</t>
  </si>
  <si>
    <t>Kentucky Power Company</t>
  </si>
  <si>
    <t>ES FORM 3.11</t>
  </si>
  <si>
    <t>Kentucky Retail Revenues</t>
  </si>
  <si>
    <t>FERC Wholesale Revenues</t>
  </si>
  <si>
    <t>Non-Associated Utilities Revenues</t>
  </si>
  <si>
    <t>Total Revenues for Month</t>
  </si>
  <si>
    <t>Over/(Under) Recovery Adjustment</t>
  </si>
  <si>
    <t>Kentucky Retail Revenues for Current Expense Month</t>
  </si>
  <si>
    <t xml:space="preserve">Surcharge Collected </t>
  </si>
  <si>
    <t>Surcharge Amount To Be Collected</t>
  </si>
  <si>
    <r>
      <t xml:space="preserve">Line 10 - </t>
    </r>
    <r>
      <rPr>
        <sz val="10"/>
        <rFont val="Arial"/>
        <family val="2"/>
      </rPr>
      <t>Environmental Surcharge Factor for Expense Month (Line 8 / Line 9)</t>
    </r>
  </si>
  <si>
    <t>% of Kentucky Retail Revenues to Total Revenues for Month</t>
  </si>
  <si>
    <t>Physical Revenues for Month</t>
  </si>
  <si>
    <t>Non Physical Revenues for Month</t>
  </si>
  <si>
    <t>ES FORM 3.10</t>
  </si>
  <si>
    <t>ES FORM 3.20</t>
  </si>
  <si>
    <t>(Costs Associated with Rockport)</t>
  </si>
  <si>
    <r>
      <t>Line 8 -</t>
    </r>
    <r>
      <rPr>
        <sz val="10"/>
        <color indexed="8"/>
        <rFont val="Arial"/>
        <family val="2"/>
      </rPr>
      <t xml:space="preserve"> Net Retail E(m) (line 7) - </t>
    </r>
    <r>
      <rPr>
        <b/>
        <sz val="10"/>
        <color indexed="8"/>
        <rFont val="Arial"/>
        <family val="2"/>
      </rPr>
      <t>Expense</t>
    </r>
  </si>
  <si>
    <r>
      <t>Line 9 -</t>
    </r>
    <r>
      <rPr>
        <sz val="10"/>
        <color indexed="8"/>
        <rFont val="Arial"/>
        <family val="2"/>
      </rPr>
      <t xml:space="preserve"> KY Retail R(m) from ES Form 3.3 - </t>
    </r>
    <r>
      <rPr>
        <b/>
        <sz val="10"/>
        <color indexed="8"/>
        <rFont val="Arial"/>
        <family val="2"/>
      </rPr>
      <t>Revenue</t>
    </r>
  </si>
  <si>
    <t>Percentage                            Change</t>
  </si>
  <si>
    <t>ES FORM 3.30</t>
  </si>
  <si>
    <t>ES FORM 3.13</t>
  </si>
  <si>
    <t>1997 Plan :</t>
  </si>
  <si>
    <t>Monthly Kentucky Air Emissions Fee</t>
  </si>
  <si>
    <t>Monthly SO2 Allowance Consumption</t>
  </si>
  <si>
    <t>Total 1997 Plan O&amp;M Expenses</t>
  </si>
  <si>
    <t>2003 Plan :</t>
  </si>
  <si>
    <t>Monthly Varible Cladding at Big Sandy Unit 1</t>
  </si>
  <si>
    <t>Monthly Urea Consumption at Big Sandy Unit 2</t>
  </si>
  <si>
    <t>Monthly Catalyst Replacement at Big Sandy Unit 2</t>
  </si>
  <si>
    <t>Total 2003 Plan O&amp;M Expenses</t>
  </si>
  <si>
    <t>Total Monthly O&amp;M Expenses</t>
  </si>
  <si>
    <t>Cash Working Capital Allowance ( Line 10 X 1/8 )</t>
  </si>
  <si>
    <t>ECR Consumed By Kentucky Power</t>
  </si>
  <si>
    <t>NOx Consumed By Kentucky Power</t>
  </si>
  <si>
    <t>Operating Expenses :</t>
  </si>
  <si>
    <t>Line 1 - Utility Plant at Oringinal Cost</t>
  </si>
  <si>
    <t>Line 2 - Less Accumulated Depreciation</t>
  </si>
  <si>
    <t>Line 3 - Less Accum. Def. Income Taxes</t>
  </si>
  <si>
    <t>Line 4 - Net Utility Plant</t>
  </si>
  <si>
    <t>Line 5 - SO2 Emission Allowance Inventory from ES FORM 3.11</t>
  </si>
  <si>
    <t>Line 6 - ECR &amp; NOx Emission Allowance Inventory from ES FORM 3.12</t>
  </si>
  <si>
    <t>Line 12 - Monthly Depreciation Expense</t>
  </si>
  <si>
    <t xml:space="preserve">SO2 Emission Allowance Inventory </t>
  </si>
  <si>
    <t xml:space="preserve">SO2 Emissions Allowances Consumed By Kentucky Power </t>
  </si>
  <si>
    <t>Member Load Ratio - KPC (ES FORM 3.11)</t>
  </si>
  <si>
    <t>Total Current Period Revenue Requirement, CRR                                                                        Record on ES Form 1.0</t>
  </si>
  <si>
    <r>
      <t>First Component:</t>
    </r>
    <r>
      <rPr>
        <sz val="10"/>
        <rFont val="Arial"/>
        <family val="2"/>
      </rPr>
      <t xml:space="preserve"> Total Revenue Requirement - Big Sandy                                                          Record on ES FORM 3.00, Line 1</t>
    </r>
  </si>
  <si>
    <r>
      <t>Second Component:</t>
    </r>
    <r>
      <rPr>
        <sz val="10"/>
        <rFont val="Arial"/>
        <family val="2"/>
      </rPr>
      <t xml:space="preserve"> Kentucky Power Company Portion of Rockport Total Revenue Requirement,   Record on ES FORM 3.20, Line 2</t>
    </r>
  </si>
  <si>
    <t>ES FORM 1.00</t>
  </si>
  <si>
    <t>ES FORM 3.00</t>
  </si>
  <si>
    <t>Over/(Under) Recovery - Record on ES FORM 1.00, Line 6</t>
  </si>
  <si>
    <t>Line 12 - KPC Portion of Costs Associated with Rockport,                                                          Record on ES FORM 3.00</t>
  </si>
  <si>
    <r>
      <t>Line 4 -</t>
    </r>
    <r>
      <rPr>
        <sz val="10"/>
        <color indexed="8"/>
        <rFont val="Arial"/>
        <family val="2"/>
      </rPr>
      <t xml:space="preserve"> Kentucky Retail Jurisdictional Allocation Factor,                                                             ES FORM 3.30 Schedule of Revenues, Line 1</t>
    </r>
  </si>
  <si>
    <r>
      <t>Line 6 - (</t>
    </r>
    <r>
      <rPr>
        <sz val="10"/>
        <color indexed="8"/>
        <rFont val="Arial"/>
        <family val="2"/>
      </rPr>
      <t>Over)/Under Recovery Adjustment from ES Form 3.30</t>
    </r>
  </si>
  <si>
    <t>Line 13 - Monthly Catalyst Amortization Expense</t>
  </si>
  <si>
    <t>Line 14 - Monthly Property Taxes</t>
  </si>
  <si>
    <t>Line 15 - Monthly Kentucky Air Emissions Fee</t>
  </si>
  <si>
    <t>Line 17 - Monthly 2003 Plan Non-Fuel O&amp;M Expenses from ES FORM 3.13</t>
  </si>
  <si>
    <t>Associated Utilities Revenues</t>
  </si>
  <si>
    <r>
      <t>Third Component:</t>
    </r>
    <r>
      <rPr>
        <sz val="10"/>
        <rFont val="Arial"/>
        <family val="2"/>
      </rPr>
      <t xml:space="preserve"> Net Gain/(Loss) from Emission Allowance Sales</t>
    </r>
  </si>
  <si>
    <t>SO2 Allowance Management System - External Purchases</t>
  </si>
  <si>
    <t>SO2 Allowance Management System - Internal Sales</t>
  </si>
  <si>
    <t>SO2 Allowance Management System - External Sales</t>
  </si>
  <si>
    <t>SO2 Allowance Management System - Adjustments</t>
  </si>
  <si>
    <t>SO2 Allowance Management System - Consumption</t>
  </si>
  <si>
    <t>Line 18 - Monthly SO2 Emission Allowance Consumption - ES FORM 3.11</t>
  </si>
  <si>
    <t>Line 19 - Monthly ERC &amp; NOx Emission Allowance Consumption -                                              ES FORM 3.12</t>
  </si>
  <si>
    <t>Line 20 - Total Operating Expenses [Line 12 thru Line 18]</t>
  </si>
  <si>
    <t>Line 21 - Total Revenue Requirement - Big Sandy -                                             Record on ES FORM 3.00, Line 1</t>
  </si>
  <si>
    <r>
      <t>Line 7 -</t>
    </r>
    <r>
      <rPr>
        <sz val="10"/>
        <color indexed="8"/>
        <rFont val="Arial"/>
        <family val="2"/>
      </rPr>
      <t xml:space="preserve"> Net KY Retail E (m) (Line 5 + Line 6) - </t>
    </r>
    <r>
      <rPr>
        <b/>
        <sz val="10"/>
        <color indexed="8"/>
        <rFont val="Arial"/>
        <family val="2"/>
      </rPr>
      <t>Expense</t>
    </r>
  </si>
  <si>
    <t>Total Environmental Costs By Revenue Category</t>
  </si>
  <si>
    <t>Allocation of Environmental Costs</t>
  </si>
  <si>
    <t>Total Environmental Costs To Be Recovered</t>
  </si>
  <si>
    <t>Total Monthly AEP Pool Environmental Capacity Costs / Monthly Gavin Scrubber Costs</t>
  </si>
  <si>
    <t>Line 16 - Monthly Environmental AEP Pool Capacity Costs from ES FORM 3.14, Page 1 of 11, Column 5, Line 10 / Monthly Gavin Scrubber Cost from ES FORM 3.14</t>
  </si>
  <si>
    <t xml:space="preserve">Total AEP Pool Monthly Environmental Capacity Costs to Kentucky Power </t>
  </si>
  <si>
    <t>Equipment - Associated Operating Expense</t>
  </si>
  <si>
    <t>Equipment - Associated Maintenance Expense</t>
  </si>
  <si>
    <t>SO2 Allowance Management System - Internal Purchases</t>
  </si>
  <si>
    <r>
      <t>Line 5A -</t>
    </r>
    <r>
      <rPr>
        <sz val="10"/>
        <color indexed="8"/>
        <rFont val="Arial"/>
        <family val="2"/>
      </rPr>
      <t xml:space="preserve"> KY Retail E (m) (Line 3 * Line 4)</t>
    </r>
  </si>
  <si>
    <t xml:space="preserve">Applicable KY Retail Environmental Costs </t>
  </si>
  <si>
    <t xml:space="preserve">ES FORM 1.00, Line 6   (Over/Under Recovery)   (Retail Customers Only)     </t>
  </si>
  <si>
    <t>Environmental Costs To Be Recovered</t>
  </si>
  <si>
    <t>ES FORM 1.00, Line 3            (Environmental Costs to be Allocated)</t>
  </si>
  <si>
    <t>% of FERC Wholesale Revenues to Total Revenues for Month</t>
  </si>
  <si>
    <t>% of Non Associated Utilties Revenues to Total Revenues for Month</t>
  </si>
  <si>
    <t>% of Associated Utilities Revenues (Off System Sales)                                                              to Total Revenues for Month</t>
  </si>
  <si>
    <t>ES FORM 1.00, Line 3   (Environmental Costs to be Allocated)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</si>
  <si>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</si>
  <si>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</si>
  <si>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</si>
  <si>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</si>
  <si>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</si>
  <si>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</si>
  <si>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</si>
  <si>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</si>
  <si>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</si>
  <si>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</si>
  <si>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</si>
  <si>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</si>
  <si>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Line 10 - </t>
    </r>
    <r>
      <rPr>
        <sz val="10"/>
        <rFont val="Arial"/>
        <family val="2"/>
      </rPr>
      <t>Environmental Surcharge Factor for Expense Month                                              (Line 8 / Line 9)</t>
    </r>
  </si>
  <si>
    <r>
      <t xml:space="preserve">Non-Associated Utilities Revenues </t>
    </r>
    <r>
      <rPr>
        <b/>
        <sz val="10"/>
        <color indexed="8"/>
        <rFont val="Arial"/>
        <family val="2"/>
      </rPr>
      <t>(Off System Sales)</t>
    </r>
  </si>
  <si>
    <t xml:space="preserve">Environmental Costs </t>
  </si>
  <si>
    <t xml:space="preserve">Total Environmental Costs </t>
  </si>
  <si>
    <t>Indiana Michgan Power Surplus Weighting</t>
  </si>
  <si>
    <r>
      <t xml:space="preserve">Non-Associated Utilities Revenues </t>
    </r>
    <r>
      <rPr>
        <b/>
        <sz val="10"/>
        <color indexed="10"/>
        <rFont val="Arial"/>
        <family val="2"/>
      </rPr>
      <t>(Off System Sales)</t>
    </r>
  </si>
  <si>
    <t>Monthly Environmental Surcharge Report Analysis</t>
  </si>
  <si>
    <t>Line 8 - Total Rate Base</t>
  </si>
  <si>
    <t>Line 9 - Weighted Average Cost of Capital   -   ES FORM 3.15</t>
  </si>
  <si>
    <t>Line 10 - Monthly Weighted Avg. Cost of Capital (9) / 12</t>
  </si>
  <si>
    <t>Line 11 - Monthly Return of Rate Base (8) * (10)</t>
  </si>
  <si>
    <t>CSP</t>
  </si>
  <si>
    <t>Columbus Southern Power Surplus Weighting</t>
  </si>
  <si>
    <t>SO2 Allowance Management System - EPA Allowances</t>
  </si>
  <si>
    <r>
      <t xml:space="preserve">Non-Associated Utilities Revenues </t>
    </r>
    <r>
      <rPr>
        <b/>
        <sz val="10"/>
        <color indexed="12"/>
        <rFont val="Arial"/>
        <family val="2"/>
      </rPr>
      <t>(Off System Sales)</t>
    </r>
  </si>
  <si>
    <t>Gavin Reallocation</t>
  </si>
  <si>
    <t>Other</t>
  </si>
  <si>
    <t>P &amp; E Transfers In</t>
  </si>
  <si>
    <t>P &amp; E Transfers Out</t>
  </si>
  <si>
    <t>Total Current Period Revenue Requirement,                                                                                                      CRR Record on ES Form 1.0</t>
  </si>
  <si>
    <r>
      <t>Line 5 -</t>
    </r>
    <r>
      <rPr>
        <sz val="10"/>
        <color indexed="8"/>
        <rFont val="Arial"/>
        <family val="2"/>
      </rPr>
      <t xml:space="preserve"> KY Retail E (m) (Line 3 * Line 4)</t>
    </r>
  </si>
  <si>
    <t>ES FORM 1.00, Line 5A - Environmental Surcharge Clause Adjustment                                      Case No. 2009-00038, dated May 14, 2009</t>
  </si>
  <si>
    <r>
      <t>Line 8 -</t>
    </r>
    <r>
      <rPr>
        <sz val="10"/>
        <color indexed="8"/>
        <rFont val="Arial"/>
        <family val="2"/>
      </rPr>
      <t xml:space="preserve"> Net Retail E(m) (Line 7) - </t>
    </r>
    <r>
      <rPr>
        <b/>
        <sz val="10"/>
        <color indexed="8"/>
        <rFont val="Arial"/>
        <family val="2"/>
      </rPr>
      <t>Expense</t>
    </r>
  </si>
  <si>
    <r>
      <t>Line 6 - (</t>
    </r>
    <r>
      <rPr>
        <sz val="10"/>
        <color indexed="8"/>
        <rFont val="Arial"/>
        <family val="2"/>
      </rPr>
      <t>Over) / Under Recovery Adjustment from ES Form 3.30</t>
    </r>
  </si>
  <si>
    <t>ES FORM 3.12 A &amp; 3.12 B</t>
  </si>
  <si>
    <r>
      <t xml:space="preserve">ECR &amp; NOx Emission Allowance Inventory </t>
    </r>
    <r>
      <rPr>
        <b/>
        <i/>
        <sz val="10"/>
        <color indexed="12"/>
        <rFont val="Arial"/>
        <family val="2"/>
      </rPr>
      <t>(Seasonal &amp; Annual)</t>
    </r>
  </si>
  <si>
    <r>
      <t xml:space="preserve">Monthly ERC &amp; NOx Allowance Consumption </t>
    </r>
    <r>
      <rPr>
        <b/>
        <i/>
        <sz val="10"/>
        <color indexed="12"/>
        <rFont val="Arial"/>
        <family val="2"/>
      </rPr>
      <t xml:space="preserve">(Seasonal &amp; Annual) </t>
    </r>
  </si>
  <si>
    <t>ES FORM 3.14 (Page 1 of 11)</t>
  </si>
  <si>
    <r>
      <t>Line 2 -</t>
    </r>
    <r>
      <rPr>
        <sz val="10"/>
        <color indexed="8"/>
        <rFont val="Arial"/>
        <family val="2"/>
      </rPr>
      <t xml:space="preserve"> Brr from ES Form 1.10</t>
    </r>
  </si>
  <si>
    <r>
      <t>Line 1 -</t>
    </r>
    <r>
      <rPr>
        <sz val="10"/>
        <color indexed="8"/>
        <rFont val="Arial"/>
        <family val="2"/>
      </rPr>
      <t xml:space="preserve"> CRR from ES Form 3.0</t>
    </r>
  </si>
  <si>
    <r>
      <t>Line 3 -</t>
    </r>
    <r>
      <rPr>
        <sz val="10"/>
        <color indexed="8"/>
        <rFont val="Arial"/>
        <family val="2"/>
      </rPr>
      <t xml:space="preserve"> E(m) (Line 1 - Line 2)</t>
    </r>
  </si>
  <si>
    <r>
      <t>Line 5B -</t>
    </r>
    <r>
      <rPr>
        <sz val="10"/>
        <color indexed="8"/>
        <rFont val="Arial"/>
        <family val="2"/>
      </rPr>
      <t xml:space="preserve"> Environmental Surcharge Clause Adjustment                                                           Case No. 2010-00XXX, dated XXXXXXX XX, 2010</t>
    </r>
  </si>
  <si>
    <t xml:space="preserve">ES FORM 1.00, Line 6      (Over/Under Recovery)   (Retail Customers Only)     </t>
  </si>
  <si>
    <t>ES FORM 1.00, Line 3      (Environmental Costs to be Allocated)</t>
  </si>
  <si>
    <t>ES FORM 1.00, Line 5A - Environmental Surcharge Clause Adjustment                                      Case No. 2009-00319, dated January 20, 2010</t>
  </si>
  <si>
    <t>ES FORM 1.00, Line 5A - Environmental Surcharge Clause Adjustment                                                                                                            per Order in Case No. 2009 - 00316 dated January 20, 2010</t>
  </si>
  <si>
    <r>
      <t>Line 5A</t>
    </r>
    <r>
      <rPr>
        <sz val="10"/>
        <color indexed="8"/>
        <rFont val="Arial"/>
        <family val="2"/>
      </rPr>
      <t xml:space="preserve"> - Environmental Surcharge Clause Adjustment                                                per Order in Case No. 20XX-00XXX dated </t>
    </r>
  </si>
  <si>
    <r>
      <t xml:space="preserve">ES FORM 1.00  Line 5A    </t>
    </r>
    <r>
      <rPr>
        <sz val="8"/>
        <rFont val="Arial"/>
        <family val="2"/>
      </rPr>
      <t xml:space="preserve">(Per Order in Case No 2010-00XXX, dated   ) </t>
    </r>
  </si>
  <si>
    <t>Line 7 - Cash Working Capital Allowance from ES FORM 3.13, Line13</t>
  </si>
  <si>
    <t>2011</t>
  </si>
  <si>
    <r>
      <t xml:space="preserve">December  </t>
    </r>
    <r>
      <rPr>
        <b/>
        <sz val="10"/>
        <color indexed="12"/>
        <rFont val="Arial"/>
        <family val="2"/>
      </rPr>
      <t>2011</t>
    </r>
  </si>
  <si>
    <t>December 2011</t>
  </si>
  <si>
    <t>December As Filed</t>
  </si>
  <si>
    <t>December Adjusted</t>
  </si>
  <si>
    <r>
      <t>Kentucky Retail Surcharge Factor For -</t>
    </r>
    <r>
      <rPr>
        <b/>
        <sz val="10"/>
        <rFont val="Arial"/>
        <family val="2"/>
      </rPr>
      <t xml:space="preserve">                                                                                </t>
    </r>
    <r>
      <rPr>
        <b/>
        <sz val="10"/>
        <color indexed="12"/>
        <rFont val="Arial"/>
        <family val="2"/>
      </rPr>
      <t>December 2011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</si>
</sst>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00_);\(#,##0.000000\)"/>
    <numFmt numFmtId="166" formatCode="#,##0.00000_);\(#,##0.00000\)"/>
    <numFmt numFmtId="167" formatCode="0.00000%"/>
    <numFmt numFmtId="168" formatCode="0.0%"/>
    <numFmt numFmtId="169" formatCode="0.000000%"/>
    <numFmt numFmtId="170" formatCode="0.000%"/>
    <numFmt numFmtId="171" formatCode="#,##0.0000_);\(#,##0.0000\)"/>
    <numFmt numFmtId="172" formatCode="#,##0.0_);\(#,##0.0\)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39" fontId="0" fillId="0" borderId="0" xfId="0" applyNumberFormat="1" applyAlignment="1">
      <alignment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49" fontId="1" fillId="0" borderId="0" xfId="0" applyNumberFormat="1" applyFont="1" applyAlignment="1">
      <alignment wrapText="1"/>
    </xf>
    <xf numFmtId="10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37" fontId="0" fillId="0" borderId="0" xfId="0" applyNumberFormat="1" applyFont="1" applyAlignment="1">
      <alignment horizontal="right" wrapText="1"/>
    </xf>
    <xf numFmtId="37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37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left" wrapText="1"/>
    </xf>
    <xf numFmtId="37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/>
    </xf>
    <xf numFmtId="10" fontId="0" fillId="0" borderId="0" xfId="0" applyNumberFormat="1" applyFont="1" applyAlignment="1">
      <alignment/>
    </xf>
    <xf numFmtId="49" fontId="0" fillId="0" borderId="0" xfId="0" applyNumberFormat="1" applyBorder="1" applyAlignment="1">
      <alignment wrapText="1"/>
    </xf>
    <xf numFmtId="37" fontId="4" fillId="0" borderId="0" xfId="0" applyNumberFormat="1" applyFont="1" applyAlignment="1">
      <alignment/>
    </xf>
    <xf numFmtId="49" fontId="0" fillId="0" borderId="1" xfId="0" applyNumberFormat="1" applyBorder="1" applyAlignment="1">
      <alignment wrapText="1"/>
    </xf>
    <xf numFmtId="164" fontId="1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37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/>
    </xf>
    <xf numFmtId="0" fontId="0" fillId="0" borderId="0" xfId="0" applyNumberFormat="1" applyFill="1" applyBorder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37" fontId="10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/>
    </xf>
    <xf numFmtId="168" fontId="0" fillId="0" borderId="2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8" fontId="16" fillId="0" borderId="0" xfId="0" applyNumberFormat="1" applyFont="1" applyBorder="1" applyAlignment="1">
      <alignment/>
    </xf>
    <xf numFmtId="37" fontId="16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37" fontId="1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left" wrapText="1"/>
    </xf>
    <xf numFmtId="37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5" fillId="2" borderId="2" xfId="0" applyNumberFormat="1" applyFont="1" applyFill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2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pane ySplit="4" topLeftCell="BM5" activePane="bottomLeft" state="frozen"/>
      <selection pane="topLeft" activeCell="C30" sqref="C30"/>
      <selection pane="bottomLeft" activeCell="C6" sqref="C6"/>
    </sheetView>
  </sheetViews>
  <sheetFormatPr defaultColWidth="9.140625" defaultRowHeight="12.75"/>
  <cols>
    <col min="1" max="1" width="67.7109375" style="0" customWidth="1"/>
    <col min="2" max="2" width="2.28125" style="0" customWidth="1"/>
    <col min="3" max="3" width="13.421875" style="0" bestFit="1" customWidth="1"/>
    <col min="4" max="4" width="2.28125" style="0" customWidth="1"/>
    <col min="5" max="5" width="13.421875" style="0" bestFit="1" customWidth="1"/>
    <col min="6" max="6" width="2.28125" style="0" customWidth="1"/>
    <col min="7" max="7" width="13.421875" style="0" bestFit="1" customWidth="1"/>
    <col min="8" max="8" width="11.28125" style="0" bestFit="1" customWidth="1"/>
    <col min="9" max="9" width="2.28125" style="0" customWidth="1"/>
  </cols>
  <sheetData>
    <row r="1" spans="1:7" ht="18" customHeight="1">
      <c r="A1" s="12" t="s">
        <v>7</v>
      </c>
      <c r="B1" s="1"/>
      <c r="C1" s="57"/>
      <c r="D1" s="56"/>
      <c r="E1" s="57"/>
      <c r="F1" s="1"/>
      <c r="G1" s="51"/>
    </row>
    <row r="2" spans="1:7" ht="12.75">
      <c r="A2" s="2" t="s">
        <v>114</v>
      </c>
      <c r="B2" s="1"/>
      <c r="C2" s="53"/>
      <c r="D2" s="53"/>
      <c r="E2" s="53"/>
      <c r="F2" s="1"/>
      <c r="G2" s="1"/>
    </row>
    <row r="3" spans="1:8" ht="51">
      <c r="A3" s="50" t="s">
        <v>148</v>
      </c>
      <c r="B3" s="2"/>
      <c r="C3" s="54" t="s">
        <v>151</v>
      </c>
      <c r="D3" s="54"/>
      <c r="E3" s="50" t="s">
        <v>150</v>
      </c>
      <c r="F3" s="1"/>
      <c r="G3" s="2" t="s">
        <v>0</v>
      </c>
      <c r="H3" s="16" t="s">
        <v>26</v>
      </c>
    </row>
    <row r="4" spans="1:7" ht="12.75">
      <c r="A4" s="13"/>
      <c r="B4" s="2"/>
      <c r="C4" s="3"/>
      <c r="D4" s="3"/>
      <c r="E4" s="3"/>
      <c r="F4" s="1"/>
      <c r="G4" s="2"/>
    </row>
    <row r="5" spans="1:7" ht="12.75">
      <c r="A5" s="18" t="s">
        <v>56</v>
      </c>
      <c r="B5" s="2"/>
      <c r="C5" s="3"/>
      <c r="D5" s="3"/>
      <c r="E5" s="3"/>
      <c r="F5" s="1"/>
      <c r="G5" s="2"/>
    </row>
    <row r="6" spans="1:8" ht="12.75">
      <c r="A6" s="20" t="s">
        <v>137</v>
      </c>
      <c r="B6" s="2"/>
      <c r="C6" s="22">
        <v>22706439</v>
      </c>
      <c r="D6" s="22"/>
      <c r="E6" s="22">
        <v>4744812</v>
      </c>
      <c r="F6" s="23"/>
      <c r="G6" s="7">
        <f>+C6-E6</f>
        <v>17961627</v>
      </c>
      <c r="H6" s="9">
        <f>ROUND(G6/E6,4)</f>
        <v>3.7855</v>
      </c>
    </row>
    <row r="7" spans="1:8" ht="12.75">
      <c r="A7" s="20"/>
      <c r="B7" s="2"/>
      <c r="C7" s="22"/>
      <c r="D7" s="22"/>
      <c r="E7" s="22"/>
      <c r="F7" s="23"/>
      <c r="G7" s="7"/>
      <c r="H7" s="9"/>
    </row>
    <row r="8" spans="1:8" ht="12.75">
      <c r="A8" s="20" t="s">
        <v>136</v>
      </c>
      <c r="B8" s="2"/>
      <c r="C8" s="22">
        <v>4074321</v>
      </c>
      <c r="D8" s="22"/>
      <c r="E8" s="22">
        <v>4074321</v>
      </c>
      <c r="F8" s="23"/>
      <c r="G8" s="7">
        <f>+C8-E8</f>
        <v>0</v>
      </c>
      <c r="H8" s="9">
        <f>ROUND(G8/E8,4)</f>
        <v>0</v>
      </c>
    </row>
    <row r="9" spans="1:7" ht="12.75">
      <c r="A9" s="19"/>
      <c r="B9" s="2"/>
      <c r="C9" s="22"/>
      <c r="D9" s="22"/>
      <c r="E9" s="22"/>
      <c r="F9" s="23"/>
      <c r="G9" s="23"/>
    </row>
    <row r="10" spans="1:8" ht="12.75">
      <c r="A10" s="20" t="s">
        <v>138</v>
      </c>
      <c r="B10" s="2"/>
      <c r="C10" s="22">
        <f>+C6-C8</f>
        <v>18632118</v>
      </c>
      <c r="D10" s="22"/>
      <c r="E10" s="22">
        <v>670491</v>
      </c>
      <c r="F10" s="23"/>
      <c r="G10" s="7">
        <f>+C10-E10</f>
        <v>17961627</v>
      </c>
      <c r="H10" s="9">
        <f>ROUND(G10/E10,4)</f>
        <v>26.7888</v>
      </c>
    </row>
    <row r="11" spans="1:7" ht="12.75">
      <c r="A11" s="19"/>
      <c r="B11" s="2"/>
      <c r="C11" s="22"/>
      <c r="D11" s="22"/>
      <c r="E11" s="22"/>
      <c r="F11" s="23"/>
      <c r="G11" s="7"/>
    </row>
    <row r="12" spans="1:8" ht="25.5">
      <c r="A12" s="21" t="s">
        <v>60</v>
      </c>
      <c r="B12" s="2"/>
      <c r="C12" s="26">
        <f>+C168</f>
        <v>0.83</v>
      </c>
      <c r="D12" s="26"/>
      <c r="E12" s="26">
        <v>0.83</v>
      </c>
      <c r="F12" s="23"/>
      <c r="G12" s="9">
        <f>+C12-E12</f>
        <v>0</v>
      </c>
      <c r="H12" s="9">
        <f>ROUND(G12/E12,4)</f>
        <v>0</v>
      </c>
    </row>
    <row r="13" spans="1:7" ht="12.75">
      <c r="A13" s="19"/>
      <c r="B13" s="2"/>
      <c r="C13" s="22"/>
      <c r="D13" s="22"/>
      <c r="E13" s="22"/>
      <c r="F13" s="23"/>
      <c r="G13" s="7"/>
    </row>
    <row r="14" spans="1:8" ht="12.75">
      <c r="A14" s="20" t="s">
        <v>128</v>
      </c>
      <c r="B14" s="2"/>
      <c r="C14" s="22">
        <f>ROUND(C12*C10,0)</f>
        <v>15464658</v>
      </c>
      <c r="D14" s="22"/>
      <c r="E14" s="22">
        <v>556508</v>
      </c>
      <c r="F14" s="23"/>
      <c r="G14" s="7">
        <f>+C14-E14</f>
        <v>14908150</v>
      </c>
      <c r="H14" s="9">
        <f>ROUND(G14/E14,4)</f>
        <v>26.7887</v>
      </c>
    </row>
    <row r="15" spans="1:8" ht="12.75">
      <c r="A15" s="20"/>
      <c r="B15" s="2"/>
      <c r="C15" s="22"/>
      <c r="D15" s="22"/>
      <c r="E15" s="22"/>
      <c r="F15" s="23"/>
      <c r="G15" s="7"/>
      <c r="H15" s="9"/>
    </row>
    <row r="16" spans="1:8" ht="25.5">
      <c r="A16" s="21" t="s">
        <v>144</v>
      </c>
      <c r="B16" s="2"/>
      <c r="C16" s="22">
        <v>0</v>
      </c>
      <c r="D16" s="22"/>
      <c r="E16" s="22">
        <v>0</v>
      </c>
      <c r="F16" s="23"/>
      <c r="G16" s="7">
        <f>+C16-E16</f>
        <v>0</v>
      </c>
      <c r="H16" s="9" t="e">
        <f>ROUND(G16/E16,4)</f>
        <v>#DIV/0!</v>
      </c>
    </row>
    <row r="17" spans="1:8" ht="12.75">
      <c r="A17" s="20"/>
      <c r="B17" s="2"/>
      <c r="C17" s="22"/>
      <c r="D17" s="22"/>
      <c r="E17" s="22"/>
      <c r="F17" s="23"/>
      <c r="G17" s="7"/>
      <c r="H17" s="9"/>
    </row>
    <row r="18" spans="1:8" ht="25.5">
      <c r="A18" s="21" t="s">
        <v>131</v>
      </c>
      <c r="B18" s="2"/>
      <c r="C18" s="22">
        <f>+C181*-1</f>
        <v>-122928</v>
      </c>
      <c r="D18" s="22"/>
      <c r="E18" s="22">
        <v>-122928</v>
      </c>
      <c r="F18" s="23"/>
      <c r="G18" s="7">
        <f>+C18-E18</f>
        <v>0</v>
      </c>
      <c r="H18" s="9">
        <f>ROUND(G18/E18,4)</f>
        <v>0</v>
      </c>
    </row>
    <row r="19" spans="1:7" ht="12.75">
      <c r="A19" s="19"/>
      <c r="B19" s="2"/>
      <c r="C19" s="22"/>
      <c r="D19" s="22"/>
      <c r="E19" s="22"/>
      <c r="F19" s="23"/>
      <c r="G19" s="7"/>
    </row>
    <row r="20" spans="1:8" ht="12.75">
      <c r="A20" s="20" t="s">
        <v>77</v>
      </c>
      <c r="B20" s="2"/>
      <c r="C20" s="22">
        <f>+C14+C16+C18</f>
        <v>15341730</v>
      </c>
      <c r="D20" s="22"/>
      <c r="E20" s="22">
        <v>433580</v>
      </c>
      <c r="F20" s="23"/>
      <c r="G20" s="22">
        <f>+G14+G16+G18</f>
        <v>14908150</v>
      </c>
      <c r="H20" s="9">
        <f>ROUND(G20/E20,4)</f>
        <v>34.3839</v>
      </c>
    </row>
    <row r="21" spans="1:7" ht="12.75">
      <c r="A21" s="19"/>
      <c r="B21" s="2"/>
      <c r="C21" s="22"/>
      <c r="D21" s="22"/>
      <c r="E21" s="22"/>
      <c r="F21" s="23"/>
      <c r="G21" s="7"/>
    </row>
    <row r="22" spans="1:8" ht="12.75">
      <c r="A22" s="20" t="s">
        <v>130</v>
      </c>
      <c r="B22" s="2"/>
      <c r="C22" s="22">
        <f>+C20</f>
        <v>15341730</v>
      </c>
      <c r="D22" s="22"/>
      <c r="E22" s="22">
        <v>433580</v>
      </c>
      <c r="F22" s="23"/>
      <c r="G22" s="7">
        <f>+C22-E22</f>
        <v>14908150</v>
      </c>
      <c r="H22" s="9">
        <f>ROUND(G22/E22,4)</f>
        <v>34.3839</v>
      </c>
    </row>
    <row r="23" spans="1:7" ht="12.75">
      <c r="A23" s="19"/>
      <c r="B23" s="2"/>
      <c r="C23" s="22"/>
      <c r="D23" s="22"/>
      <c r="E23" s="22"/>
      <c r="F23" s="23"/>
      <c r="G23" s="7"/>
    </row>
    <row r="24" spans="1:8" ht="12.75">
      <c r="A24" s="20" t="s">
        <v>25</v>
      </c>
      <c r="B24" s="2"/>
      <c r="C24" s="22">
        <f>+C160</f>
        <v>50620415</v>
      </c>
      <c r="D24" s="22"/>
      <c r="E24" s="22">
        <v>50620415</v>
      </c>
      <c r="F24" s="23"/>
      <c r="G24" s="7">
        <f>+C24-E24</f>
        <v>0</v>
      </c>
      <c r="H24" s="9">
        <f>ROUND(G24/E24,4)</f>
        <v>0</v>
      </c>
    </row>
    <row r="25" spans="1:8" ht="12.75">
      <c r="A25" s="4"/>
      <c r="B25" s="1"/>
      <c r="C25" s="24"/>
      <c r="D25" s="24"/>
      <c r="E25" s="24"/>
      <c r="F25" s="24"/>
      <c r="G25" s="24"/>
      <c r="H25" s="9"/>
    </row>
    <row r="26" spans="1:8" ht="25.5">
      <c r="A26" s="8" t="s">
        <v>17</v>
      </c>
      <c r="C26" s="45">
        <f>ROUND(C22/C24,6)</f>
        <v>0.303074</v>
      </c>
      <c r="D26" s="45"/>
      <c r="E26" s="45">
        <v>0.008565</v>
      </c>
      <c r="F26" s="25"/>
      <c r="G26" s="25">
        <f>+C26-E26</f>
        <v>0.294509</v>
      </c>
      <c r="H26" s="9">
        <f>ROUND(G26/E26,4)</f>
        <v>34.3852</v>
      </c>
    </row>
    <row r="27" spans="1:8" ht="12.75">
      <c r="A27" s="8"/>
      <c r="C27" s="45"/>
      <c r="D27" s="45"/>
      <c r="E27" s="45"/>
      <c r="F27" s="25"/>
      <c r="G27" s="25"/>
      <c r="H27" s="9"/>
    </row>
    <row r="28" spans="1:8" ht="12.75">
      <c r="A28" s="8"/>
      <c r="C28" s="45"/>
      <c r="D28" s="45"/>
      <c r="E28" s="45"/>
      <c r="F28" s="25"/>
      <c r="G28" s="25"/>
      <c r="H28" s="9"/>
    </row>
    <row r="29" spans="1:8" ht="12.75">
      <c r="A29" s="3" t="s">
        <v>110</v>
      </c>
      <c r="C29" s="14"/>
      <c r="D29" s="14"/>
      <c r="E29" s="14"/>
      <c r="F29" s="30"/>
      <c r="G29" s="14"/>
      <c r="H29" s="9"/>
    </row>
    <row r="30" spans="1:8" ht="12.75">
      <c r="A30" s="29" t="s">
        <v>141</v>
      </c>
      <c r="C30" s="30">
        <f>+C10</f>
        <v>18632118</v>
      </c>
      <c r="D30" s="30"/>
      <c r="E30" s="30">
        <v>670491</v>
      </c>
      <c r="F30" s="30"/>
      <c r="G30" s="30">
        <f>+C30-E30</f>
        <v>17961627</v>
      </c>
      <c r="H30" s="9"/>
    </row>
    <row r="31" spans="1:8" ht="12.75">
      <c r="A31" s="29" t="s">
        <v>145</v>
      </c>
      <c r="C31" s="30">
        <v>0</v>
      </c>
      <c r="D31" s="30"/>
      <c r="E31" s="30">
        <v>0</v>
      </c>
      <c r="F31" s="30"/>
      <c r="G31" s="30">
        <f>+C31-E31</f>
        <v>0</v>
      </c>
      <c r="H31" s="9"/>
    </row>
    <row r="32" spans="1:8" ht="25.5">
      <c r="A32" s="29" t="s">
        <v>140</v>
      </c>
      <c r="C32" s="76">
        <f>+C18</f>
        <v>-122928</v>
      </c>
      <c r="D32" s="30"/>
      <c r="E32" s="76">
        <v>-122928</v>
      </c>
      <c r="F32" s="30"/>
      <c r="G32" s="76">
        <f>+C32-E32</f>
        <v>0</v>
      </c>
      <c r="H32" s="9"/>
    </row>
    <row r="33" spans="1:8" ht="12.75">
      <c r="A33" s="3" t="s">
        <v>111</v>
      </c>
      <c r="C33" s="14">
        <f>SUM(C30:C32)</f>
        <v>18509190</v>
      </c>
      <c r="D33" s="14"/>
      <c r="E33" s="14">
        <v>547563</v>
      </c>
      <c r="F33" s="30"/>
      <c r="G33" s="14">
        <f>SUM(G30:G32)</f>
        <v>17961627</v>
      </c>
      <c r="H33" s="9"/>
    </row>
    <row r="34" spans="1:8" ht="12.75">
      <c r="A34" s="8"/>
      <c r="C34" s="45"/>
      <c r="D34" s="45"/>
      <c r="E34" s="45"/>
      <c r="F34" s="25"/>
      <c r="G34" s="25"/>
      <c r="H34" s="9"/>
    </row>
    <row r="35" spans="1:8" ht="12.75">
      <c r="A35" s="8"/>
      <c r="C35" s="45"/>
      <c r="D35" s="45"/>
      <c r="E35" s="45"/>
      <c r="F35" s="25"/>
      <c r="G35" s="25"/>
      <c r="H35" s="9"/>
    </row>
    <row r="36" spans="1:8" ht="12.75">
      <c r="A36" s="49" t="s">
        <v>79</v>
      </c>
      <c r="C36" s="14"/>
      <c r="D36" s="14"/>
      <c r="E36" s="14"/>
      <c r="F36" s="14"/>
      <c r="G36" s="14"/>
      <c r="H36" s="9"/>
    </row>
    <row r="37" spans="1:8" ht="12.75">
      <c r="A37" s="4" t="s">
        <v>9</v>
      </c>
      <c r="C37" s="64">
        <f>+C20</f>
        <v>15341730</v>
      </c>
      <c r="D37" s="30"/>
      <c r="E37" s="64">
        <v>433580</v>
      </c>
      <c r="F37" s="30"/>
      <c r="G37" s="30">
        <f>+C37-E37</f>
        <v>14908150</v>
      </c>
      <c r="H37" s="9"/>
    </row>
    <row r="38" spans="1:8" ht="12.75">
      <c r="A38" s="4" t="s">
        <v>10</v>
      </c>
      <c r="C38" s="30">
        <f>ROUND(C44*C51,0)</f>
        <v>167689</v>
      </c>
      <c r="D38" s="30"/>
      <c r="E38" s="30">
        <v>6034</v>
      </c>
      <c r="F38" s="30"/>
      <c r="G38" s="30">
        <f>+C38-E38</f>
        <v>161655</v>
      </c>
      <c r="H38" s="9"/>
    </row>
    <row r="39" spans="1:8" ht="12.75">
      <c r="A39" s="4" t="s">
        <v>66</v>
      </c>
      <c r="C39" s="30">
        <f>ROUND(C44*C52,0)</f>
        <v>1602362</v>
      </c>
      <c r="D39" s="30"/>
      <c r="E39" s="30">
        <v>57662</v>
      </c>
      <c r="F39" s="30"/>
      <c r="G39" s="30">
        <f>+C39-E39</f>
        <v>1544700</v>
      </c>
      <c r="H39" s="9"/>
    </row>
    <row r="40" spans="1:8" ht="12.75">
      <c r="A40" s="4" t="s">
        <v>122</v>
      </c>
      <c r="C40" s="77">
        <f>ROUND(C44*C53,0)</f>
        <v>1397409</v>
      </c>
      <c r="D40" s="65"/>
      <c r="E40" s="77">
        <v>50287</v>
      </c>
      <c r="F40" s="30"/>
      <c r="G40" s="76">
        <f>+C40-E40</f>
        <v>1347122</v>
      </c>
      <c r="H40" s="9"/>
    </row>
    <row r="41" spans="1:8" ht="12.75">
      <c r="A41" s="3" t="s">
        <v>78</v>
      </c>
      <c r="C41" s="14">
        <f>SUM(C37:C40)</f>
        <v>18509190</v>
      </c>
      <c r="D41" s="14"/>
      <c r="E41" s="14">
        <v>547563</v>
      </c>
      <c r="F41" s="30"/>
      <c r="G41" s="14">
        <f>SUM(G37:G40)</f>
        <v>17961627</v>
      </c>
      <c r="H41" s="9"/>
    </row>
    <row r="43" spans="1:8" ht="12.75">
      <c r="A43" s="3"/>
      <c r="C43" s="14"/>
      <c r="D43" s="14"/>
      <c r="E43" s="14"/>
      <c r="F43" s="30"/>
      <c r="G43" s="14"/>
      <c r="H43" s="9"/>
    </row>
    <row r="44" spans="1:8" ht="12.75">
      <c r="A44" s="29" t="s">
        <v>95</v>
      </c>
      <c r="C44" s="30">
        <f>+C10</f>
        <v>18632118</v>
      </c>
      <c r="D44" s="30"/>
      <c r="E44" s="30">
        <v>670491</v>
      </c>
      <c r="F44" s="30"/>
      <c r="G44" s="30">
        <f>+C44-E44</f>
        <v>17961627</v>
      </c>
      <c r="H44" s="9"/>
    </row>
    <row r="45" spans="1:8" ht="12.75">
      <c r="A45" s="29" t="s">
        <v>18</v>
      </c>
      <c r="C45" s="59">
        <f>+C168</f>
        <v>0.83</v>
      </c>
      <c r="D45" s="30"/>
      <c r="E45" s="59">
        <v>0.83</v>
      </c>
      <c r="F45" s="30"/>
      <c r="G45" s="30"/>
      <c r="H45" s="9"/>
    </row>
    <row r="46" spans="1:8" ht="12.75">
      <c r="A46" s="19" t="s">
        <v>88</v>
      </c>
      <c r="C46" s="30">
        <f>ROUND(C44*C45,0)</f>
        <v>15464658</v>
      </c>
      <c r="D46" s="30"/>
      <c r="E46" s="30">
        <v>556508</v>
      </c>
      <c r="F46" s="30"/>
      <c r="G46" s="30">
        <f>+C46-E46</f>
        <v>14908150</v>
      </c>
      <c r="H46" s="9"/>
    </row>
    <row r="47" spans="1:8" ht="38.25">
      <c r="A47" s="73" t="s">
        <v>143</v>
      </c>
      <c r="C47" s="30">
        <v>0</v>
      </c>
      <c r="D47" s="30"/>
      <c r="E47" s="30">
        <v>0</v>
      </c>
      <c r="F47" s="30"/>
      <c r="G47" s="30">
        <f>+C47-E47</f>
        <v>0</v>
      </c>
      <c r="H47" s="9"/>
    </row>
    <row r="48" spans="1:8" ht="25.5">
      <c r="A48" s="29" t="s">
        <v>89</v>
      </c>
      <c r="C48" s="76">
        <f>C18</f>
        <v>-122928</v>
      </c>
      <c r="D48" s="30"/>
      <c r="E48" s="76">
        <v>-122928</v>
      </c>
      <c r="F48" s="30"/>
      <c r="G48" s="76">
        <f>+C48-E48</f>
        <v>0</v>
      </c>
      <c r="H48" s="9"/>
    </row>
    <row r="49" spans="1:8" ht="12.75">
      <c r="A49" s="3" t="s">
        <v>80</v>
      </c>
      <c r="C49" s="14">
        <f>SUM(C46:C48)</f>
        <v>15341730</v>
      </c>
      <c r="D49" s="14"/>
      <c r="E49" s="14">
        <v>433580</v>
      </c>
      <c r="F49" s="30"/>
      <c r="G49" s="14">
        <f>SUM(G46:G48)</f>
        <v>14908150</v>
      </c>
      <c r="H49" s="9"/>
    </row>
    <row r="50" spans="1:8" ht="12.75">
      <c r="A50" s="3"/>
      <c r="C50" s="14"/>
      <c r="D50" s="14"/>
      <c r="E50" s="14"/>
      <c r="F50" s="30"/>
      <c r="G50" s="14"/>
      <c r="H50" s="9"/>
    </row>
    <row r="51" spans="1:8" ht="12.75">
      <c r="A51" s="4" t="s">
        <v>10</v>
      </c>
      <c r="C51" s="58">
        <f>+C169</f>
        <v>0.009</v>
      </c>
      <c r="D51" s="14"/>
      <c r="E51" s="58">
        <v>0.009</v>
      </c>
      <c r="F51" s="30"/>
      <c r="G51" s="58"/>
      <c r="H51" s="9"/>
    </row>
    <row r="52" spans="1:8" ht="12.75">
      <c r="A52" s="4" t="s">
        <v>66</v>
      </c>
      <c r="C52" s="58">
        <f>+C170</f>
        <v>0.086</v>
      </c>
      <c r="D52" s="14"/>
      <c r="E52" s="58">
        <v>0.086</v>
      </c>
      <c r="F52" s="30"/>
      <c r="G52" s="58"/>
      <c r="H52" s="9"/>
    </row>
    <row r="53" spans="1:8" ht="12.75">
      <c r="A53" s="4" t="s">
        <v>109</v>
      </c>
      <c r="C53" s="58">
        <f>+C171</f>
        <v>0.075</v>
      </c>
      <c r="D53" s="14"/>
      <c r="E53" s="58">
        <v>0.075</v>
      </c>
      <c r="F53" s="30"/>
      <c r="G53" s="58"/>
      <c r="H53" s="9"/>
    </row>
    <row r="54" spans="1:8" ht="12.75">
      <c r="A54" s="3"/>
      <c r="C54" s="14"/>
      <c r="D54" s="14"/>
      <c r="E54" s="14"/>
      <c r="F54" s="30"/>
      <c r="G54" s="14"/>
      <c r="H54" s="9"/>
    </row>
    <row r="55" spans="1:7" ht="12.75">
      <c r="A55" s="3"/>
      <c r="C55" s="33"/>
      <c r="D55" s="33"/>
      <c r="E55" s="33"/>
      <c r="F55" s="28"/>
      <c r="G55" s="33"/>
    </row>
    <row r="56" spans="1:7" ht="12.75">
      <c r="A56" s="16" t="s">
        <v>57</v>
      </c>
      <c r="C56" s="6"/>
      <c r="D56" s="6"/>
      <c r="E56" s="6"/>
      <c r="F56" s="6"/>
      <c r="G56" s="6"/>
    </row>
    <row r="57" spans="1:7" ht="27" customHeight="1">
      <c r="A57" s="8" t="s">
        <v>54</v>
      </c>
      <c r="C57" s="7">
        <v>22657545</v>
      </c>
      <c r="D57" s="7"/>
      <c r="E57" s="7">
        <v>4695899</v>
      </c>
      <c r="F57" s="7"/>
      <c r="G57" s="7">
        <f>+C57-E57</f>
        <v>17961646</v>
      </c>
    </row>
    <row r="58" spans="1:7" ht="12.75">
      <c r="A58" s="8"/>
      <c r="C58" s="7"/>
      <c r="D58" s="7"/>
      <c r="E58" s="7"/>
      <c r="F58" s="7"/>
      <c r="G58" s="7"/>
    </row>
    <row r="59" spans="1:7" ht="38.25">
      <c r="A59" s="8" t="s">
        <v>55</v>
      </c>
      <c r="C59" s="7">
        <v>48894</v>
      </c>
      <c r="D59" s="7"/>
      <c r="E59" s="7">
        <v>48913</v>
      </c>
      <c r="F59" s="7"/>
      <c r="G59" s="7">
        <f>+C59-E59</f>
        <v>-19</v>
      </c>
    </row>
    <row r="60" spans="1:7" ht="12.75">
      <c r="A60" s="4"/>
      <c r="C60" s="5"/>
      <c r="D60" s="5"/>
      <c r="E60" s="5"/>
      <c r="F60" s="5"/>
      <c r="G60" s="5"/>
    </row>
    <row r="61" spans="1:8" ht="13.5" customHeight="1">
      <c r="A61" s="8" t="s">
        <v>67</v>
      </c>
      <c r="C61" s="76">
        <v>0</v>
      </c>
      <c r="D61" s="30"/>
      <c r="E61" s="76">
        <v>0</v>
      </c>
      <c r="F61" s="7"/>
      <c r="G61" s="78">
        <f>+C61-E61</f>
        <v>0</v>
      </c>
      <c r="H61" s="17"/>
    </row>
    <row r="62" spans="1:7" ht="12.75" customHeight="1">
      <c r="A62" s="8"/>
      <c r="C62" s="7"/>
      <c r="D62" s="7"/>
      <c r="E62" s="7"/>
      <c r="F62" s="7"/>
      <c r="G62" s="7"/>
    </row>
    <row r="63" spans="1:7" ht="25.5" customHeight="1">
      <c r="A63" s="8" t="s">
        <v>127</v>
      </c>
      <c r="C63" s="14">
        <f>+C57+C59-C61</f>
        <v>22706439</v>
      </c>
      <c r="D63" s="14"/>
      <c r="E63" s="14">
        <v>4744812</v>
      </c>
      <c r="F63" s="14"/>
      <c r="G63" s="14">
        <f>+G57+G59-G61</f>
        <v>17961627</v>
      </c>
    </row>
    <row r="64" spans="1:7" ht="12.75" customHeight="1">
      <c r="A64" s="8"/>
      <c r="C64" s="7"/>
      <c r="D64" s="7"/>
      <c r="E64" s="7"/>
      <c r="F64" s="7"/>
      <c r="G64" s="7"/>
    </row>
    <row r="65" spans="1:7" ht="12.75" customHeight="1">
      <c r="A65" s="8"/>
      <c r="C65" s="7"/>
      <c r="D65" s="7"/>
      <c r="E65" s="7"/>
      <c r="F65" s="7"/>
      <c r="G65" s="7"/>
    </row>
    <row r="66" spans="1:7" ht="12.75" customHeight="1">
      <c r="A66" s="8"/>
      <c r="C66" s="7"/>
      <c r="D66" s="7"/>
      <c r="E66" s="7"/>
      <c r="F66" s="7"/>
      <c r="G66" s="7"/>
    </row>
    <row r="67" spans="1:7" ht="12.75" customHeight="1">
      <c r="A67" s="8"/>
      <c r="C67" s="7"/>
      <c r="D67" s="7"/>
      <c r="E67" s="7"/>
      <c r="F67" s="7"/>
      <c r="G67" s="7"/>
    </row>
    <row r="68" spans="1:7" ht="12.75" customHeight="1">
      <c r="A68" s="8"/>
      <c r="C68" s="7"/>
      <c r="D68" s="7"/>
      <c r="E68" s="7"/>
      <c r="F68" s="7"/>
      <c r="G68" s="7"/>
    </row>
    <row r="69" spans="1:7" ht="12.75" customHeight="1">
      <c r="A69" s="8"/>
      <c r="C69" s="7"/>
      <c r="D69" s="7"/>
      <c r="E69" s="7"/>
      <c r="F69" s="7"/>
      <c r="G69" s="7"/>
    </row>
    <row r="70" spans="1:7" ht="12.75" customHeight="1">
      <c r="A70" s="8"/>
      <c r="C70" s="7"/>
      <c r="D70" s="7"/>
      <c r="E70" s="7"/>
      <c r="F70" s="7"/>
      <c r="G70" s="7"/>
    </row>
    <row r="71" spans="1:7" ht="12.75" customHeight="1">
      <c r="A71" s="8"/>
      <c r="C71" s="7"/>
      <c r="D71" s="7"/>
      <c r="E71" s="7"/>
      <c r="F71" s="7"/>
      <c r="G71" s="7"/>
    </row>
    <row r="72" spans="1:7" ht="13.5" customHeight="1">
      <c r="A72" s="31" t="s">
        <v>21</v>
      </c>
      <c r="C72" s="14"/>
      <c r="D72" s="14"/>
      <c r="E72" s="14"/>
      <c r="F72" s="14"/>
      <c r="G72" s="14"/>
    </row>
    <row r="73" spans="1:7" ht="13.5" customHeight="1">
      <c r="A73" s="37" t="s">
        <v>43</v>
      </c>
      <c r="C73" s="30">
        <v>1146840044</v>
      </c>
      <c r="D73" s="30"/>
      <c r="E73" s="30">
        <v>191327552</v>
      </c>
      <c r="F73" s="30"/>
      <c r="G73" s="30">
        <f aca="true" t="shared" si="0" ref="G73:G93">+C73-E73</f>
        <v>955512492</v>
      </c>
    </row>
    <row r="74" spans="1:7" ht="13.5" customHeight="1">
      <c r="A74" s="39" t="s">
        <v>44</v>
      </c>
      <c r="C74" s="30">
        <v>-73795871</v>
      </c>
      <c r="D74" s="30"/>
      <c r="E74" s="30">
        <v>-68484814</v>
      </c>
      <c r="F74" s="30"/>
      <c r="G74" s="30">
        <f t="shared" si="0"/>
        <v>-5311057</v>
      </c>
    </row>
    <row r="75" spans="1:7" ht="13.5" customHeight="1">
      <c r="A75" s="37" t="s">
        <v>45</v>
      </c>
      <c r="C75" s="30">
        <v>-40878900</v>
      </c>
      <c r="D75" s="30"/>
      <c r="E75" s="30">
        <v>-38920099</v>
      </c>
      <c r="F75" s="30"/>
      <c r="G75" s="30">
        <f t="shared" si="0"/>
        <v>-1958801</v>
      </c>
    </row>
    <row r="76" spans="1:7" ht="13.5" customHeight="1">
      <c r="A76" s="37" t="s">
        <v>46</v>
      </c>
      <c r="C76" s="30">
        <f>+C73+C74+C75</f>
        <v>1032165273</v>
      </c>
      <c r="D76" s="30"/>
      <c r="E76" s="30">
        <v>83922639</v>
      </c>
      <c r="F76" s="30"/>
      <c r="G76" s="30">
        <f t="shared" si="0"/>
        <v>948242634</v>
      </c>
    </row>
    <row r="77" spans="1:7" ht="13.5" customHeight="1">
      <c r="A77" s="40" t="s">
        <v>47</v>
      </c>
      <c r="C77" s="30">
        <v>17044601</v>
      </c>
      <c r="D77" s="30"/>
      <c r="E77" s="30">
        <v>17044601</v>
      </c>
      <c r="F77" s="30"/>
      <c r="G77" s="30">
        <f t="shared" si="0"/>
        <v>0</v>
      </c>
    </row>
    <row r="78" spans="1:7" ht="13.5" customHeight="1">
      <c r="A78" s="40" t="s">
        <v>48</v>
      </c>
      <c r="C78" s="30">
        <v>158405</v>
      </c>
      <c r="D78" s="30"/>
      <c r="E78" s="30">
        <v>158405</v>
      </c>
      <c r="F78" s="30"/>
      <c r="G78" s="30">
        <f t="shared" si="0"/>
        <v>0</v>
      </c>
    </row>
    <row r="79" spans="1:7" ht="13.5" customHeight="1">
      <c r="A79" s="40" t="s">
        <v>146</v>
      </c>
      <c r="C79" s="30">
        <v>232426</v>
      </c>
      <c r="D79" s="30"/>
      <c r="E79" s="30">
        <v>232426</v>
      </c>
      <c r="F79" s="30"/>
      <c r="G79" s="30">
        <f t="shared" si="0"/>
        <v>0</v>
      </c>
    </row>
    <row r="80" spans="1:7" ht="13.5" customHeight="1">
      <c r="A80" s="37" t="s">
        <v>115</v>
      </c>
      <c r="C80" s="30">
        <f>+C76+C77+C78+C79</f>
        <v>1049600705</v>
      </c>
      <c r="D80" s="30"/>
      <c r="E80" s="30">
        <v>101358071</v>
      </c>
      <c r="F80" s="30"/>
      <c r="G80" s="30">
        <f t="shared" si="0"/>
        <v>948242634</v>
      </c>
    </row>
    <row r="81" spans="1:7" ht="13.5" customHeight="1">
      <c r="A81" s="37" t="s">
        <v>116</v>
      </c>
      <c r="C81" s="41">
        <v>0.1069</v>
      </c>
      <c r="D81" s="41"/>
      <c r="E81" s="41">
        <v>0.1069</v>
      </c>
      <c r="F81" s="30"/>
      <c r="G81" s="41">
        <f t="shared" si="0"/>
        <v>0</v>
      </c>
    </row>
    <row r="82" spans="1:7" ht="13.5" customHeight="1">
      <c r="A82" s="37" t="s">
        <v>117</v>
      </c>
      <c r="C82" s="41">
        <f>ROUND(C81/12,4)</f>
        <v>0.0089</v>
      </c>
      <c r="D82" s="41"/>
      <c r="E82" s="41">
        <v>0.0089</v>
      </c>
      <c r="F82" s="30"/>
      <c r="G82" s="41">
        <f t="shared" si="0"/>
        <v>0</v>
      </c>
    </row>
    <row r="83" spans="1:7" ht="13.5" customHeight="1">
      <c r="A83" s="37" t="s">
        <v>118</v>
      </c>
      <c r="C83" s="30">
        <f>ROUND(C80*C82,0)</f>
        <v>9341446</v>
      </c>
      <c r="D83" s="30"/>
      <c r="E83" s="30">
        <v>902087</v>
      </c>
      <c r="F83" s="30"/>
      <c r="G83" s="30">
        <f t="shared" si="0"/>
        <v>8439359</v>
      </c>
    </row>
    <row r="84" spans="1:7" ht="13.5" customHeight="1">
      <c r="A84" s="38" t="s">
        <v>42</v>
      </c>
      <c r="C84" s="30"/>
      <c r="D84" s="30"/>
      <c r="E84" s="30"/>
      <c r="F84" s="30"/>
      <c r="G84" s="30"/>
    </row>
    <row r="85" spans="1:7" ht="13.5" customHeight="1">
      <c r="A85" s="37" t="s">
        <v>49</v>
      </c>
      <c r="C85" s="30">
        <v>5888309</v>
      </c>
      <c r="D85" s="30"/>
      <c r="E85" s="30">
        <v>577252</v>
      </c>
      <c r="F85" s="30"/>
      <c r="G85" s="30">
        <f t="shared" si="0"/>
        <v>5311057</v>
      </c>
    </row>
    <row r="86" spans="1:7" ht="13.5" customHeight="1">
      <c r="A86" s="40" t="s">
        <v>62</v>
      </c>
      <c r="C86" s="30">
        <v>46030</v>
      </c>
      <c r="D86" s="30"/>
      <c r="E86" s="30">
        <v>46030</v>
      </c>
      <c r="F86" s="30"/>
      <c r="G86" s="30">
        <f t="shared" si="0"/>
        <v>0</v>
      </c>
    </row>
    <row r="87" spans="1:7" ht="13.5" customHeight="1">
      <c r="A87" s="37" t="s">
        <v>63</v>
      </c>
      <c r="C87" s="30">
        <v>124642</v>
      </c>
      <c r="D87" s="30"/>
      <c r="E87" s="30">
        <v>13169</v>
      </c>
      <c r="F87" s="30"/>
      <c r="G87" s="30">
        <f t="shared" si="0"/>
        <v>111473</v>
      </c>
    </row>
    <row r="88" spans="1:7" ht="13.5" customHeight="1">
      <c r="A88" s="37" t="s">
        <v>64</v>
      </c>
      <c r="C88" s="30">
        <v>31701</v>
      </c>
      <c r="D88" s="30"/>
      <c r="E88" s="30">
        <v>31701</v>
      </c>
      <c r="F88" s="30"/>
      <c r="G88" s="30">
        <f t="shared" si="0"/>
        <v>0</v>
      </c>
    </row>
    <row r="89" spans="1:7" ht="42" customHeight="1">
      <c r="A89" s="52" t="s">
        <v>82</v>
      </c>
      <c r="C89" s="30">
        <f>+C141</f>
        <v>1573350</v>
      </c>
      <c r="D89" s="30"/>
      <c r="E89" s="30">
        <v>1573350</v>
      </c>
      <c r="F89" s="30"/>
      <c r="G89" s="30">
        <f t="shared" si="0"/>
        <v>0</v>
      </c>
    </row>
    <row r="90" spans="1:7" ht="13.5" customHeight="1">
      <c r="A90" s="40" t="s">
        <v>65</v>
      </c>
      <c r="C90" s="30">
        <f>4813728</f>
        <v>4813728</v>
      </c>
      <c r="D90" s="30"/>
      <c r="E90" s="30">
        <v>714020</v>
      </c>
      <c r="F90" s="30"/>
      <c r="G90" s="30">
        <f t="shared" si="0"/>
        <v>4099708</v>
      </c>
    </row>
    <row r="91" spans="1:7" ht="13.5" customHeight="1">
      <c r="A91" s="37" t="s">
        <v>73</v>
      </c>
      <c r="C91" s="30">
        <f>+C123</f>
        <v>838290</v>
      </c>
      <c r="D91" s="30"/>
      <c r="E91" s="30">
        <v>838290</v>
      </c>
      <c r="F91" s="30"/>
      <c r="G91" s="30">
        <f t="shared" si="0"/>
        <v>0</v>
      </c>
    </row>
    <row r="92" spans="1:7" ht="27" customHeight="1">
      <c r="A92" s="42" t="s">
        <v>74</v>
      </c>
      <c r="C92" s="30">
        <v>0</v>
      </c>
      <c r="D92" s="30"/>
      <c r="E92" s="30">
        <v>0</v>
      </c>
      <c r="F92" s="30"/>
      <c r="G92" s="30">
        <f t="shared" si="0"/>
        <v>0</v>
      </c>
    </row>
    <row r="93" spans="1:7" ht="13.5" customHeight="1">
      <c r="A93" s="40" t="s">
        <v>75</v>
      </c>
      <c r="C93" s="30">
        <f>SUM(C85:C92)</f>
        <v>13316050</v>
      </c>
      <c r="D93" s="30"/>
      <c r="E93" s="30">
        <v>3793812</v>
      </c>
      <c r="F93" s="30"/>
      <c r="G93" s="30">
        <f t="shared" si="0"/>
        <v>9522238</v>
      </c>
    </row>
    <row r="94" spans="1:7" ht="27" customHeight="1">
      <c r="A94" s="39" t="s">
        <v>76</v>
      </c>
      <c r="C94" s="14">
        <f>+C83+C93</f>
        <v>22657496</v>
      </c>
      <c r="D94" s="14"/>
      <c r="E94" s="14">
        <v>4695899</v>
      </c>
      <c r="F94" s="14"/>
      <c r="G94" s="14">
        <f>+G83+G93</f>
        <v>17961597</v>
      </c>
    </row>
    <row r="95" spans="1:7" ht="12.75">
      <c r="A95" s="37"/>
      <c r="C95" s="14"/>
      <c r="D95" s="14"/>
      <c r="E95" s="14"/>
      <c r="F95" s="30"/>
      <c r="G95" s="14"/>
    </row>
    <row r="96" spans="1:7" ht="12.75">
      <c r="A96" s="16" t="s">
        <v>8</v>
      </c>
      <c r="C96" s="7"/>
      <c r="D96" s="7"/>
      <c r="E96" s="7"/>
      <c r="F96" s="7"/>
      <c r="G96" s="7"/>
    </row>
    <row r="97" spans="1:7" ht="12.75" customHeight="1">
      <c r="A97" s="40" t="s">
        <v>50</v>
      </c>
      <c r="C97" s="7">
        <v>17044601</v>
      </c>
      <c r="D97" s="7"/>
      <c r="E97" s="7">
        <v>17044601</v>
      </c>
      <c r="F97" s="7"/>
      <c r="G97" s="7">
        <f>+C97-E97</f>
        <v>0</v>
      </c>
    </row>
    <row r="98" spans="1:8" ht="12.75" customHeight="1">
      <c r="A98" s="44" t="s">
        <v>51</v>
      </c>
      <c r="C98" s="7">
        <f>+C110</f>
        <v>8326</v>
      </c>
      <c r="D98" s="7"/>
      <c r="E98" s="7">
        <v>8326</v>
      </c>
      <c r="F98" s="7"/>
      <c r="G98" s="7">
        <f>+C98-E98</f>
        <v>0</v>
      </c>
      <c r="H98" s="4"/>
    </row>
    <row r="99" spans="1:8" ht="12.75" customHeight="1">
      <c r="A99" s="42"/>
      <c r="C99" s="7"/>
      <c r="D99" s="7"/>
      <c r="E99" s="7"/>
      <c r="F99" s="7"/>
      <c r="G99" s="7"/>
      <c r="H99" s="4"/>
    </row>
    <row r="100" spans="1:8" ht="12.75" customHeight="1">
      <c r="A100" s="47" t="s">
        <v>121</v>
      </c>
      <c r="C100" s="48">
        <v>0</v>
      </c>
      <c r="D100" s="48"/>
      <c r="E100" s="48">
        <v>0</v>
      </c>
      <c r="F100" s="48"/>
      <c r="G100" s="48">
        <f aca="true" t="shared" si="1" ref="G100:G110">+C100-E100</f>
        <v>0</v>
      </c>
      <c r="H100" s="4"/>
    </row>
    <row r="101" spans="1:8" ht="12.75" customHeight="1">
      <c r="A101" s="47" t="s">
        <v>123</v>
      </c>
      <c r="C101" s="48">
        <v>0</v>
      </c>
      <c r="D101" s="48"/>
      <c r="E101" s="48">
        <v>0</v>
      </c>
      <c r="F101" s="48"/>
      <c r="G101" s="48">
        <f>+C101-E101</f>
        <v>0</v>
      </c>
      <c r="H101" s="4"/>
    </row>
    <row r="102" spans="1:8" ht="12.75" customHeight="1">
      <c r="A102" s="47" t="s">
        <v>125</v>
      </c>
      <c r="C102" s="48">
        <v>0</v>
      </c>
      <c r="D102" s="48"/>
      <c r="E102" s="48">
        <v>0</v>
      </c>
      <c r="F102" s="48"/>
      <c r="G102" s="48">
        <f>+C102-E102</f>
        <v>0</v>
      </c>
      <c r="H102" s="4"/>
    </row>
    <row r="103" spans="1:8" ht="12.75" customHeight="1">
      <c r="A103" s="47" t="s">
        <v>86</v>
      </c>
      <c r="C103" s="48">
        <v>0</v>
      </c>
      <c r="D103" s="48"/>
      <c r="E103" s="48">
        <v>0</v>
      </c>
      <c r="F103" s="48"/>
      <c r="G103" s="48">
        <f t="shared" si="1"/>
        <v>0</v>
      </c>
      <c r="H103" s="4"/>
    </row>
    <row r="104" spans="1:7" ht="12.75">
      <c r="A104" s="47" t="s">
        <v>68</v>
      </c>
      <c r="C104" s="48">
        <v>0</v>
      </c>
      <c r="D104" s="48"/>
      <c r="E104" s="48">
        <v>0</v>
      </c>
      <c r="F104" s="48"/>
      <c r="G104" s="48">
        <f t="shared" si="1"/>
        <v>0</v>
      </c>
    </row>
    <row r="105" spans="1:7" ht="12.75">
      <c r="A105" s="47" t="s">
        <v>124</v>
      </c>
      <c r="C105" s="48">
        <v>0</v>
      </c>
      <c r="D105" s="48"/>
      <c r="E105" s="48">
        <v>0</v>
      </c>
      <c r="F105" s="48"/>
      <c r="G105" s="48">
        <f>+C105-E105</f>
        <v>0</v>
      </c>
    </row>
    <row r="106" spans="1:7" ht="12.75">
      <c r="A106" s="47" t="s">
        <v>126</v>
      </c>
      <c r="C106" s="48">
        <v>0</v>
      </c>
      <c r="D106" s="48"/>
      <c r="E106" s="48">
        <v>0</v>
      </c>
      <c r="F106" s="48"/>
      <c r="G106" s="48">
        <f>+C106-E106</f>
        <v>0</v>
      </c>
    </row>
    <row r="107" spans="1:7" ht="12.75">
      <c r="A107" s="47" t="s">
        <v>69</v>
      </c>
      <c r="C107" s="48">
        <v>0</v>
      </c>
      <c r="D107" s="48"/>
      <c r="E107" s="48">
        <v>0</v>
      </c>
      <c r="F107" s="48"/>
      <c r="G107" s="48">
        <f t="shared" si="1"/>
        <v>0</v>
      </c>
    </row>
    <row r="108" spans="1:7" ht="12.75">
      <c r="A108" s="47" t="s">
        <v>70</v>
      </c>
      <c r="C108" s="48">
        <v>0</v>
      </c>
      <c r="D108" s="48"/>
      <c r="E108" s="48">
        <v>0</v>
      </c>
      <c r="F108" s="48"/>
      <c r="G108" s="48">
        <f t="shared" si="1"/>
        <v>0</v>
      </c>
    </row>
    <row r="109" spans="1:7" ht="12.75">
      <c r="A109" s="47" t="s">
        <v>71</v>
      </c>
      <c r="C109" s="68">
        <v>0</v>
      </c>
      <c r="D109" s="68"/>
      <c r="E109" s="68">
        <v>0</v>
      </c>
      <c r="F109" s="48"/>
      <c r="G109" s="48">
        <f t="shared" si="1"/>
        <v>0</v>
      </c>
    </row>
    <row r="110" spans="1:7" ht="12.75">
      <c r="A110" s="47" t="s">
        <v>72</v>
      </c>
      <c r="C110" s="48">
        <v>8326</v>
      </c>
      <c r="D110" s="48"/>
      <c r="E110" s="48">
        <v>8326</v>
      </c>
      <c r="F110" s="48"/>
      <c r="G110" s="48">
        <f t="shared" si="1"/>
        <v>0</v>
      </c>
    </row>
    <row r="111" spans="1:8" ht="12.75" customHeight="1">
      <c r="A111" s="42"/>
      <c r="C111" s="7"/>
      <c r="D111" s="7"/>
      <c r="E111" s="7"/>
      <c r="F111" s="7"/>
      <c r="G111" s="7"/>
      <c r="H111" s="4"/>
    </row>
    <row r="112" spans="1:7" ht="12.75">
      <c r="A112" s="17" t="s">
        <v>52</v>
      </c>
      <c r="C112" s="11">
        <v>0.06598</v>
      </c>
      <c r="D112" s="11"/>
      <c r="E112" s="11">
        <v>0.06598</v>
      </c>
      <c r="F112" s="11"/>
      <c r="G112" s="11">
        <f>+C112-E112</f>
        <v>0</v>
      </c>
    </row>
    <row r="113" spans="1:7" ht="12.75">
      <c r="A113" s="17"/>
      <c r="C113" s="11"/>
      <c r="D113" s="11"/>
      <c r="E113" s="11"/>
      <c r="F113" s="11"/>
      <c r="G113" s="11"/>
    </row>
    <row r="114" spans="1:7" ht="12.75">
      <c r="A114" s="16" t="s">
        <v>132</v>
      </c>
      <c r="C114" s="7"/>
      <c r="D114" s="7"/>
      <c r="E114" s="7"/>
      <c r="F114" s="7"/>
      <c r="G114" s="7"/>
    </row>
    <row r="115" spans="1:7" ht="12.75">
      <c r="A115" s="40" t="s">
        <v>133</v>
      </c>
      <c r="C115" s="7">
        <v>158405</v>
      </c>
      <c r="D115" s="7"/>
      <c r="E115" s="7">
        <v>158405</v>
      </c>
      <c r="F115" s="7"/>
      <c r="G115" s="7">
        <f>+C115-E115</f>
        <v>0</v>
      </c>
    </row>
    <row r="116" spans="1:8" ht="12.75">
      <c r="A116" s="17" t="s">
        <v>40</v>
      </c>
      <c r="C116" s="7">
        <v>0</v>
      </c>
      <c r="D116" s="7"/>
      <c r="E116" s="7">
        <v>0</v>
      </c>
      <c r="F116" s="7"/>
      <c r="G116" s="7">
        <f>+C116-E116</f>
        <v>0</v>
      </c>
      <c r="H116" s="4"/>
    </row>
    <row r="117" spans="1:7" ht="12.75">
      <c r="A117" s="17" t="s">
        <v>41</v>
      </c>
      <c r="C117" s="7">
        <v>687</v>
      </c>
      <c r="D117" s="7"/>
      <c r="E117" s="7">
        <v>687</v>
      </c>
      <c r="F117" s="7"/>
      <c r="G117" s="7">
        <f>+C117-E117</f>
        <v>0</v>
      </c>
    </row>
    <row r="118" spans="1:7" ht="12.75">
      <c r="A118" s="17"/>
      <c r="C118" s="11"/>
      <c r="D118" s="11"/>
      <c r="E118" s="11"/>
      <c r="F118" s="11"/>
      <c r="G118" s="11"/>
    </row>
    <row r="119" spans="1:7" ht="12.75">
      <c r="A119" s="16" t="s">
        <v>28</v>
      </c>
      <c r="C119" s="11"/>
      <c r="D119" s="11"/>
      <c r="E119" s="11"/>
      <c r="F119" s="11"/>
      <c r="G119" s="11"/>
    </row>
    <row r="120" spans="1:7" ht="12.75">
      <c r="A120" s="36" t="s">
        <v>29</v>
      </c>
      <c r="F120" s="7"/>
      <c r="G120" s="7"/>
    </row>
    <row r="121" spans="1:7" ht="12.75">
      <c r="A121" s="37" t="s">
        <v>30</v>
      </c>
      <c r="C121" s="7">
        <v>31701</v>
      </c>
      <c r="D121" s="7"/>
      <c r="E121" s="7">
        <v>31701</v>
      </c>
      <c r="F121" s="7"/>
      <c r="G121" s="7">
        <f>+C121-E121</f>
        <v>0</v>
      </c>
    </row>
    <row r="122" spans="1:7" ht="12.75">
      <c r="A122" s="81" t="s">
        <v>81</v>
      </c>
      <c r="C122" s="7">
        <v>275400</v>
      </c>
      <c r="D122" s="7"/>
      <c r="E122" s="7">
        <v>275400</v>
      </c>
      <c r="F122" s="7"/>
      <c r="G122" s="7">
        <f>+C122-E122</f>
        <v>0</v>
      </c>
    </row>
    <row r="123" spans="1:7" ht="12.75">
      <c r="A123" s="37" t="s">
        <v>31</v>
      </c>
      <c r="C123" s="78">
        <v>838290</v>
      </c>
      <c r="D123" s="7"/>
      <c r="E123" s="78">
        <v>838290</v>
      </c>
      <c r="F123" s="7"/>
      <c r="G123" s="78">
        <f>+C123-E123</f>
        <v>0</v>
      </c>
    </row>
    <row r="124" spans="1:7" ht="12.75">
      <c r="A124" s="38" t="s">
        <v>32</v>
      </c>
      <c r="C124" s="7">
        <f>SUM(C121:C123)</f>
        <v>1145391</v>
      </c>
      <c r="D124" s="7"/>
      <c r="E124" s="7">
        <v>1145391</v>
      </c>
      <c r="F124" s="7"/>
      <c r="G124" s="7">
        <f>SUM(G121:G123)</f>
        <v>0</v>
      </c>
    </row>
    <row r="125" spans="3:5" ht="12.75">
      <c r="C125" s="7"/>
      <c r="D125" s="7"/>
      <c r="E125" s="7"/>
    </row>
    <row r="126" spans="1:7" ht="12.75">
      <c r="A126" s="36" t="s">
        <v>33</v>
      </c>
      <c r="C126" s="7"/>
      <c r="D126" s="7"/>
      <c r="E126" s="7"/>
      <c r="F126" s="7"/>
      <c r="G126" s="7"/>
    </row>
    <row r="127" spans="1:7" ht="12.75">
      <c r="A127" s="37" t="s">
        <v>34</v>
      </c>
      <c r="C127" s="7">
        <v>0</v>
      </c>
      <c r="D127" s="7"/>
      <c r="E127" s="7">
        <v>0</v>
      </c>
      <c r="F127" s="7"/>
      <c r="G127" s="7">
        <f aca="true" t="shared" si="2" ref="G127:G132">+C127-E127</f>
        <v>0</v>
      </c>
    </row>
    <row r="128" spans="1:7" ht="12.75">
      <c r="A128" s="37" t="s">
        <v>35</v>
      </c>
      <c r="C128" s="14">
        <v>485032</v>
      </c>
      <c r="D128" s="14"/>
      <c r="E128" s="14">
        <v>485032</v>
      </c>
      <c r="F128" s="7"/>
      <c r="G128" s="7">
        <f t="shared" si="2"/>
        <v>0</v>
      </c>
    </row>
    <row r="129" spans="1:7" ht="12.75">
      <c r="A129" s="37" t="s">
        <v>36</v>
      </c>
      <c r="C129" s="7">
        <v>0</v>
      </c>
      <c r="D129" s="7"/>
      <c r="E129" s="7">
        <v>0</v>
      </c>
      <c r="F129" s="7"/>
      <c r="G129" s="7">
        <f t="shared" si="2"/>
        <v>0</v>
      </c>
    </row>
    <row r="130" spans="1:7" ht="12.75">
      <c r="A130" s="37" t="s">
        <v>134</v>
      </c>
      <c r="C130" s="7">
        <v>218084</v>
      </c>
      <c r="D130" s="7"/>
      <c r="E130" s="7">
        <v>218084</v>
      </c>
      <c r="F130" s="7"/>
      <c r="G130" s="7">
        <f t="shared" si="2"/>
        <v>0</v>
      </c>
    </row>
    <row r="131" spans="1:7" ht="12.75">
      <c r="A131" s="37" t="s">
        <v>84</v>
      </c>
      <c r="C131" s="7">
        <v>2167</v>
      </c>
      <c r="D131" s="7"/>
      <c r="E131" s="7">
        <v>2167</v>
      </c>
      <c r="F131" s="7"/>
      <c r="G131" s="7">
        <f t="shared" si="2"/>
        <v>0</v>
      </c>
    </row>
    <row r="132" spans="1:7" ht="12.75">
      <c r="A132" s="37" t="s">
        <v>85</v>
      </c>
      <c r="C132" s="78">
        <v>8737</v>
      </c>
      <c r="D132" s="7"/>
      <c r="E132" s="78">
        <v>8737</v>
      </c>
      <c r="F132" s="7"/>
      <c r="G132" s="78">
        <f t="shared" si="2"/>
        <v>0</v>
      </c>
    </row>
    <row r="133" spans="1:7" ht="12.75">
      <c r="A133" s="38" t="s">
        <v>37</v>
      </c>
      <c r="C133" s="7">
        <f>SUM(C127:C132)</f>
        <v>714020</v>
      </c>
      <c r="D133" s="7"/>
      <c r="E133" s="7">
        <v>714020</v>
      </c>
      <c r="F133" s="7"/>
      <c r="G133" s="7">
        <f>SUM(G127:G132)</f>
        <v>0</v>
      </c>
    </row>
    <row r="134" spans="1:7" ht="12.75">
      <c r="A134" s="37"/>
      <c r="C134" s="7"/>
      <c r="D134" s="7"/>
      <c r="E134" s="7"/>
      <c r="F134" s="7"/>
      <c r="G134" s="7"/>
    </row>
    <row r="135" spans="1:7" ht="12.75">
      <c r="A135" s="38" t="s">
        <v>38</v>
      </c>
      <c r="C135" s="7">
        <f>+C124+C133</f>
        <v>1859411</v>
      </c>
      <c r="D135" s="7"/>
      <c r="E135" s="7">
        <v>1859411</v>
      </c>
      <c r="F135" s="7"/>
      <c r="G135" s="7">
        <f>+G124+G133</f>
        <v>0</v>
      </c>
    </row>
    <row r="136" spans="1:7" ht="12.75">
      <c r="A136" s="37"/>
      <c r="C136" s="7"/>
      <c r="D136" s="7"/>
      <c r="E136" s="7"/>
      <c r="F136" s="7"/>
      <c r="G136" s="7"/>
    </row>
    <row r="137" spans="1:7" ht="12.75">
      <c r="A137" s="37" t="s">
        <v>39</v>
      </c>
      <c r="C137" s="14">
        <f>ROUND(C135/8,0)</f>
        <v>232426</v>
      </c>
      <c r="D137" s="14"/>
      <c r="E137" s="14">
        <v>232426</v>
      </c>
      <c r="F137" s="7"/>
      <c r="G137" s="14">
        <f>ROUND(G135*0.125,0)</f>
        <v>0</v>
      </c>
    </row>
    <row r="138" spans="1:7" ht="12.75">
      <c r="A138" s="37"/>
      <c r="C138" s="14"/>
      <c r="D138" s="14"/>
      <c r="E138" s="14"/>
      <c r="F138" s="7"/>
      <c r="G138" s="14"/>
    </row>
    <row r="139" spans="1:7" ht="12.75">
      <c r="A139" s="37"/>
      <c r="C139" s="14"/>
      <c r="D139" s="14"/>
      <c r="E139" s="14"/>
      <c r="F139" s="7"/>
      <c r="G139" s="14"/>
    </row>
    <row r="140" spans="1:7" ht="12.75">
      <c r="A140" s="16" t="s">
        <v>135</v>
      </c>
      <c r="C140" s="7"/>
      <c r="D140" s="7"/>
      <c r="E140" s="7"/>
      <c r="F140" s="7"/>
      <c r="G140" s="7"/>
    </row>
    <row r="141" spans="1:7" ht="25.5">
      <c r="A141" s="29" t="s">
        <v>83</v>
      </c>
      <c r="C141" s="7">
        <v>1573350</v>
      </c>
      <c r="D141" s="7"/>
      <c r="E141" s="7">
        <v>1573350</v>
      </c>
      <c r="F141" s="7"/>
      <c r="G141" s="7">
        <f>+C141-E141</f>
        <v>0</v>
      </c>
    </row>
    <row r="142" spans="1:7" ht="12.75">
      <c r="A142" s="16"/>
      <c r="C142" s="7"/>
      <c r="D142" s="7"/>
      <c r="E142" s="7"/>
      <c r="F142" s="7"/>
      <c r="G142" s="7"/>
    </row>
    <row r="143" spans="1:7" ht="12.75">
      <c r="A143" s="3" t="s">
        <v>3</v>
      </c>
      <c r="C143" s="80"/>
      <c r="D143" s="9"/>
      <c r="E143" s="80"/>
      <c r="F143" s="9"/>
      <c r="G143" s="9"/>
    </row>
    <row r="144" spans="1:7" ht="12.75">
      <c r="A144" s="4" t="s">
        <v>5</v>
      </c>
      <c r="C144" s="79">
        <v>2031900</v>
      </c>
      <c r="D144" s="7"/>
      <c r="E144" s="79">
        <v>2031900</v>
      </c>
      <c r="F144" s="7"/>
      <c r="G144" s="7">
        <f>+C144-E144</f>
        <v>0</v>
      </c>
    </row>
    <row r="145" spans="1:7" ht="12.75">
      <c r="A145" s="4" t="s">
        <v>4</v>
      </c>
      <c r="C145" s="79">
        <v>196300</v>
      </c>
      <c r="D145" s="7"/>
      <c r="E145" s="79">
        <v>196300</v>
      </c>
      <c r="F145" s="7"/>
      <c r="G145" s="7">
        <f>+C145-E145</f>
        <v>0</v>
      </c>
    </row>
    <row r="146" spans="1:7" ht="12.75">
      <c r="A146" s="4" t="s">
        <v>119</v>
      </c>
      <c r="C146" s="78">
        <v>0</v>
      </c>
      <c r="D146" s="7"/>
      <c r="E146" s="78">
        <v>0</v>
      </c>
      <c r="F146" s="7"/>
      <c r="G146" s="78">
        <f>+C146-E146</f>
        <v>0</v>
      </c>
    </row>
    <row r="147" spans="1:7" ht="12.75">
      <c r="A147" s="3" t="s">
        <v>6</v>
      </c>
      <c r="C147" s="14">
        <f>SUM(C144:C146)</f>
        <v>2228200</v>
      </c>
      <c r="D147" s="14"/>
      <c r="E147" s="14">
        <v>2228200</v>
      </c>
      <c r="F147" s="14"/>
      <c r="G147" s="14">
        <f>SUM(G144:G144)</f>
        <v>0</v>
      </c>
    </row>
    <row r="148" spans="1:7" ht="12.75">
      <c r="A148" s="10" t="s">
        <v>1</v>
      </c>
      <c r="C148" s="9">
        <v>0.91</v>
      </c>
      <c r="D148" s="46"/>
      <c r="E148" s="9">
        <v>0.91</v>
      </c>
      <c r="F148" s="9"/>
      <c r="G148" s="9">
        <f>+C148-E148</f>
        <v>0</v>
      </c>
    </row>
    <row r="149" spans="1:7" ht="12.75">
      <c r="A149" s="10" t="s">
        <v>112</v>
      </c>
      <c r="C149" s="9">
        <v>0.09</v>
      </c>
      <c r="D149" s="46"/>
      <c r="E149" s="9">
        <v>0.09</v>
      </c>
      <c r="F149" s="9"/>
      <c r="G149" s="9">
        <f>+C149-E149</f>
        <v>0</v>
      </c>
    </row>
    <row r="150" spans="1:7" ht="12.75">
      <c r="A150" s="10" t="s">
        <v>120</v>
      </c>
      <c r="C150" s="9">
        <f>ROUND(C146/C147,4)</f>
        <v>0</v>
      </c>
      <c r="D150" s="46"/>
      <c r="E150" s="9">
        <v>0</v>
      </c>
      <c r="F150" s="9"/>
      <c r="G150" s="9">
        <f>+C150-E150</f>
        <v>0</v>
      </c>
    </row>
    <row r="151" spans="1:7" ht="12.75">
      <c r="A151" s="4"/>
      <c r="C151" s="7"/>
      <c r="D151" s="7"/>
      <c r="E151" s="7"/>
      <c r="F151" s="7"/>
      <c r="G151" s="7"/>
    </row>
    <row r="152" spans="1:7" ht="12.75">
      <c r="A152" s="8" t="s">
        <v>2</v>
      </c>
      <c r="C152" s="79">
        <v>255000</v>
      </c>
      <c r="D152" s="7"/>
      <c r="E152" s="79">
        <v>255000</v>
      </c>
      <c r="F152" s="7"/>
      <c r="G152" s="7">
        <f>+C152-E152</f>
        <v>0</v>
      </c>
    </row>
    <row r="153" spans="1:7" ht="12.75">
      <c r="A153" s="17"/>
      <c r="C153" s="11"/>
      <c r="D153" s="11"/>
      <c r="E153" s="11"/>
      <c r="F153" s="11"/>
      <c r="G153" s="11"/>
    </row>
    <row r="154" spans="1:7" ht="13.5" customHeight="1">
      <c r="A154" s="31" t="s">
        <v>22</v>
      </c>
      <c r="C154" s="30"/>
      <c r="D154" s="30"/>
      <c r="E154" s="30"/>
      <c r="F154" s="14"/>
      <c r="G154" s="14"/>
    </row>
    <row r="155" spans="1:7" ht="13.5" customHeight="1">
      <c r="A155" s="32" t="s">
        <v>23</v>
      </c>
      <c r="C155" s="30"/>
      <c r="D155" s="30"/>
      <c r="E155" s="30"/>
      <c r="F155" s="14"/>
      <c r="G155" s="14"/>
    </row>
    <row r="156" spans="1:7" ht="27" customHeight="1">
      <c r="A156" s="29" t="s">
        <v>59</v>
      </c>
      <c r="C156" s="30">
        <v>48913</v>
      </c>
      <c r="D156" s="30"/>
      <c r="E156" s="30">
        <v>48913</v>
      </c>
      <c r="F156" s="14"/>
      <c r="G156" s="7">
        <f>+C156-E156</f>
        <v>0</v>
      </c>
    </row>
    <row r="157" spans="1:7" ht="12.75">
      <c r="A157" s="17"/>
      <c r="C157" s="11"/>
      <c r="D157" s="11"/>
      <c r="E157" s="11"/>
      <c r="F157" s="11"/>
      <c r="G157" s="11"/>
    </row>
    <row r="158" spans="1:7" ht="12.75">
      <c r="A158" s="4"/>
      <c r="C158" s="7"/>
      <c r="D158" s="7"/>
      <c r="E158" s="7"/>
      <c r="F158" s="7"/>
      <c r="G158" s="7"/>
    </row>
    <row r="159" spans="1:7" ht="12.75">
      <c r="A159" s="16" t="s">
        <v>27</v>
      </c>
      <c r="C159" s="7"/>
      <c r="D159" s="7"/>
      <c r="E159" s="7"/>
      <c r="F159" s="7"/>
      <c r="G159" s="7"/>
    </row>
    <row r="160" spans="1:7" ht="12.75">
      <c r="A160" s="4" t="s">
        <v>9</v>
      </c>
      <c r="C160" s="7">
        <v>50620415</v>
      </c>
      <c r="D160" s="7"/>
      <c r="E160" s="7">
        <v>50620415</v>
      </c>
      <c r="F160" s="7"/>
      <c r="G160" s="7">
        <f>+C160-E160</f>
        <v>0</v>
      </c>
    </row>
    <row r="161" spans="1:7" ht="12.75">
      <c r="A161" s="4" t="s">
        <v>10</v>
      </c>
      <c r="C161" s="7">
        <v>524598</v>
      </c>
      <c r="D161" s="7"/>
      <c r="E161" s="7">
        <v>524598</v>
      </c>
      <c r="F161" s="7"/>
      <c r="G161" s="7">
        <f>+C161-E161</f>
        <v>0</v>
      </c>
    </row>
    <row r="162" spans="1:7" ht="12.75">
      <c r="A162" s="4" t="s">
        <v>66</v>
      </c>
      <c r="C162" s="7">
        <v>5272444</v>
      </c>
      <c r="D162" s="7"/>
      <c r="E162" s="7">
        <v>5272444</v>
      </c>
      <c r="F162" s="7"/>
      <c r="G162" s="7">
        <f>+C162-E162</f>
        <v>0</v>
      </c>
    </row>
    <row r="163" spans="1:8" ht="12.75">
      <c r="A163" s="4" t="s">
        <v>11</v>
      </c>
      <c r="C163" s="78">
        <v>4557585</v>
      </c>
      <c r="D163" s="7"/>
      <c r="E163" s="78">
        <v>4557585</v>
      </c>
      <c r="F163" s="7"/>
      <c r="G163" s="78">
        <f>+C163-E163</f>
        <v>0</v>
      </c>
      <c r="H163" s="4"/>
    </row>
    <row r="164" spans="1:7" ht="12.75">
      <c r="A164" s="3" t="s">
        <v>19</v>
      </c>
      <c r="C164" s="14">
        <f>SUM(C159:C163)</f>
        <v>60975042</v>
      </c>
      <c r="D164" s="14"/>
      <c r="E164" s="14">
        <v>60975042</v>
      </c>
      <c r="F164" s="7"/>
      <c r="G164" s="14">
        <f>SUM(G159:G163)</f>
        <v>0</v>
      </c>
    </row>
    <row r="165" spans="1:7" ht="12.75">
      <c r="A165" s="4" t="s">
        <v>20</v>
      </c>
      <c r="C165" s="78">
        <v>-121093</v>
      </c>
      <c r="D165" s="7"/>
      <c r="E165" s="78">
        <v>-121093</v>
      </c>
      <c r="F165" s="7"/>
      <c r="G165" s="78">
        <f>+C165-E165</f>
        <v>0</v>
      </c>
    </row>
    <row r="166" spans="1:7" ht="12.75">
      <c r="A166" s="3" t="s">
        <v>12</v>
      </c>
      <c r="C166" s="14">
        <f>+C164+C165</f>
        <v>60853949</v>
      </c>
      <c r="D166" s="14"/>
      <c r="E166" s="14">
        <v>60853949</v>
      </c>
      <c r="F166" s="7"/>
      <c r="G166" s="14">
        <f>+G164+G165</f>
        <v>0</v>
      </c>
    </row>
    <row r="167" spans="1:7" ht="12.75">
      <c r="A167" s="3"/>
      <c r="C167" s="14"/>
      <c r="D167" s="14"/>
      <c r="E167" s="14"/>
      <c r="F167" s="7"/>
      <c r="G167" s="14"/>
    </row>
    <row r="168" spans="1:7" ht="12.75">
      <c r="A168" s="29" t="s">
        <v>18</v>
      </c>
      <c r="C168" s="62">
        <f>ROUND(C160/C164,3)</f>
        <v>0.83</v>
      </c>
      <c r="D168" s="34"/>
      <c r="E168" s="62">
        <v>0.83</v>
      </c>
      <c r="F168" s="35"/>
      <c r="G168" s="63">
        <f>+C168-E168</f>
        <v>0</v>
      </c>
    </row>
    <row r="169" spans="1:7" ht="12.75">
      <c r="A169" s="29" t="s">
        <v>92</v>
      </c>
      <c r="C169" s="62">
        <v>0.009</v>
      </c>
      <c r="D169" s="34"/>
      <c r="E169" s="62">
        <v>0.009</v>
      </c>
      <c r="F169" s="35"/>
      <c r="G169" s="63">
        <f>+C169-E169</f>
        <v>0</v>
      </c>
    </row>
    <row r="170" spans="1:7" ht="25.5">
      <c r="A170" s="29" t="s">
        <v>94</v>
      </c>
      <c r="C170" s="62">
        <f>ROUND(C162/C164,3)</f>
        <v>0.086</v>
      </c>
      <c r="D170" s="34"/>
      <c r="E170" s="62">
        <v>0.086</v>
      </c>
      <c r="F170" s="35"/>
      <c r="G170" s="63">
        <f>+C170-E170</f>
        <v>0</v>
      </c>
    </row>
    <row r="171" spans="1:7" ht="12.75">
      <c r="A171" s="29" t="s">
        <v>93</v>
      </c>
      <c r="C171" s="60">
        <v>0.075</v>
      </c>
      <c r="D171" s="34"/>
      <c r="E171" s="60">
        <v>0.075</v>
      </c>
      <c r="F171" s="35"/>
      <c r="G171" s="63">
        <f>+C171-E171</f>
        <v>0</v>
      </c>
    </row>
    <row r="172" spans="1:7" ht="12.75">
      <c r="A172" s="3" t="s">
        <v>6</v>
      </c>
      <c r="C172" s="60">
        <f>SUM(C168:C171)</f>
        <v>0.9999999999999999</v>
      </c>
      <c r="D172" s="34"/>
      <c r="E172" s="60">
        <v>1</v>
      </c>
      <c r="F172" s="35"/>
      <c r="G172" s="61">
        <f>+C172-E172</f>
        <v>0</v>
      </c>
    </row>
    <row r="173" spans="1:7" ht="12.75">
      <c r="A173" s="15"/>
      <c r="C173" s="34"/>
      <c r="D173" s="34"/>
      <c r="E173" s="34"/>
      <c r="F173" s="35"/>
      <c r="G173" s="27"/>
    </row>
    <row r="174" spans="1:7" ht="12.75">
      <c r="A174" s="4"/>
      <c r="C174" s="7"/>
      <c r="D174" s="7"/>
      <c r="E174" s="7"/>
      <c r="F174" s="7"/>
      <c r="G174" s="7"/>
    </row>
    <row r="175" spans="1:7" ht="12.75">
      <c r="A175" s="8" t="s">
        <v>13</v>
      </c>
      <c r="C175" s="7"/>
      <c r="D175" s="7"/>
      <c r="E175" s="7"/>
      <c r="F175" s="7"/>
      <c r="G175" s="7"/>
    </row>
    <row r="176" spans="1:7" ht="25.5">
      <c r="A176" s="4" t="s">
        <v>152</v>
      </c>
      <c r="C176" s="6">
        <v>0.01051</v>
      </c>
      <c r="D176" s="6"/>
      <c r="E176" s="6">
        <v>0.01051</v>
      </c>
      <c r="F176" s="6"/>
      <c r="G176" s="6">
        <f>+C176-E176</f>
        <v>0</v>
      </c>
    </row>
    <row r="177" spans="1:7" ht="12.75">
      <c r="A177" s="4" t="s">
        <v>14</v>
      </c>
      <c r="C177" s="7">
        <v>49617793</v>
      </c>
      <c r="D177" s="7"/>
      <c r="E177" s="7">
        <v>49617793</v>
      </c>
      <c r="F177" s="7"/>
      <c r="G177" s="7">
        <f>+C177-E177</f>
        <v>0</v>
      </c>
    </row>
    <row r="178" spans="1:7" ht="12.75">
      <c r="A178" s="4" t="s">
        <v>15</v>
      </c>
      <c r="C178" s="7">
        <v>521483</v>
      </c>
      <c r="D178" s="7"/>
      <c r="E178" s="7">
        <v>521483</v>
      </c>
      <c r="F178" s="7"/>
      <c r="G178" s="7">
        <f>+C178-E178</f>
        <v>0</v>
      </c>
    </row>
    <row r="179" spans="1:7" ht="12.75">
      <c r="A179" s="4" t="s">
        <v>16</v>
      </c>
      <c r="C179" s="78">
        <v>398555</v>
      </c>
      <c r="D179" s="7"/>
      <c r="E179" s="78">
        <v>398555</v>
      </c>
      <c r="F179" s="7"/>
      <c r="G179" s="78">
        <f>+C179-E179</f>
        <v>0</v>
      </c>
    </row>
    <row r="180" spans="1:7" ht="12.75">
      <c r="A180" s="4"/>
      <c r="C180" s="7"/>
      <c r="D180" s="7"/>
      <c r="E180" s="7"/>
      <c r="F180" s="7"/>
      <c r="G180" s="7"/>
    </row>
    <row r="181" spans="1:7" ht="12.75">
      <c r="A181" s="4" t="s">
        <v>58</v>
      </c>
      <c r="C181" s="14">
        <f>+C178-C179</f>
        <v>122928</v>
      </c>
      <c r="D181" s="14"/>
      <c r="E181" s="14">
        <v>122928</v>
      </c>
      <c r="F181" s="7"/>
      <c r="G181" s="14">
        <f>+G178-G179</f>
        <v>0</v>
      </c>
    </row>
  </sheetData>
  <printOptions gridLines="1" horizontalCentered="1" verticalCentered="1"/>
  <pageMargins left="0.5" right="0" top="0" bottom="0.5" header="0" footer="0"/>
  <pageSetup horizontalDpi="600" verticalDpi="600" orientation="portrait" scale="76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pane xSplit="2" ySplit="3" topLeftCell="I4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N66" sqref="N66"/>
    </sheetView>
  </sheetViews>
  <sheetFormatPr defaultColWidth="9.140625" defaultRowHeight="12.75"/>
  <cols>
    <col min="1" max="1" width="64.8515625" style="0" bestFit="1" customWidth="1"/>
    <col min="2" max="2" width="2.28125" style="0" customWidth="1"/>
    <col min="3" max="3" width="13.421875" style="0" customWidth="1"/>
    <col min="4" max="14" width="13.7109375" style="0" customWidth="1"/>
    <col min="15" max="15" width="2.28125" style="0" customWidth="1"/>
    <col min="16" max="16" width="13.7109375" style="0" customWidth="1"/>
    <col min="17" max="17" width="2.28125" style="0" customWidth="1"/>
  </cols>
  <sheetData>
    <row r="1" spans="1:3" ht="15.75">
      <c r="A1" s="12" t="s">
        <v>7</v>
      </c>
      <c r="B1" s="1"/>
      <c r="C1" s="57"/>
    </row>
    <row r="2" spans="1:16" ht="12.75">
      <c r="A2" s="2" t="s">
        <v>114</v>
      </c>
      <c r="B2" s="1"/>
      <c r="C2" s="54" t="s">
        <v>96</v>
      </c>
      <c r="D2" s="54" t="s">
        <v>97</v>
      </c>
      <c r="E2" s="54" t="s">
        <v>98</v>
      </c>
      <c r="F2" s="54" t="s">
        <v>99</v>
      </c>
      <c r="G2" s="54" t="s">
        <v>100</v>
      </c>
      <c r="H2" s="54" t="s">
        <v>101</v>
      </c>
      <c r="I2" s="54" t="s">
        <v>102</v>
      </c>
      <c r="J2" s="54" t="s">
        <v>103</v>
      </c>
      <c r="K2" s="54" t="s">
        <v>104</v>
      </c>
      <c r="L2" s="54" t="s">
        <v>105</v>
      </c>
      <c r="M2" s="54" t="s">
        <v>106</v>
      </c>
      <c r="N2" s="54" t="s">
        <v>107</v>
      </c>
      <c r="P2" s="54" t="s">
        <v>6</v>
      </c>
    </row>
    <row r="3" spans="1:16" ht="12.75">
      <c r="A3" s="50" t="s">
        <v>149</v>
      </c>
      <c r="B3" s="2"/>
      <c r="C3" s="54" t="s">
        <v>147</v>
      </c>
      <c r="D3" s="54" t="s">
        <v>147</v>
      </c>
      <c r="E3" s="54" t="s">
        <v>147</v>
      </c>
      <c r="F3" s="54" t="s">
        <v>147</v>
      </c>
      <c r="G3" s="54" t="s">
        <v>147</v>
      </c>
      <c r="H3" s="54" t="s">
        <v>147</v>
      </c>
      <c r="I3" s="54" t="s">
        <v>147</v>
      </c>
      <c r="J3" s="54" t="s">
        <v>147</v>
      </c>
      <c r="K3" s="54" t="s">
        <v>147</v>
      </c>
      <c r="L3" s="54" t="s">
        <v>147</v>
      </c>
      <c r="M3" s="54" t="s">
        <v>147</v>
      </c>
      <c r="N3" s="54" t="s">
        <v>147</v>
      </c>
      <c r="O3" s="54"/>
      <c r="P3" s="54" t="s">
        <v>147</v>
      </c>
    </row>
    <row r="4" spans="1:3" ht="12.75">
      <c r="A4" s="13"/>
      <c r="B4" s="2"/>
      <c r="C4" s="3"/>
    </row>
    <row r="5" spans="1:3" ht="12.75">
      <c r="A5" s="18" t="s">
        <v>56</v>
      </c>
      <c r="B5" s="2"/>
      <c r="C5" s="3"/>
    </row>
    <row r="6" spans="1:16" ht="12.75">
      <c r="A6" s="20" t="s">
        <v>137</v>
      </c>
      <c r="B6" s="2"/>
      <c r="C6" s="22">
        <f>+C63</f>
        <v>4880732</v>
      </c>
      <c r="D6" s="22">
        <v>6169875</v>
      </c>
      <c r="E6" s="22">
        <v>5748092</v>
      </c>
      <c r="F6" s="22">
        <v>5830053</v>
      </c>
      <c r="G6" s="22">
        <v>5705345</v>
      </c>
      <c r="H6" s="22">
        <v>5508388</v>
      </c>
      <c r="I6" s="22">
        <v>4372798</v>
      </c>
      <c r="J6" s="22">
        <v>4236648</v>
      </c>
      <c r="K6" s="22">
        <v>4019669</v>
      </c>
      <c r="L6" s="22">
        <v>3806605</v>
      </c>
      <c r="M6" s="22">
        <v>3632110</v>
      </c>
      <c r="N6" s="22">
        <v>22706439</v>
      </c>
      <c r="O6" s="7"/>
      <c r="P6" s="14">
        <f>SUM(C6:N6)</f>
        <v>76616754</v>
      </c>
    </row>
    <row r="7" spans="1:16" ht="12.75">
      <c r="A7" s="20"/>
      <c r="B7" s="2"/>
      <c r="C7" s="22"/>
      <c r="K7" s="22"/>
      <c r="P7" s="70"/>
    </row>
    <row r="8" spans="1:16" ht="12.75">
      <c r="A8" s="20" t="s">
        <v>136</v>
      </c>
      <c r="B8" s="2"/>
      <c r="C8" s="22">
        <v>3991163</v>
      </c>
      <c r="D8" s="7">
        <v>3590810</v>
      </c>
      <c r="E8" s="7">
        <v>3651810</v>
      </c>
      <c r="F8" s="7">
        <v>3647040</v>
      </c>
      <c r="G8" s="7">
        <v>3922590</v>
      </c>
      <c r="H8" s="7">
        <v>3627274</v>
      </c>
      <c r="I8" s="7">
        <v>3805325</v>
      </c>
      <c r="J8" s="7">
        <v>4088830</v>
      </c>
      <c r="K8" s="7">
        <v>3740010</v>
      </c>
      <c r="L8" s="7">
        <v>3260302</v>
      </c>
      <c r="M8" s="7">
        <v>2786040</v>
      </c>
      <c r="N8" s="7">
        <v>4074321</v>
      </c>
      <c r="P8" s="14">
        <f>SUM(C8:N8)</f>
        <v>44185515</v>
      </c>
    </row>
    <row r="9" spans="1:16" ht="12.75">
      <c r="A9" s="19"/>
      <c r="B9" s="2"/>
      <c r="C9" s="22"/>
      <c r="P9" s="70"/>
    </row>
    <row r="10" spans="1:16" ht="12.75">
      <c r="A10" s="20" t="s">
        <v>138</v>
      </c>
      <c r="B10" s="2"/>
      <c r="C10" s="22">
        <f aca="true" t="shared" si="0" ref="C10:J10">+C6-C8</f>
        <v>889569</v>
      </c>
      <c r="D10" s="22">
        <f t="shared" si="0"/>
        <v>2579065</v>
      </c>
      <c r="E10" s="22">
        <f t="shared" si="0"/>
        <v>2096282</v>
      </c>
      <c r="F10" s="22">
        <f t="shared" si="0"/>
        <v>2183013</v>
      </c>
      <c r="G10" s="22">
        <f t="shared" si="0"/>
        <v>1782755</v>
      </c>
      <c r="H10" s="22">
        <f t="shared" si="0"/>
        <v>1881114</v>
      </c>
      <c r="I10" s="22">
        <f t="shared" si="0"/>
        <v>567473</v>
      </c>
      <c r="J10" s="22">
        <f t="shared" si="0"/>
        <v>147818</v>
      </c>
      <c r="K10" s="22">
        <f>+K6-K8</f>
        <v>279659</v>
      </c>
      <c r="L10" s="22">
        <f>+L6-L8</f>
        <v>546303</v>
      </c>
      <c r="M10" s="22">
        <f>+M6-M8</f>
        <v>846070</v>
      </c>
      <c r="N10" s="22">
        <f>+N6-N8</f>
        <v>18632118</v>
      </c>
      <c r="P10" s="14">
        <f>+P6-P8</f>
        <v>32431239</v>
      </c>
    </row>
    <row r="11" spans="1:3" ht="12.75">
      <c r="A11" s="19"/>
      <c r="B11" s="2"/>
      <c r="C11" s="22"/>
    </row>
    <row r="12" spans="1:16" ht="25.5">
      <c r="A12" s="21" t="s">
        <v>60</v>
      </c>
      <c r="B12" s="2"/>
      <c r="C12" s="26">
        <f>+C45</f>
        <v>0.847</v>
      </c>
      <c r="D12" s="26">
        <f>+D45</f>
        <v>0.851</v>
      </c>
      <c r="E12" s="26">
        <f aca="true" t="shared" si="1" ref="E12:J12">+E45</f>
        <v>0.793</v>
      </c>
      <c r="F12" s="26">
        <f t="shared" si="1"/>
        <v>0.787</v>
      </c>
      <c r="G12" s="26">
        <f t="shared" si="1"/>
        <v>0.776</v>
      </c>
      <c r="H12" s="26">
        <f t="shared" si="1"/>
        <v>0.727</v>
      </c>
      <c r="I12" s="26">
        <f t="shared" si="1"/>
        <v>0.683</v>
      </c>
      <c r="J12" s="26">
        <f t="shared" si="1"/>
        <v>0.762</v>
      </c>
      <c r="K12" s="26">
        <f>+K45</f>
        <v>0.797</v>
      </c>
      <c r="L12" s="26">
        <f>+L45</f>
        <v>0.78</v>
      </c>
      <c r="M12" s="26">
        <v>0.819</v>
      </c>
      <c r="N12" s="26">
        <f>+N45</f>
        <v>0.83</v>
      </c>
      <c r="P12" s="71">
        <f>SUM(C12:N12)/12</f>
        <v>0.7876666666666666</v>
      </c>
    </row>
    <row r="13" spans="1:16" ht="12.75">
      <c r="A13" s="19"/>
      <c r="B13" s="2"/>
      <c r="C13" s="22"/>
      <c r="P13" s="70"/>
    </row>
    <row r="14" spans="1:16" ht="12.75">
      <c r="A14" s="20" t="s">
        <v>87</v>
      </c>
      <c r="B14" s="2"/>
      <c r="C14" s="22">
        <f aca="true" t="shared" si="2" ref="C14:H14">ROUND(C10*C12,0)</f>
        <v>753465</v>
      </c>
      <c r="D14" s="22">
        <f t="shared" si="2"/>
        <v>2194784</v>
      </c>
      <c r="E14" s="22">
        <f t="shared" si="2"/>
        <v>1662352</v>
      </c>
      <c r="F14" s="22">
        <f t="shared" si="2"/>
        <v>1718031</v>
      </c>
      <c r="G14" s="22">
        <f t="shared" si="2"/>
        <v>1383418</v>
      </c>
      <c r="H14" s="22">
        <f t="shared" si="2"/>
        <v>1367570</v>
      </c>
      <c r="I14" s="22">
        <f aca="true" t="shared" si="3" ref="I14:N14">ROUND(I10*I12,0)</f>
        <v>387584</v>
      </c>
      <c r="J14" s="22">
        <f>ROUND(J10*J12,0)</f>
        <v>112637</v>
      </c>
      <c r="K14" s="22">
        <f>ROUND(K10*K12,0)</f>
        <v>222888</v>
      </c>
      <c r="L14" s="22">
        <f t="shared" si="3"/>
        <v>426116</v>
      </c>
      <c r="M14" s="22">
        <f t="shared" si="3"/>
        <v>692931</v>
      </c>
      <c r="N14" s="22">
        <f t="shared" si="3"/>
        <v>15464658</v>
      </c>
      <c r="P14" s="14">
        <f>SUM(C14:N14)</f>
        <v>26386434</v>
      </c>
    </row>
    <row r="15" spans="1:16" ht="12.75">
      <c r="A15" s="20"/>
      <c r="B15" s="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P15" s="14"/>
    </row>
    <row r="16" spans="1:16" ht="25.5">
      <c r="A16" s="21" t="s">
        <v>139</v>
      </c>
      <c r="B16" s="2"/>
      <c r="C16" s="22">
        <f>+C47</f>
        <v>-49885</v>
      </c>
      <c r="D16" s="22">
        <f aca="true" t="shared" si="4" ref="D16:N16">+D47</f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  <c r="M16" s="22">
        <f t="shared" si="4"/>
        <v>0</v>
      </c>
      <c r="N16" s="22">
        <f t="shared" si="4"/>
        <v>0</v>
      </c>
      <c r="P16" s="14">
        <f>SUM(C16:N16)</f>
        <v>-49885</v>
      </c>
    </row>
    <row r="17" spans="1:16" ht="12.75">
      <c r="A17" s="20"/>
      <c r="B17" s="2"/>
      <c r="C17" s="22"/>
      <c r="P17" s="70"/>
    </row>
    <row r="18" spans="1:16" ht="12.75">
      <c r="A18" s="21" t="s">
        <v>61</v>
      </c>
      <c r="B18" s="2"/>
      <c r="C18" s="22">
        <f aca="true" t="shared" si="5" ref="C18:M18">+C48</f>
        <v>-877185</v>
      </c>
      <c r="D18" s="22">
        <f t="shared" si="5"/>
        <v>-167756</v>
      </c>
      <c r="E18" s="22">
        <f t="shared" si="5"/>
        <v>-174939</v>
      </c>
      <c r="F18" s="22">
        <f t="shared" si="5"/>
        <v>759603</v>
      </c>
      <c r="G18" s="22">
        <f t="shared" si="5"/>
        <v>179377</v>
      </c>
      <c r="H18" s="22">
        <f t="shared" si="5"/>
        <v>7110</v>
      </c>
      <c r="I18" s="22">
        <f t="shared" si="5"/>
        <v>-235309</v>
      </c>
      <c r="J18" s="22">
        <f t="shared" si="5"/>
        <v>-197884</v>
      </c>
      <c r="K18" s="22">
        <f t="shared" si="5"/>
        <v>5290</v>
      </c>
      <c r="L18" s="22">
        <f t="shared" si="5"/>
        <v>-27561</v>
      </c>
      <c r="M18" s="22">
        <f t="shared" si="5"/>
        <v>15676</v>
      </c>
      <c r="N18" s="22">
        <f>+N48</f>
        <v>-122928</v>
      </c>
      <c r="P18" s="14">
        <f>SUM(C18:N18)</f>
        <v>-836506</v>
      </c>
    </row>
    <row r="19" spans="1:16" ht="12.75">
      <c r="A19" s="19"/>
      <c r="B19" s="2"/>
      <c r="C19" s="22"/>
      <c r="D19" s="22"/>
      <c r="P19" s="70"/>
    </row>
    <row r="20" spans="1:16" ht="12.75">
      <c r="A20" s="20" t="s">
        <v>77</v>
      </c>
      <c r="B20" s="2"/>
      <c r="C20" s="22">
        <f>+C14+C16+C18</f>
        <v>-173605</v>
      </c>
      <c r="D20" s="22">
        <f aca="true" t="shared" si="6" ref="D20:P20">+D14+D16+D18</f>
        <v>2027028</v>
      </c>
      <c r="E20" s="22">
        <f t="shared" si="6"/>
        <v>1487413</v>
      </c>
      <c r="F20" s="22">
        <f t="shared" si="6"/>
        <v>2477634</v>
      </c>
      <c r="G20" s="22">
        <f t="shared" si="6"/>
        <v>1562795</v>
      </c>
      <c r="H20" s="22">
        <f t="shared" si="6"/>
        <v>1374680</v>
      </c>
      <c r="I20" s="22">
        <f t="shared" si="6"/>
        <v>152275</v>
      </c>
      <c r="J20" s="22">
        <f t="shared" si="6"/>
        <v>-85247</v>
      </c>
      <c r="K20" s="22">
        <f t="shared" si="6"/>
        <v>228178</v>
      </c>
      <c r="L20" s="22">
        <f t="shared" si="6"/>
        <v>398555</v>
      </c>
      <c r="M20" s="22">
        <f t="shared" si="6"/>
        <v>708607</v>
      </c>
      <c r="N20" s="22">
        <f t="shared" si="6"/>
        <v>15341730</v>
      </c>
      <c r="O20" s="22"/>
      <c r="P20" s="72">
        <f t="shared" si="6"/>
        <v>25500043</v>
      </c>
    </row>
    <row r="21" spans="1:16" ht="12.75">
      <c r="A21" s="19"/>
      <c r="B21" s="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P21" s="70"/>
    </row>
    <row r="22" spans="1:16" ht="12.75">
      <c r="A22" s="20" t="s">
        <v>24</v>
      </c>
      <c r="B22" s="2"/>
      <c r="C22" s="22">
        <f aca="true" t="shared" si="7" ref="C22:H22">+C20</f>
        <v>-173605</v>
      </c>
      <c r="D22" s="22">
        <f t="shared" si="7"/>
        <v>2027028</v>
      </c>
      <c r="E22" s="22">
        <f t="shared" si="7"/>
        <v>1487413</v>
      </c>
      <c r="F22" s="22">
        <f t="shared" si="7"/>
        <v>2477634</v>
      </c>
      <c r="G22" s="22">
        <f t="shared" si="7"/>
        <v>1562795</v>
      </c>
      <c r="H22" s="22">
        <f t="shared" si="7"/>
        <v>1374680</v>
      </c>
      <c r="I22" s="22">
        <f aca="true" t="shared" si="8" ref="I22:N22">+I20</f>
        <v>152275</v>
      </c>
      <c r="J22" s="22">
        <f t="shared" si="8"/>
        <v>-85247</v>
      </c>
      <c r="K22" s="22">
        <f t="shared" si="8"/>
        <v>228178</v>
      </c>
      <c r="L22" s="22">
        <f t="shared" si="8"/>
        <v>398555</v>
      </c>
      <c r="M22" s="22">
        <f t="shared" si="8"/>
        <v>708607</v>
      </c>
      <c r="N22" s="22">
        <f t="shared" si="8"/>
        <v>15341730</v>
      </c>
      <c r="P22" s="14">
        <f>SUM(C22:N22)</f>
        <v>25500043</v>
      </c>
    </row>
    <row r="23" spans="1:16" ht="12.75">
      <c r="A23" s="19"/>
      <c r="B23" s="2"/>
      <c r="C23" s="22"/>
      <c r="D23" s="22"/>
      <c r="P23" s="70"/>
    </row>
    <row r="24" spans="1:16" ht="12.75">
      <c r="A24" s="20" t="s">
        <v>25</v>
      </c>
      <c r="B24" s="2"/>
      <c r="C24" s="22">
        <f aca="true" t="shared" si="9" ref="C24:H24">+C67</f>
        <v>65952346</v>
      </c>
      <c r="D24" s="22">
        <f t="shared" si="9"/>
        <v>58755458</v>
      </c>
      <c r="E24" s="22">
        <f t="shared" si="9"/>
        <v>44307469</v>
      </c>
      <c r="F24" s="22">
        <f t="shared" si="9"/>
        <v>42540201</v>
      </c>
      <c r="G24" s="22">
        <f t="shared" si="9"/>
        <v>40424987</v>
      </c>
      <c r="H24" s="22">
        <f t="shared" si="9"/>
        <v>46953714</v>
      </c>
      <c r="I24" s="22">
        <f aca="true" t="shared" si="10" ref="I24:N24">+I67</f>
        <v>46534433</v>
      </c>
      <c r="J24" s="22">
        <f t="shared" si="10"/>
        <v>47519210</v>
      </c>
      <c r="K24" s="22">
        <f t="shared" si="10"/>
        <v>44097032</v>
      </c>
      <c r="L24" s="22">
        <f t="shared" si="10"/>
        <v>38287502</v>
      </c>
      <c r="M24" s="22">
        <f t="shared" si="10"/>
        <v>42852396</v>
      </c>
      <c r="N24" s="22">
        <f t="shared" si="10"/>
        <v>50620415</v>
      </c>
      <c r="P24" s="14">
        <f>SUM(C24:N24)</f>
        <v>568845163</v>
      </c>
    </row>
    <row r="25" spans="1:14" ht="12.75">
      <c r="A25" s="4"/>
      <c r="B25" s="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6" ht="25.5">
      <c r="A26" s="8" t="s">
        <v>108</v>
      </c>
      <c r="C26" s="45">
        <f aca="true" t="shared" si="11" ref="C26:H26">ROUND(C22/C24,6)</f>
        <v>-0.002632</v>
      </c>
      <c r="D26" s="45">
        <f t="shared" si="11"/>
        <v>0.034499</v>
      </c>
      <c r="E26" s="45">
        <f t="shared" si="11"/>
        <v>0.03357</v>
      </c>
      <c r="F26" s="45">
        <f t="shared" si="11"/>
        <v>0.058242</v>
      </c>
      <c r="G26" s="45">
        <f t="shared" si="11"/>
        <v>0.038659</v>
      </c>
      <c r="H26" s="45">
        <f t="shared" si="11"/>
        <v>0.029277</v>
      </c>
      <c r="I26" s="45">
        <f aca="true" t="shared" si="12" ref="I26:N26">ROUND(I22/I24,6)</f>
        <v>0.003272</v>
      </c>
      <c r="J26" s="45">
        <f t="shared" si="12"/>
        <v>-0.001794</v>
      </c>
      <c r="K26" s="45">
        <f t="shared" si="12"/>
        <v>0.005174</v>
      </c>
      <c r="L26" s="45">
        <f t="shared" si="12"/>
        <v>0.01041</v>
      </c>
      <c r="M26" s="45">
        <f t="shared" si="12"/>
        <v>0.016536</v>
      </c>
      <c r="N26" s="45">
        <f t="shared" si="12"/>
        <v>0.303074</v>
      </c>
      <c r="P26" s="69">
        <f>SUM(C26:N26)/12</f>
        <v>0.04402391666666666</v>
      </c>
    </row>
    <row r="27" spans="1:3" ht="12.75">
      <c r="A27" s="8"/>
      <c r="C27" s="45"/>
    </row>
    <row r="28" spans="1:3" ht="12.75">
      <c r="A28" s="8"/>
      <c r="C28" s="45"/>
    </row>
    <row r="29" spans="1:3" ht="12.75">
      <c r="A29" s="3" t="s">
        <v>90</v>
      </c>
      <c r="C29" s="14"/>
    </row>
    <row r="30" spans="1:16" ht="12.75">
      <c r="A30" s="29" t="s">
        <v>91</v>
      </c>
      <c r="C30" s="30">
        <f aca="true" t="shared" si="13" ref="C30:H30">+C10</f>
        <v>889569</v>
      </c>
      <c r="D30" s="30">
        <f t="shared" si="13"/>
        <v>2579065</v>
      </c>
      <c r="E30" s="30">
        <f t="shared" si="13"/>
        <v>2096282</v>
      </c>
      <c r="F30" s="30">
        <f t="shared" si="13"/>
        <v>2183013</v>
      </c>
      <c r="G30" s="30">
        <f t="shared" si="13"/>
        <v>1782755</v>
      </c>
      <c r="H30" s="30">
        <f t="shared" si="13"/>
        <v>1881114</v>
      </c>
      <c r="I30" s="30">
        <f aca="true" t="shared" si="14" ref="I30:N30">+I10</f>
        <v>567473</v>
      </c>
      <c r="J30" s="30">
        <f t="shared" si="14"/>
        <v>147818</v>
      </c>
      <c r="K30" s="30">
        <f t="shared" si="14"/>
        <v>279659</v>
      </c>
      <c r="L30" s="30">
        <f t="shared" si="14"/>
        <v>546303</v>
      </c>
      <c r="M30" s="30">
        <f t="shared" si="14"/>
        <v>846070</v>
      </c>
      <c r="N30" s="30">
        <f t="shared" si="14"/>
        <v>18632118</v>
      </c>
      <c r="P30" s="55">
        <f>SUM(C30:N30)</f>
        <v>32431239</v>
      </c>
    </row>
    <row r="31" spans="1:16" ht="25.5">
      <c r="A31" s="73" t="s">
        <v>129</v>
      </c>
      <c r="C31" s="30">
        <f>+C47</f>
        <v>-49885</v>
      </c>
      <c r="D31" s="30">
        <f aca="true" t="shared" si="15" ref="D31:N31">+D47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>
        <f t="shared" si="15"/>
        <v>0</v>
      </c>
      <c r="K31" s="30">
        <f t="shared" si="15"/>
        <v>0</v>
      </c>
      <c r="L31" s="30">
        <f t="shared" si="15"/>
        <v>0</v>
      </c>
      <c r="M31" s="30">
        <f t="shared" si="15"/>
        <v>0</v>
      </c>
      <c r="N31" s="30">
        <f t="shared" si="15"/>
        <v>0</v>
      </c>
      <c r="P31" s="55">
        <f>SUM(C31:N31)</f>
        <v>-49885</v>
      </c>
    </row>
    <row r="32" spans="1:16" ht="12.75">
      <c r="A32" s="29" t="s">
        <v>89</v>
      </c>
      <c r="C32" s="30">
        <f aca="true" t="shared" si="16" ref="C32:I32">+C18</f>
        <v>-877185</v>
      </c>
      <c r="D32" s="30">
        <f t="shared" si="16"/>
        <v>-167756</v>
      </c>
      <c r="E32" s="30">
        <f t="shared" si="16"/>
        <v>-174939</v>
      </c>
      <c r="F32" s="30">
        <f t="shared" si="16"/>
        <v>759603</v>
      </c>
      <c r="G32" s="30">
        <f t="shared" si="16"/>
        <v>179377</v>
      </c>
      <c r="H32" s="30">
        <f t="shared" si="16"/>
        <v>7110</v>
      </c>
      <c r="I32" s="30">
        <f t="shared" si="16"/>
        <v>-235309</v>
      </c>
      <c r="J32" s="30">
        <f>+J18</f>
        <v>-197884</v>
      </c>
      <c r="K32" s="30">
        <f>+K18</f>
        <v>5290</v>
      </c>
      <c r="L32" s="30">
        <f>+L18</f>
        <v>-27561</v>
      </c>
      <c r="M32" s="30">
        <f>+M18</f>
        <v>15676</v>
      </c>
      <c r="N32" s="30">
        <v>-122928</v>
      </c>
      <c r="P32" s="55">
        <f>SUM(C32:N32)</f>
        <v>-836506</v>
      </c>
    </row>
    <row r="33" spans="1:16" ht="12.75">
      <c r="A33" s="3" t="s">
        <v>80</v>
      </c>
      <c r="C33" s="14">
        <f aca="true" t="shared" si="17" ref="C33:N33">SUM(C30:C32)</f>
        <v>-37501</v>
      </c>
      <c r="D33" s="14">
        <f t="shared" si="17"/>
        <v>2411309</v>
      </c>
      <c r="E33" s="14">
        <f t="shared" si="17"/>
        <v>1921343</v>
      </c>
      <c r="F33" s="14">
        <f t="shared" si="17"/>
        <v>2942616</v>
      </c>
      <c r="G33" s="14">
        <f t="shared" si="17"/>
        <v>1962132</v>
      </c>
      <c r="H33" s="14">
        <f t="shared" si="17"/>
        <v>1888224</v>
      </c>
      <c r="I33" s="14">
        <f t="shared" si="17"/>
        <v>332164</v>
      </c>
      <c r="J33" s="14">
        <f t="shared" si="17"/>
        <v>-50066</v>
      </c>
      <c r="K33" s="14">
        <f t="shared" si="17"/>
        <v>284949</v>
      </c>
      <c r="L33" s="14">
        <f t="shared" si="17"/>
        <v>518742</v>
      </c>
      <c r="M33" s="14">
        <f t="shared" si="17"/>
        <v>861746</v>
      </c>
      <c r="N33" s="14">
        <f t="shared" si="17"/>
        <v>18509190</v>
      </c>
      <c r="P33" s="55">
        <f>SUM(C33:N33)</f>
        <v>31544848</v>
      </c>
    </row>
    <row r="34" spans="1:6" ht="12.75">
      <c r="A34" s="8"/>
      <c r="C34" s="45"/>
      <c r="E34" s="7"/>
      <c r="F34" s="7"/>
    </row>
    <row r="35" spans="1:6" ht="12.75">
      <c r="A35" s="8"/>
      <c r="C35" s="45"/>
      <c r="E35" s="7"/>
      <c r="F35" s="7"/>
    </row>
    <row r="36" spans="1:6" ht="12.75">
      <c r="A36" s="49" t="s">
        <v>79</v>
      </c>
      <c r="C36" s="14"/>
      <c r="E36" s="7"/>
      <c r="F36" s="7"/>
    </row>
    <row r="37" spans="1:16" ht="12.75">
      <c r="A37" s="4" t="s">
        <v>9</v>
      </c>
      <c r="C37" s="55">
        <f>+C49</f>
        <v>-173605</v>
      </c>
      <c r="D37" s="55">
        <f>+D49</f>
        <v>2027028</v>
      </c>
      <c r="E37" s="55">
        <v>1487758</v>
      </c>
      <c r="F37" s="55">
        <v>2477634</v>
      </c>
      <c r="G37" s="55">
        <v>1562795</v>
      </c>
      <c r="H37" s="55">
        <v>1374680</v>
      </c>
      <c r="I37" s="55">
        <v>152275</v>
      </c>
      <c r="J37" s="55">
        <v>-85247</v>
      </c>
      <c r="K37" s="55">
        <v>228178</v>
      </c>
      <c r="L37" s="55">
        <v>398555</v>
      </c>
      <c r="M37" s="55">
        <v>720452</v>
      </c>
      <c r="N37" s="55">
        <v>15341730</v>
      </c>
      <c r="P37" s="55">
        <f>SUM(C37:N37)</f>
        <v>25512233</v>
      </c>
    </row>
    <row r="38" spans="1:16" ht="12.75">
      <c r="A38" s="4" t="s">
        <v>10</v>
      </c>
      <c r="C38" s="30">
        <f>ROUND(C44*C51,0)</f>
        <v>7117</v>
      </c>
      <c r="D38" s="30">
        <f>ROUND(D44*D51,0)</f>
        <v>2063252</v>
      </c>
      <c r="E38" s="30">
        <v>16774</v>
      </c>
      <c r="F38" s="30">
        <v>17464</v>
      </c>
      <c r="G38" s="30">
        <v>26741</v>
      </c>
      <c r="H38" s="30">
        <v>15049</v>
      </c>
      <c r="I38" s="30">
        <v>4540</v>
      </c>
      <c r="J38" s="30">
        <v>1183</v>
      </c>
      <c r="K38" s="30">
        <v>2237</v>
      </c>
      <c r="L38" s="30">
        <v>4370</v>
      </c>
      <c r="M38" s="30">
        <v>6769</v>
      </c>
      <c r="N38" s="30">
        <v>167689</v>
      </c>
      <c r="P38" s="7">
        <f>SUM(C38:N38)</f>
        <v>2333185</v>
      </c>
    </row>
    <row r="39" spans="1:16" ht="12.75">
      <c r="A39" s="4" t="s">
        <v>66</v>
      </c>
      <c r="C39" s="30">
        <f>ROUND(C44*C52,0)</f>
        <v>57822</v>
      </c>
      <c r="D39" s="30">
        <f>ROUND(D44*D52,0)</f>
        <v>175376</v>
      </c>
      <c r="E39" s="30">
        <v>213865</v>
      </c>
      <c r="F39" s="30">
        <v>183373</v>
      </c>
      <c r="G39" s="30">
        <v>217496</v>
      </c>
      <c r="H39" s="30">
        <v>203160</v>
      </c>
      <c r="I39" s="30">
        <v>66962</v>
      </c>
      <c r="J39" s="30">
        <v>13451</v>
      </c>
      <c r="K39" s="30">
        <v>20974</v>
      </c>
      <c r="L39" s="30">
        <v>69927</v>
      </c>
      <c r="M39" s="30">
        <v>76992</v>
      </c>
      <c r="N39" s="30">
        <v>1602362</v>
      </c>
      <c r="P39" s="7">
        <f>SUM(C39:N39)</f>
        <v>2901760</v>
      </c>
    </row>
    <row r="40" spans="1:16" ht="12.75">
      <c r="A40" s="4" t="s">
        <v>113</v>
      </c>
      <c r="C40" s="43">
        <f>ROUND(C44*C53,0)</f>
        <v>71166</v>
      </c>
      <c r="D40" s="43">
        <f>ROUND(D44*D53,0)</f>
        <v>188272</v>
      </c>
      <c r="E40" s="43">
        <v>203382</v>
      </c>
      <c r="F40" s="43">
        <v>264145</v>
      </c>
      <c r="G40" s="43">
        <v>155100</v>
      </c>
      <c r="H40" s="43">
        <v>295335</v>
      </c>
      <c r="I40" s="43">
        <v>108387</v>
      </c>
      <c r="J40" s="43">
        <v>20547</v>
      </c>
      <c r="K40" s="43">
        <v>33559</v>
      </c>
      <c r="L40" s="43">
        <v>45889</v>
      </c>
      <c r="M40" s="43">
        <v>57533</v>
      </c>
      <c r="N40" s="43">
        <v>1397409</v>
      </c>
      <c r="P40" s="43">
        <f>SUM(C40:N40)</f>
        <v>2840724</v>
      </c>
    </row>
    <row r="41" spans="1:16" ht="12.75">
      <c r="A41" s="3" t="s">
        <v>78</v>
      </c>
      <c r="C41" s="14">
        <f>SUM(C37:C40)</f>
        <v>-37500</v>
      </c>
      <c r="D41" s="14">
        <f aca="true" t="shared" si="18" ref="D41:N41">SUM(D37:D40)</f>
        <v>4453928</v>
      </c>
      <c r="E41" s="14">
        <f t="shared" si="18"/>
        <v>1921779</v>
      </c>
      <c r="F41" s="14">
        <f t="shared" si="18"/>
        <v>2942616</v>
      </c>
      <c r="G41" s="14">
        <f t="shared" si="18"/>
        <v>1962132</v>
      </c>
      <c r="H41" s="14">
        <f t="shared" si="18"/>
        <v>1888224</v>
      </c>
      <c r="I41" s="14">
        <f t="shared" si="18"/>
        <v>332164</v>
      </c>
      <c r="J41" s="14">
        <f t="shared" si="18"/>
        <v>-50066</v>
      </c>
      <c r="K41" s="14">
        <f t="shared" si="18"/>
        <v>284948</v>
      </c>
      <c r="L41" s="14">
        <f t="shared" si="18"/>
        <v>518741</v>
      </c>
      <c r="M41" s="14">
        <f t="shared" si="18"/>
        <v>861746</v>
      </c>
      <c r="N41" s="14">
        <f t="shared" si="18"/>
        <v>18509190</v>
      </c>
      <c r="P41" s="14">
        <f>SUM(P37:P40)</f>
        <v>33587902</v>
      </c>
    </row>
    <row r="43" spans="1:14" ht="12.75">
      <c r="A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6" ht="12.75">
      <c r="A44" s="29" t="s">
        <v>95</v>
      </c>
      <c r="C44" s="30">
        <v>889569</v>
      </c>
      <c r="D44" s="30">
        <v>2579065</v>
      </c>
      <c r="E44" s="30">
        <v>2096718</v>
      </c>
      <c r="F44" s="30">
        <v>2183013</v>
      </c>
      <c r="G44" s="30">
        <v>1782755</v>
      </c>
      <c r="H44" s="30">
        <f>+H10</f>
        <v>1881114</v>
      </c>
      <c r="I44" s="30">
        <v>567473</v>
      </c>
      <c r="J44" s="30">
        <v>147818</v>
      </c>
      <c r="K44" s="30">
        <v>279659</v>
      </c>
      <c r="L44" s="30">
        <v>546303</v>
      </c>
      <c r="M44" s="30">
        <v>846070</v>
      </c>
      <c r="N44" s="30">
        <v>18632118</v>
      </c>
      <c r="P44" s="64">
        <f>SUM(C44:N44)</f>
        <v>32431675</v>
      </c>
    </row>
    <row r="45" spans="1:16" ht="12.75">
      <c r="A45" s="29" t="s">
        <v>18</v>
      </c>
      <c r="C45" s="66">
        <v>0.847</v>
      </c>
      <c r="D45" s="66">
        <v>0.851</v>
      </c>
      <c r="E45" s="66">
        <v>0.793</v>
      </c>
      <c r="F45" s="66">
        <v>0.787</v>
      </c>
      <c r="G45" s="66">
        <v>0.776</v>
      </c>
      <c r="H45" s="66">
        <v>0.727</v>
      </c>
      <c r="I45" s="66">
        <v>0.683</v>
      </c>
      <c r="J45" s="66">
        <v>0.762</v>
      </c>
      <c r="K45" s="66">
        <v>0.797</v>
      </c>
      <c r="L45" s="66">
        <v>0.78</v>
      </c>
      <c r="M45" s="66">
        <v>0.833</v>
      </c>
      <c r="N45" s="66">
        <v>0.83</v>
      </c>
      <c r="P45" s="75">
        <f>SUM(C45:N45)/12</f>
        <v>0.7888333333333334</v>
      </c>
    </row>
    <row r="46" spans="1:16" ht="12.75">
      <c r="A46" s="19" t="s">
        <v>88</v>
      </c>
      <c r="C46" s="30">
        <f>ROUND(C44*C45,0)</f>
        <v>753465</v>
      </c>
      <c r="D46" s="30">
        <f>ROUND(D44*D45,0)</f>
        <v>2194784</v>
      </c>
      <c r="E46" s="30">
        <f aca="true" t="shared" si="19" ref="E46:N46">ROUND(E44*E45,0)</f>
        <v>1662697</v>
      </c>
      <c r="F46" s="30">
        <f t="shared" si="19"/>
        <v>1718031</v>
      </c>
      <c r="G46" s="30">
        <f t="shared" si="19"/>
        <v>1383418</v>
      </c>
      <c r="H46" s="30">
        <f t="shared" si="19"/>
        <v>1367570</v>
      </c>
      <c r="I46" s="30">
        <f t="shared" si="19"/>
        <v>387584</v>
      </c>
      <c r="J46" s="30">
        <f t="shared" si="19"/>
        <v>112637</v>
      </c>
      <c r="K46" s="30">
        <f t="shared" si="19"/>
        <v>222888</v>
      </c>
      <c r="L46" s="30">
        <f t="shared" si="19"/>
        <v>426116</v>
      </c>
      <c r="M46" s="30">
        <f t="shared" si="19"/>
        <v>704776</v>
      </c>
      <c r="N46" s="30">
        <f t="shared" si="19"/>
        <v>15464658</v>
      </c>
      <c r="P46" s="64">
        <f>SUM(C46:N46)</f>
        <v>26398624</v>
      </c>
    </row>
    <row r="47" spans="1:16" ht="25.5">
      <c r="A47" s="73" t="s">
        <v>142</v>
      </c>
      <c r="C47" s="30">
        <v>-49885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P47" s="64">
        <f>SUM(C47:N47)</f>
        <v>-49885</v>
      </c>
    </row>
    <row r="48" spans="1:16" ht="12.75">
      <c r="A48" s="29" t="s">
        <v>89</v>
      </c>
      <c r="C48" s="67">
        <v>-877185</v>
      </c>
      <c r="D48" s="67">
        <v>-167756</v>
      </c>
      <c r="E48" s="67">
        <v>-174939</v>
      </c>
      <c r="F48" s="67">
        <v>759603</v>
      </c>
      <c r="G48" s="67">
        <v>179377</v>
      </c>
      <c r="H48" s="67">
        <v>7110</v>
      </c>
      <c r="I48" s="67">
        <v>-235309</v>
      </c>
      <c r="J48" s="67">
        <v>-197884</v>
      </c>
      <c r="K48" s="67">
        <v>5290</v>
      </c>
      <c r="L48" s="67">
        <v>-27561</v>
      </c>
      <c r="M48" s="67">
        <v>15676</v>
      </c>
      <c r="N48" s="67">
        <v>-122928</v>
      </c>
      <c r="P48" s="74">
        <f>SUM(C48:N48)</f>
        <v>-836506</v>
      </c>
    </row>
    <row r="49" spans="1:16" ht="12.75">
      <c r="A49" s="3" t="s">
        <v>80</v>
      </c>
      <c r="C49" s="14">
        <f aca="true" t="shared" si="20" ref="C49:N49">SUM(C46:C48)</f>
        <v>-173605</v>
      </c>
      <c r="D49" s="14">
        <f t="shared" si="20"/>
        <v>2027028</v>
      </c>
      <c r="E49" s="14">
        <f t="shared" si="20"/>
        <v>1487758</v>
      </c>
      <c r="F49" s="14">
        <f t="shared" si="20"/>
        <v>2477634</v>
      </c>
      <c r="G49" s="14">
        <f t="shared" si="20"/>
        <v>1562795</v>
      </c>
      <c r="H49" s="14">
        <f t="shared" si="20"/>
        <v>1374680</v>
      </c>
      <c r="I49" s="14">
        <f t="shared" si="20"/>
        <v>152275</v>
      </c>
      <c r="J49" s="14">
        <f t="shared" si="20"/>
        <v>-85247</v>
      </c>
      <c r="K49" s="14">
        <f t="shared" si="20"/>
        <v>228178</v>
      </c>
      <c r="L49" s="14">
        <f t="shared" si="20"/>
        <v>398555</v>
      </c>
      <c r="M49" s="14">
        <f t="shared" si="20"/>
        <v>720452</v>
      </c>
      <c r="N49" s="14">
        <f t="shared" si="20"/>
        <v>15341730</v>
      </c>
      <c r="P49" s="64">
        <f>SUM(C49:N49)</f>
        <v>25512233</v>
      </c>
    </row>
    <row r="50" spans="1:14" ht="12.75">
      <c r="A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6" ht="12.75">
      <c r="A51" s="4" t="s">
        <v>10</v>
      </c>
      <c r="C51" s="58">
        <v>0.008</v>
      </c>
      <c r="D51" s="58">
        <v>0.8</v>
      </c>
      <c r="E51" s="58">
        <v>0.008</v>
      </c>
      <c r="F51" s="58">
        <v>0.008</v>
      </c>
      <c r="G51" s="58">
        <v>0.015</v>
      </c>
      <c r="H51" s="58">
        <v>0.008</v>
      </c>
      <c r="I51" s="58">
        <v>0.008</v>
      </c>
      <c r="J51" s="58">
        <v>0.008</v>
      </c>
      <c r="K51" s="58">
        <v>0.008</v>
      </c>
      <c r="L51" s="58">
        <v>0.008</v>
      </c>
      <c r="M51" s="58">
        <v>0.008</v>
      </c>
      <c r="N51" s="58">
        <v>0.009</v>
      </c>
      <c r="P51" s="61">
        <f>SUM(C51:N51)/12</f>
        <v>0.07466666666666667</v>
      </c>
    </row>
    <row r="52" spans="1:16" ht="12.75">
      <c r="A52" s="4" t="s">
        <v>66</v>
      </c>
      <c r="C52" s="58">
        <v>0.065</v>
      </c>
      <c r="D52" s="58">
        <v>0.068</v>
      </c>
      <c r="E52" s="58">
        <v>0.102</v>
      </c>
      <c r="F52" s="58">
        <v>0.084</v>
      </c>
      <c r="G52" s="58">
        <v>0.122</v>
      </c>
      <c r="H52" s="58">
        <v>0.108</v>
      </c>
      <c r="I52" s="58">
        <v>0.118</v>
      </c>
      <c r="J52" s="58">
        <v>0.091</v>
      </c>
      <c r="K52" s="58">
        <v>0.075</v>
      </c>
      <c r="L52" s="58">
        <v>0.128</v>
      </c>
      <c r="M52" s="58">
        <v>0.091</v>
      </c>
      <c r="N52" s="58">
        <v>0.086</v>
      </c>
      <c r="P52" s="61">
        <f>SUM(C52:N52)/12</f>
        <v>0.09483333333333334</v>
      </c>
    </row>
    <row r="53" spans="1:16" ht="12.75">
      <c r="A53" s="4" t="s">
        <v>113</v>
      </c>
      <c r="C53" s="58">
        <v>0.08</v>
      </c>
      <c r="D53" s="58">
        <v>0.073</v>
      </c>
      <c r="E53" s="58">
        <v>0.097</v>
      </c>
      <c r="F53" s="58">
        <v>0.121</v>
      </c>
      <c r="G53" s="58">
        <v>0.087</v>
      </c>
      <c r="H53" s="58">
        <v>0.157</v>
      </c>
      <c r="I53" s="58">
        <v>0.191</v>
      </c>
      <c r="J53" s="58">
        <v>0.139</v>
      </c>
      <c r="K53" s="58">
        <v>0.12</v>
      </c>
      <c r="L53" s="58">
        <v>0.084</v>
      </c>
      <c r="M53" s="58">
        <v>0.068</v>
      </c>
      <c r="N53" s="58">
        <v>0.075</v>
      </c>
      <c r="P53" s="61">
        <f>SUM(C53:N53)/12</f>
        <v>0.10766666666666667</v>
      </c>
    </row>
    <row r="54" spans="1:14" ht="12.75">
      <c r="A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2.75">
      <c r="A56" s="16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6" ht="25.5">
      <c r="A57" s="8" t="s">
        <v>54</v>
      </c>
      <c r="C57" s="7">
        <v>4826570</v>
      </c>
      <c r="D57" s="7">
        <v>6120205</v>
      </c>
      <c r="E57" s="7">
        <v>5701019</v>
      </c>
      <c r="F57" s="7">
        <v>5783944</v>
      </c>
      <c r="G57" s="7">
        <v>5656761</v>
      </c>
      <c r="H57" s="7">
        <v>5460286</v>
      </c>
      <c r="I57" s="7">
        <v>4329100</v>
      </c>
      <c r="J57" s="7">
        <v>4191331</v>
      </c>
      <c r="K57" s="7">
        <v>3970695</v>
      </c>
      <c r="L57" s="7">
        <v>3765064</v>
      </c>
      <c r="M57" s="7">
        <v>3582990</v>
      </c>
      <c r="N57" s="7">
        <v>22657545</v>
      </c>
      <c r="P57" s="64">
        <f>SUM(C57:N57)</f>
        <v>76045510</v>
      </c>
    </row>
    <row r="58" spans="1:14" ht="12.75">
      <c r="A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6" ht="25.5">
      <c r="A59" s="8" t="s">
        <v>55</v>
      </c>
      <c r="C59" s="7">
        <v>54162</v>
      </c>
      <c r="D59" s="7">
        <v>49670</v>
      </c>
      <c r="E59" s="7">
        <v>47073</v>
      </c>
      <c r="F59" s="7">
        <v>46109</v>
      </c>
      <c r="G59" s="7">
        <v>48584</v>
      </c>
      <c r="H59" s="7">
        <v>48102</v>
      </c>
      <c r="I59" s="7">
        <v>43698</v>
      </c>
      <c r="J59" s="7">
        <v>45317</v>
      </c>
      <c r="K59" s="7">
        <v>48974</v>
      </c>
      <c r="L59" s="7">
        <v>41541</v>
      </c>
      <c r="M59" s="7">
        <v>49120</v>
      </c>
      <c r="N59" s="7">
        <v>48894</v>
      </c>
      <c r="P59" s="64">
        <f>SUM(C59:N59)</f>
        <v>571244</v>
      </c>
    </row>
    <row r="60" spans="1:14" ht="12.75">
      <c r="A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6" ht="12.75">
      <c r="A61" s="8" t="s">
        <v>67</v>
      </c>
      <c r="C61" s="30">
        <v>0</v>
      </c>
      <c r="D61" s="30">
        <v>0</v>
      </c>
      <c r="E61" s="7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P61" s="64">
        <f>SUM(C61:N61)</f>
        <v>0</v>
      </c>
    </row>
    <row r="62" spans="1:14" ht="12.75">
      <c r="A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6" ht="25.5">
      <c r="A63" s="8" t="s">
        <v>53</v>
      </c>
      <c r="C63" s="14">
        <f>+C57+C59-C61</f>
        <v>4880732</v>
      </c>
      <c r="D63" s="14">
        <f aca="true" t="shared" si="21" ref="D63:N63">+D57+D59-D61</f>
        <v>6169875</v>
      </c>
      <c r="E63" s="14">
        <f t="shared" si="21"/>
        <v>5748092</v>
      </c>
      <c r="F63" s="14">
        <f t="shared" si="21"/>
        <v>5830053</v>
      </c>
      <c r="G63" s="14">
        <f t="shared" si="21"/>
        <v>5705345</v>
      </c>
      <c r="H63" s="14">
        <f t="shared" si="21"/>
        <v>5508388</v>
      </c>
      <c r="I63" s="14">
        <f t="shared" si="21"/>
        <v>4372798</v>
      </c>
      <c r="J63" s="14">
        <f t="shared" si="21"/>
        <v>4236648</v>
      </c>
      <c r="K63" s="14">
        <f t="shared" si="21"/>
        <v>4019669</v>
      </c>
      <c r="L63" s="14">
        <f t="shared" si="21"/>
        <v>3806605</v>
      </c>
      <c r="M63" s="14">
        <f t="shared" si="21"/>
        <v>3632110</v>
      </c>
      <c r="N63" s="14">
        <f t="shared" si="21"/>
        <v>22706439</v>
      </c>
      <c r="P63" s="14">
        <f>+P57+P59-P61</f>
        <v>76616754</v>
      </c>
    </row>
    <row r="64" spans="1:14" ht="12.75">
      <c r="A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16" t="s">
        <v>27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6" ht="12.75">
      <c r="A67" s="4" t="s">
        <v>9</v>
      </c>
      <c r="C67" s="7">
        <v>65952346</v>
      </c>
      <c r="D67" s="7">
        <v>58755458</v>
      </c>
      <c r="E67" s="7">
        <v>44307469</v>
      </c>
      <c r="F67" s="7">
        <v>42540201</v>
      </c>
      <c r="G67" s="7">
        <v>40424987</v>
      </c>
      <c r="H67" s="7">
        <v>46953714</v>
      </c>
      <c r="I67" s="7">
        <v>46534433</v>
      </c>
      <c r="J67" s="7">
        <v>47519210</v>
      </c>
      <c r="K67" s="7">
        <v>44097032</v>
      </c>
      <c r="L67" s="7">
        <v>38287502</v>
      </c>
      <c r="M67" s="7">
        <v>42852396</v>
      </c>
      <c r="N67" s="7">
        <v>50620415</v>
      </c>
      <c r="P67" s="64">
        <f>SUM(C67:N67)</f>
        <v>568845163</v>
      </c>
    </row>
    <row r="68" spans="1:16" ht="12.75">
      <c r="A68" s="4" t="s">
        <v>10</v>
      </c>
      <c r="C68" s="7">
        <v>603837</v>
      </c>
      <c r="D68" s="7">
        <v>529203</v>
      </c>
      <c r="E68" s="7">
        <v>459737</v>
      </c>
      <c r="F68" s="7">
        <v>427836</v>
      </c>
      <c r="G68" s="7">
        <v>784420</v>
      </c>
      <c r="H68" s="7">
        <v>462091</v>
      </c>
      <c r="I68" s="7">
        <v>530987</v>
      </c>
      <c r="J68" s="7">
        <v>525287</v>
      </c>
      <c r="K68" s="7">
        <v>438222</v>
      </c>
      <c r="L68" s="7">
        <v>394110</v>
      </c>
      <c r="M68" s="7">
        <v>437049</v>
      </c>
      <c r="N68" s="7">
        <v>524598</v>
      </c>
      <c r="P68" s="64">
        <f>SUM(C68:N68)</f>
        <v>6117377</v>
      </c>
    </row>
    <row r="69" spans="1:16" ht="12.75">
      <c r="A69" s="4" t="s">
        <v>66</v>
      </c>
      <c r="C69" s="7">
        <v>5085114</v>
      </c>
      <c r="D69" s="7">
        <v>4720801</v>
      </c>
      <c r="E69" s="7">
        <v>5691192</v>
      </c>
      <c r="F69" s="7">
        <v>4530299</v>
      </c>
      <c r="G69" s="7">
        <v>6373043</v>
      </c>
      <c r="H69" s="7">
        <v>6987065</v>
      </c>
      <c r="I69" s="7">
        <v>8031761</v>
      </c>
      <c r="J69" s="7">
        <v>5676708</v>
      </c>
      <c r="K69" s="7">
        <v>4158869</v>
      </c>
      <c r="L69" s="7">
        <v>6275626</v>
      </c>
      <c r="M69" s="7">
        <v>4682074</v>
      </c>
      <c r="N69" s="7">
        <v>5272444</v>
      </c>
      <c r="P69" s="64">
        <f>SUM(C69:N69)</f>
        <v>67484996</v>
      </c>
    </row>
    <row r="70" spans="1:16" ht="12.75">
      <c r="A70" s="4" t="s">
        <v>11</v>
      </c>
      <c r="C70" s="78">
        <v>6199202</v>
      </c>
      <c r="D70" s="78">
        <v>5024766</v>
      </c>
      <c r="E70" s="78">
        <v>5445168</v>
      </c>
      <c r="F70" s="78">
        <v>6578375</v>
      </c>
      <c r="G70" s="78">
        <v>4536768</v>
      </c>
      <c r="H70" s="78">
        <v>10149681</v>
      </c>
      <c r="I70" s="78">
        <v>13076250</v>
      </c>
      <c r="J70" s="78">
        <v>8673690</v>
      </c>
      <c r="K70" s="78">
        <v>6653495</v>
      </c>
      <c r="L70" s="78">
        <v>4110816</v>
      </c>
      <c r="M70" s="78">
        <v>3475489</v>
      </c>
      <c r="N70" s="78">
        <v>4557585</v>
      </c>
      <c r="P70" s="64">
        <f>SUM(C70:N70)</f>
        <v>78481285</v>
      </c>
    </row>
    <row r="71" spans="1:16" ht="12.75">
      <c r="A71" s="3" t="s">
        <v>19</v>
      </c>
      <c r="C71" s="14">
        <f>SUM(C66:C70)</f>
        <v>77840499</v>
      </c>
      <c r="D71" s="14">
        <f aca="true" t="shared" si="22" ref="D71:N71">SUM(D66:D70)</f>
        <v>69030228</v>
      </c>
      <c r="E71" s="14">
        <f t="shared" si="22"/>
        <v>55903566</v>
      </c>
      <c r="F71" s="14">
        <f t="shared" si="22"/>
        <v>54076711</v>
      </c>
      <c r="G71" s="14">
        <f t="shared" si="22"/>
        <v>52119218</v>
      </c>
      <c r="H71" s="14">
        <f t="shared" si="22"/>
        <v>64552551</v>
      </c>
      <c r="I71" s="14">
        <f t="shared" si="22"/>
        <v>68173431</v>
      </c>
      <c r="J71" s="14">
        <f t="shared" si="22"/>
        <v>62394895</v>
      </c>
      <c r="K71" s="14">
        <f t="shared" si="22"/>
        <v>55347618</v>
      </c>
      <c r="L71" s="14">
        <f t="shared" si="22"/>
        <v>49068054</v>
      </c>
      <c r="M71" s="14">
        <f t="shared" si="22"/>
        <v>51447008</v>
      </c>
      <c r="N71" s="14">
        <f t="shared" si="22"/>
        <v>60975042</v>
      </c>
      <c r="P71" s="14">
        <f>SUM(P67:P70)</f>
        <v>720928821</v>
      </c>
    </row>
    <row r="72" spans="1:16" ht="12.75">
      <c r="A72" s="4" t="s">
        <v>20</v>
      </c>
      <c r="C72" s="78">
        <v>1281145</v>
      </c>
      <c r="D72" s="78">
        <v>913143</v>
      </c>
      <c r="E72" s="78">
        <v>632852</v>
      </c>
      <c r="F72" s="78">
        <v>661356</v>
      </c>
      <c r="G72" s="78">
        <v>721634</v>
      </c>
      <c r="H72" s="78">
        <v>681485</v>
      </c>
      <c r="I72" s="78">
        <v>1036488</v>
      </c>
      <c r="J72" s="78">
        <v>844708</v>
      </c>
      <c r="K72" s="78">
        <v>308585</v>
      </c>
      <c r="L72" s="78">
        <v>89285</v>
      </c>
      <c r="M72" s="78">
        <v>-109958</v>
      </c>
      <c r="N72" s="78">
        <v>-121093</v>
      </c>
      <c r="P72" s="64">
        <f>SUM(C72:N72)</f>
        <v>6939630</v>
      </c>
    </row>
    <row r="73" spans="1:16" ht="12.75">
      <c r="A73" s="3" t="s">
        <v>12</v>
      </c>
      <c r="C73" s="14">
        <f aca="true" t="shared" si="23" ref="C73:N73">+C71+C72</f>
        <v>79121644</v>
      </c>
      <c r="D73" s="14">
        <f t="shared" si="23"/>
        <v>69943371</v>
      </c>
      <c r="E73" s="14">
        <f t="shared" si="23"/>
        <v>56536418</v>
      </c>
      <c r="F73" s="14">
        <f t="shared" si="23"/>
        <v>54738067</v>
      </c>
      <c r="G73" s="14">
        <f t="shared" si="23"/>
        <v>52840852</v>
      </c>
      <c r="H73" s="14">
        <f t="shared" si="23"/>
        <v>65234036</v>
      </c>
      <c r="I73" s="14">
        <f t="shared" si="23"/>
        <v>69209919</v>
      </c>
      <c r="J73" s="14">
        <f t="shared" si="23"/>
        <v>63239603</v>
      </c>
      <c r="K73" s="14">
        <f t="shared" si="23"/>
        <v>55656203</v>
      </c>
      <c r="L73" s="14">
        <f t="shared" si="23"/>
        <v>49157339</v>
      </c>
      <c r="M73" s="14">
        <f t="shared" si="23"/>
        <v>51337050</v>
      </c>
      <c r="N73" s="14">
        <f t="shared" si="23"/>
        <v>60853949</v>
      </c>
      <c r="P73" s="14">
        <f>+P71+P72</f>
        <v>727868451</v>
      </c>
    </row>
  </sheetData>
  <printOptions horizontalCentered="1" verticalCentered="1"/>
  <pageMargins left="0" right="0" top="0.5" bottom="0.5" header="0" footer="0"/>
  <pageSetup horizontalDpi="600" verticalDpi="600" orientation="landscape" scale="5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s767267</dc:creator>
  <cp:keywords/>
  <dc:description/>
  <cp:lastModifiedBy>American Electric Power®</cp:lastModifiedBy>
  <cp:lastPrinted>2012-02-16T21:46:47Z</cp:lastPrinted>
  <dcterms:created xsi:type="dcterms:W3CDTF">2001-08-15T14:15:48Z</dcterms:created>
  <dcterms:modified xsi:type="dcterms:W3CDTF">2012-02-16T21:51:11Z</dcterms:modified>
  <cp:category/>
  <cp:version/>
  <cp:contentType/>
  <cp:contentStatus/>
</cp:coreProperties>
</file>